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omments7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730" windowHeight="9285" tabRatio="741" firstSheet="15" activeTab="30"/>
  </bookViews>
  <sheets>
    <sheet name="янв17" sheetId="1" r:id="rId1"/>
    <sheet name="фев17" sheetId="2" r:id="rId2"/>
    <sheet name="март17" sheetId="3" r:id="rId3"/>
    <sheet name="апр17" sheetId="4" r:id="rId4"/>
    <sheet name="май17" sheetId="5" r:id="rId5"/>
    <sheet name="июнь17" sheetId="6" r:id="rId6"/>
    <sheet name="июль17" sheetId="7" r:id="rId7"/>
    <sheet name="авг17" sheetId="8" r:id="rId8"/>
    <sheet name="сен17" sheetId="9" r:id="rId9"/>
    <sheet name="окт17" sheetId="10" r:id="rId10"/>
    <sheet name="нояб17" sheetId="11" r:id="rId11"/>
    <sheet name="дек17" sheetId="12" r:id="rId12"/>
    <sheet name="янв18" sheetId="13" r:id="rId13"/>
    <sheet name="фев18" sheetId="14" r:id="rId14"/>
    <sheet name="мар18" sheetId="15" r:id="rId15"/>
    <sheet name="апр18" sheetId="16" r:id="rId16"/>
    <sheet name="май18" sheetId="17" r:id="rId17"/>
    <sheet name="июнь18" sheetId="18" r:id="rId18"/>
    <sheet name="июль18" sheetId="19" r:id="rId19"/>
    <sheet name="авг18" sheetId="20" r:id="rId20"/>
    <sheet name="сент18" sheetId="21" r:id="rId21"/>
    <sheet name="окт18" sheetId="22" r:id="rId22"/>
    <sheet name="ноя18" sheetId="23" r:id="rId23"/>
    <sheet name="дек18" sheetId="24" r:id="rId24"/>
    <sheet name="янв19" sheetId="25" r:id="rId25"/>
    <sheet name="фев19" sheetId="26" r:id="rId26"/>
    <sheet name="мар19" sheetId="27" r:id="rId27"/>
    <sheet name="апр.19" sheetId="28" r:id="rId28"/>
    <sheet name="май.19" sheetId="29" r:id="rId29"/>
    <sheet name="июн.19" sheetId="30" r:id="rId30"/>
    <sheet name="июл.19" sheetId="31" r:id="rId31"/>
  </sheets>
  <externalReferences>
    <externalReference r:id="rId32"/>
    <externalReference r:id="rId33"/>
  </externalReferences>
  <calcPr calcId="125725"/>
</workbook>
</file>

<file path=xl/calcChain.xml><?xml version="1.0" encoding="utf-8"?>
<calcChain xmlns="http://schemas.openxmlformats.org/spreadsheetml/2006/main">
  <c r="I41" i="31"/>
  <c r="I40"/>
  <c r="I39"/>
  <c r="I38"/>
  <c r="I107" l="1"/>
  <c r="O37" l="1"/>
  <c r="I37"/>
  <c r="H281" l="1"/>
  <c r="H280"/>
  <c r="H279"/>
  <c r="H278"/>
  <c r="H277"/>
  <c r="H276"/>
  <c r="H275"/>
  <c r="H274"/>
  <c r="H273"/>
  <c r="H272"/>
  <c r="H271"/>
  <c r="H270"/>
  <c r="H269"/>
  <c r="H268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G248"/>
  <c r="H247"/>
  <c r="H246"/>
  <c r="H245"/>
  <c r="H244"/>
  <c r="H243"/>
  <c r="H242"/>
  <c r="H241"/>
  <c r="H240"/>
  <c r="H239"/>
  <c r="H237"/>
  <c r="H235"/>
  <c r="H233"/>
  <c r="H232"/>
  <c r="H231"/>
  <c r="H230"/>
  <c r="H229"/>
  <c r="H228"/>
  <c r="H227"/>
  <c r="H226"/>
  <c r="H225"/>
  <c r="H216"/>
  <c r="H215"/>
  <c r="H212"/>
  <c r="H214"/>
  <c r="H213"/>
  <c r="H209"/>
  <c r="H208"/>
  <c r="H207"/>
  <c r="H206"/>
  <c r="H205"/>
  <c r="H204"/>
  <c r="H202"/>
  <c r="H201"/>
  <c r="H192"/>
  <c r="H191"/>
  <c r="H190"/>
  <c r="H189"/>
  <c r="H188"/>
  <c r="H185"/>
  <c r="H184"/>
  <c r="H183"/>
  <c r="H182"/>
  <c r="H181"/>
  <c r="H180"/>
  <c r="H179"/>
  <c r="H178"/>
  <c r="H177"/>
  <c r="H176"/>
  <c r="H175"/>
  <c r="H174"/>
  <c r="H173"/>
  <c r="H172"/>
  <c r="H171"/>
  <c r="H168"/>
  <c r="H167"/>
  <c r="H166"/>
  <c r="H163"/>
  <c r="H162"/>
  <c r="H161"/>
  <c r="H160"/>
  <c r="H159"/>
  <c r="H158"/>
  <c r="H157"/>
  <c r="H156"/>
  <c r="H154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4"/>
  <c r="H103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38"/>
  <c r="H37"/>
  <c r="H36"/>
  <c r="H35"/>
  <c r="H33"/>
  <c r="H32"/>
  <c r="H31"/>
  <c r="H30"/>
  <c r="H21"/>
  <c r="H20"/>
  <c r="H19"/>
  <c r="H18"/>
  <c r="H17"/>
  <c r="H16"/>
  <c r="H15"/>
  <c r="H14"/>
  <c r="H13"/>
  <c r="H12"/>
  <c r="H11"/>
  <c r="H10"/>
  <c r="H9"/>
  <c r="J216"/>
  <c r="J215"/>
  <c r="G215"/>
  <c r="G216" s="1"/>
  <c r="I216" s="1"/>
  <c r="I215" l="1"/>
  <c r="O215"/>
  <c r="I205" l="1"/>
  <c r="G205"/>
  <c r="G206" s="1"/>
  <c r="I206" s="1"/>
  <c r="O205" l="1"/>
  <c r="G38"/>
  <c r="J13" l="1"/>
  <c r="J12"/>
  <c r="I12"/>
  <c r="G12"/>
  <c r="G13" s="1"/>
  <c r="I13" s="1"/>
  <c r="G14"/>
  <c r="I14"/>
  <c r="J14"/>
  <c r="O12" l="1"/>
  <c r="J281"/>
  <c r="J280"/>
  <c r="G280"/>
  <c r="G281" s="1"/>
  <c r="I281" s="1"/>
  <c r="J279"/>
  <c r="G279"/>
  <c r="I279" s="1"/>
  <c r="J278"/>
  <c r="I278"/>
  <c r="G278"/>
  <c r="J277"/>
  <c r="G277"/>
  <c r="I277" s="1"/>
  <c r="J276"/>
  <c r="G276"/>
  <c r="I276" s="1"/>
  <c r="J275"/>
  <c r="I275"/>
  <c r="G275"/>
  <c r="J274"/>
  <c r="J273"/>
  <c r="G273"/>
  <c r="G274" s="1"/>
  <c r="I274" s="1"/>
  <c r="J272"/>
  <c r="J271"/>
  <c r="G271"/>
  <c r="I271" s="1"/>
  <c r="J270"/>
  <c r="G270"/>
  <c r="I270" s="1"/>
  <c r="J269"/>
  <c r="I269"/>
  <c r="G269"/>
  <c r="G264" s="1"/>
  <c r="I264" s="1"/>
  <c r="J268"/>
  <c r="J267"/>
  <c r="I267"/>
  <c r="G267"/>
  <c r="J266"/>
  <c r="G266"/>
  <c r="I266" s="1"/>
  <c r="J265"/>
  <c r="G265"/>
  <c r="I265" s="1"/>
  <c r="J264"/>
  <c r="J263"/>
  <c r="J262"/>
  <c r="G262"/>
  <c r="I262" s="1"/>
  <c r="J261"/>
  <c r="G261"/>
  <c r="I261" s="1"/>
  <c r="J260"/>
  <c r="G260"/>
  <c r="I260" s="1"/>
  <c r="J259"/>
  <c r="J258"/>
  <c r="G258"/>
  <c r="G259" s="1"/>
  <c r="I259" s="1"/>
  <c r="J257"/>
  <c r="J256"/>
  <c r="G256"/>
  <c r="G257" s="1"/>
  <c r="I257" s="1"/>
  <c r="J255"/>
  <c r="J254"/>
  <c r="G254"/>
  <c r="G255" s="1"/>
  <c r="I255" s="1"/>
  <c r="J253"/>
  <c r="J252"/>
  <c r="G252"/>
  <c r="G253" s="1"/>
  <c r="I253" s="1"/>
  <c r="J251"/>
  <c r="J250"/>
  <c r="G250"/>
  <c r="G251" s="1"/>
  <c r="I251" s="1"/>
  <c r="J249"/>
  <c r="G249"/>
  <c r="I249" s="1"/>
  <c r="J248"/>
  <c r="I248"/>
  <c r="J247"/>
  <c r="J246"/>
  <c r="G246"/>
  <c r="G247" s="1"/>
  <c r="I247" s="1"/>
  <c r="J245"/>
  <c r="J244"/>
  <c r="G244"/>
  <c r="G245" s="1"/>
  <c r="I245" s="1"/>
  <c r="J243"/>
  <c r="J242"/>
  <c r="G242"/>
  <c r="G243" s="1"/>
  <c r="I243" s="1"/>
  <c r="J241"/>
  <c r="J240"/>
  <c r="G240"/>
  <c r="G241" s="1"/>
  <c r="I241" s="1"/>
  <c r="J239"/>
  <c r="J238"/>
  <c r="G238"/>
  <c r="I238" s="1"/>
  <c r="J237"/>
  <c r="G237"/>
  <c r="I237" s="1"/>
  <c r="J236"/>
  <c r="I236"/>
  <c r="G236"/>
  <c r="J235"/>
  <c r="G235"/>
  <c r="I235" s="1"/>
  <c r="J234"/>
  <c r="G234"/>
  <c r="I234" s="1"/>
  <c r="J233"/>
  <c r="G233"/>
  <c r="I233" s="1"/>
  <c r="J232"/>
  <c r="J231"/>
  <c r="G231"/>
  <c r="I231" s="1"/>
  <c r="J230"/>
  <c r="G230"/>
  <c r="I230" s="1"/>
  <c r="J229"/>
  <c r="G229"/>
  <c r="I229" s="1"/>
  <c r="J228"/>
  <c r="J227"/>
  <c r="G227"/>
  <c r="G228" s="1"/>
  <c r="I228" s="1"/>
  <c r="J226"/>
  <c r="J225"/>
  <c r="G225"/>
  <c r="G226" s="1"/>
  <c r="I226" s="1"/>
  <c r="J214"/>
  <c r="J213"/>
  <c r="G213"/>
  <c r="G214" s="1"/>
  <c r="I214" s="1"/>
  <c r="J212"/>
  <c r="J211"/>
  <c r="G211"/>
  <c r="I211" s="1"/>
  <c r="J210"/>
  <c r="G210"/>
  <c r="I210" s="1"/>
  <c r="J209"/>
  <c r="G209"/>
  <c r="J208"/>
  <c r="G208"/>
  <c r="I208" s="1"/>
  <c r="J207"/>
  <c r="G207"/>
  <c r="G203"/>
  <c r="I203" s="1"/>
  <c r="G202"/>
  <c r="I202" s="1"/>
  <c r="G201"/>
  <c r="I201" s="1"/>
  <c r="J192"/>
  <c r="J191"/>
  <c r="G191"/>
  <c r="G192" s="1"/>
  <c r="I192" s="1"/>
  <c r="J190"/>
  <c r="J189"/>
  <c r="G189"/>
  <c r="G190" s="1"/>
  <c r="I190" s="1"/>
  <c r="J188"/>
  <c r="J187"/>
  <c r="G187"/>
  <c r="I187" s="1"/>
  <c r="J186"/>
  <c r="G186"/>
  <c r="I186" s="1"/>
  <c r="J185"/>
  <c r="G185"/>
  <c r="I185" s="1"/>
  <c r="J184"/>
  <c r="G184"/>
  <c r="I184" s="1"/>
  <c r="J183"/>
  <c r="J182"/>
  <c r="G182"/>
  <c r="G183" s="1"/>
  <c r="I183" s="1"/>
  <c r="J181"/>
  <c r="J180"/>
  <c r="G180"/>
  <c r="G181" s="1"/>
  <c r="I181" s="1"/>
  <c r="J179"/>
  <c r="J178"/>
  <c r="G178"/>
  <c r="G179" s="1"/>
  <c r="I179" s="1"/>
  <c r="J177"/>
  <c r="J176"/>
  <c r="G176"/>
  <c r="G177" s="1"/>
  <c r="I177" s="1"/>
  <c r="J175"/>
  <c r="J174"/>
  <c r="G174"/>
  <c r="G175" s="1"/>
  <c r="I175" s="1"/>
  <c r="J173"/>
  <c r="J172"/>
  <c r="G172"/>
  <c r="G173" s="1"/>
  <c r="I173" s="1"/>
  <c r="J171"/>
  <c r="J170"/>
  <c r="G170"/>
  <c r="I170" s="1"/>
  <c r="J169"/>
  <c r="G169"/>
  <c r="I169" s="1"/>
  <c r="J168"/>
  <c r="G168"/>
  <c r="I168" s="1"/>
  <c r="J167"/>
  <c r="G167"/>
  <c r="I167" s="1"/>
  <c r="J166"/>
  <c r="J165"/>
  <c r="G165"/>
  <c r="I165" s="1"/>
  <c r="J164"/>
  <c r="G164"/>
  <c r="I164" s="1"/>
  <c r="J163"/>
  <c r="G163"/>
  <c r="I163" s="1"/>
  <c r="J162"/>
  <c r="G162"/>
  <c r="I162" s="1"/>
  <c r="J161"/>
  <c r="J160"/>
  <c r="G160"/>
  <c r="I160" s="1"/>
  <c r="J159"/>
  <c r="G159"/>
  <c r="I159" s="1"/>
  <c r="J158"/>
  <c r="J157"/>
  <c r="G157"/>
  <c r="G158" s="1"/>
  <c r="I158" s="1"/>
  <c r="J156"/>
  <c r="J155"/>
  <c r="F155"/>
  <c r="G155" s="1"/>
  <c r="G156" s="1"/>
  <c r="I156" s="1"/>
  <c r="J154"/>
  <c r="G154"/>
  <c r="I154" s="1"/>
  <c r="J153"/>
  <c r="G153"/>
  <c r="I153" s="1"/>
  <c r="J152"/>
  <c r="J151"/>
  <c r="J150"/>
  <c r="J149"/>
  <c r="G149"/>
  <c r="G150" s="1"/>
  <c r="I150" s="1"/>
  <c r="G147"/>
  <c r="I147" s="1"/>
  <c r="J146"/>
  <c r="J145"/>
  <c r="G145"/>
  <c r="G146" s="1"/>
  <c r="I146" s="1"/>
  <c r="J144"/>
  <c r="J143"/>
  <c r="G143"/>
  <c r="G144" s="1"/>
  <c r="I144" s="1"/>
  <c r="J142"/>
  <c r="J141"/>
  <c r="G141"/>
  <c r="I141" s="1"/>
  <c r="J140"/>
  <c r="I140"/>
  <c r="G140"/>
  <c r="G152" s="1"/>
  <c r="I152" s="1"/>
  <c r="J139"/>
  <c r="G139"/>
  <c r="I139" s="1"/>
  <c r="J138"/>
  <c r="J137"/>
  <c r="G137"/>
  <c r="G138" s="1"/>
  <c r="I138" s="1"/>
  <c r="J136"/>
  <c r="J135"/>
  <c r="G135"/>
  <c r="G136" s="1"/>
  <c r="I136" s="1"/>
  <c r="J134"/>
  <c r="J133"/>
  <c r="G133"/>
  <c r="I133" s="1"/>
  <c r="J132"/>
  <c r="J131"/>
  <c r="G131"/>
  <c r="J130"/>
  <c r="G130"/>
  <c r="I130" s="1"/>
  <c r="J129"/>
  <c r="G129"/>
  <c r="I129" s="1"/>
  <c r="J128"/>
  <c r="G128"/>
  <c r="I128" s="1"/>
  <c r="J127"/>
  <c r="J126"/>
  <c r="G126"/>
  <c r="G127" s="1"/>
  <c r="I127" s="1"/>
  <c r="J125"/>
  <c r="G125"/>
  <c r="I125" s="1"/>
  <c r="J124"/>
  <c r="I124"/>
  <c r="G124"/>
  <c r="J123"/>
  <c r="G123"/>
  <c r="I123" s="1"/>
  <c r="J122"/>
  <c r="J121"/>
  <c r="G121"/>
  <c r="G122" s="1"/>
  <c r="I122" s="1"/>
  <c r="J120"/>
  <c r="G120"/>
  <c r="G151" s="1"/>
  <c r="I151" s="1"/>
  <c r="J119"/>
  <c r="J118"/>
  <c r="I118"/>
  <c r="G118"/>
  <c r="G119" s="1"/>
  <c r="I119" s="1"/>
  <c r="J117"/>
  <c r="G117"/>
  <c r="I117" s="1"/>
  <c r="J116"/>
  <c r="J115"/>
  <c r="G115"/>
  <c r="I115" s="1"/>
  <c r="J114"/>
  <c r="J113"/>
  <c r="G113"/>
  <c r="G114" s="1"/>
  <c r="I114" s="1"/>
  <c r="J112"/>
  <c r="J111"/>
  <c r="G111"/>
  <c r="G112" s="1"/>
  <c r="I112" s="1"/>
  <c r="J110"/>
  <c r="J109"/>
  <c r="G109"/>
  <c r="I109" s="1"/>
  <c r="J108"/>
  <c r="G108"/>
  <c r="I108" s="1"/>
  <c r="G106"/>
  <c r="I106" s="1"/>
  <c r="G105"/>
  <c r="I105" s="1"/>
  <c r="G104"/>
  <c r="I104" s="1"/>
  <c r="G103"/>
  <c r="I103" s="1"/>
  <c r="J94"/>
  <c r="J93"/>
  <c r="G93"/>
  <c r="G94" s="1"/>
  <c r="I94" s="1"/>
  <c r="J92"/>
  <c r="J91"/>
  <c r="G91"/>
  <c r="G92" s="1"/>
  <c r="I92" s="1"/>
  <c r="J90"/>
  <c r="J89"/>
  <c r="G89"/>
  <c r="G90" s="1"/>
  <c r="I90" s="1"/>
  <c r="J88"/>
  <c r="G88"/>
  <c r="I88" s="1"/>
  <c r="J87"/>
  <c r="J86"/>
  <c r="G86"/>
  <c r="G87" s="1"/>
  <c r="I87" s="1"/>
  <c r="J85"/>
  <c r="J84"/>
  <c r="G84"/>
  <c r="G85" s="1"/>
  <c r="I85" s="1"/>
  <c r="J83"/>
  <c r="J82"/>
  <c r="G82"/>
  <c r="I82" s="1"/>
  <c r="J81"/>
  <c r="J80"/>
  <c r="I80"/>
  <c r="G80"/>
  <c r="G81" s="1"/>
  <c r="I81" s="1"/>
  <c r="J79"/>
  <c r="J78"/>
  <c r="G78"/>
  <c r="G79" s="1"/>
  <c r="I79" s="1"/>
  <c r="J77"/>
  <c r="J76"/>
  <c r="G76"/>
  <c r="I76" s="1"/>
  <c r="J75"/>
  <c r="G75"/>
  <c r="I75" s="1"/>
  <c r="J74"/>
  <c r="J73"/>
  <c r="I73"/>
  <c r="G73"/>
  <c r="G74" s="1"/>
  <c r="I74" s="1"/>
  <c r="J72"/>
  <c r="J71"/>
  <c r="G71"/>
  <c r="G72" s="1"/>
  <c r="I72" s="1"/>
  <c r="J70"/>
  <c r="J69"/>
  <c r="I69"/>
  <c r="G69"/>
  <c r="G70" s="1"/>
  <c r="I70" s="1"/>
  <c r="J68"/>
  <c r="J67"/>
  <c r="G67"/>
  <c r="I67" s="1"/>
  <c r="J66"/>
  <c r="J65"/>
  <c r="G65"/>
  <c r="G66" s="1"/>
  <c r="I66" s="1"/>
  <c r="J64"/>
  <c r="L63"/>
  <c r="M63" s="1"/>
  <c r="J63"/>
  <c r="G63"/>
  <c r="G64" s="1"/>
  <c r="I64" s="1"/>
  <c r="L62"/>
  <c r="M62" s="1"/>
  <c r="J62"/>
  <c r="G62"/>
  <c r="I62" s="1"/>
  <c r="L61"/>
  <c r="M61" s="1"/>
  <c r="J61"/>
  <c r="G61"/>
  <c r="I61" s="1"/>
  <c r="J60"/>
  <c r="J59"/>
  <c r="I59"/>
  <c r="G59"/>
  <c r="G60" s="1"/>
  <c r="I60" s="1"/>
  <c r="J58"/>
  <c r="J57"/>
  <c r="G57"/>
  <c r="G58" s="1"/>
  <c r="I58" s="1"/>
  <c r="J56"/>
  <c r="J55"/>
  <c r="G55"/>
  <c r="G56" s="1"/>
  <c r="I56" s="1"/>
  <c r="J54"/>
  <c r="G54"/>
  <c r="I54" s="1"/>
  <c r="J53"/>
  <c r="G53"/>
  <c r="I53" s="1"/>
  <c r="J52"/>
  <c r="J51"/>
  <c r="G51"/>
  <c r="I51" s="1"/>
  <c r="J50"/>
  <c r="J49"/>
  <c r="G49"/>
  <c r="G50" s="1"/>
  <c r="I50" s="1"/>
  <c r="J48"/>
  <c r="J47"/>
  <c r="G47"/>
  <c r="G48" s="1"/>
  <c r="I48" s="1"/>
  <c r="J46"/>
  <c r="J45"/>
  <c r="G45"/>
  <c r="I45" s="1"/>
  <c r="J44"/>
  <c r="G44"/>
  <c r="I44" s="1"/>
  <c r="J43"/>
  <c r="J42"/>
  <c r="G42"/>
  <c r="G43" s="1"/>
  <c r="I43" s="1"/>
  <c r="G40"/>
  <c r="G39"/>
  <c r="G37"/>
  <c r="J36"/>
  <c r="L35"/>
  <c r="M35" s="1"/>
  <c r="J35"/>
  <c r="G35"/>
  <c r="G36" s="1"/>
  <c r="I36" s="1"/>
  <c r="L34"/>
  <c r="M34" s="1"/>
  <c r="J34"/>
  <c r="I34"/>
  <c r="G34"/>
  <c r="L33"/>
  <c r="M33" s="1"/>
  <c r="J33"/>
  <c r="I33"/>
  <c r="G33"/>
  <c r="J32"/>
  <c r="J31"/>
  <c r="I31"/>
  <c r="G31"/>
  <c r="G32" s="1"/>
  <c r="I32" s="1"/>
  <c r="J30"/>
  <c r="G30"/>
  <c r="I30" s="1"/>
  <c r="J21"/>
  <c r="J20"/>
  <c r="G20"/>
  <c r="G21" s="1"/>
  <c r="I21" s="1"/>
  <c r="J19"/>
  <c r="J18"/>
  <c r="G18"/>
  <c r="G19" s="1"/>
  <c r="I19" s="1"/>
  <c r="J17"/>
  <c r="J16"/>
  <c r="G16"/>
  <c r="I16" s="1"/>
  <c r="J15"/>
  <c r="O14" s="1"/>
  <c r="G15"/>
  <c r="I15" s="1"/>
  <c r="J11"/>
  <c r="J10"/>
  <c r="G10"/>
  <c r="G11" s="1"/>
  <c r="I11" s="1"/>
  <c r="J9"/>
  <c r="J8"/>
  <c r="G8"/>
  <c r="M7"/>
  <c r="J7"/>
  <c r="G7"/>
  <c r="G240" i="30"/>
  <c r="I7" i="31" l="1"/>
  <c r="H7"/>
  <c r="I8"/>
  <c r="H8"/>
  <c r="I121"/>
  <c r="G232"/>
  <c r="I232" s="1"/>
  <c r="O229" s="1"/>
  <c r="I89"/>
  <c r="O88" s="1"/>
  <c r="I42"/>
  <c r="O42" s="1"/>
  <c r="I49"/>
  <c r="O49" s="1"/>
  <c r="I63"/>
  <c r="O61" s="1"/>
  <c r="I180"/>
  <c r="O180" s="1"/>
  <c r="G212"/>
  <c r="I212" s="1"/>
  <c r="I213"/>
  <c r="O213" s="1"/>
  <c r="I244"/>
  <c r="O244" s="1"/>
  <c r="I254"/>
  <c r="G239"/>
  <c r="I239" s="1"/>
  <c r="O233" s="1"/>
  <c r="G263"/>
  <c r="I263" s="1"/>
  <c r="O260" s="1"/>
  <c r="G41"/>
  <c r="O73"/>
  <c r="O80"/>
  <c r="I84"/>
  <c r="O84" s="1"/>
  <c r="O117"/>
  <c r="O123"/>
  <c r="G132"/>
  <c r="I132" s="1"/>
  <c r="G161"/>
  <c r="I161" s="1"/>
  <c r="I189"/>
  <c r="O189" s="1"/>
  <c r="I227"/>
  <c r="O227" s="1"/>
  <c r="I258"/>
  <c r="I18"/>
  <c r="O18" s="1"/>
  <c r="O30"/>
  <c r="I65"/>
  <c r="O65" s="1"/>
  <c r="I91"/>
  <c r="O91" s="1"/>
  <c r="I113"/>
  <c r="O113" s="1"/>
  <c r="I135"/>
  <c r="O135" s="1"/>
  <c r="I149"/>
  <c r="I172"/>
  <c r="O172" s="1"/>
  <c r="I209"/>
  <c r="I240"/>
  <c r="O258"/>
  <c r="I120"/>
  <c r="O120" s="1"/>
  <c r="I126"/>
  <c r="O126" s="1"/>
  <c r="I145"/>
  <c r="O149"/>
  <c r="I176"/>
  <c r="O176" s="1"/>
  <c r="O275"/>
  <c r="O145"/>
  <c r="O240"/>
  <c r="O69"/>
  <c r="O59"/>
  <c r="O159"/>
  <c r="O254"/>
  <c r="G52"/>
  <c r="I52" s="1"/>
  <c r="O51" s="1"/>
  <c r="G68"/>
  <c r="I68" s="1"/>
  <c r="O67" s="1"/>
  <c r="G83"/>
  <c r="I83" s="1"/>
  <c r="O82" s="1"/>
  <c r="G116"/>
  <c r="I116" s="1"/>
  <c r="O115" s="1"/>
  <c r="G134"/>
  <c r="I134" s="1"/>
  <c r="O133" s="1"/>
  <c r="G9"/>
  <c r="I9" s="1"/>
  <c r="I10"/>
  <c r="O10" s="1"/>
  <c r="I20"/>
  <c r="O20" s="1"/>
  <c r="I35"/>
  <c r="O33" s="1"/>
  <c r="G46"/>
  <c r="I46" s="1"/>
  <c r="O44" s="1"/>
  <c r="I47"/>
  <c r="O47" s="1"/>
  <c r="I55"/>
  <c r="O53" s="1"/>
  <c r="I71"/>
  <c r="O71" s="1"/>
  <c r="G77"/>
  <c r="I77" s="1"/>
  <c r="O75" s="1"/>
  <c r="I78"/>
  <c r="O78" s="1"/>
  <c r="I86"/>
  <c r="O86" s="1"/>
  <c r="I93"/>
  <c r="O93" s="1"/>
  <c r="G110"/>
  <c r="I110" s="1"/>
  <c r="O108" s="1"/>
  <c r="I111"/>
  <c r="O111" s="1"/>
  <c r="I131"/>
  <c r="O128" s="1"/>
  <c r="I137"/>
  <c r="O137" s="1"/>
  <c r="G142"/>
  <c r="I142" s="1"/>
  <c r="O139" s="1"/>
  <c r="I143"/>
  <c r="O143" s="1"/>
  <c r="G148"/>
  <c r="I148" s="1"/>
  <c r="O147" s="1"/>
  <c r="I155"/>
  <c r="O151" s="1"/>
  <c r="I182"/>
  <c r="O182" s="1"/>
  <c r="I225"/>
  <c r="O225" s="1"/>
  <c r="I242"/>
  <c r="O242" s="1"/>
  <c r="I250"/>
  <c r="O248" s="1"/>
  <c r="I256"/>
  <c r="O256" s="1"/>
  <c r="G272"/>
  <c r="I272" s="1"/>
  <c r="O269" s="1"/>
  <c r="I273"/>
  <c r="O273" s="1"/>
  <c r="I280"/>
  <c r="O278" s="1"/>
  <c r="G17"/>
  <c r="I17" s="1"/>
  <c r="O16" s="1"/>
  <c r="G166"/>
  <c r="I166" s="1"/>
  <c r="O162" s="1"/>
  <c r="G171"/>
  <c r="I171" s="1"/>
  <c r="O167" s="1"/>
  <c r="G188"/>
  <c r="I188" s="1"/>
  <c r="O184" s="1"/>
  <c r="G204"/>
  <c r="I204" s="1"/>
  <c r="O201" s="1"/>
  <c r="G268"/>
  <c r="I268" s="1"/>
  <c r="O264" s="1"/>
  <c r="G107"/>
  <c r="O103" s="1"/>
  <c r="I57"/>
  <c r="O57" s="1"/>
  <c r="I157"/>
  <c r="O157" s="1"/>
  <c r="I174"/>
  <c r="O174" s="1"/>
  <c r="I178"/>
  <c r="O178" s="1"/>
  <c r="I191"/>
  <c r="O191" s="1"/>
  <c r="I207"/>
  <c r="I246"/>
  <c r="O246" s="1"/>
  <c r="I252"/>
  <c r="O252" s="1"/>
  <c r="G164" i="30"/>
  <c r="O7" i="31" l="1"/>
  <c r="O207"/>
  <c r="P174"/>
  <c r="P175" s="1"/>
  <c r="G46" i="30"/>
  <c r="G139" l="1"/>
  <c r="G93" l="1"/>
  <c r="G76" l="1"/>
  <c r="G53" l="1"/>
  <c r="G40" l="1"/>
  <c r="D38"/>
  <c r="G142" l="1"/>
  <c r="G131" l="1"/>
  <c r="G125" l="1"/>
  <c r="G119"/>
  <c r="G116" l="1"/>
  <c r="G108" l="1"/>
  <c r="G102"/>
  <c r="G79" l="1"/>
  <c r="G62" l="1"/>
  <c r="G56" l="1"/>
  <c r="G48" l="1"/>
  <c r="D47" l="1"/>
  <c r="D46"/>
  <c r="G35" l="1"/>
  <c r="G448" l="1"/>
  <c r="G423" l="1"/>
  <c r="G422" l="1"/>
  <c r="G414"/>
  <c r="G407"/>
  <c r="G391"/>
  <c r="G392"/>
  <c r="D381"/>
  <c r="D380"/>
  <c r="L368" l="1"/>
  <c r="G370"/>
  <c r="F370"/>
  <c r="G369"/>
  <c r="F369"/>
  <c r="G368"/>
  <c r="F368"/>
  <c r="E368"/>
  <c r="D353"/>
  <c r="D352"/>
  <c r="E303" l="1"/>
  <c r="D305" l="1"/>
  <c r="D304"/>
  <c r="D278" l="1"/>
  <c r="D277"/>
  <c r="D273" l="1"/>
  <c r="D272"/>
  <c r="D165" l="1"/>
  <c r="D164"/>
  <c r="D20" l="1"/>
  <c r="D19"/>
  <c r="D8" l="1"/>
  <c r="D7"/>
  <c r="D4"/>
  <c r="G499" l="1"/>
  <c r="G491"/>
  <c r="E318" l="1"/>
  <c r="E315"/>
  <c r="E298"/>
  <c r="E295"/>
  <c r="E289"/>
  <c r="E286"/>
  <c r="E283"/>
  <c r="E280"/>
  <c r="E276"/>
  <c r="E271"/>
  <c r="E266"/>
  <c r="E258"/>
  <c r="E252"/>
  <c r="E242"/>
  <c r="E233"/>
  <c r="E230"/>
  <c r="E227"/>
  <c r="E220"/>
  <c r="E217"/>
  <c r="E214"/>
  <c r="E205"/>
  <c r="E198"/>
  <c r="E195"/>
  <c r="E190"/>
  <c r="E183"/>
  <c r="E180"/>
  <c r="E177"/>
  <c r="E171"/>
  <c r="E168"/>
  <c r="H472" l="1"/>
  <c r="J472" s="1"/>
  <c r="H471"/>
  <c r="J471" s="1"/>
  <c r="E501"/>
  <c r="E498"/>
  <c r="E490"/>
  <c r="E487"/>
  <c r="E478"/>
  <c r="E475"/>
  <c r="E456" l="1"/>
  <c r="E448"/>
  <c r="E432"/>
  <c r="E429"/>
  <c r="E422"/>
  <c r="E414"/>
  <c r="E407"/>
  <c r="E391"/>
  <c r="E388"/>
  <c r="E379"/>
  <c r="E371"/>
  <c r="E357"/>
  <c r="E354"/>
  <c r="E351"/>
  <c r="E344"/>
  <c r="E329"/>
  <c r="E326"/>
  <c r="D125" l="1"/>
  <c r="E145" l="1"/>
  <c r="E142"/>
  <c r="E139"/>
  <c r="E134"/>
  <c r="E131"/>
  <c r="E125"/>
  <c r="E122"/>
  <c r="E119"/>
  <c r="E116"/>
  <c r="E108"/>
  <c r="E105"/>
  <c r="E102"/>
  <c r="E96"/>
  <c r="E93"/>
  <c r="E90"/>
  <c r="E82"/>
  <c r="E79"/>
  <c r="E76"/>
  <c r="E68"/>
  <c r="E65"/>
  <c r="E62"/>
  <c r="E56"/>
  <c r="E53"/>
  <c r="E48"/>
  <c r="E40"/>
  <c r="E35"/>
  <c r="E27"/>
  <c r="E18"/>
  <c r="D501" l="1"/>
  <c r="G501" s="1"/>
  <c r="D498"/>
  <c r="G498" s="1"/>
  <c r="D490"/>
  <c r="G490" s="1"/>
  <c r="D487"/>
  <c r="G487" s="1"/>
  <c r="D478"/>
  <c r="D475"/>
  <c r="G475" s="1"/>
  <c r="D456"/>
  <c r="G456" s="1"/>
  <c r="D454"/>
  <c r="G454" s="1"/>
  <c r="D448"/>
  <c r="D447"/>
  <c r="G447" s="1"/>
  <c r="D432"/>
  <c r="G432" s="1"/>
  <c r="D429"/>
  <c r="G429" s="1"/>
  <c r="D428"/>
  <c r="D422"/>
  <c r="D420"/>
  <c r="G420" s="1"/>
  <c r="D414"/>
  <c r="D413"/>
  <c r="G413" s="1"/>
  <c r="D407"/>
  <c r="D391"/>
  <c r="D388"/>
  <c r="G388" s="1"/>
  <c r="G385"/>
  <c r="D379"/>
  <c r="G379" s="1"/>
  <c r="D378"/>
  <c r="G378" s="1"/>
  <c r="D371"/>
  <c r="G371" s="1"/>
  <c r="D357"/>
  <c r="G357" s="1"/>
  <c r="D354"/>
  <c r="G354" s="1"/>
  <c r="D351"/>
  <c r="G351" s="1"/>
  <c r="D350"/>
  <c r="G350" s="1"/>
  <c r="D344"/>
  <c r="G344" s="1"/>
  <c r="D343"/>
  <c r="G343" s="1"/>
  <c r="D326"/>
  <c r="G326" s="1"/>
  <c r="D318"/>
  <c r="G318" s="1"/>
  <c r="D315"/>
  <c r="G315" s="1"/>
  <c r="D303"/>
  <c r="G303" s="1"/>
  <c r="D298"/>
  <c r="G298" s="1"/>
  <c r="D295"/>
  <c r="G295" s="1"/>
  <c r="D289"/>
  <c r="G289" s="1"/>
  <c r="D286"/>
  <c r="G286" s="1"/>
  <c r="D283"/>
  <c r="D280"/>
  <c r="G280" s="1"/>
  <c r="D276"/>
  <c r="G276" s="1"/>
  <c r="D271"/>
  <c r="G271" s="1"/>
  <c r="D266"/>
  <c r="G266" s="1"/>
  <c r="D258"/>
  <c r="G258" s="1"/>
  <c r="D252"/>
  <c r="G252" s="1"/>
  <c r="D248"/>
  <c r="G248" s="1"/>
  <c r="D242"/>
  <c r="G242" s="1"/>
  <c r="D233"/>
  <c r="G233" s="1"/>
  <c r="D230"/>
  <c r="G230" s="1"/>
  <c r="D227"/>
  <c r="G227" s="1"/>
  <c r="D226"/>
  <c r="G226" s="1"/>
  <c r="D220"/>
  <c r="G220" s="1"/>
  <c r="D217"/>
  <c r="G217" s="1"/>
  <c r="D214"/>
  <c r="G214" s="1"/>
  <c r="D205"/>
  <c r="G205" s="1"/>
  <c r="D204"/>
  <c r="G204" s="1"/>
  <c r="D198"/>
  <c r="G198" s="1"/>
  <c r="D195"/>
  <c r="D190"/>
  <c r="G190" s="1"/>
  <c r="D183"/>
  <c r="G183" s="1"/>
  <c r="D180"/>
  <c r="G180" s="1"/>
  <c r="L180" s="1"/>
  <c r="D177"/>
  <c r="G177" s="1"/>
  <c r="D171"/>
  <c r="G171" s="1"/>
  <c r="D168"/>
  <c r="G168" s="1"/>
  <c r="D145"/>
  <c r="D142"/>
  <c r="D139"/>
  <c r="D134"/>
  <c r="G134" s="1"/>
  <c r="D131"/>
  <c r="D122"/>
  <c r="G122" s="1"/>
  <c r="D119"/>
  <c r="D116"/>
  <c r="D108"/>
  <c r="D105"/>
  <c r="D102"/>
  <c r="D96"/>
  <c r="G96" s="1"/>
  <c r="D93"/>
  <c r="D90"/>
  <c r="G90" s="1"/>
  <c r="D82"/>
  <c r="D79"/>
  <c r="D76"/>
  <c r="D68"/>
  <c r="G68" s="1"/>
  <c r="D65"/>
  <c r="D62"/>
  <c r="D56"/>
  <c r="D53"/>
  <c r="D48"/>
  <c r="D40"/>
  <c r="D35"/>
  <c r="D27"/>
  <c r="D18"/>
  <c r="D16"/>
  <c r="G503"/>
  <c r="G502"/>
  <c r="F501"/>
  <c r="G500"/>
  <c r="F499"/>
  <c r="F498"/>
  <c r="G497"/>
  <c r="G496"/>
  <c r="F496"/>
  <c r="G495"/>
  <c r="F495"/>
  <c r="E495"/>
  <c r="G494"/>
  <c r="G493"/>
  <c r="L493" s="1"/>
  <c r="G492"/>
  <c r="F491"/>
  <c r="F490"/>
  <c r="G489"/>
  <c r="G488"/>
  <c r="F488"/>
  <c r="F487"/>
  <c r="G486"/>
  <c r="G485"/>
  <c r="F485"/>
  <c r="F484"/>
  <c r="E484"/>
  <c r="G484" s="1"/>
  <c r="L484" s="1"/>
  <c r="G483"/>
  <c r="G482"/>
  <c r="F482"/>
  <c r="E481"/>
  <c r="G481" s="1"/>
  <c r="L481" s="1"/>
  <c r="G480"/>
  <c r="G479"/>
  <c r="F479"/>
  <c r="F478"/>
  <c r="G477"/>
  <c r="G476"/>
  <c r="F476"/>
  <c r="F475"/>
  <c r="G474"/>
  <c r="G473"/>
  <c r="G472"/>
  <c r="G471"/>
  <c r="G463"/>
  <c r="F463"/>
  <c r="G462"/>
  <c r="F462"/>
  <c r="G461"/>
  <c r="F461"/>
  <c r="E461"/>
  <c r="S460"/>
  <c r="G460"/>
  <c r="F460"/>
  <c r="C460"/>
  <c r="Q460" s="1"/>
  <c r="T460" s="1"/>
  <c r="F459"/>
  <c r="E459"/>
  <c r="G459" s="1"/>
  <c r="S458"/>
  <c r="G458"/>
  <c r="Q458" s="1"/>
  <c r="F458"/>
  <c r="G457"/>
  <c r="F457"/>
  <c r="F456"/>
  <c r="G455"/>
  <c r="F454"/>
  <c r="F453"/>
  <c r="G453" s="1"/>
  <c r="Q453" s="1"/>
  <c r="G452"/>
  <c r="G451"/>
  <c r="C451"/>
  <c r="G450"/>
  <c r="F450"/>
  <c r="G449"/>
  <c r="F449"/>
  <c r="F448"/>
  <c r="F446"/>
  <c r="G446" s="1"/>
  <c r="G445"/>
  <c r="G444"/>
  <c r="S443"/>
  <c r="G443"/>
  <c r="Q443" s="1"/>
  <c r="F443"/>
  <c r="G442"/>
  <c r="F442"/>
  <c r="G441"/>
  <c r="F441"/>
  <c r="G440"/>
  <c r="F439"/>
  <c r="G439" s="1"/>
  <c r="G438"/>
  <c r="Q438" s="1"/>
  <c r="F438"/>
  <c r="G437"/>
  <c r="L436" s="1"/>
  <c r="G436"/>
  <c r="Q436" s="1"/>
  <c r="T443" s="1"/>
  <c r="G434"/>
  <c r="F434"/>
  <c r="G433"/>
  <c r="F433"/>
  <c r="F432"/>
  <c r="G431"/>
  <c r="Q431" s="1"/>
  <c r="F431"/>
  <c r="G430"/>
  <c r="F430"/>
  <c r="F429"/>
  <c r="F428"/>
  <c r="G427"/>
  <c r="Q427" s="1"/>
  <c r="F427"/>
  <c r="G426"/>
  <c r="G425"/>
  <c r="Q425"/>
  <c r="S424"/>
  <c r="G424"/>
  <c r="Q424" s="1"/>
  <c r="F424"/>
  <c r="F423"/>
  <c r="F422"/>
  <c r="G421"/>
  <c r="F420"/>
  <c r="G419"/>
  <c r="Q419" s="1"/>
  <c r="F419"/>
  <c r="G418"/>
  <c r="G417"/>
  <c r="Q417" s="1"/>
  <c r="T424" s="1"/>
  <c r="G416"/>
  <c r="F416"/>
  <c r="G415"/>
  <c r="F415"/>
  <c r="F414"/>
  <c r="F413"/>
  <c r="G412"/>
  <c r="F412"/>
  <c r="G411"/>
  <c r="G410"/>
  <c r="G409"/>
  <c r="F409"/>
  <c r="G408"/>
  <c r="F408"/>
  <c r="F407"/>
  <c r="G406"/>
  <c r="F406"/>
  <c r="G405"/>
  <c r="F405"/>
  <c r="F404"/>
  <c r="E404"/>
  <c r="G404" s="1"/>
  <c r="L404" s="1"/>
  <c r="G403"/>
  <c r="F403"/>
  <c r="G402"/>
  <c r="F402"/>
  <c r="F401"/>
  <c r="E401"/>
  <c r="G401" s="1"/>
  <c r="L401" s="1"/>
  <c r="G400"/>
  <c r="G399"/>
  <c r="F399"/>
  <c r="G398"/>
  <c r="F398"/>
  <c r="G397"/>
  <c r="L397" s="1"/>
  <c r="F397"/>
  <c r="E397"/>
  <c r="G396"/>
  <c r="F396"/>
  <c r="G395"/>
  <c r="F395"/>
  <c r="G394"/>
  <c r="L394" s="1"/>
  <c r="F394"/>
  <c r="E394"/>
  <c r="G393"/>
  <c r="F393"/>
  <c r="F392"/>
  <c r="F391"/>
  <c r="G390"/>
  <c r="F390"/>
  <c r="G389"/>
  <c r="F389"/>
  <c r="F388"/>
  <c r="G387"/>
  <c r="F387"/>
  <c r="G386"/>
  <c r="F386"/>
  <c r="E385"/>
  <c r="F385" s="1"/>
  <c r="G384"/>
  <c r="F384"/>
  <c r="G383"/>
  <c r="F383"/>
  <c r="F382"/>
  <c r="E382"/>
  <c r="G382" s="1"/>
  <c r="G381"/>
  <c r="F381"/>
  <c r="G380"/>
  <c r="F380"/>
  <c r="F379"/>
  <c r="F378"/>
  <c r="G377"/>
  <c r="F377"/>
  <c r="G376"/>
  <c r="G375"/>
  <c r="G373"/>
  <c r="F373"/>
  <c r="G372"/>
  <c r="F372"/>
  <c r="F371"/>
  <c r="G367"/>
  <c r="F367"/>
  <c r="G366"/>
  <c r="F366"/>
  <c r="G365"/>
  <c r="L365" s="1"/>
  <c r="F365"/>
  <c r="E365"/>
  <c r="G364"/>
  <c r="F364"/>
  <c r="G363"/>
  <c r="F363"/>
  <c r="F362"/>
  <c r="E362"/>
  <c r="G362" s="1"/>
  <c r="G361"/>
  <c r="G360"/>
  <c r="G359"/>
  <c r="F359"/>
  <c r="G358"/>
  <c r="F358"/>
  <c r="F357"/>
  <c r="G356"/>
  <c r="F356"/>
  <c r="G355"/>
  <c r="F355"/>
  <c r="F354"/>
  <c r="S353"/>
  <c r="F353"/>
  <c r="G353"/>
  <c r="Q353" s="1"/>
  <c r="G352"/>
  <c r="F352"/>
  <c r="F351"/>
  <c r="F350"/>
  <c r="G349"/>
  <c r="Q349" s="1"/>
  <c r="F349"/>
  <c r="G348"/>
  <c r="G347"/>
  <c r="Q347" s="1"/>
  <c r="T353" s="1"/>
  <c r="S346"/>
  <c r="G346"/>
  <c r="Q346" s="1"/>
  <c r="F346"/>
  <c r="G345"/>
  <c r="F345"/>
  <c r="F344"/>
  <c r="F343"/>
  <c r="G342"/>
  <c r="Q342" s="1"/>
  <c r="F342"/>
  <c r="G341"/>
  <c r="G340"/>
  <c r="Q340" s="1"/>
  <c r="T346" s="1"/>
  <c r="G339"/>
  <c r="Q339" s="1"/>
  <c r="F339"/>
  <c r="G338"/>
  <c r="F338"/>
  <c r="G337"/>
  <c r="F337"/>
  <c r="G335"/>
  <c r="G334"/>
  <c r="Q334" s="1"/>
  <c r="G333"/>
  <c r="G332"/>
  <c r="L332" s="1"/>
  <c r="G331"/>
  <c r="F331"/>
  <c r="G330"/>
  <c r="F330"/>
  <c r="F329"/>
  <c r="G328"/>
  <c r="F328"/>
  <c r="G327"/>
  <c r="F327"/>
  <c r="G320"/>
  <c r="G319"/>
  <c r="G317"/>
  <c r="G316"/>
  <c r="G314"/>
  <c r="G313"/>
  <c r="G312"/>
  <c r="G311"/>
  <c r="G310"/>
  <c r="G309"/>
  <c r="G308"/>
  <c r="L306" s="1"/>
  <c r="Q306" s="1"/>
  <c r="G307"/>
  <c r="E307"/>
  <c r="G305"/>
  <c r="G304"/>
  <c r="G302"/>
  <c r="G301"/>
  <c r="G300"/>
  <c r="G299"/>
  <c r="G297"/>
  <c r="G296"/>
  <c r="G294"/>
  <c r="G293"/>
  <c r="G292"/>
  <c r="E292"/>
  <c r="G291"/>
  <c r="G290"/>
  <c r="G288"/>
  <c r="G287"/>
  <c r="G285"/>
  <c r="G284"/>
  <c r="G283"/>
  <c r="G282"/>
  <c r="G281"/>
  <c r="G278"/>
  <c r="G277"/>
  <c r="G275"/>
  <c r="G274"/>
  <c r="G273"/>
  <c r="G272"/>
  <c r="G270"/>
  <c r="G269"/>
  <c r="G268"/>
  <c r="G267"/>
  <c r="G265"/>
  <c r="G264"/>
  <c r="G263"/>
  <c r="G262"/>
  <c r="E261"/>
  <c r="G261"/>
  <c r="G260"/>
  <c r="G259"/>
  <c r="G257"/>
  <c r="G256"/>
  <c r="L255" s="1"/>
  <c r="G255"/>
  <c r="E255"/>
  <c r="S254"/>
  <c r="Q254"/>
  <c r="G254"/>
  <c r="F254"/>
  <c r="G253"/>
  <c r="F253"/>
  <c r="F252"/>
  <c r="G251"/>
  <c r="F248"/>
  <c r="G247"/>
  <c r="Q247" s="1"/>
  <c r="F247"/>
  <c r="G246"/>
  <c r="G245"/>
  <c r="Q245" s="1"/>
  <c r="T254" s="1"/>
  <c r="G244"/>
  <c r="G243"/>
  <c r="G241"/>
  <c r="G239"/>
  <c r="G238"/>
  <c r="G237"/>
  <c r="E236"/>
  <c r="G236" s="1"/>
  <c r="G235"/>
  <c r="G234"/>
  <c r="G232"/>
  <c r="G231"/>
  <c r="G229"/>
  <c r="G228"/>
  <c r="F226"/>
  <c r="G225"/>
  <c r="F225"/>
  <c r="G224"/>
  <c r="G223"/>
  <c r="G222"/>
  <c r="G221"/>
  <c r="G219"/>
  <c r="G218"/>
  <c r="G216"/>
  <c r="G215"/>
  <c r="G213"/>
  <c r="G212"/>
  <c r="G211"/>
  <c r="E211"/>
  <c r="G210"/>
  <c r="G209"/>
  <c r="E208"/>
  <c r="G208" s="1"/>
  <c r="L208" s="1"/>
  <c r="G207"/>
  <c r="G206"/>
  <c r="F204"/>
  <c r="G203"/>
  <c r="F203"/>
  <c r="G202"/>
  <c r="G201"/>
  <c r="G200"/>
  <c r="G199"/>
  <c r="G197"/>
  <c r="G196"/>
  <c r="G195"/>
  <c r="G194"/>
  <c r="G193"/>
  <c r="G192"/>
  <c r="G191"/>
  <c r="G189"/>
  <c r="G188"/>
  <c r="G187"/>
  <c r="G186"/>
  <c r="G185"/>
  <c r="G184"/>
  <c r="G182"/>
  <c r="G181"/>
  <c r="G179"/>
  <c r="G178"/>
  <c r="G176"/>
  <c r="G175"/>
  <c r="G174"/>
  <c r="L174" s="1"/>
  <c r="E174"/>
  <c r="G173"/>
  <c r="G172"/>
  <c r="G170"/>
  <c r="G169"/>
  <c r="G167"/>
  <c r="G166"/>
  <c r="S165"/>
  <c r="F165"/>
  <c r="G165"/>
  <c r="Q165" s="1"/>
  <c r="F164"/>
  <c r="G163"/>
  <c r="G162"/>
  <c r="G161"/>
  <c r="Q160"/>
  <c r="T165" s="1"/>
  <c r="G160"/>
  <c r="G155"/>
  <c r="L153" s="1"/>
  <c r="F155"/>
  <c r="G154"/>
  <c r="F154"/>
  <c r="G153"/>
  <c r="F153"/>
  <c r="E153"/>
  <c r="G152"/>
  <c r="F152"/>
  <c r="G151"/>
  <c r="F151"/>
  <c r="G150"/>
  <c r="F150"/>
  <c r="E150"/>
  <c r="F149"/>
  <c r="E149"/>
  <c r="G149" s="1"/>
  <c r="J148"/>
  <c r="G148"/>
  <c r="G147"/>
  <c r="F147"/>
  <c r="G146"/>
  <c r="F146"/>
  <c r="F145"/>
  <c r="G145"/>
  <c r="G144"/>
  <c r="F144"/>
  <c r="G143"/>
  <c r="F143"/>
  <c r="F142"/>
  <c r="G141"/>
  <c r="F141"/>
  <c r="G140"/>
  <c r="F140"/>
  <c r="F139"/>
  <c r="G138"/>
  <c r="H137"/>
  <c r="J137" s="1"/>
  <c r="G137"/>
  <c r="G136"/>
  <c r="F136"/>
  <c r="G135"/>
  <c r="F135"/>
  <c r="F134"/>
  <c r="G133"/>
  <c r="F133"/>
  <c r="G132"/>
  <c r="F132"/>
  <c r="F131"/>
  <c r="G130"/>
  <c r="F130"/>
  <c r="G129"/>
  <c r="F129"/>
  <c r="F128"/>
  <c r="E128"/>
  <c r="G128" s="1"/>
  <c r="G127"/>
  <c r="F127"/>
  <c r="G126"/>
  <c r="F126"/>
  <c r="F125"/>
  <c r="G124"/>
  <c r="F124"/>
  <c r="G123"/>
  <c r="F123"/>
  <c r="F122"/>
  <c r="G121"/>
  <c r="F121"/>
  <c r="G120"/>
  <c r="F120"/>
  <c r="F119"/>
  <c r="G118"/>
  <c r="F118"/>
  <c r="G117"/>
  <c r="F117"/>
  <c r="F116"/>
  <c r="G115"/>
  <c r="H114"/>
  <c r="J114" s="1"/>
  <c r="G114"/>
  <c r="G113"/>
  <c r="F113"/>
  <c r="G112"/>
  <c r="F112"/>
  <c r="F111"/>
  <c r="E111"/>
  <c r="G111" s="1"/>
  <c r="L111" s="1"/>
  <c r="G110"/>
  <c r="F110"/>
  <c r="G109"/>
  <c r="F109"/>
  <c r="F108"/>
  <c r="G107"/>
  <c r="F107"/>
  <c r="G106"/>
  <c r="F106"/>
  <c r="G105"/>
  <c r="F105"/>
  <c r="G104"/>
  <c r="F104"/>
  <c r="G103"/>
  <c r="F103"/>
  <c r="F102"/>
  <c r="G101"/>
  <c r="F101"/>
  <c r="G100"/>
  <c r="F100"/>
  <c r="E99"/>
  <c r="F99" s="1"/>
  <c r="G98"/>
  <c r="F98"/>
  <c r="G97"/>
  <c r="F97"/>
  <c r="F96"/>
  <c r="G95"/>
  <c r="F95"/>
  <c r="G94"/>
  <c r="F94"/>
  <c r="F93"/>
  <c r="S92"/>
  <c r="F92"/>
  <c r="G92" s="1"/>
  <c r="Q92" s="1"/>
  <c r="G91"/>
  <c r="F91"/>
  <c r="F90"/>
  <c r="G89"/>
  <c r="G88"/>
  <c r="F88"/>
  <c r="G87"/>
  <c r="Q87" s="1"/>
  <c r="F87"/>
  <c r="G86"/>
  <c r="J85"/>
  <c r="H85"/>
  <c r="G85"/>
  <c r="G84"/>
  <c r="F84"/>
  <c r="G83"/>
  <c r="F83"/>
  <c r="G82"/>
  <c r="F82"/>
  <c r="G81"/>
  <c r="F81"/>
  <c r="G80"/>
  <c r="F80"/>
  <c r="F79"/>
  <c r="F78"/>
  <c r="G78" s="1"/>
  <c r="G77"/>
  <c r="F77"/>
  <c r="F76"/>
  <c r="G75"/>
  <c r="G74"/>
  <c r="F73"/>
  <c r="G73" s="1"/>
  <c r="G72"/>
  <c r="H71"/>
  <c r="J71" s="1"/>
  <c r="G71"/>
  <c r="G70"/>
  <c r="F70"/>
  <c r="G69"/>
  <c r="F69"/>
  <c r="F68"/>
  <c r="G67"/>
  <c r="F67"/>
  <c r="G66"/>
  <c r="F66"/>
  <c r="G65"/>
  <c r="F65"/>
  <c r="G64"/>
  <c r="F64"/>
  <c r="G63"/>
  <c r="F63"/>
  <c r="F62"/>
  <c r="G61"/>
  <c r="F61"/>
  <c r="G60"/>
  <c r="F60"/>
  <c r="E59"/>
  <c r="F59" s="1"/>
  <c r="G58"/>
  <c r="F58"/>
  <c r="G57"/>
  <c r="F57"/>
  <c r="F56"/>
  <c r="G55"/>
  <c r="F55"/>
  <c r="G54"/>
  <c r="F54"/>
  <c r="F53"/>
  <c r="G52"/>
  <c r="J51"/>
  <c r="H51"/>
  <c r="G51"/>
  <c r="G50"/>
  <c r="F50"/>
  <c r="G49"/>
  <c r="F49"/>
  <c r="F48"/>
  <c r="G47"/>
  <c r="F47"/>
  <c r="F46"/>
  <c r="G45"/>
  <c r="F45"/>
  <c r="G44"/>
  <c r="G43"/>
  <c r="G42"/>
  <c r="F42"/>
  <c r="G41"/>
  <c r="F41"/>
  <c r="F40"/>
  <c r="G39"/>
  <c r="H38"/>
  <c r="J38" s="1"/>
  <c r="G38"/>
  <c r="F37"/>
  <c r="G37" s="1"/>
  <c r="G36"/>
  <c r="F36"/>
  <c r="F35"/>
  <c r="G34"/>
  <c r="J33"/>
  <c r="H33"/>
  <c r="G33"/>
  <c r="G29"/>
  <c r="G28"/>
  <c r="F28"/>
  <c r="G27"/>
  <c r="F27"/>
  <c r="G25"/>
  <c r="F25"/>
  <c r="F24"/>
  <c r="G24" s="1"/>
  <c r="S23"/>
  <c r="G23"/>
  <c r="Q23" s="1"/>
  <c r="F23"/>
  <c r="J22"/>
  <c r="G22"/>
  <c r="Q22" s="1"/>
  <c r="J21"/>
  <c r="G21"/>
  <c r="T20"/>
  <c r="S20"/>
  <c r="F20"/>
  <c r="G20" s="1"/>
  <c r="F19"/>
  <c r="G19" s="1"/>
  <c r="F18"/>
  <c r="G17"/>
  <c r="F16"/>
  <c r="G16"/>
  <c r="F15"/>
  <c r="G15" s="1"/>
  <c r="G14"/>
  <c r="G13"/>
  <c r="G12"/>
  <c r="F12"/>
  <c r="G11"/>
  <c r="F11"/>
  <c r="G10"/>
  <c r="L9" s="1"/>
  <c r="U9" s="1"/>
  <c r="E10"/>
  <c r="S8"/>
  <c r="G8"/>
  <c r="Q8" s="1"/>
  <c r="T8" s="1"/>
  <c r="F8"/>
  <c r="G7"/>
  <c r="L4" s="1"/>
  <c r="U4" s="1"/>
  <c r="F7"/>
  <c r="G6"/>
  <c r="F6"/>
  <c r="G5"/>
  <c r="G4"/>
  <c r="G164" i="29"/>
  <c r="J43"/>
  <c r="H43"/>
  <c r="G7"/>
  <c r="G216"/>
  <c r="G215"/>
  <c r="G214"/>
  <c r="L131" i="30" l="1"/>
  <c r="L96"/>
  <c r="G478"/>
  <c r="L478" s="1"/>
  <c r="L283"/>
  <c r="M283" s="1"/>
  <c r="L471"/>
  <c r="L318"/>
  <c r="L315"/>
  <c r="L298"/>
  <c r="L289"/>
  <c r="L286"/>
  <c r="L279"/>
  <c r="L274"/>
  <c r="L242"/>
  <c r="L177"/>
  <c r="L171"/>
  <c r="L501"/>
  <c r="L407"/>
  <c r="L388"/>
  <c r="L354"/>
  <c r="L347"/>
  <c r="U347" s="1"/>
  <c r="L145"/>
  <c r="L142"/>
  <c r="L119"/>
  <c r="L105"/>
  <c r="L102"/>
  <c r="L65"/>
  <c r="L62"/>
  <c r="L56"/>
  <c r="L27"/>
  <c r="L451"/>
  <c r="L444"/>
  <c r="G428"/>
  <c r="L425" s="1"/>
  <c r="L417"/>
  <c r="L410"/>
  <c r="L258"/>
  <c r="L214"/>
  <c r="L487"/>
  <c r="L498"/>
  <c r="L490"/>
  <c r="L326"/>
  <c r="L360"/>
  <c r="L375"/>
  <c r="U375" s="1"/>
  <c r="L385"/>
  <c r="L432"/>
  <c r="Q451"/>
  <c r="L371"/>
  <c r="L391"/>
  <c r="L357"/>
  <c r="L382"/>
  <c r="L183"/>
  <c r="L193"/>
  <c r="L217"/>
  <c r="L223"/>
  <c r="L310"/>
  <c r="L220"/>
  <c r="L233"/>
  <c r="L292"/>
  <c r="L198"/>
  <c r="L211"/>
  <c r="L230"/>
  <c r="L236"/>
  <c r="L239"/>
  <c r="L261"/>
  <c r="L295"/>
  <c r="L301"/>
  <c r="L43"/>
  <c r="L48"/>
  <c r="L68"/>
  <c r="L79"/>
  <c r="L93"/>
  <c r="L108"/>
  <c r="L122"/>
  <c r="L128"/>
  <c r="L134"/>
  <c r="L137"/>
  <c r="L82"/>
  <c r="L125"/>
  <c r="L21"/>
  <c r="U21" s="1"/>
  <c r="V7"/>
  <c r="L24"/>
  <c r="T458"/>
  <c r="L166"/>
  <c r="L269"/>
  <c r="L33"/>
  <c r="L51"/>
  <c r="L38"/>
  <c r="L71"/>
  <c r="L85"/>
  <c r="U85" s="1"/>
  <c r="L114"/>
  <c r="L201"/>
  <c r="L160"/>
  <c r="U160" s="1"/>
  <c r="G18"/>
  <c r="L13" s="1"/>
  <c r="U13" s="1"/>
  <c r="L148"/>
  <c r="L188"/>
  <c r="L264"/>
  <c r="L245"/>
  <c r="L340"/>
  <c r="U340" s="1"/>
  <c r="Q21"/>
  <c r="T23" s="1"/>
  <c r="G59"/>
  <c r="L59" s="1"/>
  <c r="Q85"/>
  <c r="T92" s="1"/>
  <c r="G99"/>
  <c r="L99" s="1"/>
  <c r="G329"/>
  <c r="L329" s="1"/>
  <c r="Q332"/>
  <c r="R6"/>
  <c r="L460"/>
  <c r="F481"/>
  <c r="L214" i="29"/>
  <c r="D305"/>
  <c r="D304"/>
  <c r="M284" i="30" l="1"/>
  <c r="D278" i="29"/>
  <c r="D277"/>
  <c r="D273" l="1"/>
  <c r="D272"/>
  <c r="G260" l="1"/>
  <c r="G259"/>
  <c r="G258"/>
  <c r="L258" l="1"/>
  <c r="E261"/>
  <c r="D261"/>
  <c r="G261" s="1"/>
  <c r="D165" l="1"/>
  <c r="D164"/>
  <c r="D447" l="1"/>
  <c r="G447" s="1"/>
  <c r="D446"/>
  <c r="G446" s="1"/>
  <c r="F447"/>
  <c r="F446"/>
  <c r="E445"/>
  <c r="F445" s="1"/>
  <c r="G445"/>
  <c r="G443"/>
  <c r="F443"/>
  <c r="G442"/>
  <c r="G441"/>
  <c r="G444" l="1"/>
  <c r="L441" s="1"/>
  <c r="F375" l="1"/>
  <c r="G375" s="1"/>
  <c r="G374"/>
  <c r="F374"/>
  <c r="G373"/>
  <c r="G372"/>
  <c r="D353"/>
  <c r="D352"/>
  <c r="D47" l="1"/>
  <c r="D46"/>
  <c r="D38" l="1"/>
  <c r="D20" l="1"/>
  <c r="D19"/>
  <c r="D8" l="1"/>
  <c r="D7"/>
  <c r="E318" l="1"/>
  <c r="E315"/>
  <c r="E303"/>
  <c r="E298"/>
  <c r="E295"/>
  <c r="E289"/>
  <c r="E286"/>
  <c r="E283"/>
  <c r="E280"/>
  <c r="E276"/>
  <c r="E271"/>
  <c r="E266"/>
  <c r="E252"/>
  <c r="F252" s="1"/>
  <c r="E248"/>
  <c r="E242"/>
  <c r="E233"/>
  <c r="E230"/>
  <c r="E227"/>
  <c r="E226"/>
  <c r="E220"/>
  <c r="E217"/>
  <c r="E205"/>
  <c r="E204"/>
  <c r="E198"/>
  <c r="E195"/>
  <c r="E190"/>
  <c r="E183"/>
  <c r="E180"/>
  <c r="E177"/>
  <c r="E171"/>
  <c r="E168"/>
  <c r="E498"/>
  <c r="F498" s="1"/>
  <c r="E495"/>
  <c r="F495" s="1"/>
  <c r="E487"/>
  <c r="F487" s="1"/>
  <c r="E484"/>
  <c r="F484" s="1"/>
  <c r="E475"/>
  <c r="F475" s="1"/>
  <c r="E472"/>
  <c r="F472" s="1"/>
  <c r="E453"/>
  <c r="F453" s="1"/>
  <c r="E451"/>
  <c r="E429"/>
  <c r="E426"/>
  <c r="F426" s="1"/>
  <c r="E425"/>
  <c r="E419"/>
  <c r="F419" s="1"/>
  <c r="E417"/>
  <c r="E411"/>
  <c r="F411" s="1"/>
  <c r="E410"/>
  <c r="E404"/>
  <c r="F404" s="1"/>
  <c r="E368"/>
  <c r="F368" s="1"/>
  <c r="E388"/>
  <c r="F388" s="1"/>
  <c r="E385"/>
  <c r="F385" s="1"/>
  <c r="E382"/>
  <c r="F382" s="1"/>
  <c r="E354"/>
  <c r="F354" s="1"/>
  <c r="E376"/>
  <c r="F376" s="1"/>
  <c r="E357"/>
  <c r="F357" s="1"/>
  <c r="E351"/>
  <c r="F351" s="1"/>
  <c r="E350"/>
  <c r="E344"/>
  <c r="F344" s="1"/>
  <c r="E343"/>
  <c r="E329"/>
  <c r="F329" s="1"/>
  <c r="E326"/>
  <c r="E145"/>
  <c r="F145" s="1"/>
  <c r="E142"/>
  <c r="F142" s="1"/>
  <c r="E139"/>
  <c r="E134"/>
  <c r="F134" s="1"/>
  <c r="E131"/>
  <c r="F131" s="1"/>
  <c r="E125"/>
  <c r="F125" s="1"/>
  <c r="E122"/>
  <c r="F122" s="1"/>
  <c r="E119"/>
  <c r="F119" s="1"/>
  <c r="E116"/>
  <c r="E108"/>
  <c r="E105"/>
  <c r="E102"/>
  <c r="F102" s="1"/>
  <c r="E96"/>
  <c r="F96" s="1"/>
  <c r="E93"/>
  <c r="F93" s="1"/>
  <c r="E90"/>
  <c r="E82"/>
  <c r="F82" s="1"/>
  <c r="E79"/>
  <c r="F79" s="1"/>
  <c r="E76"/>
  <c r="E68"/>
  <c r="F68" s="1"/>
  <c r="E65"/>
  <c r="E62"/>
  <c r="F62" s="1"/>
  <c r="E56"/>
  <c r="F56" s="1"/>
  <c r="E53"/>
  <c r="F53" s="1"/>
  <c r="E48"/>
  <c r="E40"/>
  <c r="F40" s="1"/>
  <c r="E35"/>
  <c r="F35" s="1"/>
  <c r="E27"/>
  <c r="F27" s="1"/>
  <c r="E18"/>
  <c r="F18" s="1"/>
  <c r="E16"/>
  <c r="H33"/>
  <c r="H38"/>
  <c r="H51"/>
  <c r="J51" s="1"/>
  <c r="H71"/>
  <c r="J71" s="1"/>
  <c r="H85"/>
  <c r="J85" s="1"/>
  <c r="H114"/>
  <c r="H137"/>
  <c r="D498"/>
  <c r="G498" s="1"/>
  <c r="D495"/>
  <c r="D487"/>
  <c r="D484"/>
  <c r="D475"/>
  <c r="G475" s="1"/>
  <c r="D472"/>
  <c r="D453"/>
  <c r="G453" s="1"/>
  <c r="D451"/>
  <c r="D429"/>
  <c r="D426"/>
  <c r="G426" s="1"/>
  <c r="D419"/>
  <c r="G419" s="1"/>
  <c r="D417"/>
  <c r="D411"/>
  <c r="G411" s="1"/>
  <c r="D410"/>
  <c r="D404"/>
  <c r="D368"/>
  <c r="G368" s="1"/>
  <c r="D388"/>
  <c r="D385"/>
  <c r="D382"/>
  <c r="G382" s="1"/>
  <c r="D354"/>
  <c r="G354" s="1"/>
  <c r="D376"/>
  <c r="D357"/>
  <c r="G357" s="1"/>
  <c r="D351"/>
  <c r="G351" s="1"/>
  <c r="D350"/>
  <c r="D344"/>
  <c r="D343"/>
  <c r="D326"/>
  <c r="G326" s="1"/>
  <c r="D318"/>
  <c r="G318" s="1"/>
  <c r="D315"/>
  <c r="D303"/>
  <c r="G303" s="1"/>
  <c r="D298"/>
  <c r="G298" s="1"/>
  <c r="D295"/>
  <c r="G295" s="1"/>
  <c r="D289"/>
  <c r="G289" s="1"/>
  <c r="D286"/>
  <c r="D283"/>
  <c r="D280"/>
  <c r="G280" s="1"/>
  <c r="D276"/>
  <c r="D271"/>
  <c r="G271" s="1"/>
  <c r="D266"/>
  <c r="D252"/>
  <c r="G252" s="1"/>
  <c r="D248"/>
  <c r="D242"/>
  <c r="D233"/>
  <c r="D230"/>
  <c r="G230" s="1"/>
  <c r="D227"/>
  <c r="G227" s="1"/>
  <c r="D226"/>
  <c r="D220"/>
  <c r="G220" s="1"/>
  <c r="D217"/>
  <c r="D205"/>
  <c r="G205" s="1"/>
  <c r="D204"/>
  <c r="D198"/>
  <c r="D195"/>
  <c r="G195" s="1"/>
  <c r="D190"/>
  <c r="D183"/>
  <c r="G183" s="1"/>
  <c r="D180"/>
  <c r="D177"/>
  <c r="D171"/>
  <c r="D168"/>
  <c r="G168" s="1"/>
  <c r="D145"/>
  <c r="D142"/>
  <c r="D139"/>
  <c r="D134"/>
  <c r="G134" s="1"/>
  <c r="D131"/>
  <c r="D125"/>
  <c r="D122"/>
  <c r="D119"/>
  <c r="D116"/>
  <c r="D108"/>
  <c r="D105"/>
  <c r="D102"/>
  <c r="G102" s="1"/>
  <c r="D96"/>
  <c r="D93"/>
  <c r="D90"/>
  <c r="D82"/>
  <c r="G82" s="1"/>
  <c r="D79"/>
  <c r="D76"/>
  <c r="D68"/>
  <c r="D65"/>
  <c r="D62"/>
  <c r="D56"/>
  <c r="D53"/>
  <c r="D48"/>
  <c r="G48" s="1"/>
  <c r="D40"/>
  <c r="D35"/>
  <c r="D27"/>
  <c r="D18"/>
  <c r="G18" s="1"/>
  <c r="D16"/>
  <c r="G500"/>
  <c r="G499"/>
  <c r="G497"/>
  <c r="G496"/>
  <c r="F496"/>
  <c r="G494"/>
  <c r="G493"/>
  <c r="F493"/>
  <c r="E492"/>
  <c r="G492" s="1"/>
  <c r="G491"/>
  <c r="G490"/>
  <c r="G489"/>
  <c r="G488"/>
  <c r="F488"/>
  <c r="G486"/>
  <c r="G485"/>
  <c r="F485"/>
  <c r="G483"/>
  <c r="G482"/>
  <c r="F482"/>
  <c r="E481"/>
  <c r="G481" s="1"/>
  <c r="G480"/>
  <c r="G479"/>
  <c r="F479"/>
  <c r="E478"/>
  <c r="F478" s="1"/>
  <c r="G477"/>
  <c r="G476"/>
  <c r="F476"/>
  <c r="G474"/>
  <c r="G473"/>
  <c r="F473"/>
  <c r="G471"/>
  <c r="G470"/>
  <c r="G469"/>
  <c r="G468"/>
  <c r="G460"/>
  <c r="F460"/>
  <c r="G459"/>
  <c r="F459"/>
  <c r="E458"/>
  <c r="G458" s="1"/>
  <c r="S457"/>
  <c r="F457"/>
  <c r="G457" s="1"/>
  <c r="C457"/>
  <c r="F456"/>
  <c r="E456"/>
  <c r="S455"/>
  <c r="G455"/>
  <c r="Q455" s="1"/>
  <c r="F455"/>
  <c r="G454"/>
  <c r="F454"/>
  <c r="G452"/>
  <c r="F451"/>
  <c r="F450"/>
  <c r="G450" s="1"/>
  <c r="Q450" s="1"/>
  <c r="G449"/>
  <c r="G448"/>
  <c r="C448"/>
  <c r="S440"/>
  <c r="G440"/>
  <c r="Q440" s="1"/>
  <c r="F440"/>
  <c r="G439"/>
  <c r="F439"/>
  <c r="G438"/>
  <c r="F438"/>
  <c r="G437"/>
  <c r="F436"/>
  <c r="G436" s="1"/>
  <c r="F435"/>
  <c r="G435" s="1"/>
  <c r="Q435" s="1"/>
  <c r="G434"/>
  <c r="G433"/>
  <c r="Q433" s="1"/>
  <c r="G431"/>
  <c r="F431"/>
  <c r="G430"/>
  <c r="F430"/>
  <c r="F429"/>
  <c r="G428"/>
  <c r="Q428" s="1"/>
  <c r="F428"/>
  <c r="G427"/>
  <c r="F427"/>
  <c r="F425"/>
  <c r="F424"/>
  <c r="G424" s="1"/>
  <c r="Q424" s="1"/>
  <c r="G423"/>
  <c r="G422"/>
  <c r="C422"/>
  <c r="S421"/>
  <c r="G421"/>
  <c r="Q421" s="1"/>
  <c r="F421"/>
  <c r="G420"/>
  <c r="F420"/>
  <c r="G418"/>
  <c r="F417"/>
  <c r="F416"/>
  <c r="G416" s="1"/>
  <c r="Q416" s="1"/>
  <c r="G415"/>
  <c r="G414"/>
  <c r="G413"/>
  <c r="F413"/>
  <c r="G412"/>
  <c r="F412"/>
  <c r="F410"/>
  <c r="F409"/>
  <c r="G409" s="1"/>
  <c r="G408"/>
  <c r="G407"/>
  <c r="G406"/>
  <c r="F406"/>
  <c r="G405"/>
  <c r="F405"/>
  <c r="G403"/>
  <c r="F403"/>
  <c r="G402"/>
  <c r="F402"/>
  <c r="E401"/>
  <c r="F401" s="1"/>
  <c r="G370"/>
  <c r="F370"/>
  <c r="G369"/>
  <c r="F369"/>
  <c r="G400"/>
  <c r="F400"/>
  <c r="G399"/>
  <c r="F399"/>
  <c r="E398"/>
  <c r="F398" s="1"/>
  <c r="G397"/>
  <c r="G396"/>
  <c r="F396"/>
  <c r="G395"/>
  <c r="F395"/>
  <c r="E394"/>
  <c r="F394" s="1"/>
  <c r="G393"/>
  <c r="F393"/>
  <c r="G392"/>
  <c r="F392"/>
  <c r="E391"/>
  <c r="F391" s="1"/>
  <c r="G390"/>
  <c r="F390"/>
  <c r="G389"/>
  <c r="F389"/>
  <c r="G387"/>
  <c r="F387"/>
  <c r="G386"/>
  <c r="F386"/>
  <c r="G384"/>
  <c r="F384"/>
  <c r="G383"/>
  <c r="F383"/>
  <c r="G381"/>
  <c r="F381"/>
  <c r="G380"/>
  <c r="F380"/>
  <c r="E379"/>
  <c r="F379" s="1"/>
  <c r="G356"/>
  <c r="F356"/>
  <c r="G355"/>
  <c r="F355"/>
  <c r="G378"/>
  <c r="F378"/>
  <c r="G377"/>
  <c r="F377"/>
  <c r="G367"/>
  <c r="F367"/>
  <c r="G366"/>
  <c r="F366"/>
  <c r="E365"/>
  <c r="F365" s="1"/>
  <c r="G364"/>
  <c r="F364"/>
  <c r="G363"/>
  <c r="F363"/>
  <c r="F362"/>
  <c r="E362"/>
  <c r="G362" s="1"/>
  <c r="G361"/>
  <c r="G360"/>
  <c r="G359"/>
  <c r="F359"/>
  <c r="G358"/>
  <c r="F358"/>
  <c r="S353"/>
  <c r="F353"/>
  <c r="G353"/>
  <c r="Q353" s="1"/>
  <c r="G352"/>
  <c r="F352"/>
  <c r="F350"/>
  <c r="F349"/>
  <c r="G349" s="1"/>
  <c r="Q349" s="1"/>
  <c r="G348"/>
  <c r="G347"/>
  <c r="Q347" s="1"/>
  <c r="T353" s="1"/>
  <c r="S346"/>
  <c r="G346"/>
  <c r="Q346" s="1"/>
  <c r="F346"/>
  <c r="G345"/>
  <c r="F345"/>
  <c r="F343"/>
  <c r="F342"/>
  <c r="G342" s="1"/>
  <c r="Q342" s="1"/>
  <c r="G341"/>
  <c r="G340"/>
  <c r="Q340" s="1"/>
  <c r="T346" s="1"/>
  <c r="G339"/>
  <c r="Q339" s="1"/>
  <c r="F339"/>
  <c r="G338"/>
  <c r="F338"/>
  <c r="G337"/>
  <c r="F337"/>
  <c r="G335"/>
  <c r="G334"/>
  <c r="Q334" s="1"/>
  <c r="G333"/>
  <c r="G332"/>
  <c r="G331"/>
  <c r="F331"/>
  <c r="G330"/>
  <c r="F330"/>
  <c r="G328"/>
  <c r="F328"/>
  <c r="G327"/>
  <c r="F327"/>
  <c r="G320"/>
  <c r="G319"/>
  <c r="G317"/>
  <c r="G316"/>
  <c r="G314"/>
  <c r="G313"/>
  <c r="G312"/>
  <c r="G311"/>
  <c r="G310"/>
  <c r="G309"/>
  <c r="G308"/>
  <c r="E307"/>
  <c r="G307" s="1"/>
  <c r="L306" s="1"/>
  <c r="Q306" s="1"/>
  <c r="G305"/>
  <c r="G304"/>
  <c r="G302"/>
  <c r="G301"/>
  <c r="G300"/>
  <c r="G299"/>
  <c r="G297"/>
  <c r="G296"/>
  <c r="G294"/>
  <c r="G293"/>
  <c r="E292"/>
  <c r="G292" s="1"/>
  <c r="G291"/>
  <c r="G290"/>
  <c r="G288"/>
  <c r="G287"/>
  <c r="G285"/>
  <c r="G284"/>
  <c r="G282"/>
  <c r="G281"/>
  <c r="G278"/>
  <c r="G277"/>
  <c r="G275"/>
  <c r="G274"/>
  <c r="G273"/>
  <c r="G272"/>
  <c r="G270"/>
  <c r="G269"/>
  <c r="G268"/>
  <c r="G267"/>
  <c r="G265"/>
  <c r="G264"/>
  <c r="G263"/>
  <c r="G262"/>
  <c r="G257"/>
  <c r="G256"/>
  <c r="E255"/>
  <c r="G255" s="1"/>
  <c r="S254"/>
  <c r="G254"/>
  <c r="Q254" s="1"/>
  <c r="F254"/>
  <c r="G253"/>
  <c r="F253"/>
  <c r="G251"/>
  <c r="F248"/>
  <c r="G247"/>
  <c r="Q247" s="1"/>
  <c r="F247"/>
  <c r="G246"/>
  <c r="G245"/>
  <c r="Q245" s="1"/>
  <c r="T254" s="1"/>
  <c r="G244"/>
  <c r="G243"/>
  <c r="G241"/>
  <c r="G240"/>
  <c r="G239"/>
  <c r="G238"/>
  <c r="G237"/>
  <c r="E236"/>
  <c r="G236" s="1"/>
  <c r="G235"/>
  <c r="G234"/>
  <c r="G232"/>
  <c r="G231"/>
  <c r="G229"/>
  <c r="G228"/>
  <c r="F226"/>
  <c r="F225"/>
  <c r="G225" s="1"/>
  <c r="G224"/>
  <c r="G223"/>
  <c r="G222"/>
  <c r="G221"/>
  <c r="G219"/>
  <c r="G218"/>
  <c r="G213"/>
  <c r="G212"/>
  <c r="E211"/>
  <c r="G211" s="1"/>
  <c r="G210"/>
  <c r="G209"/>
  <c r="E208"/>
  <c r="G208" s="1"/>
  <c r="G207"/>
  <c r="G206"/>
  <c r="F204"/>
  <c r="F203"/>
  <c r="G203" s="1"/>
  <c r="G202"/>
  <c r="G201"/>
  <c r="G200"/>
  <c r="G199"/>
  <c r="G197"/>
  <c r="G196"/>
  <c r="G194"/>
  <c r="G193"/>
  <c r="G192"/>
  <c r="G191"/>
  <c r="G189"/>
  <c r="G188"/>
  <c r="G187"/>
  <c r="G186"/>
  <c r="G185"/>
  <c r="G184"/>
  <c r="G182"/>
  <c r="G181"/>
  <c r="G180"/>
  <c r="G179"/>
  <c r="G178"/>
  <c r="G176"/>
  <c r="G175"/>
  <c r="E174"/>
  <c r="G174" s="1"/>
  <c r="G173"/>
  <c r="G172"/>
  <c r="G170"/>
  <c r="G169"/>
  <c r="G167"/>
  <c r="G166"/>
  <c r="S165"/>
  <c r="F165"/>
  <c r="G165"/>
  <c r="Q165" s="1"/>
  <c r="F164"/>
  <c r="G163"/>
  <c r="G162"/>
  <c r="G161"/>
  <c r="G160"/>
  <c r="Q160" s="1"/>
  <c r="T165" s="1"/>
  <c r="G155"/>
  <c r="F155"/>
  <c r="G154"/>
  <c r="F154"/>
  <c r="E153"/>
  <c r="F153" s="1"/>
  <c r="G152"/>
  <c r="F152"/>
  <c r="G151"/>
  <c r="F151"/>
  <c r="E150"/>
  <c r="G150" s="1"/>
  <c r="F149"/>
  <c r="E149"/>
  <c r="J148"/>
  <c r="G148"/>
  <c r="G147"/>
  <c r="F147"/>
  <c r="G146"/>
  <c r="F146"/>
  <c r="G144"/>
  <c r="F144"/>
  <c r="G143"/>
  <c r="F143"/>
  <c r="G141"/>
  <c r="F141"/>
  <c r="G140"/>
  <c r="F140"/>
  <c r="G138"/>
  <c r="J137"/>
  <c r="G137"/>
  <c r="G136"/>
  <c r="F136"/>
  <c r="G135"/>
  <c r="F135"/>
  <c r="G133"/>
  <c r="F133"/>
  <c r="G132"/>
  <c r="F132"/>
  <c r="G130"/>
  <c r="F130"/>
  <c r="G129"/>
  <c r="F129"/>
  <c r="F128"/>
  <c r="E128"/>
  <c r="G128" s="1"/>
  <c r="G127"/>
  <c r="F127"/>
  <c r="G126"/>
  <c r="F126"/>
  <c r="G124"/>
  <c r="F124"/>
  <c r="G123"/>
  <c r="F123"/>
  <c r="G121"/>
  <c r="F121"/>
  <c r="G120"/>
  <c r="F120"/>
  <c r="G118"/>
  <c r="F118"/>
  <c r="G117"/>
  <c r="F117"/>
  <c r="F116"/>
  <c r="G115"/>
  <c r="J114"/>
  <c r="G114"/>
  <c r="G113"/>
  <c r="F113"/>
  <c r="G112"/>
  <c r="F112"/>
  <c r="E111"/>
  <c r="F111" s="1"/>
  <c r="G110"/>
  <c r="F110"/>
  <c r="G109"/>
  <c r="F109"/>
  <c r="F108"/>
  <c r="G107"/>
  <c r="F107"/>
  <c r="G106"/>
  <c r="F106"/>
  <c r="F105"/>
  <c r="G104"/>
  <c r="F104"/>
  <c r="G103"/>
  <c r="F103"/>
  <c r="G101"/>
  <c r="F101"/>
  <c r="G100"/>
  <c r="F100"/>
  <c r="E99"/>
  <c r="G99" s="1"/>
  <c r="L99" s="1"/>
  <c r="G98"/>
  <c r="F98"/>
  <c r="G97"/>
  <c r="F97"/>
  <c r="G95"/>
  <c r="F95"/>
  <c r="G94"/>
  <c r="F94"/>
  <c r="G93"/>
  <c r="S92"/>
  <c r="F92"/>
  <c r="G92" s="1"/>
  <c r="Q92" s="1"/>
  <c r="G91"/>
  <c r="F91"/>
  <c r="G89"/>
  <c r="G88"/>
  <c r="F88"/>
  <c r="F87"/>
  <c r="G87" s="1"/>
  <c r="Q87" s="1"/>
  <c r="G86"/>
  <c r="G85"/>
  <c r="G84"/>
  <c r="F84"/>
  <c r="G83"/>
  <c r="F83"/>
  <c r="G81"/>
  <c r="F81"/>
  <c r="G80"/>
  <c r="F80"/>
  <c r="F78"/>
  <c r="G78" s="1"/>
  <c r="G77"/>
  <c r="F77"/>
  <c r="F76"/>
  <c r="G75"/>
  <c r="G74"/>
  <c r="F73"/>
  <c r="G73" s="1"/>
  <c r="G72"/>
  <c r="G71"/>
  <c r="G70"/>
  <c r="F70"/>
  <c r="G69"/>
  <c r="F69"/>
  <c r="G67"/>
  <c r="F67"/>
  <c r="G66"/>
  <c r="F66"/>
  <c r="G64"/>
  <c r="F64"/>
  <c r="G63"/>
  <c r="F63"/>
  <c r="G61"/>
  <c r="F61"/>
  <c r="G60"/>
  <c r="F60"/>
  <c r="E59"/>
  <c r="F59" s="1"/>
  <c r="G58"/>
  <c r="F58"/>
  <c r="G57"/>
  <c r="F57"/>
  <c r="G55"/>
  <c r="F55"/>
  <c r="G54"/>
  <c r="F54"/>
  <c r="G52"/>
  <c r="G51"/>
  <c r="G50"/>
  <c r="F50"/>
  <c r="G49"/>
  <c r="F49"/>
  <c r="F48"/>
  <c r="F47"/>
  <c r="G47"/>
  <c r="F46"/>
  <c r="G46"/>
  <c r="G45"/>
  <c r="F45"/>
  <c r="G44"/>
  <c r="G43"/>
  <c r="G42"/>
  <c r="F42"/>
  <c r="G41"/>
  <c r="F41"/>
  <c r="G39"/>
  <c r="G38"/>
  <c r="F37"/>
  <c r="G37" s="1"/>
  <c r="G36"/>
  <c r="F36"/>
  <c r="G34"/>
  <c r="G33"/>
  <c r="G29"/>
  <c r="G28"/>
  <c r="F28"/>
  <c r="F25"/>
  <c r="G25" s="1"/>
  <c r="F24"/>
  <c r="G24" s="1"/>
  <c r="S23"/>
  <c r="F23"/>
  <c r="G23" s="1"/>
  <c r="Q23" s="1"/>
  <c r="J22"/>
  <c r="G22"/>
  <c r="J21"/>
  <c r="G21"/>
  <c r="T20"/>
  <c r="S20"/>
  <c r="F20"/>
  <c r="G20" s="1"/>
  <c r="F19"/>
  <c r="G19" s="1"/>
  <c r="G17"/>
  <c r="F16"/>
  <c r="F15"/>
  <c r="G15" s="1"/>
  <c r="G14"/>
  <c r="G13"/>
  <c r="G12"/>
  <c r="F12"/>
  <c r="G11"/>
  <c r="F11"/>
  <c r="G10"/>
  <c r="E10"/>
  <c r="S8"/>
  <c r="G8"/>
  <c r="Q8" s="1"/>
  <c r="T8" s="1"/>
  <c r="F8"/>
  <c r="F7"/>
  <c r="G6"/>
  <c r="F6"/>
  <c r="G5"/>
  <c r="G4"/>
  <c r="G164" i="28"/>
  <c r="L43" i="29" l="1"/>
  <c r="F492"/>
  <c r="G27"/>
  <c r="G53"/>
  <c r="G90"/>
  <c r="G122"/>
  <c r="L122" s="1"/>
  <c r="Q22"/>
  <c r="Q448"/>
  <c r="G487"/>
  <c r="L487" s="1"/>
  <c r="F99"/>
  <c r="L261"/>
  <c r="G35"/>
  <c r="G56"/>
  <c r="G108"/>
  <c r="L108" s="1"/>
  <c r="G125"/>
  <c r="G142"/>
  <c r="G484"/>
  <c r="L484" s="1"/>
  <c r="G343"/>
  <c r="G177"/>
  <c r="L177" s="1"/>
  <c r="L24"/>
  <c r="F150"/>
  <c r="G365"/>
  <c r="L365" s="1"/>
  <c r="L255"/>
  <c r="T440"/>
  <c r="G153"/>
  <c r="L360"/>
  <c r="Q21"/>
  <c r="T23" s="1"/>
  <c r="G62"/>
  <c r="L62" s="1"/>
  <c r="G456"/>
  <c r="G472"/>
  <c r="L468" s="1"/>
  <c r="G425"/>
  <c r="L153"/>
  <c r="L457"/>
  <c r="G59"/>
  <c r="L59" s="1"/>
  <c r="L174"/>
  <c r="G398"/>
  <c r="L398" s="1"/>
  <c r="G401"/>
  <c r="L401" s="1"/>
  <c r="F481"/>
  <c r="G40"/>
  <c r="G79"/>
  <c r="L79" s="1"/>
  <c r="G96"/>
  <c r="L96" s="1"/>
  <c r="G131"/>
  <c r="L131" s="1"/>
  <c r="G376"/>
  <c r="L372" s="1"/>
  <c r="U372" s="1"/>
  <c r="L21"/>
  <c r="U21" s="1"/>
  <c r="G149"/>
  <c r="L148" s="1"/>
  <c r="L236"/>
  <c r="L310"/>
  <c r="G379"/>
  <c r="L379" s="1"/>
  <c r="F458"/>
  <c r="G478"/>
  <c r="L478" s="1"/>
  <c r="L481"/>
  <c r="G350"/>
  <c r="G417"/>
  <c r="L414" s="1"/>
  <c r="G276"/>
  <c r="L274" s="1"/>
  <c r="G139"/>
  <c r="G204"/>
  <c r="G242"/>
  <c r="L242" s="1"/>
  <c r="G65"/>
  <c r="L65" s="1"/>
  <c r="L357"/>
  <c r="L318"/>
  <c r="G315"/>
  <c r="L315" s="1"/>
  <c r="L301"/>
  <c r="L298"/>
  <c r="L295"/>
  <c r="L289"/>
  <c r="G286"/>
  <c r="L286" s="1"/>
  <c r="G283"/>
  <c r="L283" s="1"/>
  <c r="L279"/>
  <c r="L269"/>
  <c r="G266"/>
  <c r="L264" s="1"/>
  <c r="G248"/>
  <c r="G233"/>
  <c r="L230"/>
  <c r="G226"/>
  <c r="L220"/>
  <c r="G217"/>
  <c r="L217" s="1"/>
  <c r="L201"/>
  <c r="G198"/>
  <c r="L198" s="1"/>
  <c r="L193"/>
  <c r="G190"/>
  <c r="L188" s="1"/>
  <c r="L183"/>
  <c r="G171"/>
  <c r="L171" s="1"/>
  <c r="L166"/>
  <c r="L498"/>
  <c r="G495"/>
  <c r="L495" s="1"/>
  <c r="L475"/>
  <c r="L448"/>
  <c r="G451"/>
  <c r="G429"/>
  <c r="L429" s="1"/>
  <c r="G410"/>
  <c r="G388"/>
  <c r="L388" s="1"/>
  <c r="L382"/>
  <c r="L354"/>
  <c r="L326"/>
  <c r="G145"/>
  <c r="L145" s="1"/>
  <c r="F139"/>
  <c r="L125"/>
  <c r="G119"/>
  <c r="L119" s="1"/>
  <c r="G116"/>
  <c r="L114" s="1"/>
  <c r="G105"/>
  <c r="L105" s="1"/>
  <c r="L102"/>
  <c r="L93"/>
  <c r="F90"/>
  <c r="L82"/>
  <c r="G76"/>
  <c r="L71" s="1"/>
  <c r="G68"/>
  <c r="L68" s="1"/>
  <c r="F65"/>
  <c r="L56"/>
  <c r="L48"/>
  <c r="G16"/>
  <c r="G404"/>
  <c r="L404" s="1"/>
  <c r="G385"/>
  <c r="L385" s="1"/>
  <c r="G344"/>
  <c r="L239"/>
  <c r="L142"/>
  <c r="L137"/>
  <c r="L4"/>
  <c r="U4" s="1"/>
  <c r="L490"/>
  <c r="T455"/>
  <c r="Q422"/>
  <c r="L433"/>
  <c r="L368"/>
  <c r="L332"/>
  <c r="L347"/>
  <c r="U347" s="1"/>
  <c r="L292"/>
  <c r="L233"/>
  <c r="L211"/>
  <c r="L208"/>
  <c r="L180"/>
  <c r="L160"/>
  <c r="U160" s="1"/>
  <c r="L134"/>
  <c r="L128"/>
  <c r="L51"/>
  <c r="R6"/>
  <c r="L27"/>
  <c r="V7"/>
  <c r="L9"/>
  <c r="U9" s="1"/>
  <c r="L85"/>
  <c r="U85" s="1"/>
  <c r="Q457"/>
  <c r="T457" s="1"/>
  <c r="J33"/>
  <c r="L33" s="1"/>
  <c r="J38"/>
  <c r="Q85"/>
  <c r="T92" s="1"/>
  <c r="G111"/>
  <c r="L111" s="1"/>
  <c r="G329"/>
  <c r="L329" s="1"/>
  <c r="Q332"/>
  <c r="G391"/>
  <c r="L391" s="1"/>
  <c r="G394"/>
  <c r="L394" s="1"/>
  <c r="Q414"/>
  <c r="T421" s="1"/>
  <c r="H44" i="28"/>
  <c r="J44" s="1"/>
  <c r="L340" i="29" l="1"/>
  <c r="U340" s="1"/>
  <c r="L38"/>
  <c r="L422"/>
  <c r="L245"/>
  <c r="L223"/>
  <c r="L407"/>
  <c r="L13"/>
  <c r="U13" s="1"/>
  <c r="G7" i="28"/>
  <c r="G144" l="1"/>
  <c r="F144"/>
  <c r="G143"/>
  <c r="F143"/>
  <c r="F142"/>
  <c r="E142"/>
  <c r="G142"/>
  <c r="L142" l="1"/>
  <c r="G50"/>
  <c r="F50"/>
  <c r="G49"/>
  <c r="F49"/>
  <c r="G48"/>
  <c r="F48"/>
  <c r="E48"/>
  <c r="L48" l="1"/>
  <c r="D47"/>
  <c r="D46"/>
  <c r="D38" l="1"/>
  <c r="G102" l="1"/>
  <c r="G104"/>
  <c r="F104"/>
  <c r="G103"/>
  <c r="F103"/>
  <c r="F102"/>
  <c r="E102"/>
  <c r="L102" l="1"/>
  <c r="E374"/>
  <c r="D361"/>
  <c r="D360"/>
  <c r="D347"/>
  <c r="D346"/>
  <c r="D299"/>
  <c r="D298"/>
  <c r="D272" l="1"/>
  <c r="D271"/>
  <c r="D267" l="1"/>
  <c r="D266"/>
  <c r="D244" l="1"/>
  <c r="D165" l="1"/>
  <c r="D164"/>
  <c r="D20" l="1"/>
  <c r="D19"/>
  <c r="D8" l="1"/>
  <c r="D7"/>
  <c r="E475" l="1"/>
  <c r="F475" s="1"/>
  <c r="D481"/>
  <c r="G481" s="1"/>
  <c r="G482"/>
  <c r="D478"/>
  <c r="G478" s="1"/>
  <c r="D470"/>
  <c r="G470" s="1"/>
  <c r="D467"/>
  <c r="G467" s="1"/>
  <c r="D458"/>
  <c r="D455"/>
  <c r="G455" s="1"/>
  <c r="D436"/>
  <c r="G436" s="1"/>
  <c r="D434"/>
  <c r="D419"/>
  <c r="D416"/>
  <c r="G416" s="1"/>
  <c r="D415"/>
  <c r="D409"/>
  <c r="G409" s="1"/>
  <c r="D407"/>
  <c r="G407" s="1"/>
  <c r="D401"/>
  <c r="D400"/>
  <c r="D394"/>
  <c r="D387"/>
  <c r="G387" s="1"/>
  <c r="D374"/>
  <c r="G374" s="1"/>
  <c r="D371"/>
  <c r="G371" s="1"/>
  <c r="D368"/>
  <c r="G368" s="1"/>
  <c r="D362"/>
  <c r="D359"/>
  <c r="D348"/>
  <c r="G348" s="1"/>
  <c r="D345"/>
  <c r="D344"/>
  <c r="D338"/>
  <c r="G338" s="1"/>
  <c r="D337"/>
  <c r="D320"/>
  <c r="D312"/>
  <c r="D309"/>
  <c r="D297"/>
  <c r="G297" s="1"/>
  <c r="D292"/>
  <c r="G292" s="1"/>
  <c r="D289"/>
  <c r="G289" s="1"/>
  <c r="D283"/>
  <c r="G283" s="1"/>
  <c r="D280"/>
  <c r="D277"/>
  <c r="D274"/>
  <c r="G274" s="1"/>
  <c r="D270"/>
  <c r="G270" s="1"/>
  <c r="D265"/>
  <c r="G265" s="1"/>
  <c r="D260"/>
  <c r="D255"/>
  <c r="D249"/>
  <c r="G249" s="1"/>
  <c r="D245"/>
  <c r="D230"/>
  <c r="D227"/>
  <c r="G227" s="1"/>
  <c r="D224"/>
  <c r="D223"/>
  <c r="D217"/>
  <c r="D214"/>
  <c r="G214" s="1"/>
  <c r="G241"/>
  <c r="G240"/>
  <c r="G239"/>
  <c r="E239"/>
  <c r="D205"/>
  <c r="G205" s="1"/>
  <c r="D204"/>
  <c r="G204" s="1"/>
  <c r="D198"/>
  <c r="G198" s="1"/>
  <c r="D195"/>
  <c r="G195" s="1"/>
  <c r="D190"/>
  <c r="G190" s="1"/>
  <c r="D183"/>
  <c r="D180"/>
  <c r="D177"/>
  <c r="G177" s="1"/>
  <c r="D171"/>
  <c r="D168"/>
  <c r="G168" s="1"/>
  <c r="D145"/>
  <c r="G145" s="1"/>
  <c r="D139"/>
  <c r="D134"/>
  <c r="D131"/>
  <c r="G131" s="1"/>
  <c r="D125"/>
  <c r="G125" s="1"/>
  <c r="D122"/>
  <c r="G122" s="1"/>
  <c r="D119"/>
  <c r="D116"/>
  <c r="G116" s="1"/>
  <c r="D108"/>
  <c r="G108" s="1"/>
  <c r="D105"/>
  <c r="G105" s="1"/>
  <c r="D96"/>
  <c r="D93"/>
  <c r="G93" s="1"/>
  <c r="D90"/>
  <c r="G90" s="1"/>
  <c r="D82"/>
  <c r="D79"/>
  <c r="G79" s="1"/>
  <c r="D76"/>
  <c r="G76" s="1"/>
  <c r="D68"/>
  <c r="G68" s="1"/>
  <c r="D65"/>
  <c r="G65" s="1"/>
  <c r="D62"/>
  <c r="D56"/>
  <c r="D53"/>
  <c r="G53" s="1"/>
  <c r="D40"/>
  <c r="G40" s="1"/>
  <c r="D35"/>
  <c r="G35" s="1"/>
  <c r="D27"/>
  <c r="G27" s="1"/>
  <c r="D18"/>
  <c r="G18" s="1"/>
  <c r="D16"/>
  <c r="E312"/>
  <c r="E309"/>
  <c r="E297"/>
  <c r="E292"/>
  <c r="E289"/>
  <c r="E283"/>
  <c r="E280"/>
  <c r="E277"/>
  <c r="E274"/>
  <c r="E270"/>
  <c r="E265"/>
  <c r="E260"/>
  <c r="E255"/>
  <c r="E249"/>
  <c r="E245"/>
  <c r="E230"/>
  <c r="E227"/>
  <c r="E224"/>
  <c r="E223"/>
  <c r="E217"/>
  <c r="E214"/>
  <c r="E211"/>
  <c r="G211" s="1"/>
  <c r="E208"/>
  <c r="E205"/>
  <c r="E204"/>
  <c r="E198"/>
  <c r="E195"/>
  <c r="E190"/>
  <c r="E183"/>
  <c r="E180"/>
  <c r="E177"/>
  <c r="E171"/>
  <c r="E168"/>
  <c r="H451"/>
  <c r="J451" s="1"/>
  <c r="E481"/>
  <c r="E478"/>
  <c r="F478" s="1"/>
  <c r="E470"/>
  <c r="F470" s="1"/>
  <c r="E467"/>
  <c r="E458"/>
  <c r="E455"/>
  <c r="F455" s="1"/>
  <c r="E436"/>
  <c r="E434"/>
  <c r="G434" s="1"/>
  <c r="G428"/>
  <c r="E419"/>
  <c r="F419" s="1"/>
  <c r="E416"/>
  <c r="F416" s="1"/>
  <c r="E415"/>
  <c r="G415" s="1"/>
  <c r="E409"/>
  <c r="E407"/>
  <c r="E401"/>
  <c r="E400"/>
  <c r="E394"/>
  <c r="E387"/>
  <c r="F387" s="1"/>
  <c r="E371"/>
  <c r="E368"/>
  <c r="E362"/>
  <c r="F362" s="1"/>
  <c r="E359"/>
  <c r="F359" s="1"/>
  <c r="E356"/>
  <c r="E348"/>
  <c r="E345"/>
  <c r="F345" s="1"/>
  <c r="E344"/>
  <c r="E338"/>
  <c r="F338" s="1"/>
  <c r="E337"/>
  <c r="E323"/>
  <c r="F323" s="1"/>
  <c r="E320"/>
  <c r="H137"/>
  <c r="J137" s="1"/>
  <c r="H115"/>
  <c r="J115" s="1"/>
  <c r="H114"/>
  <c r="J114" s="1"/>
  <c r="H85"/>
  <c r="J85" s="1"/>
  <c r="H71"/>
  <c r="J71" s="1"/>
  <c r="H51"/>
  <c r="J51" s="1"/>
  <c r="H38"/>
  <c r="H39" s="1"/>
  <c r="J39" s="1"/>
  <c r="H33"/>
  <c r="J33" s="1"/>
  <c r="E145"/>
  <c r="E139"/>
  <c r="G139" s="1"/>
  <c r="E134"/>
  <c r="F134" s="1"/>
  <c r="E131"/>
  <c r="E125"/>
  <c r="E122"/>
  <c r="E119"/>
  <c r="F119" s="1"/>
  <c r="E116"/>
  <c r="E108"/>
  <c r="F108" s="1"/>
  <c r="E105"/>
  <c r="F105" s="1"/>
  <c r="E99"/>
  <c r="E96"/>
  <c r="E93"/>
  <c r="F93" s="1"/>
  <c r="E90"/>
  <c r="E82"/>
  <c r="G82" s="1"/>
  <c r="E79"/>
  <c r="E76"/>
  <c r="F76" s="1"/>
  <c r="E68"/>
  <c r="E65"/>
  <c r="F65" s="1"/>
  <c r="E62"/>
  <c r="E56"/>
  <c r="E53"/>
  <c r="E40"/>
  <c r="E35"/>
  <c r="F35" s="1"/>
  <c r="E27"/>
  <c r="E18"/>
  <c r="E16"/>
  <c r="G483"/>
  <c r="G480"/>
  <c r="G479"/>
  <c r="F479"/>
  <c r="G477"/>
  <c r="G476"/>
  <c r="F476"/>
  <c r="G475"/>
  <c r="G474"/>
  <c r="G473"/>
  <c r="G472"/>
  <c r="G471"/>
  <c r="F471"/>
  <c r="G469"/>
  <c r="G468"/>
  <c r="F468"/>
  <c r="F467"/>
  <c r="G466"/>
  <c r="G465"/>
  <c r="F465"/>
  <c r="L464"/>
  <c r="G464"/>
  <c r="F464"/>
  <c r="E464"/>
  <c r="G463"/>
  <c r="G462"/>
  <c r="F462"/>
  <c r="G461"/>
  <c r="F461"/>
  <c r="E461"/>
  <c r="G460"/>
  <c r="G459"/>
  <c r="F459"/>
  <c r="G457"/>
  <c r="G456"/>
  <c r="F456"/>
  <c r="G454"/>
  <c r="G453"/>
  <c r="G452"/>
  <c r="G451"/>
  <c r="G443"/>
  <c r="F443"/>
  <c r="G442"/>
  <c r="F442"/>
  <c r="F441"/>
  <c r="E441"/>
  <c r="G441" s="1"/>
  <c r="S440"/>
  <c r="G440"/>
  <c r="F440"/>
  <c r="C440"/>
  <c r="L440" s="1"/>
  <c r="G439"/>
  <c r="F439"/>
  <c r="E439"/>
  <c r="S438"/>
  <c r="G438"/>
  <c r="Q438" s="1"/>
  <c r="F438"/>
  <c r="G437"/>
  <c r="F437"/>
  <c r="G435"/>
  <c r="F434"/>
  <c r="G433"/>
  <c r="Q433" s="1"/>
  <c r="T438" s="1"/>
  <c r="F433"/>
  <c r="G432"/>
  <c r="G431"/>
  <c r="C431"/>
  <c r="S430"/>
  <c r="G430"/>
  <c r="Q430" s="1"/>
  <c r="F430"/>
  <c r="G429"/>
  <c r="F429"/>
  <c r="F428"/>
  <c r="G427"/>
  <c r="G426"/>
  <c r="F426"/>
  <c r="G425"/>
  <c r="Q425" s="1"/>
  <c r="F425"/>
  <c r="G424"/>
  <c r="G423"/>
  <c r="Q423" s="1"/>
  <c r="G421"/>
  <c r="F421"/>
  <c r="G420"/>
  <c r="F420"/>
  <c r="G418"/>
  <c r="Q418" s="1"/>
  <c r="F418"/>
  <c r="G417"/>
  <c r="F417"/>
  <c r="F415"/>
  <c r="F414"/>
  <c r="G414" s="1"/>
  <c r="Q414" s="1"/>
  <c r="G413"/>
  <c r="G412"/>
  <c r="C412"/>
  <c r="Q412" s="1"/>
  <c r="S411"/>
  <c r="G411"/>
  <c r="Q411" s="1"/>
  <c r="F411"/>
  <c r="G410"/>
  <c r="F410"/>
  <c r="F409"/>
  <c r="G408"/>
  <c r="F407"/>
  <c r="F406"/>
  <c r="G406" s="1"/>
  <c r="Q406" s="1"/>
  <c r="G405"/>
  <c r="G404"/>
  <c r="Q404" s="1"/>
  <c r="T411" s="1"/>
  <c r="G403"/>
  <c r="F403"/>
  <c r="G402"/>
  <c r="F402"/>
  <c r="F401"/>
  <c r="F400"/>
  <c r="F399"/>
  <c r="G399" s="1"/>
  <c r="G398"/>
  <c r="G397"/>
  <c r="G396"/>
  <c r="F396"/>
  <c r="G395"/>
  <c r="F395"/>
  <c r="G393"/>
  <c r="F393"/>
  <c r="G392"/>
  <c r="F392"/>
  <c r="E391"/>
  <c r="F391" s="1"/>
  <c r="G389"/>
  <c r="F389"/>
  <c r="G388"/>
  <c r="F388"/>
  <c r="G386"/>
  <c r="F386"/>
  <c r="G385"/>
  <c r="F385"/>
  <c r="G384"/>
  <c r="L384" s="1"/>
  <c r="F384"/>
  <c r="E384"/>
  <c r="G383"/>
  <c r="G382"/>
  <c r="F382"/>
  <c r="G381"/>
  <c r="F381"/>
  <c r="G380"/>
  <c r="L380" s="1"/>
  <c r="E380"/>
  <c r="F380" s="1"/>
  <c r="G379"/>
  <c r="F379"/>
  <c r="G378"/>
  <c r="F378"/>
  <c r="G377"/>
  <c r="E377"/>
  <c r="F377" s="1"/>
  <c r="G376"/>
  <c r="F376"/>
  <c r="G375"/>
  <c r="F375"/>
  <c r="F374"/>
  <c r="G373"/>
  <c r="F373"/>
  <c r="G372"/>
  <c r="F372"/>
  <c r="F371"/>
  <c r="G370"/>
  <c r="F370"/>
  <c r="G369"/>
  <c r="F369"/>
  <c r="G367"/>
  <c r="F367"/>
  <c r="G366"/>
  <c r="F366"/>
  <c r="G365"/>
  <c r="F365"/>
  <c r="E365"/>
  <c r="G364"/>
  <c r="F364"/>
  <c r="G363"/>
  <c r="F363"/>
  <c r="G361"/>
  <c r="F361"/>
  <c r="F360"/>
  <c r="G360"/>
  <c r="G358"/>
  <c r="F358"/>
  <c r="G357"/>
  <c r="F357"/>
  <c r="F356"/>
  <c r="G356"/>
  <c r="G355"/>
  <c r="F355"/>
  <c r="G354"/>
  <c r="F354"/>
  <c r="E353"/>
  <c r="F353" s="1"/>
  <c r="G352"/>
  <c r="G351"/>
  <c r="G350"/>
  <c r="F350"/>
  <c r="G349"/>
  <c r="F349"/>
  <c r="F348"/>
  <c r="S347"/>
  <c r="F347"/>
  <c r="G347"/>
  <c r="Q347" s="1"/>
  <c r="F346"/>
  <c r="G346"/>
  <c r="F344"/>
  <c r="G343"/>
  <c r="Q343" s="1"/>
  <c r="F343"/>
  <c r="G342"/>
  <c r="G341"/>
  <c r="Q341" s="1"/>
  <c r="T347" s="1"/>
  <c r="S340"/>
  <c r="G340"/>
  <c r="Q340" s="1"/>
  <c r="F340"/>
  <c r="G339"/>
  <c r="F339"/>
  <c r="F337"/>
  <c r="G336"/>
  <c r="Q336" s="1"/>
  <c r="F336"/>
  <c r="G335"/>
  <c r="G334"/>
  <c r="Q334" s="1"/>
  <c r="T340" s="1"/>
  <c r="G333"/>
  <c r="Q333" s="1"/>
  <c r="F333"/>
  <c r="G332"/>
  <c r="F332"/>
  <c r="G331"/>
  <c r="F331"/>
  <c r="G329"/>
  <c r="G328"/>
  <c r="Q328" s="1"/>
  <c r="G327"/>
  <c r="G326"/>
  <c r="L326" s="1"/>
  <c r="G325"/>
  <c r="F325"/>
  <c r="G324"/>
  <c r="F324"/>
  <c r="G323"/>
  <c r="G322"/>
  <c r="F322"/>
  <c r="G321"/>
  <c r="F321"/>
  <c r="G314"/>
  <c r="G313"/>
  <c r="G311"/>
  <c r="G310"/>
  <c r="G308"/>
  <c r="G307"/>
  <c r="G306"/>
  <c r="G305"/>
  <c r="G304"/>
  <c r="G303"/>
  <c r="G302"/>
  <c r="E301"/>
  <c r="G301" s="1"/>
  <c r="G299"/>
  <c r="G298"/>
  <c r="G296"/>
  <c r="G295"/>
  <c r="G294"/>
  <c r="G293"/>
  <c r="G291"/>
  <c r="G290"/>
  <c r="G288"/>
  <c r="G287"/>
  <c r="E286"/>
  <c r="G286" s="1"/>
  <c r="G285"/>
  <c r="G284"/>
  <c r="G282"/>
  <c r="G281"/>
  <c r="G280"/>
  <c r="G279"/>
  <c r="G278"/>
  <c r="G276"/>
  <c r="G275"/>
  <c r="G272"/>
  <c r="G271"/>
  <c r="G269"/>
  <c r="G268"/>
  <c r="G267"/>
  <c r="G266"/>
  <c r="G264"/>
  <c r="G263"/>
  <c r="G262"/>
  <c r="G261"/>
  <c r="G259"/>
  <c r="G258"/>
  <c r="G257"/>
  <c r="G256"/>
  <c r="G254"/>
  <c r="G253"/>
  <c r="L252"/>
  <c r="G252"/>
  <c r="E252"/>
  <c r="S251"/>
  <c r="G251"/>
  <c r="Q251" s="1"/>
  <c r="F251"/>
  <c r="G250"/>
  <c r="F250"/>
  <c r="G248"/>
  <c r="F245"/>
  <c r="G244"/>
  <c r="Q244" s="1"/>
  <c r="F244"/>
  <c r="G243"/>
  <c r="G242"/>
  <c r="Q242" s="1"/>
  <c r="T251" s="1"/>
  <c r="G238"/>
  <c r="G237"/>
  <c r="G236"/>
  <c r="G235"/>
  <c r="G234"/>
  <c r="L233" s="1"/>
  <c r="G233"/>
  <c r="E233"/>
  <c r="G232"/>
  <c r="G231"/>
  <c r="G230"/>
  <c r="G229"/>
  <c r="G228"/>
  <c r="G226"/>
  <c r="G225"/>
  <c r="F223"/>
  <c r="G222"/>
  <c r="F222"/>
  <c r="G221"/>
  <c r="G220"/>
  <c r="G219"/>
  <c r="G218"/>
  <c r="G216"/>
  <c r="G215"/>
  <c r="G213"/>
  <c r="G212"/>
  <c r="G210"/>
  <c r="G209"/>
  <c r="G208"/>
  <c r="G207"/>
  <c r="G206"/>
  <c r="F204"/>
  <c r="F203"/>
  <c r="G203" s="1"/>
  <c r="G202"/>
  <c r="G201"/>
  <c r="G200"/>
  <c r="G199"/>
  <c r="G197"/>
  <c r="G196"/>
  <c r="G194"/>
  <c r="G193"/>
  <c r="G192"/>
  <c r="G191"/>
  <c r="G189"/>
  <c r="G188"/>
  <c r="G187"/>
  <c r="G186"/>
  <c r="G185"/>
  <c r="G184"/>
  <c r="G182"/>
  <c r="G181"/>
  <c r="G179"/>
  <c r="G178"/>
  <c r="G176"/>
  <c r="G175"/>
  <c r="E174"/>
  <c r="G174" s="1"/>
  <c r="G173"/>
  <c r="G172"/>
  <c r="G170"/>
  <c r="G169"/>
  <c r="G167"/>
  <c r="G166"/>
  <c r="S165"/>
  <c r="F165"/>
  <c r="G165"/>
  <c r="F164"/>
  <c r="G163"/>
  <c r="G162"/>
  <c r="G161"/>
  <c r="G160"/>
  <c r="Q160" s="1"/>
  <c r="T165" s="1"/>
  <c r="G155"/>
  <c r="F155"/>
  <c r="G154"/>
  <c r="F154"/>
  <c r="G153"/>
  <c r="L153" s="1"/>
  <c r="F153"/>
  <c r="E153"/>
  <c r="G152"/>
  <c r="F152"/>
  <c r="G151"/>
  <c r="F151"/>
  <c r="E150"/>
  <c r="F150" s="1"/>
  <c r="F149"/>
  <c r="E149"/>
  <c r="G149" s="1"/>
  <c r="J148"/>
  <c r="G148"/>
  <c r="G147"/>
  <c r="F147"/>
  <c r="G146"/>
  <c r="F146"/>
  <c r="F145"/>
  <c r="G141"/>
  <c r="F141"/>
  <c r="G140"/>
  <c r="F140"/>
  <c r="F139"/>
  <c r="G138"/>
  <c r="G137"/>
  <c r="G136"/>
  <c r="F136"/>
  <c r="G135"/>
  <c r="F135"/>
  <c r="G133"/>
  <c r="F133"/>
  <c r="G132"/>
  <c r="F132"/>
  <c r="F131"/>
  <c r="G130"/>
  <c r="F130"/>
  <c r="G129"/>
  <c r="F129"/>
  <c r="E128"/>
  <c r="F128" s="1"/>
  <c r="G127"/>
  <c r="F127"/>
  <c r="G126"/>
  <c r="F126"/>
  <c r="G124"/>
  <c r="F124"/>
  <c r="G123"/>
  <c r="F123"/>
  <c r="F122"/>
  <c r="G121"/>
  <c r="F121"/>
  <c r="G120"/>
  <c r="F120"/>
  <c r="G118"/>
  <c r="F118"/>
  <c r="G117"/>
  <c r="F117"/>
  <c r="F116"/>
  <c r="G115"/>
  <c r="G114"/>
  <c r="G113"/>
  <c r="F113"/>
  <c r="G112"/>
  <c r="F112"/>
  <c r="G111"/>
  <c r="L111" s="1"/>
  <c r="E111"/>
  <c r="F111" s="1"/>
  <c r="G110"/>
  <c r="F110"/>
  <c r="G109"/>
  <c r="F109"/>
  <c r="G107"/>
  <c r="F107"/>
  <c r="G106"/>
  <c r="F106"/>
  <c r="G101"/>
  <c r="F101"/>
  <c r="G100"/>
  <c r="F100"/>
  <c r="F99"/>
  <c r="G98"/>
  <c r="F98"/>
  <c r="G97"/>
  <c r="F97"/>
  <c r="F96"/>
  <c r="G95"/>
  <c r="F95"/>
  <c r="G94"/>
  <c r="F94"/>
  <c r="S92"/>
  <c r="F92"/>
  <c r="G92" s="1"/>
  <c r="Q92" s="1"/>
  <c r="G91"/>
  <c r="F91"/>
  <c r="F90"/>
  <c r="G89"/>
  <c r="G88"/>
  <c r="F88"/>
  <c r="F87"/>
  <c r="G87" s="1"/>
  <c r="Q87" s="1"/>
  <c r="G86"/>
  <c r="G85"/>
  <c r="G84"/>
  <c r="F84"/>
  <c r="G83"/>
  <c r="F83"/>
  <c r="F82"/>
  <c r="G81"/>
  <c r="F81"/>
  <c r="G80"/>
  <c r="F80"/>
  <c r="F79"/>
  <c r="F78"/>
  <c r="G78" s="1"/>
  <c r="G77"/>
  <c r="F77"/>
  <c r="G75"/>
  <c r="G74"/>
  <c r="F73"/>
  <c r="G73" s="1"/>
  <c r="G72"/>
  <c r="G71"/>
  <c r="G70"/>
  <c r="F70"/>
  <c r="G69"/>
  <c r="F69"/>
  <c r="F68"/>
  <c r="G67"/>
  <c r="F67"/>
  <c r="G66"/>
  <c r="F66"/>
  <c r="G64"/>
  <c r="F64"/>
  <c r="G63"/>
  <c r="F63"/>
  <c r="G61"/>
  <c r="F61"/>
  <c r="G60"/>
  <c r="F60"/>
  <c r="E59"/>
  <c r="F59" s="1"/>
  <c r="G58"/>
  <c r="F58"/>
  <c r="G57"/>
  <c r="F57"/>
  <c r="F56"/>
  <c r="G55"/>
  <c r="F55"/>
  <c r="G54"/>
  <c r="F54"/>
  <c r="G52"/>
  <c r="G51"/>
  <c r="F47"/>
  <c r="G47"/>
  <c r="G46"/>
  <c r="F46"/>
  <c r="G45"/>
  <c r="F45"/>
  <c r="G44"/>
  <c r="H43"/>
  <c r="J43" s="1"/>
  <c r="G43"/>
  <c r="G42"/>
  <c r="F42"/>
  <c r="G41"/>
  <c r="F41"/>
  <c r="G39"/>
  <c r="G38"/>
  <c r="F37"/>
  <c r="G37" s="1"/>
  <c r="G36"/>
  <c r="F36"/>
  <c r="G34"/>
  <c r="G33"/>
  <c r="G29"/>
  <c r="G28"/>
  <c r="F28"/>
  <c r="F25"/>
  <c r="G25" s="1"/>
  <c r="G24"/>
  <c r="F24"/>
  <c r="S23"/>
  <c r="Q23"/>
  <c r="G23"/>
  <c r="F23"/>
  <c r="J22"/>
  <c r="Q22" s="1"/>
  <c r="G22"/>
  <c r="L21"/>
  <c r="U21" s="1"/>
  <c r="J21"/>
  <c r="G21"/>
  <c r="Q21" s="1"/>
  <c r="T20"/>
  <c r="S20"/>
  <c r="F20"/>
  <c r="G20" s="1"/>
  <c r="F19"/>
  <c r="G19" s="1"/>
  <c r="F18"/>
  <c r="G17"/>
  <c r="F16"/>
  <c r="G15"/>
  <c r="F15"/>
  <c r="G14"/>
  <c r="G13"/>
  <c r="G12"/>
  <c r="F12"/>
  <c r="G11"/>
  <c r="F11"/>
  <c r="E10"/>
  <c r="G10" s="1"/>
  <c r="S8"/>
  <c r="F8"/>
  <c r="G8"/>
  <c r="Q8" s="1"/>
  <c r="T8" s="1"/>
  <c r="F7"/>
  <c r="G6"/>
  <c r="F6"/>
  <c r="G5"/>
  <c r="G4"/>
  <c r="J43" i="27"/>
  <c r="H43"/>
  <c r="G7"/>
  <c r="G348"/>
  <c r="D349"/>
  <c r="D348"/>
  <c r="G347"/>
  <c r="G349"/>
  <c r="F349"/>
  <c r="F348"/>
  <c r="F347"/>
  <c r="E347"/>
  <c r="G56" i="28" l="1"/>
  <c r="L56" s="1"/>
  <c r="G62"/>
  <c r="L239"/>
  <c r="L481"/>
  <c r="L467"/>
  <c r="G458"/>
  <c r="L458" s="1"/>
  <c r="G401"/>
  <c r="G394"/>
  <c r="L394" s="1"/>
  <c r="L374"/>
  <c r="L371"/>
  <c r="L368"/>
  <c r="L356"/>
  <c r="G345"/>
  <c r="G344"/>
  <c r="G320"/>
  <c r="L320" s="1"/>
  <c r="G312"/>
  <c r="L312" s="1"/>
  <c r="G309"/>
  <c r="L309" s="1"/>
  <c r="L292"/>
  <c r="L289"/>
  <c r="L283"/>
  <c r="G277"/>
  <c r="L277" s="1"/>
  <c r="L273"/>
  <c r="G260"/>
  <c r="L258" s="1"/>
  <c r="G255"/>
  <c r="L255" s="1"/>
  <c r="L242"/>
  <c r="G245"/>
  <c r="L227"/>
  <c r="G224"/>
  <c r="G223"/>
  <c r="G217"/>
  <c r="L217" s="1"/>
  <c r="L214"/>
  <c r="H34"/>
  <c r="J34" s="1"/>
  <c r="L33" s="1"/>
  <c r="H52"/>
  <c r="J52" s="1"/>
  <c r="H86"/>
  <c r="J86" s="1"/>
  <c r="L85" s="1"/>
  <c r="U85" s="1"/>
  <c r="H138"/>
  <c r="J138" s="1"/>
  <c r="L137" s="1"/>
  <c r="J38"/>
  <c r="H72"/>
  <c r="J72" s="1"/>
  <c r="L71" s="1"/>
  <c r="Q431"/>
  <c r="L201"/>
  <c r="L198"/>
  <c r="G183"/>
  <c r="L183" s="1"/>
  <c r="G180"/>
  <c r="L180" s="1"/>
  <c r="G171"/>
  <c r="L171" s="1"/>
  <c r="L145"/>
  <c r="L125"/>
  <c r="L114"/>
  <c r="G96"/>
  <c r="L96" s="1"/>
  <c r="L27"/>
  <c r="G16"/>
  <c r="L13" s="1"/>
  <c r="U13" s="1"/>
  <c r="L280"/>
  <c r="F249"/>
  <c r="L236"/>
  <c r="L211"/>
  <c r="L177"/>
  <c r="L166"/>
  <c r="F481"/>
  <c r="L470"/>
  <c r="F458"/>
  <c r="F436"/>
  <c r="G419"/>
  <c r="L419" s="1"/>
  <c r="G400"/>
  <c r="F394"/>
  <c r="F368"/>
  <c r="G362"/>
  <c r="L362" s="1"/>
  <c r="G337"/>
  <c r="L334" s="1"/>
  <c r="U334" s="1"/>
  <c r="L323"/>
  <c r="G134"/>
  <c r="L134" s="1"/>
  <c r="L131"/>
  <c r="F125"/>
  <c r="G119"/>
  <c r="L119" s="1"/>
  <c r="L108"/>
  <c r="L93"/>
  <c r="L79"/>
  <c r="L65"/>
  <c r="L62"/>
  <c r="F62"/>
  <c r="F53"/>
  <c r="L43"/>
  <c r="F40"/>
  <c r="F27"/>
  <c r="L478"/>
  <c r="L461"/>
  <c r="L473"/>
  <c r="T430"/>
  <c r="L348"/>
  <c r="L365"/>
  <c r="L377"/>
  <c r="L431"/>
  <c r="L404"/>
  <c r="L423"/>
  <c r="L230"/>
  <c r="L295"/>
  <c r="L188"/>
  <c r="L286"/>
  <c r="L300"/>
  <c r="Q300" s="1"/>
  <c r="L174"/>
  <c r="L208"/>
  <c r="L304"/>
  <c r="L82"/>
  <c r="L105"/>
  <c r="L68"/>
  <c r="L122"/>
  <c r="L9"/>
  <c r="U9" s="1"/>
  <c r="R6"/>
  <c r="V7"/>
  <c r="L4"/>
  <c r="U4" s="1"/>
  <c r="T23"/>
  <c r="L24"/>
  <c r="L148"/>
  <c r="L263"/>
  <c r="L268"/>
  <c r="L412"/>
  <c r="L451"/>
  <c r="Q165"/>
  <c r="L160"/>
  <c r="U160" s="1"/>
  <c r="L351"/>
  <c r="L193"/>
  <c r="G59"/>
  <c r="L59" s="1"/>
  <c r="Q85"/>
  <c r="T92" s="1"/>
  <c r="G99"/>
  <c r="L99" s="1"/>
  <c r="G128"/>
  <c r="L128" s="1"/>
  <c r="G150"/>
  <c r="Q326"/>
  <c r="G353"/>
  <c r="G359"/>
  <c r="L359" s="1"/>
  <c r="L387"/>
  <c r="G391"/>
  <c r="L391" s="1"/>
  <c r="Q440"/>
  <c r="T440" s="1"/>
  <c r="L347" i="27"/>
  <c r="D338"/>
  <c r="D337"/>
  <c r="D335"/>
  <c r="D334"/>
  <c r="L220" i="28" l="1"/>
  <c r="L397"/>
  <c r="L341"/>
  <c r="U341" s="1"/>
  <c r="L51"/>
  <c r="L38"/>
  <c r="D47" i="27"/>
  <c r="D46"/>
  <c r="G46" l="1"/>
  <c r="D38"/>
  <c r="E35" l="1"/>
  <c r="G170" l="1"/>
  <c r="G169"/>
  <c r="E168"/>
  <c r="G168" s="1"/>
  <c r="L168" l="1"/>
  <c r="G245"/>
  <c r="G244"/>
  <c r="E243"/>
  <c r="G243"/>
  <c r="L243" l="1"/>
  <c r="D287" l="1"/>
  <c r="D286"/>
  <c r="D260" l="1"/>
  <c r="D259"/>
  <c r="D255" l="1"/>
  <c r="D254"/>
  <c r="D156" l="1"/>
  <c r="D155"/>
  <c r="D20" l="1"/>
  <c r="D19"/>
  <c r="D8" l="1"/>
  <c r="D7"/>
  <c r="G467" l="1"/>
  <c r="G459" l="1"/>
  <c r="E300" l="1"/>
  <c r="E297"/>
  <c r="E285"/>
  <c r="E280"/>
  <c r="E277"/>
  <c r="E271"/>
  <c r="E268"/>
  <c r="E265"/>
  <c r="E262"/>
  <c r="E258"/>
  <c r="E253"/>
  <c r="E248"/>
  <c r="E237"/>
  <c r="E233"/>
  <c r="E221"/>
  <c r="E218"/>
  <c r="E215"/>
  <c r="E214"/>
  <c r="E208"/>
  <c r="E205"/>
  <c r="E202"/>
  <c r="E199"/>
  <c r="E196"/>
  <c r="E195"/>
  <c r="E189"/>
  <c r="E186"/>
  <c r="E181"/>
  <c r="E174"/>
  <c r="E171"/>
  <c r="E162"/>
  <c r="E159"/>
  <c r="D300"/>
  <c r="G300" s="1"/>
  <c r="D297"/>
  <c r="G297" s="1"/>
  <c r="D285"/>
  <c r="D280"/>
  <c r="G280" s="1"/>
  <c r="D277"/>
  <c r="D271"/>
  <c r="D268"/>
  <c r="G268" s="1"/>
  <c r="D265"/>
  <c r="G265" s="1"/>
  <c r="D262"/>
  <c r="G262" s="1"/>
  <c r="D258"/>
  <c r="G258" s="1"/>
  <c r="D253"/>
  <c r="G253" s="1"/>
  <c r="D248"/>
  <c r="D237"/>
  <c r="G237" s="1"/>
  <c r="D233"/>
  <c r="D221"/>
  <c r="G221" s="1"/>
  <c r="D218"/>
  <c r="G218" s="1"/>
  <c r="D215"/>
  <c r="D214"/>
  <c r="D208"/>
  <c r="G208" s="1"/>
  <c r="D205"/>
  <c r="G205" s="1"/>
  <c r="D202"/>
  <c r="D199"/>
  <c r="D196"/>
  <c r="G196" s="1"/>
  <c r="D195"/>
  <c r="D189"/>
  <c r="G189" s="1"/>
  <c r="D181"/>
  <c r="G181" s="1"/>
  <c r="D174"/>
  <c r="G174" s="1"/>
  <c r="D171"/>
  <c r="G171" s="1"/>
  <c r="D162"/>
  <c r="D159"/>
  <c r="G159" s="1"/>
  <c r="E469"/>
  <c r="E466"/>
  <c r="E463"/>
  <c r="E458"/>
  <c r="E455"/>
  <c r="E446"/>
  <c r="E443"/>
  <c r="D469"/>
  <c r="D466"/>
  <c r="G466" s="1"/>
  <c r="D463"/>
  <c r="G463" s="1"/>
  <c r="D458"/>
  <c r="G458" s="1"/>
  <c r="D455"/>
  <c r="D446"/>
  <c r="D443"/>
  <c r="E424"/>
  <c r="E422"/>
  <c r="E416"/>
  <c r="E414"/>
  <c r="E407"/>
  <c r="E404"/>
  <c r="E403"/>
  <c r="E397"/>
  <c r="E395"/>
  <c r="E389"/>
  <c r="E388"/>
  <c r="E382"/>
  <c r="E375"/>
  <c r="E362"/>
  <c r="E359"/>
  <c r="E356"/>
  <c r="E350"/>
  <c r="E336"/>
  <c r="E333"/>
  <c r="E332"/>
  <c r="E326"/>
  <c r="E311"/>
  <c r="E308"/>
  <c r="D424"/>
  <c r="G424" s="1"/>
  <c r="D422"/>
  <c r="D416"/>
  <c r="D414"/>
  <c r="D407"/>
  <c r="G407" s="1"/>
  <c r="D404"/>
  <c r="G404" s="1"/>
  <c r="D403"/>
  <c r="D397"/>
  <c r="G397" s="1"/>
  <c r="D395"/>
  <c r="D389"/>
  <c r="G389" s="1"/>
  <c r="D388"/>
  <c r="D382"/>
  <c r="G382" s="1"/>
  <c r="D375"/>
  <c r="D362"/>
  <c r="G362" s="1"/>
  <c r="D359"/>
  <c r="G359" s="1"/>
  <c r="D356"/>
  <c r="G356" s="1"/>
  <c r="D350"/>
  <c r="G350" s="1"/>
  <c r="E344"/>
  <c r="D344"/>
  <c r="G344" s="1"/>
  <c r="D336"/>
  <c r="G336" s="1"/>
  <c r="D333"/>
  <c r="D326"/>
  <c r="G326" s="1"/>
  <c r="D325"/>
  <c r="D332"/>
  <c r="E325"/>
  <c r="D311"/>
  <c r="D308"/>
  <c r="G308" s="1"/>
  <c r="E136" l="1"/>
  <c r="E133"/>
  <c r="E128"/>
  <c r="E125"/>
  <c r="E119"/>
  <c r="E116"/>
  <c r="E113"/>
  <c r="E110"/>
  <c r="E102"/>
  <c r="E99"/>
  <c r="E93"/>
  <c r="E90"/>
  <c r="E87"/>
  <c r="E79"/>
  <c r="E76"/>
  <c r="E73"/>
  <c r="E65"/>
  <c r="E62"/>
  <c r="E59"/>
  <c r="E53"/>
  <c r="E50"/>
  <c r="E40"/>
  <c r="D136"/>
  <c r="G136" s="1"/>
  <c r="D133"/>
  <c r="D128"/>
  <c r="D125"/>
  <c r="G125" s="1"/>
  <c r="D119"/>
  <c r="G119" s="1"/>
  <c r="D116"/>
  <c r="G116" s="1"/>
  <c r="D113"/>
  <c r="D110"/>
  <c r="G110" s="1"/>
  <c r="D102"/>
  <c r="G102" s="1"/>
  <c r="D99"/>
  <c r="D93"/>
  <c r="D90"/>
  <c r="G90" s="1"/>
  <c r="D87"/>
  <c r="G87" s="1"/>
  <c r="D79"/>
  <c r="D76"/>
  <c r="G76" s="1"/>
  <c r="D73"/>
  <c r="D65"/>
  <c r="D62"/>
  <c r="G62" s="1"/>
  <c r="D59"/>
  <c r="G59" s="1"/>
  <c r="D53"/>
  <c r="D50"/>
  <c r="D40"/>
  <c r="D35"/>
  <c r="E27" l="1"/>
  <c r="F27" s="1"/>
  <c r="E18"/>
  <c r="F18" s="1"/>
  <c r="E16"/>
  <c r="D27"/>
  <c r="G27" s="1"/>
  <c r="D18"/>
  <c r="D16"/>
  <c r="G6"/>
  <c r="E96"/>
  <c r="G471"/>
  <c r="G470"/>
  <c r="F470"/>
  <c r="G469"/>
  <c r="F469"/>
  <c r="G468"/>
  <c r="F467"/>
  <c r="F466"/>
  <c r="G465"/>
  <c r="G464"/>
  <c r="F464"/>
  <c r="F463"/>
  <c r="G462"/>
  <c r="G461"/>
  <c r="G460"/>
  <c r="F459"/>
  <c r="F458"/>
  <c r="G457"/>
  <c r="G456"/>
  <c r="F456"/>
  <c r="F455"/>
  <c r="G455"/>
  <c r="G454"/>
  <c r="G453"/>
  <c r="F453"/>
  <c r="F452"/>
  <c r="E452"/>
  <c r="G452" s="1"/>
  <c r="G451"/>
  <c r="G450"/>
  <c r="F450"/>
  <c r="F449"/>
  <c r="E449"/>
  <c r="G449" s="1"/>
  <c r="L449" s="1"/>
  <c r="G448"/>
  <c r="G447"/>
  <c r="F447"/>
  <c r="F446"/>
  <c r="G446"/>
  <c r="G445"/>
  <c r="G444"/>
  <c r="F444"/>
  <c r="G443"/>
  <c r="F443"/>
  <c r="G442"/>
  <c r="G441"/>
  <c r="G440"/>
  <c r="G439"/>
  <c r="G431"/>
  <c r="F431"/>
  <c r="G430"/>
  <c r="F430"/>
  <c r="E429"/>
  <c r="G429" s="1"/>
  <c r="S428"/>
  <c r="G428"/>
  <c r="F428"/>
  <c r="C428"/>
  <c r="L428" s="1"/>
  <c r="G427"/>
  <c r="F427"/>
  <c r="E427"/>
  <c r="S426"/>
  <c r="G426"/>
  <c r="Q426" s="1"/>
  <c r="F426"/>
  <c r="G425"/>
  <c r="F425"/>
  <c r="F424"/>
  <c r="G423"/>
  <c r="G421"/>
  <c r="Q421" s="1"/>
  <c r="F421"/>
  <c r="F422"/>
  <c r="G422" s="1"/>
  <c r="G420"/>
  <c r="G419"/>
  <c r="C419"/>
  <c r="S418"/>
  <c r="G418"/>
  <c r="Q418" s="1"/>
  <c r="F418"/>
  <c r="G417"/>
  <c r="F417"/>
  <c r="F416"/>
  <c r="G415"/>
  <c r="F414"/>
  <c r="G414" s="1"/>
  <c r="G413"/>
  <c r="Q413" s="1"/>
  <c r="F413"/>
  <c r="G412"/>
  <c r="G411"/>
  <c r="G409"/>
  <c r="F409"/>
  <c r="G408"/>
  <c r="F408"/>
  <c r="F407"/>
  <c r="G406"/>
  <c r="Q406" s="1"/>
  <c r="F406"/>
  <c r="G405"/>
  <c r="F405"/>
  <c r="F404"/>
  <c r="F403"/>
  <c r="G403"/>
  <c r="F402"/>
  <c r="G402" s="1"/>
  <c r="Q402" s="1"/>
  <c r="G401"/>
  <c r="G400"/>
  <c r="C400"/>
  <c r="S399"/>
  <c r="G399"/>
  <c r="Q399" s="1"/>
  <c r="F399"/>
  <c r="G398"/>
  <c r="F398"/>
  <c r="F397"/>
  <c r="G396"/>
  <c r="F394"/>
  <c r="G394" s="1"/>
  <c r="Q394" s="1"/>
  <c r="F395"/>
  <c r="G395" s="1"/>
  <c r="G393"/>
  <c r="G392"/>
  <c r="Q392" s="1"/>
  <c r="T399" s="1"/>
  <c r="G391"/>
  <c r="F391"/>
  <c r="G390"/>
  <c r="F390"/>
  <c r="F389"/>
  <c r="G387"/>
  <c r="F387"/>
  <c r="G386"/>
  <c r="F388"/>
  <c r="G385"/>
  <c r="G384"/>
  <c r="F384"/>
  <c r="G383"/>
  <c r="F383"/>
  <c r="F382"/>
  <c r="G381"/>
  <c r="F381"/>
  <c r="G380"/>
  <c r="F380"/>
  <c r="G379"/>
  <c r="L379" s="1"/>
  <c r="E379"/>
  <c r="F379" s="1"/>
  <c r="G377"/>
  <c r="F377"/>
  <c r="G376"/>
  <c r="F376"/>
  <c r="G375"/>
  <c r="F375"/>
  <c r="G374"/>
  <c r="F374"/>
  <c r="G373"/>
  <c r="F373"/>
  <c r="F372"/>
  <c r="E372"/>
  <c r="G372"/>
  <c r="G371"/>
  <c r="G370"/>
  <c r="F370"/>
  <c r="G369"/>
  <c r="F369"/>
  <c r="F368"/>
  <c r="E368"/>
  <c r="G368" s="1"/>
  <c r="G367"/>
  <c r="F367"/>
  <c r="G366"/>
  <c r="F366"/>
  <c r="F365"/>
  <c r="E365"/>
  <c r="G365" s="1"/>
  <c r="G364"/>
  <c r="F364"/>
  <c r="G363"/>
  <c r="F363"/>
  <c r="F362"/>
  <c r="G361"/>
  <c r="F361"/>
  <c r="G360"/>
  <c r="F360"/>
  <c r="F359"/>
  <c r="G358"/>
  <c r="F358"/>
  <c r="G357"/>
  <c r="F357"/>
  <c r="F356"/>
  <c r="G355"/>
  <c r="F355"/>
  <c r="G354"/>
  <c r="F354"/>
  <c r="E353"/>
  <c r="F353" s="1"/>
  <c r="G352"/>
  <c r="F352"/>
  <c r="G351"/>
  <c r="F351"/>
  <c r="F350"/>
  <c r="G346"/>
  <c r="F346"/>
  <c r="G345"/>
  <c r="F345"/>
  <c r="F344"/>
  <c r="G343"/>
  <c r="F343"/>
  <c r="G342"/>
  <c r="F342"/>
  <c r="F341"/>
  <c r="E341"/>
  <c r="G341" s="1"/>
  <c r="G340"/>
  <c r="G339"/>
  <c r="G338"/>
  <c r="F338"/>
  <c r="G337"/>
  <c r="F337"/>
  <c r="F336"/>
  <c r="S335"/>
  <c r="G335"/>
  <c r="Q335" s="1"/>
  <c r="F335"/>
  <c r="G334"/>
  <c r="F334"/>
  <c r="F333"/>
  <c r="G333" s="1"/>
  <c r="F332"/>
  <c r="G332" s="1"/>
  <c r="G331"/>
  <c r="Q331" s="1"/>
  <c r="F331"/>
  <c r="G330"/>
  <c r="G329"/>
  <c r="Q329" s="1"/>
  <c r="T335" s="1"/>
  <c r="S328"/>
  <c r="G328"/>
  <c r="Q328" s="1"/>
  <c r="F328"/>
  <c r="G327"/>
  <c r="F327"/>
  <c r="F326"/>
  <c r="F324"/>
  <c r="G324" s="1"/>
  <c r="Q324" s="1"/>
  <c r="F325"/>
  <c r="G325" s="1"/>
  <c r="G323"/>
  <c r="G322"/>
  <c r="Q322" s="1"/>
  <c r="T328" s="1"/>
  <c r="G321"/>
  <c r="Q321" s="1"/>
  <c r="F321"/>
  <c r="G320"/>
  <c r="F320"/>
  <c r="G319"/>
  <c r="F319"/>
  <c r="G317"/>
  <c r="G316"/>
  <c r="Q316" s="1"/>
  <c r="G315"/>
  <c r="G314"/>
  <c r="L314" s="1"/>
  <c r="G313"/>
  <c r="F313"/>
  <c r="G312"/>
  <c r="F312"/>
  <c r="F311"/>
  <c r="G310"/>
  <c r="F310"/>
  <c r="G309"/>
  <c r="F309"/>
  <c r="G302"/>
  <c r="G301"/>
  <c r="G299"/>
  <c r="G298"/>
  <c r="G296"/>
  <c r="G295"/>
  <c r="G294"/>
  <c r="G293"/>
  <c r="G292"/>
  <c r="G291"/>
  <c r="G290"/>
  <c r="E289"/>
  <c r="G289" s="1"/>
  <c r="L288" s="1"/>
  <c r="Q288" s="1"/>
  <c r="G287"/>
  <c r="G286"/>
  <c r="G285"/>
  <c r="G284"/>
  <c r="G283"/>
  <c r="G282"/>
  <c r="G281"/>
  <c r="G279"/>
  <c r="G278"/>
  <c r="G277"/>
  <c r="G276"/>
  <c r="G275"/>
  <c r="G274"/>
  <c r="L274" s="1"/>
  <c r="E274"/>
  <c r="G273"/>
  <c r="G272"/>
  <c r="G271"/>
  <c r="G270"/>
  <c r="G269"/>
  <c r="G267"/>
  <c r="G266"/>
  <c r="G264"/>
  <c r="G263"/>
  <c r="G260"/>
  <c r="G259"/>
  <c r="G257"/>
  <c r="G256"/>
  <c r="G255"/>
  <c r="G254"/>
  <c r="G252"/>
  <c r="G251"/>
  <c r="G250"/>
  <c r="G249"/>
  <c r="G248"/>
  <c r="G247"/>
  <c r="G246"/>
  <c r="G242"/>
  <c r="G241"/>
  <c r="E240"/>
  <c r="G240"/>
  <c r="S239"/>
  <c r="G239"/>
  <c r="Q239" s="1"/>
  <c r="F239"/>
  <c r="F238"/>
  <c r="G238"/>
  <c r="F237"/>
  <c r="G236"/>
  <c r="G232"/>
  <c r="Q232" s="1"/>
  <c r="F232"/>
  <c r="F233"/>
  <c r="G231"/>
  <c r="G230"/>
  <c r="Q230" s="1"/>
  <c r="T239" s="1"/>
  <c r="G229"/>
  <c r="G228"/>
  <c r="G227"/>
  <c r="G226"/>
  <c r="G225"/>
  <c r="E224"/>
  <c r="G224" s="1"/>
  <c r="L224" s="1"/>
  <c r="G223"/>
  <c r="G222"/>
  <c r="G220"/>
  <c r="G219"/>
  <c r="G217"/>
  <c r="G216"/>
  <c r="G215"/>
  <c r="F214"/>
  <c r="G214" s="1"/>
  <c r="G213"/>
  <c r="F213"/>
  <c r="G212"/>
  <c r="G211"/>
  <c r="G210"/>
  <c r="G209"/>
  <c r="G207"/>
  <c r="G206"/>
  <c r="G204"/>
  <c r="G203"/>
  <c r="G202"/>
  <c r="G201"/>
  <c r="G200"/>
  <c r="G199"/>
  <c r="G198"/>
  <c r="G197"/>
  <c r="F194"/>
  <c r="G194" s="1"/>
  <c r="F195"/>
  <c r="G193"/>
  <c r="G192"/>
  <c r="G191"/>
  <c r="G190"/>
  <c r="G188"/>
  <c r="G187"/>
  <c r="G186"/>
  <c r="G185"/>
  <c r="G184"/>
  <c r="G183"/>
  <c r="G182"/>
  <c r="G180"/>
  <c r="G179"/>
  <c r="G178"/>
  <c r="G177"/>
  <c r="G176"/>
  <c r="G175"/>
  <c r="G173"/>
  <c r="G172"/>
  <c r="G167"/>
  <c r="G166"/>
  <c r="E165"/>
  <c r="G165" s="1"/>
  <c r="L165" s="1"/>
  <c r="G164"/>
  <c r="G163"/>
  <c r="G162"/>
  <c r="G161"/>
  <c r="G160"/>
  <c r="G158"/>
  <c r="G157"/>
  <c r="S156"/>
  <c r="F156"/>
  <c r="G156"/>
  <c r="Q156" s="1"/>
  <c r="F155"/>
  <c r="G155"/>
  <c r="G154"/>
  <c r="G153"/>
  <c r="G152"/>
  <c r="G151"/>
  <c r="Q151" s="1"/>
  <c r="T156" s="1"/>
  <c r="G146"/>
  <c r="F146"/>
  <c r="G145"/>
  <c r="F145"/>
  <c r="L144"/>
  <c r="G144"/>
  <c r="F144"/>
  <c r="E144"/>
  <c r="G143"/>
  <c r="F143"/>
  <c r="G142"/>
  <c r="F142"/>
  <c r="G141"/>
  <c r="E141"/>
  <c r="F141" s="1"/>
  <c r="F140"/>
  <c r="E140"/>
  <c r="G140" s="1"/>
  <c r="J139"/>
  <c r="G139"/>
  <c r="G138"/>
  <c r="F138"/>
  <c r="G137"/>
  <c r="F137"/>
  <c r="F136"/>
  <c r="G135"/>
  <c r="F135"/>
  <c r="G134"/>
  <c r="F134"/>
  <c r="F133"/>
  <c r="G132"/>
  <c r="G131"/>
  <c r="G130"/>
  <c r="F130"/>
  <c r="G129"/>
  <c r="F129"/>
  <c r="F128"/>
  <c r="G128"/>
  <c r="G127"/>
  <c r="F127"/>
  <c r="G126"/>
  <c r="F126"/>
  <c r="F125"/>
  <c r="G124"/>
  <c r="F124"/>
  <c r="G123"/>
  <c r="F123"/>
  <c r="F122"/>
  <c r="E122"/>
  <c r="G122" s="1"/>
  <c r="G121"/>
  <c r="F121"/>
  <c r="G120"/>
  <c r="F120"/>
  <c r="F119"/>
  <c r="G118"/>
  <c r="F118"/>
  <c r="G117"/>
  <c r="F117"/>
  <c r="F116"/>
  <c r="G115"/>
  <c r="F115"/>
  <c r="G114"/>
  <c r="F114"/>
  <c r="F113"/>
  <c r="G113"/>
  <c r="G112"/>
  <c r="F112"/>
  <c r="G111"/>
  <c r="F111"/>
  <c r="F110"/>
  <c r="G109"/>
  <c r="G108"/>
  <c r="G107"/>
  <c r="F107"/>
  <c r="G106"/>
  <c r="F106"/>
  <c r="G105"/>
  <c r="L105" s="1"/>
  <c r="E105"/>
  <c r="F105" s="1"/>
  <c r="G104"/>
  <c r="F104"/>
  <c r="G103"/>
  <c r="F103"/>
  <c r="F102"/>
  <c r="G101"/>
  <c r="F101"/>
  <c r="G100"/>
  <c r="F100"/>
  <c r="F99"/>
  <c r="G99"/>
  <c r="G98"/>
  <c r="F98"/>
  <c r="G97"/>
  <c r="F97"/>
  <c r="F96"/>
  <c r="G95"/>
  <c r="F95"/>
  <c r="G94"/>
  <c r="F94"/>
  <c r="F93"/>
  <c r="G93"/>
  <c r="G92"/>
  <c r="F92"/>
  <c r="G91"/>
  <c r="F91"/>
  <c r="F90"/>
  <c r="S89"/>
  <c r="G89"/>
  <c r="Q89" s="1"/>
  <c r="F89"/>
  <c r="G88"/>
  <c r="F88"/>
  <c r="F87"/>
  <c r="G86"/>
  <c r="F85"/>
  <c r="G85"/>
  <c r="F84"/>
  <c r="G84" s="1"/>
  <c r="Q84" s="1"/>
  <c r="G83"/>
  <c r="G82"/>
  <c r="G81"/>
  <c r="F81"/>
  <c r="G80"/>
  <c r="F80"/>
  <c r="F79"/>
  <c r="G78"/>
  <c r="F78"/>
  <c r="G77"/>
  <c r="F77"/>
  <c r="F76"/>
  <c r="F75"/>
  <c r="G75" s="1"/>
  <c r="G74"/>
  <c r="F74"/>
  <c r="F73"/>
  <c r="G73"/>
  <c r="G72"/>
  <c r="G71"/>
  <c r="F70"/>
  <c r="G70" s="1"/>
  <c r="G69"/>
  <c r="G68"/>
  <c r="G67"/>
  <c r="F67"/>
  <c r="G66"/>
  <c r="F66"/>
  <c r="G65"/>
  <c r="F65"/>
  <c r="G64"/>
  <c r="F64"/>
  <c r="G63"/>
  <c r="F63"/>
  <c r="F62"/>
  <c r="G61"/>
  <c r="F61"/>
  <c r="G60"/>
  <c r="F60"/>
  <c r="F59"/>
  <c r="G58"/>
  <c r="F58"/>
  <c r="G57"/>
  <c r="F57"/>
  <c r="F56"/>
  <c r="E56"/>
  <c r="G56" s="1"/>
  <c r="G55"/>
  <c r="F55"/>
  <c r="G54"/>
  <c r="F54"/>
  <c r="F53"/>
  <c r="G53"/>
  <c r="G52"/>
  <c r="F52"/>
  <c r="G51"/>
  <c r="F51"/>
  <c r="F50"/>
  <c r="G50"/>
  <c r="G49"/>
  <c r="G48"/>
  <c r="G47"/>
  <c r="L43" s="1"/>
  <c r="F47"/>
  <c r="F46"/>
  <c r="G45"/>
  <c r="F45"/>
  <c r="G44"/>
  <c r="G43"/>
  <c r="G42"/>
  <c r="F42"/>
  <c r="G41"/>
  <c r="F41"/>
  <c r="F40"/>
  <c r="G40"/>
  <c r="G39"/>
  <c r="G38"/>
  <c r="G37"/>
  <c r="F37"/>
  <c r="G36"/>
  <c r="F36"/>
  <c r="G35"/>
  <c r="F35"/>
  <c r="G34"/>
  <c r="G33"/>
  <c r="G29"/>
  <c r="G28"/>
  <c r="F28"/>
  <c r="G25"/>
  <c r="F25"/>
  <c r="F24"/>
  <c r="G24" s="1"/>
  <c r="S23"/>
  <c r="G23"/>
  <c r="Q23" s="1"/>
  <c r="F23"/>
  <c r="J22"/>
  <c r="G22"/>
  <c r="L21" s="1"/>
  <c r="U21" s="1"/>
  <c r="Q21"/>
  <c r="J21"/>
  <c r="G21"/>
  <c r="T20"/>
  <c r="S20"/>
  <c r="F20"/>
  <c r="G20"/>
  <c r="F19"/>
  <c r="G19" s="1"/>
  <c r="G17"/>
  <c r="F15"/>
  <c r="G15" s="1"/>
  <c r="F16"/>
  <c r="G14"/>
  <c r="G13"/>
  <c r="G12"/>
  <c r="F12"/>
  <c r="G11"/>
  <c r="F11"/>
  <c r="G10"/>
  <c r="L9" s="1"/>
  <c r="U9" s="1"/>
  <c r="E10"/>
  <c r="S8"/>
  <c r="G8"/>
  <c r="Q8" s="1"/>
  <c r="T8" s="1"/>
  <c r="F8"/>
  <c r="F7"/>
  <c r="F6"/>
  <c r="G5"/>
  <c r="G4"/>
  <c r="G46" i="26"/>
  <c r="G415"/>
  <c r="G407"/>
  <c r="G398"/>
  <c r="L113" i="27" l="1"/>
  <c r="L93"/>
  <c r="L33"/>
  <c r="L300"/>
  <c r="L271"/>
  <c r="L268"/>
  <c r="L199"/>
  <c r="L162"/>
  <c r="L256"/>
  <c r="L227"/>
  <c r="L297"/>
  <c r="L171"/>
  <c r="L184"/>
  <c r="L189"/>
  <c r="L202"/>
  <c r="L205"/>
  <c r="L277"/>
  <c r="L292"/>
  <c r="L208"/>
  <c r="L218"/>
  <c r="L240"/>
  <c r="L246"/>
  <c r="L280"/>
  <c r="L221"/>
  <c r="L261"/>
  <c r="L265"/>
  <c r="L469"/>
  <c r="L458"/>
  <c r="L455"/>
  <c r="L452"/>
  <c r="L466"/>
  <c r="L446"/>
  <c r="L344"/>
  <c r="T426"/>
  <c r="L419"/>
  <c r="L329"/>
  <c r="U329" s="1"/>
  <c r="L368"/>
  <c r="L322"/>
  <c r="U322" s="1"/>
  <c r="L362"/>
  <c r="L372"/>
  <c r="L375"/>
  <c r="Q400"/>
  <c r="Q419"/>
  <c r="L308"/>
  <c r="L356"/>
  <c r="L359"/>
  <c r="L365"/>
  <c r="L382"/>
  <c r="L128"/>
  <c r="L116"/>
  <c r="L90"/>
  <c r="L76"/>
  <c r="L99"/>
  <c r="L102"/>
  <c r="L119"/>
  <c r="L122"/>
  <c r="L56"/>
  <c r="L62"/>
  <c r="L65"/>
  <c r="L53"/>
  <c r="V7"/>
  <c r="G18"/>
  <c r="L4"/>
  <c r="U4" s="1"/>
  <c r="R6"/>
  <c r="Q22"/>
  <c r="T23" s="1"/>
  <c r="L24"/>
  <c r="L38"/>
  <c r="G16"/>
  <c r="L139"/>
  <c r="L174"/>
  <c r="L179"/>
  <c r="G195"/>
  <c r="L192" s="1"/>
  <c r="L211"/>
  <c r="L251"/>
  <c r="L48"/>
  <c r="L68"/>
  <c r="L151"/>
  <c r="U151" s="1"/>
  <c r="L157"/>
  <c r="G233"/>
  <c r="G388"/>
  <c r="L392"/>
  <c r="L400"/>
  <c r="L461"/>
  <c r="L108"/>
  <c r="L283"/>
  <c r="L339"/>
  <c r="L439"/>
  <c r="Q428"/>
  <c r="T428" s="1"/>
  <c r="F429"/>
  <c r="L27"/>
  <c r="L59"/>
  <c r="G79"/>
  <c r="L79" s="1"/>
  <c r="Q82"/>
  <c r="T89" s="1"/>
  <c r="L82"/>
  <c r="U82" s="1"/>
  <c r="G96"/>
  <c r="L96" s="1"/>
  <c r="L125"/>
  <c r="G133"/>
  <c r="L131" s="1"/>
  <c r="L136"/>
  <c r="L230"/>
  <c r="G311"/>
  <c r="L311" s="1"/>
  <c r="Q314"/>
  <c r="L336"/>
  <c r="L350"/>
  <c r="G353"/>
  <c r="L353" s="1"/>
  <c r="L407"/>
  <c r="Q411"/>
  <c r="T418" s="1"/>
  <c r="G416"/>
  <c r="L411" s="1"/>
  <c r="G395" i="26"/>
  <c r="L13" i="27" l="1"/>
  <c r="U13" s="1"/>
  <c r="L385"/>
  <c r="G388" i="26"/>
  <c r="G380"/>
  <c r="G366"/>
  <c r="G350" l="1"/>
  <c r="G347"/>
  <c r="G341"/>
  <c r="G338"/>
  <c r="D329"/>
  <c r="D328"/>
  <c r="G302"/>
  <c r="G294"/>
  <c r="G291" l="1"/>
  <c r="G218" l="1"/>
  <c r="G279" l="1"/>
  <c r="D281"/>
  <c r="D280"/>
  <c r="G274" l="1"/>
  <c r="G271" l="1"/>
  <c r="G265"/>
  <c r="G262" l="1"/>
  <c r="G259" l="1"/>
  <c r="G256" l="1"/>
  <c r="G252"/>
  <c r="D254"/>
  <c r="D253"/>
  <c r="G247" l="1"/>
  <c r="D249"/>
  <c r="D248"/>
  <c r="G234" l="1"/>
  <c r="D236"/>
  <c r="D235"/>
  <c r="D229"/>
  <c r="G215" l="1"/>
  <c r="G205" l="1"/>
  <c r="G193" l="1"/>
  <c r="G168" l="1"/>
  <c r="G162" l="1"/>
  <c r="D156" l="1"/>
  <c r="D155"/>
  <c r="G155" l="1"/>
  <c r="G18"/>
  <c r="D20"/>
  <c r="D19"/>
  <c r="D8" l="1"/>
  <c r="D7"/>
  <c r="G136" l="1"/>
  <c r="G133"/>
  <c r="G116" l="1"/>
  <c r="G110" l="1"/>
  <c r="G102" l="1"/>
  <c r="G99"/>
  <c r="G93" l="1"/>
  <c r="G90" l="1"/>
  <c r="G92"/>
  <c r="F92"/>
  <c r="G91"/>
  <c r="F91"/>
  <c r="E90"/>
  <c r="F90" s="1"/>
  <c r="L90" l="1"/>
  <c r="D47"/>
  <c r="D46"/>
  <c r="D43"/>
  <c r="D38" l="1"/>
  <c r="E446" l="1"/>
  <c r="H452" l="1"/>
  <c r="J452" s="1"/>
  <c r="J430"/>
  <c r="H430"/>
  <c r="E294"/>
  <c r="E291"/>
  <c r="E279"/>
  <c r="F278"/>
  <c r="E278"/>
  <c r="E274"/>
  <c r="E271"/>
  <c r="E265"/>
  <c r="E262"/>
  <c r="E259"/>
  <c r="E256"/>
  <c r="E252"/>
  <c r="F251"/>
  <c r="E251"/>
  <c r="E247"/>
  <c r="F246"/>
  <c r="E246"/>
  <c r="E242"/>
  <c r="F241"/>
  <c r="E241"/>
  <c r="E237"/>
  <c r="E234"/>
  <c r="E230"/>
  <c r="F230"/>
  <c r="F228"/>
  <c r="E228"/>
  <c r="E218"/>
  <c r="E215"/>
  <c r="E212"/>
  <c r="E211"/>
  <c r="F211"/>
  <c r="F209"/>
  <c r="E209"/>
  <c r="E205"/>
  <c r="E202"/>
  <c r="E199"/>
  <c r="E196"/>
  <c r="E193"/>
  <c r="E192"/>
  <c r="F192"/>
  <c r="F190"/>
  <c r="E190"/>
  <c r="E186"/>
  <c r="E183"/>
  <c r="F182"/>
  <c r="E182"/>
  <c r="E178"/>
  <c r="F177"/>
  <c r="E177"/>
  <c r="F175"/>
  <c r="E175"/>
  <c r="E171"/>
  <c r="E168"/>
  <c r="E162"/>
  <c r="E159"/>
  <c r="F158"/>
  <c r="E158"/>
  <c r="E460"/>
  <c r="E457"/>
  <c r="E454"/>
  <c r="F453"/>
  <c r="E453"/>
  <c r="E449"/>
  <c r="E443"/>
  <c r="E440"/>
  <c r="E437"/>
  <c r="E434"/>
  <c r="F431"/>
  <c r="E431"/>
  <c r="E415"/>
  <c r="E413"/>
  <c r="F413"/>
  <c r="F411"/>
  <c r="E411"/>
  <c r="E407"/>
  <c r="E405"/>
  <c r="F405"/>
  <c r="F403"/>
  <c r="E403"/>
  <c r="E398"/>
  <c r="E395"/>
  <c r="E394"/>
  <c r="F394"/>
  <c r="F392"/>
  <c r="E392"/>
  <c r="E388"/>
  <c r="E386"/>
  <c r="F386"/>
  <c r="F384"/>
  <c r="E384"/>
  <c r="E380"/>
  <c r="E379"/>
  <c r="F379"/>
  <c r="F377"/>
  <c r="E377"/>
  <c r="E373"/>
  <c r="E366"/>
  <c r="E363"/>
  <c r="E353"/>
  <c r="E350"/>
  <c r="E347"/>
  <c r="E341"/>
  <c r="E338"/>
  <c r="E330"/>
  <c r="E327"/>
  <c r="E326"/>
  <c r="F326"/>
  <c r="F324"/>
  <c r="E324"/>
  <c r="E320"/>
  <c r="E319"/>
  <c r="F319"/>
  <c r="F317"/>
  <c r="E317"/>
  <c r="E305"/>
  <c r="E302"/>
  <c r="E136"/>
  <c r="E133"/>
  <c r="F132"/>
  <c r="E132"/>
  <c r="E128"/>
  <c r="E125"/>
  <c r="E119"/>
  <c r="E116"/>
  <c r="E113"/>
  <c r="E110"/>
  <c r="F109"/>
  <c r="E109"/>
  <c r="E102"/>
  <c r="E99"/>
  <c r="E96"/>
  <c r="E93"/>
  <c r="E87"/>
  <c r="D85"/>
  <c r="F85"/>
  <c r="F84"/>
  <c r="F83"/>
  <c r="E83"/>
  <c r="E79"/>
  <c r="E76"/>
  <c r="E73"/>
  <c r="D71"/>
  <c r="F71"/>
  <c r="F69"/>
  <c r="E69"/>
  <c r="E65"/>
  <c r="E62"/>
  <c r="E59"/>
  <c r="E53"/>
  <c r="E50"/>
  <c r="F49"/>
  <c r="E49"/>
  <c r="E40"/>
  <c r="E39"/>
  <c r="F39"/>
  <c r="E35"/>
  <c r="F34"/>
  <c r="E34"/>
  <c r="E27"/>
  <c r="E18"/>
  <c r="E16"/>
  <c r="F16"/>
  <c r="F14"/>
  <c r="E14"/>
  <c r="D460"/>
  <c r="G460" s="1"/>
  <c r="D457"/>
  <c r="G457" s="1"/>
  <c r="D454"/>
  <c r="G454" s="1"/>
  <c r="D453"/>
  <c r="D449"/>
  <c r="D446"/>
  <c r="D443"/>
  <c r="G443" s="1"/>
  <c r="D437"/>
  <c r="D434"/>
  <c r="D431"/>
  <c r="D415"/>
  <c r="D413"/>
  <c r="D411"/>
  <c r="D407"/>
  <c r="D405"/>
  <c r="D403"/>
  <c r="D398"/>
  <c r="D395"/>
  <c r="D392"/>
  <c r="D388"/>
  <c r="D384"/>
  <c r="D380"/>
  <c r="D379"/>
  <c r="D377"/>
  <c r="D373"/>
  <c r="D366"/>
  <c r="D363"/>
  <c r="D353"/>
  <c r="D350"/>
  <c r="D347"/>
  <c r="D341"/>
  <c r="D338"/>
  <c r="D330"/>
  <c r="D327"/>
  <c r="D326"/>
  <c r="D324"/>
  <c r="D320"/>
  <c r="D317"/>
  <c r="D302"/>
  <c r="D294"/>
  <c r="D291"/>
  <c r="D279"/>
  <c r="D278"/>
  <c r="D274"/>
  <c r="G273"/>
  <c r="G272"/>
  <c r="D265"/>
  <c r="D262"/>
  <c r="D259"/>
  <c r="D256"/>
  <c r="D252"/>
  <c r="D251"/>
  <c r="D247"/>
  <c r="D246"/>
  <c r="D242"/>
  <c r="D241"/>
  <c r="D237"/>
  <c r="G237" s="1"/>
  <c r="D234"/>
  <c r="D230"/>
  <c r="D228"/>
  <c r="D218"/>
  <c r="D215"/>
  <c r="D212"/>
  <c r="D211"/>
  <c r="D209"/>
  <c r="D205"/>
  <c r="D202"/>
  <c r="D199"/>
  <c r="D196"/>
  <c r="D193"/>
  <c r="D192"/>
  <c r="D190"/>
  <c r="D186"/>
  <c r="D183"/>
  <c r="D182"/>
  <c r="D178"/>
  <c r="D177"/>
  <c r="D175"/>
  <c r="D171"/>
  <c r="D168"/>
  <c r="D162"/>
  <c r="D159"/>
  <c r="D158"/>
  <c r="D136"/>
  <c r="D133"/>
  <c r="D132"/>
  <c r="D128"/>
  <c r="D125"/>
  <c r="D119"/>
  <c r="D116"/>
  <c r="D113"/>
  <c r="D110"/>
  <c r="D109"/>
  <c r="D102"/>
  <c r="D99"/>
  <c r="D96"/>
  <c r="D93"/>
  <c r="D87"/>
  <c r="G87" s="1"/>
  <c r="D83"/>
  <c r="D79"/>
  <c r="G79" s="1"/>
  <c r="D76"/>
  <c r="G76" s="1"/>
  <c r="D73"/>
  <c r="D69"/>
  <c r="D65"/>
  <c r="D62"/>
  <c r="D59"/>
  <c r="G59" s="1"/>
  <c r="D53"/>
  <c r="D50"/>
  <c r="D49"/>
  <c r="D40"/>
  <c r="D39"/>
  <c r="L271" l="1"/>
  <c r="D35" l="1"/>
  <c r="D34"/>
  <c r="D27"/>
  <c r="D18"/>
  <c r="D16"/>
  <c r="G16" s="1"/>
  <c r="D14"/>
  <c r="G14" s="1"/>
  <c r="G462"/>
  <c r="G461"/>
  <c r="F461"/>
  <c r="F460"/>
  <c r="G459"/>
  <c r="G458"/>
  <c r="F458"/>
  <c r="F457"/>
  <c r="G456"/>
  <c r="G455"/>
  <c r="F455"/>
  <c r="F454"/>
  <c r="G453"/>
  <c r="G452"/>
  <c r="G451"/>
  <c r="G450"/>
  <c r="F450"/>
  <c r="F449"/>
  <c r="G449"/>
  <c r="G448"/>
  <c r="G447"/>
  <c r="F447"/>
  <c r="F446"/>
  <c r="G446"/>
  <c r="G445"/>
  <c r="G444"/>
  <c r="F444"/>
  <c r="F443"/>
  <c r="G442"/>
  <c r="G441"/>
  <c r="F441"/>
  <c r="F440"/>
  <c r="G440"/>
  <c r="G439"/>
  <c r="G438"/>
  <c r="F438"/>
  <c r="F437"/>
  <c r="G437"/>
  <c r="G436"/>
  <c r="G435"/>
  <c r="F435"/>
  <c r="G434"/>
  <c r="F434"/>
  <c r="G433"/>
  <c r="G432"/>
  <c r="G431"/>
  <c r="G430"/>
  <c r="G422"/>
  <c r="F422"/>
  <c r="G421"/>
  <c r="F421"/>
  <c r="G420"/>
  <c r="F420"/>
  <c r="E420"/>
  <c r="S419"/>
  <c r="G419"/>
  <c r="F419"/>
  <c r="C419"/>
  <c r="Q419" s="1"/>
  <c r="T419" s="1"/>
  <c r="F418"/>
  <c r="E418"/>
  <c r="G418" s="1"/>
  <c r="S417"/>
  <c r="G417"/>
  <c r="Q417" s="1"/>
  <c r="F417"/>
  <c r="G416"/>
  <c r="F416"/>
  <c r="F415"/>
  <c r="G414"/>
  <c r="G413"/>
  <c r="F412"/>
  <c r="G412" s="1"/>
  <c r="Q412" s="1"/>
  <c r="G411"/>
  <c r="G410"/>
  <c r="C410"/>
  <c r="S409"/>
  <c r="G409"/>
  <c r="Q409" s="1"/>
  <c r="F409"/>
  <c r="G408"/>
  <c r="F408"/>
  <c r="F407"/>
  <c r="G406"/>
  <c r="G405"/>
  <c r="F404"/>
  <c r="G404" s="1"/>
  <c r="Q404" s="1"/>
  <c r="G403"/>
  <c r="G402"/>
  <c r="G400"/>
  <c r="F400"/>
  <c r="G399"/>
  <c r="F399"/>
  <c r="F398"/>
  <c r="G397"/>
  <c r="Q397" s="1"/>
  <c r="F397"/>
  <c r="G396"/>
  <c r="F396"/>
  <c r="F395"/>
  <c r="G394"/>
  <c r="F393"/>
  <c r="G393" s="1"/>
  <c r="Q393" s="1"/>
  <c r="G392"/>
  <c r="G391"/>
  <c r="C391"/>
  <c r="S390"/>
  <c r="G390"/>
  <c r="Q390" s="1"/>
  <c r="F390"/>
  <c r="G389"/>
  <c r="F389"/>
  <c r="F388"/>
  <c r="G387"/>
  <c r="G386"/>
  <c r="F385"/>
  <c r="G385" s="1"/>
  <c r="Q385" s="1"/>
  <c r="G384"/>
  <c r="G383"/>
  <c r="Q383" s="1"/>
  <c r="T390" s="1"/>
  <c r="G382"/>
  <c r="F382"/>
  <c r="G381"/>
  <c r="F381"/>
  <c r="F380"/>
  <c r="G379"/>
  <c r="F378"/>
  <c r="G378" s="1"/>
  <c r="G377"/>
  <c r="G376"/>
  <c r="G375"/>
  <c r="F375"/>
  <c r="G374"/>
  <c r="F374"/>
  <c r="F373"/>
  <c r="G373"/>
  <c r="G372"/>
  <c r="F372"/>
  <c r="G371"/>
  <c r="F371"/>
  <c r="E370"/>
  <c r="F370" s="1"/>
  <c r="G368"/>
  <c r="F368"/>
  <c r="G367"/>
  <c r="F367"/>
  <c r="F366"/>
  <c r="G365"/>
  <c r="F365"/>
  <c r="G364"/>
  <c r="F364"/>
  <c r="F363"/>
  <c r="G363"/>
  <c r="G362"/>
  <c r="G361"/>
  <c r="F361"/>
  <c r="G360"/>
  <c r="L359" s="1"/>
  <c r="F360"/>
  <c r="G359"/>
  <c r="F359"/>
  <c r="E359"/>
  <c r="G358"/>
  <c r="F358"/>
  <c r="G357"/>
  <c r="F357"/>
  <c r="L356"/>
  <c r="G356"/>
  <c r="F356"/>
  <c r="E356"/>
  <c r="G355"/>
  <c r="F355"/>
  <c r="G354"/>
  <c r="F354"/>
  <c r="F353"/>
  <c r="G353"/>
  <c r="G352"/>
  <c r="F352"/>
  <c r="G351"/>
  <c r="F351"/>
  <c r="F350"/>
  <c r="G349"/>
  <c r="F349"/>
  <c r="G348"/>
  <c r="F348"/>
  <c r="F347"/>
  <c r="G346"/>
  <c r="F346"/>
  <c r="G345"/>
  <c r="F345"/>
  <c r="G344"/>
  <c r="L344" s="1"/>
  <c r="F344"/>
  <c r="E344"/>
  <c r="G343"/>
  <c r="F343"/>
  <c r="G342"/>
  <c r="F342"/>
  <c r="F341"/>
  <c r="G340"/>
  <c r="F340"/>
  <c r="G339"/>
  <c r="F339"/>
  <c r="F338"/>
  <c r="G337"/>
  <c r="F337"/>
  <c r="G336"/>
  <c r="F336"/>
  <c r="G335"/>
  <c r="F335"/>
  <c r="E335"/>
  <c r="G334"/>
  <c r="L333" s="1"/>
  <c r="G333"/>
  <c r="G332"/>
  <c r="F332"/>
  <c r="G331"/>
  <c r="F331"/>
  <c r="G330"/>
  <c r="F330"/>
  <c r="S329"/>
  <c r="F329"/>
  <c r="G329"/>
  <c r="Q329" s="1"/>
  <c r="F328"/>
  <c r="G328"/>
  <c r="F327"/>
  <c r="G327" s="1"/>
  <c r="G326"/>
  <c r="F325"/>
  <c r="G325" s="1"/>
  <c r="Q325" s="1"/>
  <c r="G324"/>
  <c r="G323"/>
  <c r="Q323" s="1"/>
  <c r="T329" s="1"/>
  <c r="S322"/>
  <c r="G322"/>
  <c r="Q322" s="1"/>
  <c r="F322"/>
  <c r="G321"/>
  <c r="F321"/>
  <c r="F320"/>
  <c r="G320" s="1"/>
  <c r="G319"/>
  <c r="F318"/>
  <c r="G318" s="1"/>
  <c r="G317"/>
  <c r="G316"/>
  <c r="Q316" s="1"/>
  <c r="T322" s="1"/>
  <c r="G315"/>
  <c r="Q315" s="1"/>
  <c r="F315"/>
  <c r="G314"/>
  <c r="F314"/>
  <c r="G313"/>
  <c r="F313"/>
  <c r="G311"/>
  <c r="G310"/>
  <c r="Q310" s="1"/>
  <c r="G309"/>
  <c r="Q308"/>
  <c r="G308"/>
  <c r="G307"/>
  <c r="F307"/>
  <c r="G306"/>
  <c r="F306"/>
  <c r="G305"/>
  <c r="F305"/>
  <c r="G304"/>
  <c r="F304"/>
  <c r="G303"/>
  <c r="F303"/>
  <c r="G296"/>
  <c r="G295"/>
  <c r="L294"/>
  <c r="G293"/>
  <c r="G292"/>
  <c r="G290"/>
  <c r="G289"/>
  <c r="G288"/>
  <c r="L286" s="1"/>
  <c r="G287"/>
  <c r="G286"/>
  <c r="G285"/>
  <c r="G284"/>
  <c r="G283"/>
  <c r="L282" s="1"/>
  <c r="Q282" s="1"/>
  <c r="E283"/>
  <c r="G281"/>
  <c r="G280"/>
  <c r="G278"/>
  <c r="G277"/>
  <c r="G276"/>
  <c r="G275"/>
  <c r="G270"/>
  <c r="G269"/>
  <c r="E268"/>
  <c r="G268" s="1"/>
  <c r="L268" s="1"/>
  <c r="G267"/>
  <c r="G266"/>
  <c r="G264"/>
  <c r="G263"/>
  <c r="G261"/>
  <c r="G260"/>
  <c r="G258"/>
  <c r="G257"/>
  <c r="G254"/>
  <c r="G253"/>
  <c r="G251"/>
  <c r="G250"/>
  <c r="G249"/>
  <c r="G248"/>
  <c r="G246"/>
  <c r="G245"/>
  <c r="G244"/>
  <c r="G243"/>
  <c r="G242"/>
  <c r="G241"/>
  <c r="G240"/>
  <c r="G239"/>
  <c r="G238"/>
  <c r="S236"/>
  <c r="G236"/>
  <c r="Q236" s="1"/>
  <c r="F236"/>
  <c r="F235"/>
  <c r="G235"/>
  <c r="F234"/>
  <c r="G233"/>
  <c r="G230"/>
  <c r="F229"/>
  <c r="G229" s="1"/>
  <c r="Q229" s="1"/>
  <c r="G228"/>
  <c r="G227"/>
  <c r="G226"/>
  <c r="G225"/>
  <c r="G224"/>
  <c r="G223"/>
  <c r="G222"/>
  <c r="G221"/>
  <c r="E221"/>
  <c r="G220"/>
  <c r="G219"/>
  <c r="G217"/>
  <c r="G216"/>
  <c r="G214"/>
  <c r="G213"/>
  <c r="G212"/>
  <c r="G211"/>
  <c r="G210"/>
  <c r="F210"/>
  <c r="G209"/>
  <c r="G208"/>
  <c r="G207"/>
  <c r="G206"/>
  <c r="G204"/>
  <c r="G203"/>
  <c r="G202"/>
  <c r="G201"/>
  <c r="G200"/>
  <c r="G199"/>
  <c r="G198"/>
  <c r="G197"/>
  <c r="G196"/>
  <c r="G195"/>
  <c r="G194"/>
  <c r="G192"/>
  <c r="F191"/>
  <c r="G191" s="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7"/>
  <c r="G166"/>
  <c r="G165"/>
  <c r="L165" s="1"/>
  <c r="E165"/>
  <c r="G164"/>
  <c r="G163"/>
  <c r="G161"/>
  <c r="G160"/>
  <c r="G159"/>
  <c r="G158"/>
  <c r="G157"/>
  <c r="S156"/>
  <c r="G156"/>
  <c r="Q156" s="1"/>
  <c r="F156"/>
  <c r="F155"/>
  <c r="G154"/>
  <c r="G153"/>
  <c r="G152"/>
  <c r="G151"/>
  <c r="Q151" s="1"/>
  <c r="T156" s="1"/>
  <c r="G146"/>
  <c r="F146"/>
  <c r="G145"/>
  <c r="F145"/>
  <c r="F144"/>
  <c r="E144"/>
  <c r="G144" s="1"/>
  <c r="L144" s="1"/>
  <c r="G143"/>
  <c r="F143"/>
  <c r="G142"/>
  <c r="F142"/>
  <c r="E141"/>
  <c r="F141" s="1"/>
  <c r="G140"/>
  <c r="F140"/>
  <c r="E140"/>
  <c r="J139"/>
  <c r="G139"/>
  <c r="G138"/>
  <c r="F138"/>
  <c r="G137"/>
  <c r="F137"/>
  <c r="F136"/>
  <c r="G135"/>
  <c r="F135"/>
  <c r="G134"/>
  <c r="F134"/>
  <c r="F133"/>
  <c r="G132"/>
  <c r="G131"/>
  <c r="G130"/>
  <c r="F130"/>
  <c r="G129"/>
  <c r="F129"/>
  <c r="G128"/>
  <c r="F128"/>
  <c r="G127"/>
  <c r="F127"/>
  <c r="G126"/>
  <c r="F126"/>
  <c r="F125"/>
  <c r="G125"/>
  <c r="L125" s="1"/>
  <c r="G124"/>
  <c r="F124"/>
  <c r="G123"/>
  <c r="F123"/>
  <c r="E122"/>
  <c r="F122" s="1"/>
  <c r="G121"/>
  <c r="F121"/>
  <c r="G120"/>
  <c r="F120"/>
  <c r="F119"/>
  <c r="G119"/>
  <c r="G118"/>
  <c r="F118"/>
  <c r="G117"/>
  <c r="F117"/>
  <c r="F116"/>
  <c r="G115"/>
  <c r="F115"/>
  <c r="G114"/>
  <c r="F114"/>
  <c r="G113"/>
  <c r="F113"/>
  <c r="G112"/>
  <c r="F112"/>
  <c r="G111"/>
  <c r="F111"/>
  <c r="F110"/>
  <c r="G109"/>
  <c r="G108"/>
  <c r="G107"/>
  <c r="F107"/>
  <c r="G106"/>
  <c r="F106"/>
  <c r="G105"/>
  <c r="F105"/>
  <c r="E105"/>
  <c r="G104"/>
  <c r="F104"/>
  <c r="G103"/>
  <c r="F103"/>
  <c r="F102"/>
  <c r="G101"/>
  <c r="F101"/>
  <c r="G100"/>
  <c r="F100"/>
  <c r="F99"/>
  <c r="G98"/>
  <c r="F98"/>
  <c r="G97"/>
  <c r="F97"/>
  <c r="F96"/>
  <c r="G96"/>
  <c r="G95"/>
  <c r="F95"/>
  <c r="G94"/>
  <c r="F94"/>
  <c r="F93"/>
  <c r="S89"/>
  <c r="G89"/>
  <c r="Q89" s="1"/>
  <c r="F89"/>
  <c r="G88"/>
  <c r="F88"/>
  <c r="F87"/>
  <c r="G86"/>
  <c r="G85"/>
  <c r="G84"/>
  <c r="Q84" s="1"/>
  <c r="G83"/>
  <c r="G82"/>
  <c r="Q82" s="1"/>
  <c r="G81"/>
  <c r="F81"/>
  <c r="G80"/>
  <c r="F80"/>
  <c r="F79"/>
  <c r="G78"/>
  <c r="F78"/>
  <c r="G77"/>
  <c r="F77"/>
  <c r="F76"/>
  <c r="F75"/>
  <c r="G75" s="1"/>
  <c r="G74"/>
  <c r="F74"/>
  <c r="F73"/>
  <c r="G73"/>
  <c r="G72"/>
  <c r="G71"/>
  <c r="F70"/>
  <c r="G70" s="1"/>
  <c r="G69"/>
  <c r="G68"/>
  <c r="G67"/>
  <c r="F67"/>
  <c r="G66"/>
  <c r="F66"/>
  <c r="F65"/>
  <c r="G65"/>
  <c r="G64"/>
  <c r="F64"/>
  <c r="G63"/>
  <c r="F63"/>
  <c r="F62"/>
  <c r="G62"/>
  <c r="G61"/>
  <c r="F61"/>
  <c r="G60"/>
  <c r="F60"/>
  <c r="F59"/>
  <c r="G58"/>
  <c r="F58"/>
  <c r="G57"/>
  <c r="F57"/>
  <c r="G56"/>
  <c r="L56" s="1"/>
  <c r="F56"/>
  <c r="E56"/>
  <c r="G55"/>
  <c r="F55"/>
  <c r="G54"/>
  <c r="F54"/>
  <c r="G53"/>
  <c r="F53"/>
  <c r="G52"/>
  <c r="F52"/>
  <c r="G51"/>
  <c r="F51"/>
  <c r="G50"/>
  <c r="F50"/>
  <c r="G49"/>
  <c r="G48"/>
  <c r="F47"/>
  <c r="G47"/>
  <c r="F46"/>
  <c r="G45"/>
  <c r="F45"/>
  <c r="G44"/>
  <c r="G43"/>
  <c r="G42"/>
  <c r="F42"/>
  <c r="G41"/>
  <c r="F41"/>
  <c r="F40"/>
  <c r="G40"/>
  <c r="G39"/>
  <c r="G38"/>
  <c r="F37"/>
  <c r="G37" s="1"/>
  <c r="G36"/>
  <c r="F36"/>
  <c r="F35"/>
  <c r="G35"/>
  <c r="G34"/>
  <c r="G33"/>
  <c r="G29"/>
  <c r="G28"/>
  <c r="F28"/>
  <c r="F27"/>
  <c r="G27"/>
  <c r="G25"/>
  <c r="F25"/>
  <c r="G24"/>
  <c r="L24" s="1"/>
  <c r="F24"/>
  <c r="S23"/>
  <c r="Q23"/>
  <c r="G23"/>
  <c r="F23"/>
  <c r="J22"/>
  <c r="G22"/>
  <c r="Q22" s="1"/>
  <c r="J21"/>
  <c r="G21"/>
  <c r="Q21" s="1"/>
  <c r="T20"/>
  <c r="S20"/>
  <c r="F20"/>
  <c r="G20" s="1"/>
  <c r="F19"/>
  <c r="G19" s="1"/>
  <c r="F18"/>
  <c r="G17"/>
  <c r="F15"/>
  <c r="G15" s="1"/>
  <c r="G13"/>
  <c r="G12"/>
  <c r="F12"/>
  <c r="G11"/>
  <c r="F11"/>
  <c r="G10"/>
  <c r="E10"/>
  <c r="L9"/>
  <c r="U9" s="1"/>
  <c r="S8"/>
  <c r="G8"/>
  <c r="Q8" s="1"/>
  <c r="T8" s="1"/>
  <c r="F8"/>
  <c r="G7"/>
  <c r="F7"/>
  <c r="G6"/>
  <c r="F6"/>
  <c r="G5"/>
  <c r="G4"/>
  <c r="G152" i="25"/>
  <c r="L353" i="26" l="1"/>
  <c r="L291"/>
  <c r="L218"/>
  <c r="V7"/>
  <c r="L4"/>
  <c r="U4" s="1"/>
  <c r="L76"/>
  <c r="L59"/>
  <c r="L237"/>
  <c r="L277"/>
  <c r="L274"/>
  <c r="L265"/>
  <c r="L262"/>
  <c r="L259"/>
  <c r="L255"/>
  <c r="L186"/>
  <c r="L171"/>
  <c r="L168"/>
  <c r="L157"/>
  <c r="L460"/>
  <c r="L457"/>
  <c r="L446"/>
  <c r="L440"/>
  <c r="T417"/>
  <c r="Q410"/>
  <c r="L373"/>
  <c r="L363"/>
  <c r="L350"/>
  <c r="L347"/>
  <c r="L341"/>
  <c r="L338"/>
  <c r="L116"/>
  <c r="L102"/>
  <c r="L65"/>
  <c r="L62"/>
  <c r="L53"/>
  <c r="L27"/>
  <c r="L13"/>
  <c r="U13" s="1"/>
  <c r="L305"/>
  <c r="L302"/>
  <c r="L224"/>
  <c r="L208"/>
  <c r="L199"/>
  <c r="L38"/>
  <c r="L437"/>
  <c r="L443"/>
  <c r="L449"/>
  <c r="L430"/>
  <c r="L452"/>
  <c r="L308"/>
  <c r="L330"/>
  <c r="L410"/>
  <c r="L366"/>
  <c r="L383"/>
  <c r="Q391"/>
  <c r="L162"/>
  <c r="L151"/>
  <c r="U151" s="1"/>
  <c r="L181"/>
  <c r="L196"/>
  <c r="L202"/>
  <c r="L221"/>
  <c r="L240"/>
  <c r="L250"/>
  <c r="L189"/>
  <c r="L205"/>
  <c r="L215"/>
  <c r="L245"/>
  <c r="T89"/>
  <c r="L48"/>
  <c r="L99"/>
  <c r="L105"/>
  <c r="L113"/>
  <c r="L119"/>
  <c r="L128"/>
  <c r="L136"/>
  <c r="L43"/>
  <c r="L79"/>
  <c r="L82"/>
  <c r="U82" s="1"/>
  <c r="L93"/>
  <c r="L96"/>
  <c r="L108"/>
  <c r="L131"/>
  <c r="L21"/>
  <c r="U21" s="1"/>
  <c r="T23"/>
  <c r="Q318"/>
  <c r="L316"/>
  <c r="U316" s="1"/>
  <c r="L33"/>
  <c r="L176"/>
  <c r="L227"/>
  <c r="L68"/>
  <c r="L323"/>
  <c r="U323" s="1"/>
  <c r="L376"/>
  <c r="L391"/>
  <c r="L419"/>
  <c r="G122"/>
  <c r="L122" s="1"/>
  <c r="G141"/>
  <c r="L139" s="1"/>
  <c r="Q227"/>
  <c r="T236" s="1"/>
  <c r="G370"/>
  <c r="L370" s="1"/>
  <c r="L398"/>
  <c r="Q402"/>
  <c r="T409" s="1"/>
  <c r="L402"/>
  <c r="R6"/>
  <c r="G46" i="25"/>
  <c r="G7" l="1"/>
  <c r="G288" l="1"/>
  <c r="G203" l="1"/>
  <c r="G202" l="1"/>
  <c r="G204"/>
  <c r="E202"/>
  <c r="L202" l="1"/>
  <c r="D275"/>
  <c r="D274"/>
  <c r="D259" l="1"/>
  <c r="D255" l="1"/>
  <c r="D254"/>
  <c r="D251"/>
  <c r="D250"/>
  <c r="D246" l="1"/>
  <c r="D245"/>
  <c r="D239" l="1"/>
  <c r="D233" l="1"/>
  <c r="D232"/>
  <c r="D153" l="1"/>
  <c r="D152"/>
  <c r="D288" l="1"/>
  <c r="D285"/>
  <c r="D273"/>
  <c r="D268"/>
  <c r="D262"/>
  <c r="D256"/>
  <c r="D253"/>
  <c r="D249"/>
  <c r="D244"/>
  <c r="D234"/>
  <c r="D231"/>
  <c r="D227"/>
  <c r="D215"/>
  <c r="D212"/>
  <c r="D209"/>
  <c r="D208"/>
  <c r="D199"/>
  <c r="D196"/>
  <c r="D190"/>
  <c r="D189"/>
  <c r="D183"/>
  <c r="D180"/>
  <c r="D175"/>
  <c r="D168"/>
  <c r="D165"/>
  <c r="D162"/>
  <c r="D159"/>
  <c r="D156"/>
  <c r="G375" l="1"/>
  <c r="D344" l="1"/>
  <c r="D323"/>
  <c r="D322"/>
  <c r="D409"/>
  <c r="D407"/>
  <c r="D401"/>
  <c r="D399"/>
  <c r="D392"/>
  <c r="D389"/>
  <c r="D388"/>
  <c r="D382"/>
  <c r="D380"/>
  <c r="D374"/>
  <c r="D373"/>
  <c r="D367"/>
  <c r="D360"/>
  <c r="D357"/>
  <c r="D347"/>
  <c r="D341"/>
  <c r="D335"/>
  <c r="D332"/>
  <c r="D324"/>
  <c r="D321"/>
  <c r="D320"/>
  <c r="D314"/>
  <c r="D313"/>
  <c r="D296"/>
  <c r="D47"/>
  <c r="G47" s="1"/>
  <c r="D46"/>
  <c r="F47"/>
  <c r="F46"/>
  <c r="F45"/>
  <c r="G45"/>
  <c r="G44"/>
  <c r="G43"/>
  <c r="L43" l="1"/>
  <c r="G131"/>
  <c r="G129"/>
  <c r="G128"/>
  <c r="G49" l="1"/>
  <c r="G48"/>
  <c r="D38" l="1"/>
  <c r="D133" l="1"/>
  <c r="D130"/>
  <c r="D125"/>
  <c r="D122"/>
  <c r="D116"/>
  <c r="D113"/>
  <c r="D110"/>
  <c r="D107"/>
  <c r="D99"/>
  <c r="D96"/>
  <c r="D93"/>
  <c r="D90"/>
  <c r="D87"/>
  <c r="D79"/>
  <c r="D76"/>
  <c r="D73"/>
  <c r="D65"/>
  <c r="D62"/>
  <c r="D59"/>
  <c r="D53"/>
  <c r="D50"/>
  <c r="D40"/>
  <c r="D35"/>
  <c r="D454" l="1"/>
  <c r="D451"/>
  <c r="D448"/>
  <c r="D443"/>
  <c r="D440"/>
  <c r="D437"/>
  <c r="D434"/>
  <c r="D431"/>
  <c r="D428"/>
  <c r="D27"/>
  <c r="D20"/>
  <c r="D19"/>
  <c r="D18"/>
  <c r="D16"/>
  <c r="D8" l="1"/>
  <c r="D7"/>
  <c r="E288" l="1"/>
  <c r="E285"/>
  <c r="G285" s="1"/>
  <c r="E273"/>
  <c r="G273" s="1"/>
  <c r="E268"/>
  <c r="G268" s="1"/>
  <c r="E262"/>
  <c r="G262" s="1"/>
  <c r="E259"/>
  <c r="G259" s="1"/>
  <c r="E256"/>
  <c r="G256" s="1"/>
  <c r="E253"/>
  <c r="G253" s="1"/>
  <c r="E249"/>
  <c r="G249" s="1"/>
  <c r="E244"/>
  <c r="G244" s="1"/>
  <c r="E239"/>
  <c r="E234"/>
  <c r="G234" s="1"/>
  <c r="E231"/>
  <c r="E227"/>
  <c r="G227" s="1"/>
  <c r="E215"/>
  <c r="G215" s="1"/>
  <c r="E212"/>
  <c r="G212" s="1"/>
  <c r="E209"/>
  <c r="G209" s="1"/>
  <c r="E208"/>
  <c r="G208" s="1"/>
  <c r="E199"/>
  <c r="G199" s="1"/>
  <c r="E196"/>
  <c r="E193"/>
  <c r="E190"/>
  <c r="G190" s="1"/>
  <c r="E189"/>
  <c r="E183"/>
  <c r="G183" s="1"/>
  <c r="E180"/>
  <c r="G180" s="1"/>
  <c r="E175"/>
  <c r="G175" s="1"/>
  <c r="E168"/>
  <c r="G168" s="1"/>
  <c r="E165"/>
  <c r="G165" s="1"/>
  <c r="E162"/>
  <c r="G162" s="1"/>
  <c r="E159"/>
  <c r="G159" s="1"/>
  <c r="E156"/>
  <c r="G156" s="1"/>
  <c r="E454"/>
  <c r="G454" s="1"/>
  <c r="E451"/>
  <c r="G451" s="1"/>
  <c r="E448"/>
  <c r="G448" s="1"/>
  <c r="E443"/>
  <c r="F443" s="1"/>
  <c r="E440"/>
  <c r="G440" s="1"/>
  <c r="E437"/>
  <c r="G437" s="1"/>
  <c r="E434"/>
  <c r="G434" s="1"/>
  <c r="E431"/>
  <c r="E428"/>
  <c r="E409"/>
  <c r="G409" s="1"/>
  <c r="E407"/>
  <c r="G407" s="1"/>
  <c r="E401"/>
  <c r="F401" s="1"/>
  <c r="E399"/>
  <c r="G399" s="1"/>
  <c r="E392"/>
  <c r="E389"/>
  <c r="G389" s="1"/>
  <c r="E388"/>
  <c r="G388" s="1"/>
  <c r="E382"/>
  <c r="G382" s="1"/>
  <c r="E380"/>
  <c r="G380" s="1"/>
  <c r="E374"/>
  <c r="G374" s="1"/>
  <c r="E373"/>
  <c r="G373" s="1"/>
  <c r="E367"/>
  <c r="G367" s="1"/>
  <c r="E360"/>
  <c r="G360" s="1"/>
  <c r="E357"/>
  <c r="G357" s="1"/>
  <c r="E347"/>
  <c r="F347" s="1"/>
  <c r="E344"/>
  <c r="G344" s="1"/>
  <c r="E341"/>
  <c r="F341" s="1"/>
  <c r="E335"/>
  <c r="G335" s="1"/>
  <c r="E332"/>
  <c r="E324"/>
  <c r="G324" s="1"/>
  <c r="E321"/>
  <c r="E320"/>
  <c r="G320" s="1"/>
  <c r="E314"/>
  <c r="E313"/>
  <c r="E299"/>
  <c r="G299" s="1"/>
  <c r="E296"/>
  <c r="G296" s="1"/>
  <c r="E133"/>
  <c r="G133" s="1"/>
  <c r="E130"/>
  <c r="G130" s="1"/>
  <c r="E125"/>
  <c r="G125" s="1"/>
  <c r="E122"/>
  <c r="E116"/>
  <c r="G116" s="1"/>
  <c r="E113"/>
  <c r="F113" s="1"/>
  <c r="E110"/>
  <c r="F110" s="1"/>
  <c r="E107"/>
  <c r="G107" s="1"/>
  <c r="E99"/>
  <c r="E96"/>
  <c r="G96" s="1"/>
  <c r="E93"/>
  <c r="G93" s="1"/>
  <c r="E90"/>
  <c r="E87"/>
  <c r="G87" s="1"/>
  <c r="E79"/>
  <c r="G79" s="1"/>
  <c r="E76"/>
  <c r="G76" s="1"/>
  <c r="E73"/>
  <c r="E65"/>
  <c r="G65" s="1"/>
  <c r="E62"/>
  <c r="G62" s="1"/>
  <c r="E59"/>
  <c r="G59" s="1"/>
  <c r="E53"/>
  <c r="F53" s="1"/>
  <c r="E50"/>
  <c r="F50" s="1"/>
  <c r="E40"/>
  <c r="F40" s="1"/>
  <c r="E35"/>
  <c r="G35" s="1"/>
  <c r="E27"/>
  <c r="E18"/>
  <c r="E16"/>
  <c r="G16" s="1"/>
  <c r="G456"/>
  <c r="G455"/>
  <c r="F455"/>
  <c r="F454"/>
  <c r="G453"/>
  <c r="G452"/>
  <c r="F452"/>
  <c r="G450"/>
  <c r="G449"/>
  <c r="F449"/>
  <c r="G447"/>
  <c r="G446"/>
  <c r="G445"/>
  <c r="G444"/>
  <c r="F444"/>
  <c r="G442"/>
  <c r="G441"/>
  <c r="F441"/>
  <c r="F440"/>
  <c r="G439"/>
  <c r="G438"/>
  <c r="F438"/>
  <c r="G436"/>
  <c r="G435"/>
  <c r="F435"/>
  <c r="G433"/>
  <c r="G432"/>
  <c r="F432"/>
  <c r="G430"/>
  <c r="G429"/>
  <c r="F429"/>
  <c r="G427"/>
  <c r="G426"/>
  <c r="G425"/>
  <c r="G424"/>
  <c r="G416"/>
  <c r="F416"/>
  <c r="G415"/>
  <c r="F415"/>
  <c r="F414"/>
  <c r="E414"/>
  <c r="G414" s="1"/>
  <c r="S413"/>
  <c r="F413"/>
  <c r="G413" s="1"/>
  <c r="C413"/>
  <c r="F412"/>
  <c r="E412"/>
  <c r="S411"/>
  <c r="G411"/>
  <c r="Q411" s="1"/>
  <c r="F411"/>
  <c r="G410"/>
  <c r="F410"/>
  <c r="G408"/>
  <c r="G406"/>
  <c r="Q406" s="1"/>
  <c r="F406"/>
  <c r="G405"/>
  <c r="G404"/>
  <c r="C404"/>
  <c r="S403"/>
  <c r="G403"/>
  <c r="Q403" s="1"/>
  <c r="F403"/>
  <c r="G402"/>
  <c r="F402"/>
  <c r="G400"/>
  <c r="F398"/>
  <c r="G398" s="1"/>
  <c r="Q398" s="1"/>
  <c r="G397"/>
  <c r="G396"/>
  <c r="G394"/>
  <c r="F394"/>
  <c r="G393"/>
  <c r="F393"/>
  <c r="G391"/>
  <c r="Q391" s="1"/>
  <c r="F391"/>
  <c r="G390"/>
  <c r="F390"/>
  <c r="F387"/>
  <c r="G387" s="1"/>
  <c r="Q387" s="1"/>
  <c r="G386"/>
  <c r="G385"/>
  <c r="C385"/>
  <c r="S384"/>
  <c r="G384"/>
  <c r="Q384" s="1"/>
  <c r="F384"/>
  <c r="G383"/>
  <c r="F383"/>
  <c r="G381"/>
  <c r="F379"/>
  <c r="G379" s="1"/>
  <c r="Q379" s="1"/>
  <c r="G378"/>
  <c r="G377"/>
  <c r="Q377" s="1"/>
  <c r="T384" s="1"/>
  <c r="G376"/>
  <c r="F376"/>
  <c r="F375"/>
  <c r="F374"/>
  <c r="F372"/>
  <c r="G372" s="1"/>
  <c r="G371"/>
  <c r="G370"/>
  <c r="G369"/>
  <c r="F369"/>
  <c r="G368"/>
  <c r="F368"/>
  <c r="G366"/>
  <c r="F366"/>
  <c r="G365"/>
  <c r="F365"/>
  <c r="E364"/>
  <c r="F364" s="1"/>
  <c r="G362"/>
  <c r="F362"/>
  <c r="G361"/>
  <c r="F361"/>
  <c r="F360"/>
  <c r="G359"/>
  <c r="F359"/>
  <c r="G358"/>
  <c r="F358"/>
  <c r="G356"/>
  <c r="G355"/>
  <c r="F355"/>
  <c r="G354"/>
  <c r="F354"/>
  <c r="E353"/>
  <c r="F353" s="1"/>
  <c r="G352"/>
  <c r="F352"/>
  <c r="G351"/>
  <c r="F351"/>
  <c r="E350"/>
  <c r="F350" s="1"/>
  <c r="G349"/>
  <c r="F349"/>
  <c r="G348"/>
  <c r="F348"/>
  <c r="G347"/>
  <c r="G346"/>
  <c r="F346"/>
  <c r="G345"/>
  <c r="L344" s="1"/>
  <c r="F345"/>
  <c r="G343"/>
  <c r="F343"/>
  <c r="G342"/>
  <c r="F342"/>
  <c r="G340"/>
  <c r="F340"/>
  <c r="G339"/>
  <c r="F339"/>
  <c r="E338"/>
  <c r="F338" s="1"/>
  <c r="G337"/>
  <c r="F337"/>
  <c r="G336"/>
  <c r="F336"/>
  <c r="F335"/>
  <c r="G334"/>
  <c r="F334"/>
  <c r="G333"/>
  <c r="F333"/>
  <c r="G331"/>
  <c r="F331"/>
  <c r="G330"/>
  <c r="F330"/>
  <c r="E329"/>
  <c r="F329" s="1"/>
  <c r="G328"/>
  <c r="G327"/>
  <c r="G326"/>
  <c r="F326"/>
  <c r="G325"/>
  <c r="F325"/>
  <c r="F324"/>
  <c r="S323"/>
  <c r="F323"/>
  <c r="G323"/>
  <c r="Q323" s="1"/>
  <c r="G322"/>
  <c r="F322"/>
  <c r="G319"/>
  <c r="Q319" s="1"/>
  <c r="F319"/>
  <c r="G318"/>
  <c r="G317"/>
  <c r="Q317" s="1"/>
  <c r="T323" s="1"/>
  <c r="S316"/>
  <c r="G316"/>
  <c r="Q316" s="1"/>
  <c r="F316"/>
  <c r="G315"/>
  <c r="F315"/>
  <c r="F314"/>
  <c r="G313"/>
  <c r="G312"/>
  <c r="Q312" s="1"/>
  <c r="F312"/>
  <c r="G311"/>
  <c r="G310"/>
  <c r="Q310" s="1"/>
  <c r="T316" s="1"/>
  <c r="G309"/>
  <c r="Q309" s="1"/>
  <c r="F309"/>
  <c r="G308"/>
  <c r="F308"/>
  <c r="G307"/>
  <c r="F307"/>
  <c r="G305"/>
  <c r="G304"/>
  <c r="Q304" s="1"/>
  <c r="G303"/>
  <c r="G302"/>
  <c r="Q302" s="1"/>
  <c r="G301"/>
  <c r="F301"/>
  <c r="G300"/>
  <c r="F300"/>
  <c r="G298"/>
  <c r="F298"/>
  <c r="G297"/>
  <c r="F297"/>
  <c r="G290"/>
  <c r="G289"/>
  <c r="G287"/>
  <c r="G286"/>
  <c r="G284"/>
  <c r="G283"/>
  <c r="G282"/>
  <c r="G281"/>
  <c r="G280"/>
  <c r="G279"/>
  <c r="G278"/>
  <c r="E277"/>
  <c r="G277" s="1"/>
  <c r="G275"/>
  <c r="G274"/>
  <c r="G272"/>
  <c r="G271"/>
  <c r="G270"/>
  <c r="G269"/>
  <c r="G267"/>
  <c r="G266"/>
  <c r="E265"/>
  <c r="G265" s="1"/>
  <c r="G264"/>
  <c r="G263"/>
  <c r="G261"/>
  <c r="G260"/>
  <c r="G258"/>
  <c r="G257"/>
  <c r="G255"/>
  <c r="G254"/>
  <c r="G251"/>
  <c r="G250"/>
  <c r="G248"/>
  <c r="G247"/>
  <c r="G246"/>
  <c r="G245"/>
  <c r="G243"/>
  <c r="G242"/>
  <c r="G241"/>
  <c r="G240"/>
  <c r="G239"/>
  <c r="G238"/>
  <c r="G237"/>
  <c r="G236"/>
  <c r="G235"/>
  <c r="S233"/>
  <c r="F233"/>
  <c r="G233"/>
  <c r="Q233" s="1"/>
  <c r="F232"/>
  <c r="G232"/>
  <c r="G230"/>
  <c r="G226"/>
  <c r="Q226" s="1"/>
  <c r="F226"/>
  <c r="G225"/>
  <c r="G224"/>
  <c r="Q224" s="1"/>
  <c r="T233" s="1"/>
  <c r="G223"/>
  <c r="G222"/>
  <c r="G221"/>
  <c r="G220"/>
  <c r="G219"/>
  <c r="E218"/>
  <c r="G218" s="1"/>
  <c r="G217"/>
  <c r="G216"/>
  <c r="G214"/>
  <c r="G213"/>
  <c r="G211"/>
  <c r="G210"/>
  <c r="G207"/>
  <c r="F207"/>
  <c r="G206"/>
  <c r="G205"/>
  <c r="G201"/>
  <c r="G200"/>
  <c r="G198"/>
  <c r="G197"/>
  <c r="G196"/>
  <c r="G195"/>
  <c r="G194"/>
  <c r="G193"/>
  <c r="G192"/>
  <c r="G191"/>
  <c r="G189"/>
  <c r="F188"/>
  <c r="G188" s="1"/>
  <c r="G187"/>
  <c r="G186"/>
  <c r="G185"/>
  <c r="G184"/>
  <c r="G182"/>
  <c r="G181"/>
  <c r="G179"/>
  <c r="G178"/>
  <c r="G177"/>
  <c r="G176"/>
  <c r="G174"/>
  <c r="G173"/>
  <c r="G172"/>
  <c r="G171"/>
  <c r="G170"/>
  <c r="G169"/>
  <c r="G167"/>
  <c r="G166"/>
  <c r="G164"/>
  <c r="G163"/>
  <c r="G161"/>
  <c r="G160"/>
  <c r="G158"/>
  <c r="G157"/>
  <c r="G155"/>
  <c r="G154"/>
  <c r="S153"/>
  <c r="G153"/>
  <c r="Q153" s="1"/>
  <c r="F153"/>
  <c r="F152"/>
  <c r="G151"/>
  <c r="G150"/>
  <c r="G149"/>
  <c r="G148"/>
  <c r="G143"/>
  <c r="F143"/>
  <c r="G142"/>
  <c r="F142"/>
  <c r="E141"/>
  <c r="F141" s="1"/>
  <c r="G140"/>
  <c r="F140"/>
  <c r="G139"/>
  <c r="F139"/>
  <c r="G138"/>
  <c r="E138"/>
  <c r="F138" s="1"/>
  <c r="F137"/>
  <c r="E137"/>
  <c r="J136"/>
  <c r="G136"/>
  <c r="G135"/>
  <c r="F135"/>
  <c r="G134"/>
  <c r="F134"/>
  <c r="G132"/>
  <c r="F132"/>
  <c r="F131"/>
  <c r="F130"/>
  <c r="G127"/>
  <c r="F127"/>
  <c r="G126"/>
  <c r="F126"/>
  <c r="G124"/>
  <c r="F124"/>
  <c r="G123"/>
  <c r="F123"/>
  <c r="G121"/>
  <c r="F121"/>
  <c r="G120"/>
  <c r="F120"/>
  <c r="E119"/>
  <c r="F119" s="1"/>
  <c r="G118"/>
  <c r="F118"/>
  <c r="G117"/>
  <c r="F117"/>
  <c r="G115"/>
  <c r="F115"/>
  <c r="G114"/>
  <c r="F114"/>
  <c r="G113"/>
  <c r="G112"/>
  <c r="F112"/>
  <c r="G111"/>
  <c r="F111"/>
  <c r="G109"/>
  <c r="F109"/>
  <c r="G108"/>
  <c r="F108"/>
  <c r="F107"/>
  <c r="G106"/>
  <c r="G105"/>
  <c r="G104"/>
  <c r="F104"/>
  <c r="G103"/>
  <c r="F103"/>
  <c r="F102"/>
  <c r="E102"/>
  <c r="G102" s="1"/>
  <c r="G101"/>
  <c r="F101"/>
  <c r="G100"/>
  <c r="F100"/>
  <c r="G98"/>
  <c r="F98"/>
  <c r="G97"/>
  <c r="F97"/>
  <c r="F96"/>
  <c r="G95"/>
  <c r="F95"/>
  <c r="G94"/>
  <c r="F94"/>
  <c r="G92"/>
  <c r="F92"/>
  <c r="G91"/>
  <c r="F91"/>
  <c r="S89"/>
  <c r="G89"/>
  <c r="Q89" s="1"/>
  <c r="F89"/>
  <c r="G88"/>
  <c r="F88"/>
  <c r="F87"/>
  <c r="G86"/>
  <c r="G85"/>
  <c r="G84"/>
  <c r="Q84" s="1"/>
  <c r="G83"/>
  <c r="G82"/>
  <c r="Q82" s="1"/>
  <c r="G81"/>
  <c r="F81"/>
  <c r="G80"/>
  <c r="F80"/>
  <c r="F79"/>
  <c r="G78"/>
  <c r="F78"/>
  <c r="G77"/>
  <c r="F77"/>
  <c r="F75"/>
  <c r="G75" s="1"/>
  <c r="G74"/>
  <c r="F74"/>
  <c r="G72"/>
  <c r="G71"/>
  <c r="F70"/>
  <c r="G70" s="1"/>
  <c r="G69"/>
  <c r="G68"/>
  <c r="G67"/>
  <c r="F67"/>
  <c r="G66"/>
  <c r="F66"/>
  <c r="G64"/>
  <c r="F64"/>
  <c r="G63"/>
  <c r="F63"/>
  <c r="F62"/>
  <c r="G61"/>
  <c r="F61"/>
  <c r="G60"/>
  <c r="F60"/>
  <c r="G58"/>
  <c r="F58"/>
  <c r="G57"/>
  <c r="F57"/>
  <c r="G56"/>
  <c r="L56" s="1"/>
  <c r="F56"/>
  <c r="E56"/>
  <c r="G55"/>
  <c r="F55"/>
  <c r="G54"/>
  <c r="F54"/>
  <c r="G52"/>
  <c r="F52"/>
  <c r="G51"/>
  <c r="F51"/>
  <c r="G50"/>
  <c r="G42"/>
  <c r="F42"/>
  <c r="G41"/>
  <c r="F41"/>
  <c r="G39"/>
  <c r="G38"/>
  <c r="F37"/>
  <c r="G37" s="1"/>
  <c r="G36"/>
  <c r="F36"/>
  <c r="G34"/>
  <c r="G33"/>
  <c r="G29"/>
  <c r="G28"/>
  <c r="F28"/>
  <c r="F25"/>
  <c r="G25" s="1"/>
  <c r="G24"/>
  <c r="F24"/>
  <c r="S23"/>
  <c r="F23"/>
  <c r="G23" s="1"/>
  <c r="Q23" s="1"/>
  <c r="J22"/>
  <c r="G22"/>
  <c r="J21"/>
  <c r="G21"/>
  <c r="T20"/>
  <c r="S20"/>
  <c r="F20"/>
  <c r="G20" s="1"/>
  <c r="F19"/>
  <c r="G19" s="1"/>
  <c r="G17"/>
  <c r="F15"/>
  <c r="G15" s="1"/>
  <c r="G14"/>
  <c r="G13"/>
  <c r="G12"/>
  <c r="F12"/>
  <c r="G11"/>
  <c r="F11"/>
  <c r="E10"/>
  <c r="G10" s="1"/>
  <c r="S8"/>
  <c r="G8"/>
  <c r="Q8" s="1"/>
  <c r="T8" s="1"/>
  <c r="F8"/>
  <c r="F7"/>
  <c r="G6"/>
  <c r="F6"/>
  <c r="G5"/>
  <c r="G4"/>
  <c r="F321" l="1"/>
  <c r="G321"/>
  <c r="L317" s="1"/>
  <c r="U317" s="1"/>
  <c r="F392"/>
  <c r="G392"/>
  <c r="F231"/>
  <c r="G231"/>
  <c r="L224" s="1"/>
  <c r="G137"/>
  <c r="L4"/>
  <c r="U4" s="1"/>
  <c r="L9"/>
  <c r="U9" s="1"/>
  <c r="Q22"/>
  <c r="G329"/>
  <c r="L327" s="1"/>
  <c r="G338"/>
  <c r="L338" s="1"/>
  <c r="F332"/>
  <c r="G332"/>
  <c r="G412"/>
  <c r="L128"/>
  <c r="L193"/>
  <c r="F27"/>
  <c r="G27"/>
  <c r="F73"/>
  <c r="G73"/>
  <c r="L68" s="1"/>
  <c r="F90"/>
  <c r="G90"/>
  <c r="F122"/>
  <c r="G122"/>
  <c r="L122" s="1"/>
  <c r="F125"/>
  <c r="Q385"/>
  <c r="F409"/>
  <c r="Q413"/>
  <c r="T413" s="1"/>
  <c r="L335"/>
  <c r="L259"/>
  <c r="F18"/>
  <c r="G18" s="1"/>
  <c r="L13" s="1"/>
  <c r="U13" s="1"/>
  <c r="F99"/>
  <c r="G99"/>
  <c r="L99" s="1"/>
  <c r="F431"/>
  <c r="G431"/>
  <c r="L431" s="1"/>
  <c r="Q21"/>
  <c r="T23" s="1"/>
  <c r="L136"/>
  <c r="L280"/>
  <c r="G341"/>
  <c r="L341" s="1"/>
  <c r="G350"/>
  <c r="L350" s="1"/>
  <c r="G353"/>
  <c r="L353" s="1"/>
  <c r="F428"/>
  <c r="G428"/>
  <c r="L424" s="1"/>
  <c r="L367"/>
  <c r="L113"/>
  <c r="L76"/>
  <c r="L48"/>
  <c r="L454"/>
  <c r="L451"/>
  <c r="L440"/>
  <c r="L268"/>
  <c r="L262"/>
  <c r="L242"/>
  <c r="L237"/>
  <c r="L234"/>
  <c r="L199"/>
  <c r="L196"/>
  <c r="L186"/>
  <c r="L178"/>
  <c r="L168"/>
  <c r="F451"/>
  <c r="G443"/>
  <c r="L443" s="1"/>
  <c r="L437"/>
  <c r="F437"/>
  <c r="L434"/>
  <c r="F434"/>
  <c r="F389"/>
  <c r="F382"/>
  <c r="F367"/>
  <c r="F357"/>
  <c r="F344"/>
  <c r="L332"/>
  <c r="L302"/>
  <c r="F299"/>
  <c r="F133"/>
  <c r="F116"/>
  <c r="G110"/>
  <c r="L110" s="1"/>
  <c r="L105"/>
  <c r="L93"/>
  <c r="F93"/>
  <c r="T89"/>
  <c r="F76"/>
  <c r="F65"/>
  <c r="L59"/>
  <c r="F59"/>
  <c r="G53"/>
  <c r="L53" s="1"/>
  <c r="G40"/>
  <c r="L38" s="1"/>
  <c r="F35"/>
  <c r="L27"/>
  <c r="L299"/>
  <c r="L296"/>
  <c r="L324"/>
  <c r="L347"/>
  <c r="L357"/>
  <c r="Q404"/>
  <c r="T411"/>
  <c r="L404"/>
  <c r="L360"/>
  <c r="L159"/>
  <c r="L165"/>
  <c r="L212"/>
  <c r="L218"/>
  <c r="L221"/>
  <c r="L252"/>
  <c r="L256"/>
  <c r="L285"/>
  <c r="L173"/>
  <c r="L183"/>
  <c r="L265"/>
  <c r="L276"/>
  <c r="Q276" s="1"/>
  <c r="L288"/>
  <c r="L148"/>
  <c r="U148" s="1"/>
  <c r="L162"/>
  <c r="L215"/>
  <c r="L62"/>
  <c r="L96"/>
  <c r="L102"/>
  <c r="L116"/>
  <c r="L125"/>
  <c r="L133"/>
  <c r="L33"/>
  <c r="L65"/>
  <c r="L79"/>
  <c r="L82"/>
  <c r="U82" s="1"/>
  <c r="L90"/>
  <c r="V7"/>
  <c r="L21"/>
  <c r="U21" s="1"/>
  <c r="L24"/>
  <c r="L154"/>
  <c r="L205"/>
  <c r="L247"/>
  <c r="L271"/>
  <c r="L370"/>
  <c r="L385"/>
  <c r="L377"/>
  <c r="L446"/>
  <c r="L413"/>
  <c r="F448"/>
  <c r="G119"/>
  <c r="L119" s="1"/>
  <c r="G141"/>
  <c r="L141" s="1"/>
  <c r="Q148"/>
  <c r="T153" s="1"/>
  <c r="G314"/>
  <c r="L310" s="1"/>
  <c r="U310" s="1"/>
  <c r="G364"/>
  <c r="L364" s="1"/>
  <c r="L392"/>
  <c r="Q396"/>
  <c r="T403" s="1"/>
  <c r="G401"/>
  <c r="L396" s="1"/>
  <c r="R6"/>
  <c r="D143" i="24"/>
  <c r="D144"/>
  <c r="D38" l="1"/>
  <c r="G42"/>
  <c r="F42"/>
  <c r="G41"/>
  <c r="F41"/>
  <c r="E40"/>
  <c r="F40" s="1"/>
  <c r="G40"/>
  <c r="G39"/>
  <c r="G38"/>
  <c r="L38" l="1"/>
  <c r="D263"/>
  <c r="D262"/>
  <c r="D243" l="1"/>
  <c r="D242"/>
  <c r="D239"/>
  <c r="D238"/>
  <c r="D234" l="1"/>
  <c r="D233"/>
  <c r="D221" l="1"/>
  <c r="D220"/>
  <c r="G44" l="1"/>
  <c r="G45"/>
  <c r="F45"/>
  <c r="F44"/>
  <c r="E43"/>
  <c r="G43" s="1"/>
  <c r="F43" l="1"/>
  <c r="L43"/>
  <c r="G122"/>
  <c r="G121"/>
  <c r="G123"/>
  <c r="F123"/>
  <c r="F122"/>
  <c r="F121"/>
  <c r="E121"/>
  <c r="L121" l="1"/>
  <c r="G75"/>
  <c r="E52" l="1"/>
  <c r="F37" l="1"/>
  <c r="G37" s="1"/>
  <c r="G36"/>
  <c r="F36"/>
  <c r="E35"/>
  <c r="F35" s="1"/>
  <c r="G35"/>
  <c r="G364" l="1"/>
  <c r="G363"/>
  <c r="D311" l="1"/>
  <c r="D310"/>
  <c r="G302"/>
  <c r="S304"/>
  <c r="G304"/>
  <c r="Q304" s="1"/>
  <c r="F304"/>
  <c r="G303"/>
  <c r="F303"/>
  <c r="E302"/>
  <c r="F302" s="1"/>
  <c r="E301"/>
  <c r="D301"/>
  <c r="G301" s="1"/>
  <c r="G300"/>
  <c r="Q300" s="1"/>
  <c r="F300"/>
  <c r="G299"/>
  <c r="G298"/>
  <c r="L298" l="1"/>
  <c r="U298" s="1"/>
  <c r="Q298"/>
  <c r="T304" s="1"/>
  <c r="H435"/>
  <c r="J435" s="1"/>
  <c r="H413"/>
  <c r="J413" s="1"/>
  <c r="H434"/>
  <c r="H412"/>
  <c r="D19"/>
  <c r="D20" l="1"/>
  <c r="D8" l="1"/>
  <c r="D7"/>
  <c r="G7" s="1"/>
  <c r="D442" l="1"/>
  <c r="D439"/>
  <c r="D436"/>
  <c r="G436" s="1"/>
  <c r="D431"/>
  <c r="G431" s="1"/>
  <c r="D428"/>
  <c r="D425"/>
  <c r="D422"/>
  <c r="G422" s="1"/>
  <c r="D419"/>
  <c r="G419" s="1"/>
  <c r="D416"/>
  <c r="D397"/>
  <c r="D395"/>
  <c r="D389"/>
  <c r="D387"/>
  <c r="D380"/>
  <c r="D377"/>
  <c r="G377" s="1"/>
  <c r="D376"/>
  <c r="D370"/>
  <c r="D368"/>
  <c r="D362"/>
  <c r="G362" s="1"/>
  <c r="D361"/>
  <c r="G361" s="1"/>
  <c r="D355"/>
  <c r="D348"/>
  <c r="D345"/>
  <c r="G345" s="1"/>
  <c r="D335"/>
  <c r="D332"/>
  <c r="D329"/>
  <c r="D323"/>
  <c r="D312"/>
  <c r="D308"/>
  <c r="D287"/>
  <c r="D284"/>
  <c r="G284" s="1"/>
  <c r="D276"/>
  <c r="D273"/>
  <c r="D256"/>
  <c r="D250"/>
  <c r="D247"/>
  <c r="D244"/>
  <c r="D227"/>
  <c r="D222"/>
  <c r="D215"/>
  <c r="D203"/>
  <c r="D200"/>
  <c r="D197"/>
  <c r="D196"/>
  <c r="D190"/>
  <c r="D187"/>
  <c r="D184"/>
  <c r="D181"/>
  <c r="D180"/>
  <c r="D174"/>
  <c r="D171"/>
  <c r="D166"/>
  <c r="D159"/>
  <c r="D156"/>
  <c r="D153"/>
  <c r="D150"/>
  <c r="D147"/>
  <c r="D124"/>
  <c r="G124" s="1"/>
  <c r="D118"/>
  <c r="D115"/>
  <c r="D109"/>
  <c r="G109" s="1"/>
  <c r="D106"/>
  <c r="G106" s="1"/>
  <c r="D103"/>
  <c r="D100"/>
  <c r="D92"/>
  <c r="G92" s="1"/>
  <c r="D89"/>
  <c r="D86"/>
  <c r="D83"/>
  <c r="D80"/>
  <c r="D72"/>
  <c r="G72" s="1"/>
  <c r="D69"/>
  <c r="D66"/>
  <c r="D58"/>
  <c r="G58" s="1"/>
  <c r="D55"/>
  <c r="G55" s="1"/>
  <c r="D52"/>
  <c r="G52" s="1"/>
  <c r="D46"/>
  <c r="D16"/>
  <c r="E276"/>
  <c r="E273"/>
  <c r="E261"/>
  <c r="E256"/>
  <c r="E250"/>
  <c r="E247"/>
  <c r="E244"/>
  <c r="E241"/>
  <c r="E237"/>
  <c r="E232"/>
  <c r="E227"/>
  <c r="E222"/>
  <c r="E219"/>
  <c r="F219" s="1"/>
  <c r="E215"/>
  <c r="E203"/>
  <c r="E200"/>
  <c r="E197"/>
  <c r="E196"/>
  <c r="E190"/>
  <c r="E187"/>
  <c r="E184"/>
  <c r="E181"/>
  <c r="E180"/>
  <c r="E174"/>
  <c r="E171"/>
  <c r="E166"/>
  <c r="E159"/>
  <c r="E156"/>
  <c r="E153"/>
  <c r="E150"/>
  <c r="E147"/>
  <c r="E442"/>
  <c r="F442" s="1"/>
  <c r="E439"/>
  <c r="E436"/>
  <c r="F436" s="1"/>
  <c r="E431"/>
  <c r="F431" s="1"/>
  <c r="E428"/>
  <c r="F428" s="1"/>
  <c r="E425"/>
  <c r="F425" s="1"/>
  <c r="E422"/>
  <c r="E419"/>
  <c r="F419" s="1"/>
  <c r="E416"/>
  <c r="E397"/>
  <c r="F397" s="1"/>
  <c r="E395"/>
  <c r="E389"/>
  <c r="F389" s="1"/>
  <c r="E387"/>
  <c r="E380"/>
  <c r="F380" s="1"/>
  <c r="E377"/>
  <c r="F377" s="1"/>
  <c r="E376"/>
  <c r="E370"/>
  <c r="F370" s="1"/>
  <c r="E368"/>
  <c r="G368" s="1"/>
  <c r="E362"/>
  <c r="E361"/>
  <c r="E355"/>
  <c r="E348"/>
  <c r="F348" s="1"/>
  <c r="E345"/>
  <c r="F345" s="1"/>
  <c r="E338"/>
  <c r="G338" s="1"/>
  <c r="E335"/>
  <c r="F335" s="1"/>
  <c r="E332"/>
  <c r="E329"/>
  <c r="F329" s="1"/>
  <c r="E323"/>
  <c r="F323" s="1"/>
  <c r="E320"/>
  <c r="G320" s="1"/>
  <c r="E312"/>
  <c r="E309"/>
  <c r="E308"/>
  <c r="E287"/>
  <c r="F287" s="1"/>
  <c r="E284"/>
  <c r="E124"/>
  <c r="E118"/>
  <c r="E115"/>
  <c r="F115" s="1"/>
  <c r="E109"/>
  <c r="F109" s="1"/>
  <c r="E106"/>
  <c r="E103"/>
  <c r="E100"/>
  <c r="E92"/>
  <c r="E89"/>
  <c r="E86"/>
  <c r="F86" s="1"/>
  <c r="E83"/>
  <c r="E80"/>
  <c r="F80" s="1"/>
  <c r="E72"/>
  <c r="E69"/>
  <c r="F69" s="1"/>
  <c r="E66"/>
  <c r="F66" s="1"/>
  <c r="E58"/>
  <c r="F58" s="1"/>
  <c r="E55"/>
  <c r="E46"/>
  <c r="F46" s="1"/>
  <c r="E27"/>
  <c r="E18"/>
  <c r="F18" s="1"/>
  <c r="E16"/>
  <c r="G444"/>
  <c r="G443"/>
  <c r="F443"/>
  <c r="G441"/>
  <c r="G440"/>
  <c r="F440"/>
  <c r="F439"/>
  <c r="G438"/>
  <c r="G437"/>
  <c r="F437"/>
  <c r="G435"/>
  <c r="J434"/>
  <c r="G434"/>
  <c r="G433"/>
  <c r="G432"/>
  <c r="F432"/>
  <c r="G430"/>
  <c r="G429"/>
  <c r="F429"/>
  <c r="G427"/>
  <c r="G426"/>
  <c r="F426"/>
  <c r="G424"/>
  <c r="G423"/>
  <c r="F423"/>
  <c r="F422"/>
  <c r="G421"/>
  <c r="G420"/>
  <c r="F420"/>
  <c r="G418"/>
  <c r="G417"/>
  <c r="F417"/>
  <c r="G415"/>
  <c r="G414"/>
  <c r="G413"/>
  <c r="J412"/>
  <c r="G412"/>
  <c r="G404"/>
  <c r="F404"/>
  <c r="G403"/>
  <c r="F403"/>
  <c r="E402"/>
  <c r="F402" s="1"/>
  <c r="S401"/>
  <c r="F401"/>
  <c r="G401" s="1"/>
  <c r="C401"/>
  <c r="F400"/>
  <c r="E400"/>
  <c r="S399"/>
  <c r="G399"/>
  <c r="Q399" s="1"/>
  <c r="F399"/>
  <c r="G398"/>
  <c r="F398"/>
  <c r="G396"/>
  <c r="F394"/>
  <c r="G394" s="1"/>
  <c r="Q394" s="1"/>
  <c r="G393"/>
  <c r="G392"/>
  <c r="C392"/>
  <c r="S391"/>
  <c r="G391"/>
  <c r="Q391" s="1"/>
  <c r="F391"/>
  <c r="G390"/>
  <c r="F390"/>
  <c r="G388"/>
  <c r="F386"/>
  <c r="G386" s="1"/>
  <c r="Q386" s="1"/>
  <c r="G385"/>
  <c r="G384"/>
  <c r="G382"/>
  <c r="F382"/>
  <c r="G381"/>
  <c r="F381"/>
  <c r="G379"/>
  <c r="Q379" s="1"/>
  <c r="F379"/>
  <c r="G378"/>
  <c r="F378"/>
  <c r="F375"/>
  <c r="G375" s="1"/>
  <c r="Q375" s="1"/>
  <c r="G374"/>
  <c r="G373"/>
  <c r="C373"/>
  <c r="S372"/>
  <c r="G372"/>
  <c r="Q372" s="1"/>
  <c r="F372"/>
  <c r="G371"/>
  <c r="F371"/>
  <c r="G369"/>
  <c r="F367"/>
  <c r="G367" s="1"/>
  <c r="Q367" s="1"/>
  <c r="G366"/>
  <c r="G365"/>
  <c r="Q365" s="1"/>
  <c r="T372" s="1"/>
  <c r="F364"/>
  <c r="F363"/>
  <c r="G360"/>
  <c r="F360"/>
  <c r="G359"/>
  <c r="G358"/>
  <c r="G357"/>
  <c r="F357"/>
  <c r="G356"/>
  <c r="F356"/>
  <c r="F355"/>
  <c r="G354"/>
  <c r="F354"/>
  <c r="G353"/>
  <c r="F353"/>
  <c r="E352"/>
  <c r="G352" s="1"/>
  <c r="L352" s="1"/>
  <c r="G350"/>
  <c r="F350"/>
  <c r="G349"/>
  <c r="F349"/>
  <c r="G347"/>
  <c r="F347"/>
  <c r="G346"/>
  <c r="F346"/>
  <c r="G344"/>
  <c r="G343"/>
  <c r="F343"/>
  <c r="G342"/>
  <c r="F342"/>
  <c r="F341"/>
  <c r="E341"/>
  <c r="G341" s="1"/>
  <c r="G340"/>
  <c r="F340"/>
  <c r="G339"/>
  <c r="F339"/>
  <c r="F338"/>
  <c r="G337"/>
  <c r="F337"/>
  <c r="G336"/>
  <c r="F336"/>
  <c r="G334"/>
  <c r="F334"/>
  <c r="G333"/>
  <c r="F333"/>
  <c r="F332"/>
  <c r="G331"/>
  <c r="F331"/>
  <c r="G330"/>
  <c r="F330"/>
  <c r="G328"/>
  <c r="F328"/>
  <c r="G327"/>
  <c r="F327"/>
  <c r="E326"/>
  <c r="F326" s="1"/>
  <c r="G325"/>
  <c r="F325"/>
  <c r="G324"/>
  <c r="F324"/>
  <c r="G322"/>
  <c r="F322"/>
  <c r="G321"/>
  <c r="F321"/>
  <c r="G319"/>
  <c r="F319"/>
  <c r="G318"/>
  <c r="F318"/>
  <c r="E317"/>
  <c r="G317" s="1"/>
  <c r="G316"/>
  <c r="G315"/>
  <c r="G314"/>
  <c r="F314"/>
  <c r="G313"/>
  <c r="F313"/>
  <c r="S311"/>
  <c r="G311"/>
  <c r="Q311" s="1"/>
  <c r="F311"/>
  <c r="G310"/>
  <c r="F310"/>
  <c r="F309"/>
  <c r="F307"/>
  <c r="G307" s="1"/>
  <c r="G306"/>
  <c r="G305"/>
  <c r="Q305" s="1"/>
  <c r="T311" s="1"/>
  <c r="G297"/>
  <c r="Q297" s="1"/>
  <c r="F297"/>
  <c r="G296"/>
  <c r="F296"/>
  <c r="G295"/>
  <c r="F295"/>
  <c r="G293"/>
  <c r="G292"/>
  <c r="Q292" s="1"/>
  <c r="G291"/>
  <c r="G290"/>
  <c r="Q290" s="1"/>
  <c r="G289"/>
  <c r="F289"/>
  <c r="G288"/>
  <c r="F288"/>
  <c r="G286"/>
  <c r="F286"/>
  <c r="G285"/>
  <c r="F285"/>
  <c r="G278"/>
  <c r="G277"/>
  <c r="G275"/>
  <c r="G274"/>
  <c r="G272"/>
  <c r="G271"/>
  <c r="G270"/>
  <c r="L268" s="1"/>
  <c r="G269"/>
  <c r="G268"/>
  <c r="G267"/>
  <c r="G266"/>
  <c r="G265"/>
  <c r="E265"/>
  <c r="G263"/>
  <c r="G262"/>
  <c r="G260"/>
  <c r="G259"/>
  <c r="G258"/>
  <c r="G257"/>
  <c r="G255"/>
  <c r="G254"/>
  <c r="E253"/>
  <c r="G253" s="1"/>
  <c r="G252"/>
  <c r="G251"/>
  <c r="G249"/>
  <c r="G248"/>
  <c r="G246"/>
  <c r="G245"/>
  <c r="G243"/>
  <c r="G242"/>
  <c r="G239"/>
  <c r="G238"/>
  <c r="G236"/>
  <c r="G235"/>
  <c r="G234"/>
  <c r="G233"/>
  <c r="G231"/>
  <c r="G230"/>
  <c r="G229"/>
  <c r="G228"/>
  <c r="G226"/>
  <c r="G225"/>
  <c r="G224"/>
  <c r="G223"/>
  <c r="S221"/>
  <c r="F221"/>
  <c r="G221"/>
  <c r="Q221" s="1"/>
  <c r="G220"/>
  <c r="F220"/>
  <c r="G218"/>
  <c r="G215"/>
  <c r="F214"/>
  <c r="G214" s="1"/>
  <c r="Q214" s="1"/>
  <c r="G213"/>
  <c r="G212"/>
  <c r="Q212" s="1"/>
  <c r="T221" s="1"/>
  <c r="G211"/>
  <c r="G210"/>
  <c r="G209"/>
  <c r="G208"/>
  <c r="G207"/>
  <c r="E206"/>
  <c r="G206" s="1"/>
  <c r="G205"/>
  <c r="G204"/>
  <c r="G202"/>
  <c r="G201"/>
  <c r="G199"/>
  <c r="G198"/>
  <c r="F195"/>
  <c r="G195" s="1"/>
  <c r="G194"/>
  <c r="G193"/>
  <c r="G192"/>
  <c r="G191"/>
  <c r="G189"/>
  <c r="G188"/>
  <c r="G186"/>
  <c r="G185"/>
  <c r="G183"/>
  <c r="G182"/>
  <c r="G180"/>
  <c r="F179"/>
  <c r="G179" s="1"/>
  <c r="G178"/>
  <c r="G177"/>
  <c r="G176"/>
  <c r="G175"/>
  <c r="G173"/>
  <c r="G172"/>
  <c r="G170"/>
  <c r="G169"/>
  <c r="G168"/>
  <c r="G167"/>
  <c r="G165"/>
  <c r="G164"/>
  <c r="G163"/>
  <c r="G162"/>
  <c r="G161"/>
  <c r="G160"/>
  <c r="G158"/>
  <c r="G157"/>
  <c r="G155"/>
  <c r="G154"/>
  <c r="G152"/>
  <c r="G151"/>
  <c r="G149"/>
  <c r="G148"/>
  <c r="G146"/>
  <c r="G145"/>
  <c r="S144"/>
  <c r="F144"/>
  <c r="G144"/>
  <c r="Q144" s="1"/>
  <c r="F143"/>
  <c r="G143"/>
  <c r="G142"/>
  <c r="G141"/>
  <c r="G140"/>
  <c r="G139"/>
  <c r="Q139" s="1"/>
  <c r="T144" s="1"/>
  <c r="G134"/>
  <c r="F134"/>
  <c r="G133"/>
  <c r="F133"/>
  <c r="E132"/>
  <c r="G132" s="1"/>
  <c r="L132" s="1"/>
  <c r="G131"/>
  <c r="F131"/>
  <c r="G130"/>
  <c r="F130"/>
  <c r="G129"/>
  <c r="F129"/>
  <c r="E129"/>
  <c r="F128"/>
  <c r="E128"/>
  <c r="G128" s="1"/>
  <c r="J127"/>
  <c r="G127"/>
  <c r="G126"/>
  <c r="F126"/>
  <c r="G125"/>
  <c r="F125"/>
  <c r="G120"/>
  <c r="F120"/>
  <c r="G119"/>
  <c r="F119"/>
  <c r="G117"/>
  <c r="F117"/>
  <c r="G116"/>
  <c r="F116"/>
  <c r="G114"/>
  <c r="F114"/>
  <c r="G113"/>
  <c r="F113"/>
  <c r="G112"/>
  <c r="L112" s="1"/>
  <c r="F112"/>
  <c r="E112"/>
  <c r="G111"/>
  <c r="F111"/>
  <c r="G110"/>
  <c r="F110"/>
  <c r="G108"/>
  <c r="F108"/>
  <c r="G107"/>
  <c r="F107"/>
  <c r="G105"/>
  <c r="F105"/>
  <c r="G104"/>
  <c r="F104"/>
  <c r="F103"/>
  <c r="G102"/>
  <c r="F102"/>
  <c r="G101"/>
  <c r="F101"/>
  <c r="G99"/>
  <c r="G98"/>
  <c r="G97"/>
  <c r="F97"/>
  <c r="G96"/>
  <c r="F96"/>
  <c r="E95"/>
  <c r="F95" s="1"/>
  <c r="G94"/>
  <c r="F94"/>
  <c r="G93"/>
  <c r="F93"/>
  <c r="G91"/>
  <c r="F91"/>
  <c r="G90"/>
  <c r="F90"/>
  <c r="G88"/>
  <c r="F88"/>
  <c r="G87"/>
  <c r="F87"/>
  <c r="G85"/>
  <c r="F85"/>
  <c r="G84"/>
  <c r="F84"/>
  <c r="S82"/>
  <c r="G82"/>
  <c r="Q82" s="1"/>
  <c r="F82"/>
  <c r="G81"/>
  <c r="F81"/>
  <c r="G79"/>
  <c r="G78"/>
  <c r="G77"/>
  <c r="Q77" s="1"/>
  <c r="G76"/>
  <c r="Q75"/>
  <c r="G74"/>
  <c r="F74"/>
  <c r="G73"/>
  <c r="F73"/>
  <c r="F72"/>
  <c r="G71"/>
  <c r="F71"/>
  <c r="G70"/>
  <c r="F70"/>
  <c r="F68"/>
  <c r="G68" s="1"/>
  <c r="G67"/>
  <c r="F67"/>
  <c r="G65"/>
  <c r="G64"/>
  <c r="G63"/>
  <c r="F63"/>
  <c r="G62"/>
  <c r="G61"/>
  <c r="G60"/>
  <c r="F60"/>
  <c r="G59"/>
  <c r="F59"/>
  <c r="G57"/>
  <c r="F57"/>
  <c r="G56"/>
  <c r="F56"/>
  <c r="G54"/>
  <c r="F54"/>
  <c r="G53"/>
  <c r="F53"/>
  <c r="F52"/>
  <c r="G51"/>
  <c r="F51"/>
  <c r="G50"/>
  <c r="F50"/>
  <c r="F49"/>
  <c r="E49"/>
  <c r="G49" s="1"/>
  <c r="G48"/>
  <c r="F48"/>
  <c r="G47"/>
  <c r="F47"/>
  <c r="G34"/>
  <c r="G33"/>
  <c r="L33" s="1"/>
  <c r="G29"/>
  <c r="F28"/>
  <c r="G28"/>
  <c r="G25"/>
  <c r="F25"/>
  <c r="F24"/>
  <c r="G24" s="1"/>
  <c r="L24" s="1"/>
  <c r="S23"/>
  <c r="G23"/>
  <c r="Q23" s="1"/>
  <c r="F23"/>
  <c r="J22"/>
  <c r="G22"/>
  <c r="Q22" s="1"/>
  <c r="J21"/>
  <c r="G21"/>
  <c r="T20"/>
  <c r="S20"/>
  <c r="F20"/>
  <c r="G20" s="1"/>
  <c r="F19"/>
  <c r="G19" s="1"/>
  <c r="G17"/>
  <c r="G15"/>
  <c r="F15"/>
  <c r="G14"/>
  <c r="G13"/>
  <c r="G12"/>
  <c r="F12"/>
  <c r="G11"/>
  <c r="F11"/>
  <c r="G10"/>
  <c r="E10"/>
  <c r="S8"/>
  <c r="G8"/>
  <c r="Q8" s="1"/>
  <c r="T8" s="1"/>
  <c r="F8"/>
  <c r="F7"/>
  <c r="G6"/>
  <c r="F6"/>
  <c r="G5"/>
  <c r="G4"/>
  <c r="G222" l="1"/>
  <c r="F317"/>
  <c r="G244"/>
  <c r="G323"/>
  <c r="L323" s="1"/>
  <c r="L21"/>
  <c r="U21" s="1"/>
  <c r="L127"/>
  <c r="F132"/>
  <c r="L206"/>
  <c r="F320"/>
  <c r="F352"/>
  <c r="G400"/>
  <c r="G46"/>
  <c r="L46" s="1"/>
  <c r="G66"/>
  <c r="G83"/>
  <c r="G115"/>
  <c r="L115" s="1"/>
  <c r="G150"/>
  <c r="L150" s="1"/>
  <c r="G166"/>
  <c r="G181"/>
  <c r="G273"/>
  <c r="G397"/>
  <c r="G439"/>
  <c r="G174"/>
  <c r="G200"/>
  <c r="G256"/>
  <c r="L256" s="1"/>
  <c r="G203"/>
  <c r="L264"/>
  <c r="Q264" s="1"/>
  <c r="G86"/>
  <c r="L86" s="1"/>
  <c r="G103"/>
  <c r="L103" s="1"/>
  <c r="G118"/>
  <c r="G153"/>
  <c r="G171"/>
  <c r="L169" s="1"/>
  <c r="G184"/>
  <c r="L184" s="1"/>
  <c r="G197"/>
  <c r="G276"/>
  <c r="L276" s="1"/>
  <c r="G332"/>
  <c r="G355"/>
  <c r="L355" s="1"/>
  <c r="G370"/>
  <c r="G416"/>
  <c r="L412" s="1"/>
  <c r="G442"/>
  <c r="L203"/>
  <c r="G376"/>
  <c r="L373" s="1"/>
  <c r="Q392"/>
  <c r="L434"/>
  <c r="L419"/>
  <c r="L439"/>
  <c r="L422"/>
  <c r="G395"/>
  <c r="L392" s="1"/>
  <c r="G387"/>
  <c r="L332"/>
  <c r="G312"/>
  <c r="G308"/>
  <c r="L273"/>
  <c r="G250"/>
  <c r="L250" s="1"/>
  <c r="G247"/>
  <c r="L247" s="1"/>
  <c r="L244"/>
  <c r="G227"/>
  <c r="L225" s="1"/>
  <c r="L222"/>
  <c r="L200"/>
  <c r="G196"/>
  <c r="G190"/>
  <c r="L190" s="1"/>
  <c r="G187"/>
  <c r="L187" s="1"/>
  <c r="L177"/>
  <c r="L174"/>
  <c r="L164"/>
  <c r="G159"/>
  <c r="L159" s="1"/>
  <c r="G156"/>
  <c r="L156" s="1"/>
  <c r="G147"/>
  <c r="L145" s="1"/>
  <c r="L124"/>
  <c r="L118"/>
  <c r="L106"/>
  <c r="G100"/>
  <c r="L98" s="1"/>
  <c r="G89"/>
  <c r="L89" s="1"/>
  <c r="L83"/>
  <c r="L72"/>
  <c r="L55"/>
  <c r="L52"/>
  <c r="G16"/>
  <c r="G428"/>
  <c r="L428" s="1"/>
  <c r="G425"/>
  <c r="L425" s="1"/>
  <c r="F416"/>
  <c r="L365"/>
  <c r="F362"/>
  <c r="G348"/>
  <c r="L348" s="1"/>
  <c r="L345"/>
  <c r="G335"/>
  <c r="L335" s="1"/>
  <c r="L320"/>
  <c r="F312"/>
  <c r="G287"/>
  <c r="L287" s="1"/>
  <c r="L284"/>
  <c r="F124"/>
  <c r="F118"/>
  <c r="F106"/>
  <c r="F100"/>
  <c r="F92"/>
  <c r="F89"/>
  <c r="F83"/>
  <c r="G80"/>
  <c r="L75" s="1"/>
  <c r="U75" s="1"/>
  <c r="G69"/>
  <c r="L69" s="1"/>
  <c r="L58"/>
  <c r="F55"/>
  <c r="F27"/>
  <c r="V7"/>
  <c r="L4"/>
  <c r="U4" s="1"/>
  <c r="L109"/>
  <c r="L49"/>
  <c r="L92"/>
  <c r="L61"/>
  <c r="L209"/>
  <c r="L253"/>
  <c r="L153"/>
  <c r="L312"/>
  <c r="Q373"/>
  <c r="L290"/>
  <c r="L338"/>
  <c r="T399"/>
  <c r="L315"/>
  <c r="L341"/>
  <c r="L431"/>
  <c r="Q21"/>
  <c r="T23" s="1"/>
  <c r="R6"/>
  <c r="L9"/>
  <c r="U9" s="1"/>
  <c r="T82"/>
  <c r="L139"/>
  <c r="U139" s="1"/>
  <c r="L401"/>
  <c r="Q307"/>
  <c r="G95"/>
  <c r="L95" s="1"/>
  <c r="G326"/>
  <c r="L326" s="1"/>
  <c r="G329"/>
  <c r="L329" s="1"/>
  <c r="G380"/>
  <c r="L380" s="1"/>
  <c r="Q384"/>
  <c r="T391" s="1"/>
  <c r="G389"/>
  <c r="G402"/>
  <c r="L442"/>
  <c r="Q401"/>
  <c r="T401" s="1"/>
  <c r="D28" i="23"/>
  <c r="G29"/>
  <c r="F28"/>
  <c r="E27"/>
  <c r="G27" s="1"/>
  <c r="G28" l="1"/>
  <c r="L27" s="1"/>
  <c r="D27" i="24"/>
  <c r="G27" s="1"/>
  <c r="L27" s="1"/>
  <c r="F27" i="23"/>
  <c r="L384" i="24"/>
  <c r="L358"/>
  <c r="L193"/>
  <c r="G423" i="23"/>
  <c r="G422"/>
  <c r="F422"/>
  <c r="E421"/>
  <c r="F421" s="1"/>
  <c r="G421"/>
  <c r="G308"/>
  <c r="G310"/>
  <c r="F310"/>
  <c r="G309"/>
  <c r="F309"/>
  <c r="E308"/>
  <c r="F308" s="1"/>
  <c r="E366"/>
  <c r="L421" l="1"/>
  <c r="L308"/>
  <c r="D290"/>
  <c r="D289"/>
  <c r="D309" i="24" s="1"/>
  <c r="G309" s="1"/>
  <c r="L305" s="1"/>
  <c r="U305" s="1"/>
  <c r="D249" i="23"/>
  <c r="D261" i="24" s="1"/>
  <c r="G261" s="1"/>
  <c r="L259" s="1"/>
  <c r="D229" i="23" l="1"/>
  <c r="D228"/>
  <c r="D241" i="24" s="1"/>
  <c r="G241" s="1"/>
  <c r="L240" s="1"/>
  <c r="D225" i="23"/>
  <c r="D224"/>
  <c r="D237" i="24" s="1"/>
  <c r="G237" s="1"/>
  <c r="L235" s="1"/>
  <c r="D220" i="23" l="1"/>
  <c r="D219"/>
  <c r="D232" i="24" s="1"/>
  <c r="G232" s="1"/>
  <c r="L230" s="1"/>
  <c r="G220" i="23" l="1"/>
  <c r="G219"/>
  <c r="E218"/>
  <c r="G218" s="1"/>
  <c r="G217"/>
  <c r="G216"/>
  <c r="L216" l="1"/>
  <c r="E201"/>
  <c r="D207"/>
  <c r="D206"/>
  <c r="D219" i="24" s="1"/>
  <c r="G219" s="1"/>
  <c r="L212" s="1"/>
  <c r="G196" i="23" l="1"/>
  <c r="D130" l="1"/>
  <c r="D129"/>
  <c r="G106" l="1"/>
  <c r="F106"/>
  <c r="G105"/>
  <c r="F105"/>
  <c r="E104"/>
  <c r="F104" s="1"/>
  <c r="G104"/>
  <c r="L104" l="1"/>
  <c r="G76"/>
  <c r="G403" l="1"/>
  <c r="G402"/>
  <c r="F402"/>
  <c r="E401"/>
  <c r="F401" s="1"/>
  <c r="G401" l="1"/>
  <c r="L401" s="1"/>
  <c r="G33"/>
  <c r="D20"/>
  <c r="D19"/>
  <c r="D18" i="24" s="1"/>
  <c r="G18" s="1"/>
  <c r="L13" s="1"/>
  <c r="U13" s="1"/>
  <c r="D8" i="23" l="1"/>
  <c r="D7"/>
  <c r="G7" s="1"/>
  <c r="E262" l="1"/>
  <c r="E259"/>
  <c r="E247"/>
  <c r="E242"/>
  <c r="E236"/>
  <c r="E233"/>
  <c r="E230"/>
  <c r="E227"/>
  <c r="E223"/>
  <c r="E213"/>
  <c r="E208"/>
  <c r="E205"/>
  <c r="E189"/>
  <c r="E186"/>
  <c r="E183"/>
  <c r="E182"/>
  <c r="E176"/>
  <c r="E173"/>
  <c r="E170"/>
  <c r="E167"/>
  <c r="E166"/>
  <c r="E160"/>
  <c r="E157"/>
  <c r="E152"/>
  <c r="E145"/>
  <c r="E142"/>
  <c r="E139"/>
  <c r="E136"/>
  <c r="E133"/>
  <c r="E418" l="1"/>
  <c r="F418" s="1"/>
  <c r="E415"/>
  <c r="E410"/>
  <c r="F410" s="1"/>
  <c r="E407"/>
  <c r="F407" s="1"/>
  <c r="E404"/>
  <c r="F404" s="1"/>
  <c r="E398"/>
  <c r="F398" s="1"/>
  <c r="E395"/>
  <c r="F395" s="1"/>
  <c r="E376"/>
  <c r="F376" s="1"/>
  <c r="E374"/>
  <c r="E368"/>
  <c r="F368" s="1"/>
  <c r="E359"/>
  <c r="F359" s="1"/>
  <c r="E356"/>
  <c r="F356" s="1"/>
  <c r="E355"/>
  <c r="E349"/>
  <c r="F349" s="1"/>
  <c r="E341"/>
  <c r="F341" s="1"/>
  <c r="E340"/>
  <c r="E334"/>
  <c r="F334" s="1"/>
  <c r="E327"/>
  <c r="E324"/>
  <c r="F324" s="1"/>
  <c r="E317"/>
  <c r="F317" s="1"/>
  <c r="E314"/>
  <c r="E311"/>
  <c r="E302"/>
  <c r="F302" s="1"/>
  <c r="E299"/>
  <c r="F299" s="1"/>
  <c r="E291"/>
  <c r="F291" s="1"/>
  <c r="E288"/>
  <c r="F288" s="1"/>
  <c r="E287"/>
  <c r="E273"/>
  <c r="F273" s="1"/>
  <c r="E270"/>
  <c r="E110"/>
  <c r="F110" s="1"/>
  <c r="E107"/>
  <c r="F107" s="1"/>
  <c r="E98"/>
  <c r="F98" s="1"/>
  <c r="E95"/>
  <c r="E92"/>
  <c r="F92" s="1"/>
  <c r="E89"/>
  <c r="F89" s="1"/>
  <c r="E81"/>
  <c r="F81" s="1"/>
  <c r="E78"/>
  <c r="F78" s="1"/>
  <c r="E75"/>
  <c r="E72"/>
  <c r="E69"/>
  <c r="F69" s="1"/>
  <c r="E61"/>
  <c r="F61" s="1"/>
  <c r="E58"/>
  <c r="E55"/>
  <c r="E47"/>
  <c r="F47" s="1"/>
  <c r="E44"/>
  <c r="F44" s="1"/>
  <c r="E41"/>
  <c r="E35"/>
  <c r="F35" s="1"/>
  <c r="E18"/>
  <c r="F18" s="1"/>
  <c r="E16"/>
  <c r="H413"/>
  <c r="J413" s="1"/>
  <c r="H391"/>
  <c r="J391" s="1"/>
  <c r="D418"/>
  <c r="D415"/>
  <c r="G415" s="1"/>
  <c r="D410"/>
  <c r="D407"/>
  <c r="D404"/>
  <c r="G404" s="1"/>
  <c r="D398"/>
  <c r="G398" s="1"/>
  <c r="D395"/>
  <c r="D376"/>
  <c r="D374"/>
  <c r="G374" s="1"/>
  <c r="D368"/>
  <c r="G368" s="1"/>
  <c r="D366"/>
  <c r="G366" s="1"/>
  <c r="D359"/>
  <c r="G359" s="1"/>
  <c r="D356"/>
  <c r="G356" s="1"/>
  <c r="D355"/>
  <c r="G355" s="1"/>
  <c r="D349"/>
  <c r="G349" s="1"/>
  <c r="G347"/>
  <c r="D341"/>
  <c r="G341" s="1"/>
  <c r="D340"/>
  <c r="D334"/>
  <c r="G334" s="1"/>
  <c r="D327"/>
  <c r="D324"/>
  <c r="G324" s="1"/>
  <c r="D314"/>
  <c r="D311"/>
  <c r="G311" s="1"/>
  <c r="D302"/>
  <c r="G302" s="1"/>
  <c r="D299"/>
  <c r="D291"/>
  <c r="G291" s="1"/>
  <c r="D287"/>
  <c r="D270"/>
  <c r="G270" s="1"/>
  <c r="D262"/>
  <c r="D259"/>
  <c r="G259" s="1"/>
  <c r="D242"/>
  <c r="G242" s="1"/>
  <c r="D236"/>
  <c r="G236" s="1"/>
  <c r="D233"/>
  <c r="G233" s="1"/>
  <c r="D230"/>
  <c r="G230" s="1"/>
  <c r="D213"/>
  <c r="G213" s="1"/>
  <c r="D208"/>
  <c r="G208" s="1"/>
  <c r="D201"/>
  <c r="D189"/>
  <c r="G189" s="1"/>
  <c r="D186"/>
  <c r="G186" s="1"/>
  <c r="D183"/>
  <c r="G183" s="1"/>
  <c r="D182"/>
  <c r="G182" s="1"/>
  <c r="D176"/>
  <c r="G176" s="1"/>
  <c r="D173"/>
  <c r="G173" s="1"/>
  <c r="D170"/>
  <c r="G170" s="1"/>
  <c r="D167"/>
  <c r="D166"/>
  <c r="G166" s="1"/>
  <c r="D160"/>
  <c r="G160" s="1"/>
  <c r="D157"/>
  <c r="G157" s="1"/>
  <c r="D152"/>
  <c r="G152" s="1"/>
  <c r="D145"/>
  <c r="G145" s="1"/>
  <c r="D142"/>
  <c r="G142" s="1"/>
  <c r="D139"/>
  <c r="G139" s="1"/>
  <c r="D136"/>
  <c r="G136" s="1"/>
  <c r="D133"/>
  <c r="G133" s="1"/>
  <c r="D110"/>
  <c r="G110" s="1"/>
  <c r="D107"/>
  <c r="D98"/>
  <c r="D95"/>
  <c r="D92"/>
  <c r="G92" s="1"/>
  <c r="D89"/>
  <c r="D81"/>
  <c r="D78"/>
  <c r="D75"/>
  <c r="G75" s="1"/>
  <c r="D72"/>
  <c r="D69"/>
  <c r="D67"/>
  <c r="G67" s="1"/>
  <c r="D61"/>
  <c r="D58"/>
  <c r="G58" s="1"/>
  <c r="D55"/>
  <c r="D47"/>
  <c r="D44"/>
  <c r="G44" s="1"/>
  <c r="D41"/>
  <c r="G41" s="1"/>
  <c r="D35"/>
  <c r="D16"/>
  <c r="G420"/>
  <c r="G419"/>
  <c r="F419"/>
  <c r="G417"/>
  <c r="G416"/>
  <c r="F416"/>
  <c r="F415"/>
  <c r="G414"/>
  <c r="G413"/>
  <c r="G412"/>
  <c r="G411"/>
  <c r="F411"/>
  <c r="G409"/>
  <c r="G408"/>
  <c r="F408"/>
  <c r="G406"/>
  <c r="G405"/>
  <c r="F405"/>
  <c r="G400"/>
  <c r="G399"/>
  <c r="F399"/>
  <c r="G397"/>
  <c r="G396"/>
  <c r="F396"/>
  <c r="G394"/>
  <c r="G393"/>
  <c r="G392"/>
  <c r="G391"/>
  <c r="G383"/>
  <c r="F383"/>
  <c r="G382"/>
  <c r="F382"/>
  <c r="E381"/>
  <c r="G381" s="1"/>
  <c r="S380"/>
  <c r="G380"/>
  <c r="F380"/>
  <c r="C380"/>
  <c r="Q380" s="1"/>
  <c r="T380" s="1"/>
  <c r="F379"/>
  <c r="E379"/>
  <c r="S378"/>
  <c r="G378"/>
  <c r="Q378" s="1"/>
  <c r="F378"/>
  <c r="G377"/>
  <c r="F377"/>
  <c r="G375"/>
  <c r="F373"/>
  <c r="G373" s="1"/>
  <c r="Q373" s="1"/>
  <c r="G372"/>
  <c r="G371"/>
  <c r="C371"/>
  <c r="S370"/>
  <c r="G370"/>
  <c r="Q370" s="1"/>
  <c r="F370"/>
  <c r="G369"/>
  <c r="F369"/>
  <c r="G367"/>
  <c r="F365"/>
  <c r="G365" s="1"/>
  <c r="Q365" s="1"/>
  <c r="G364"/>
  <c r="G363"/>
  <c r="Q363" s="1"/>
  <c r="G361"/>
  <c r="F361"/>
  <c r="G360"/>
  <c r="F360"/>
  <c r="G358"/>
  <c r="Q358" s="1"/>
  <c r="F358"/>
  <c r="G357"/>
  <c r="F357"/>
  <c r="G354"/>
  <c r="Q354" s="1"/>
  <c r="F354"/>
  <c r="G353"/>
  <c r="G352"/>
  <c r="C352"/>
  <c r="S351"/>
  <c r="G351"/>
  <c r="Q351" s="1"/>
  <c r="F351"/>
  <c r="G350"/>
  <c r="F350"/>
  <c r="G348"/>
  <c r="F346"/>
  <c r="G346" s="1"/>
  <c r="Q346" s="1"/>
  <c r="G345"/>
  <c r="G344"/>
  <c r="Q344" s="1"/>
  <c r="T351" s="1"/>
  <c r="G343"/>
  <c r="F343"/>
  <c r="G342"/>
  <c r="F342"/>
  <c r="G339"/>
  <c r="F339"/>
  <c r="G338"/>
  <c r="G337"/>
  <c r="G336"/>
  <c r="F336"/>
  <c r="G335"/>
  <c r="F335"/>
  <c r="G333"/>
  <c r="F333"/>
  <c r="G332"/>
  <c r="F332"/>
  <c r="F331"/>
  <c r="E331"/>
  <c r="G331" s="1"/>
  <c r="G329"/>
  <c r="F329"/>
  <c r="G328"/>
  <c r="F328"/>
  <c r="F327"/>
  <c r="G326"/>
  <c r="F326"/>
  <c r="G325"/>
  <c r="F325"/>
  <c r="G323"/>
  <c r="G322"/>
  <c r="F322"/>
  <c r="G321"/>
  <c r="F321"/>
  <c r="E320"/>
  <c r="F320" s="1"/>
  <c r="G319"/>
  <c r="F319"/>
  <c r="G318"/>
  <c r="F318"/>
  <c r="G316"/>
  <c r="F316"/>
  <c r="G315"/>
  <c r="F315"/>
  <c r="F314"/>
  <c r="G313"/>
  <c r="F313"/>
  <c r="G312"/>
  <c r="F312"/>
  <c r="F311"/>
  <c r="F307"/>
  <c r="G307"/>
  <c r="G306"/>
  <c r="F306"/>
  <c r="E305"/>
  <c r="G305" s="1"/>
  <c r="G304"/>
  <c r="F304"/>
  <c r="G303"/>
  <c r="F303"/>
  <c r="G301"/>
  <c r="F301"/>
  <c r="G300"/>
  <c r="F300"/>
  <c r="G298"/>
  <c r="F298"/>
  <c r="G297"/>
  <c r="F297"/>
  <c r="E296"/>
  <c r="F296" s="1"/>
  <c r="G296"/>
  <c r="G295"/>
  <c r="G294"/>
  <c r="G293"/>
  <c r="F293"/>
  <c r="G292"/>
  <c r="F292"/>
  <c r="S290"/>
  <c r="F290"/>
  <c r="G290"/>
  <c r="Q290" s="1"/>
  <c r="G289"/>
  <c r="F289"/>
  <c r="F286"/>
  <c r="G286" s="1"/>
  <c r="G285"/>
  <c r="G284"/>
  <c r="Q284" s="1"/>
  <c r="T290" s="1"/>
  <c r="G283"/>
  <c r="Q283" s="1"/>
  <c r="F283"/>
  <c r="G282"/>
  <c r="F282"/>
  <c r="G281"/>
  <c r="F281"/>
  <c r="G279"/>
  <c r="G278"/>
  <c r="Q278" s="1"/>
  <c r="G277"/>
  <c r="G276"/>
  <c r="G275"/>
  <c r="F275"/>
  <c r="G274"/>
  <c r="F274"/>
  <c r="G272"/>
  <c r="F272"/>
  <c r="G271"/>
  <c r="F271"/>
  <c r="G264"/>
  <c r="G263"/>
  <c r="G262"/>
  <c r="G261"/>
  <c r="G260"/>
  <c r="G258"/>
  <c r="G257"/>
  <c r="G256"/>
  <c r="G255"/>
  <c r="G254"/>
  <c r="G253"/>
  <c r="G252"/>
  <c r="E251"/>
  <c r="G251" s="1"/>
  <c r="G249"/>
  <c r="G248"/>
  <c r="G246"/>
  <c r="G245"/>
  <c r="G244"/>
  <c r="G243"/>
  <c r="G241"/>
  <c r="G240"/>
  <c r="E239"/>
  <c r="G239" s="1"/>
  <c r="L239" s="1"/>
  <c r="G238"/>
  <c r="G237"/>
  <c r="G235"/>
  <c r="G234"/>
  <c r="G232"/>
  <c r="G231"/>
  <c r="G229"/>
  <c r="G228"/>
  <c r="G225"/>
  <c r="G224"/>
  <c r="G222"/>
  <c r="G221"/>
  <c r="G215"/>
  <c r="G214"/>
  <c r="G212"/>
  <c r="G211"/>
  <c r="G210"/>
  <c r="G209"/>
  <c r="S207"/>
  <c r="G207"/>
  <c r="Q207" s="1"/>
  <c r="F207"/>
  <c r="F206"/>
  <c r="G206"/>
  <c r="F205"/>
  <c r="G204"/>
  <c r="G201"/>
  <c r="F200"/>
  <c r="G200" s="1"/>
  <c r="Q200" s="1"/>
  <c r="G199"/>
  <c r="G198"/>
  <c r="Q198" s="1"/>
  <c r="T207" s="1"/>
  <c r="G197"/>
  <c r="G195"/>
  <c r="G194"/>
  <c r="G193"/>
  <c r="E192"/>
  <c r="G192" s="1"/>
  <c r="G191"/>
  <c r="G190"/>
  <c r="G188"/>
  <c r="G187"/>
  <c r="G185"/>
  <c r="G184"/>
  <c r="F181"/>
  <c r="G181" s="1"/>
  <c r="G180"/>
  <c r="G179"/>
  <c r="G178"/>
  <c r="G177"/>
  <c r="G175"/>
  <c r="G174"/>
  <c r="G172"/>
  <c r="G171"/>
  <c r="G169"/>
  <c r="G168"/>
  <c r="G167"/>
  <c r="F165"/>
  <c r="G165" s="1"/>
  <c r="G164"/>
  <c r="G163"/>
  <c r="G162"/>
  <c r="G161"/>
  <c r="G159"/>
  <c r="G158"/>
  <c r="G156"/>
  <c r="G155"/>
  <c r="G154"/>
  <c r="G153"/>
  <c r="G151"/>
  <c r="G150"/>
  <c r="G149"/>
  <c r="G148"/>
  <c r="G147"/>
  <c r="G146"/>
  <c r="G144"/>
  <c r="G143"/>
  <c r="G141"/>
  <c r="G140"/>
  <c r="G138"/>
  <c r="G137"/>
  <c r="G135"/>
  <c r="G134"/>
  <c r="G132"/>
  <c r="G131"/>
  <c r="S130"/>
  <c r="F130"/>
  <c r="G130"/>
  <c r="Q130" s="1"/>
  <c r="G129"/>
  <c r="F129"/>
  <c r="G128"/>
  <c r="G127"/>
  <c r="G126"/>
  <c r="Q125"/>
  <c r="T130" s="1"/>
  <c r="G125"/>
  <c r="G120"/>
  <c r="F120"/>
  <c r="G119"/>
  <c r="F119"/>
  <c r="E118"/>
  <c r="F118" s="1"/>
  <c r="G117"/>
  <c r="F117"/>
  <c r="G116"/>
  <c r="F116"/>
  <c r="E115"/>
  <c r="G115" s="1"/>
  <c r="F114"/>
  <c r="E114"/>
  <c r="G114" s="1"/>
  <c r="L113" s="1"/>
  <c r="J113"/>
  <c r="G113"/>
  <c r="G112"/>
  <c r="F112"/>
  <c r="G111"/>
  <c r="F111"/>
  <c r="G109"/>
  <c r="F109"/>
  <c r="G108"/>
  <c r="F108"/>
  <c r="G103"/>
  <c r="F103"/>
  <c r="G102"/>
  <c r="F102"/>
  <c r="E101"/>
  <c r="G101" s="1"/>
  <c r="L101" s="1"/>
  <c r="G100"/>
  <c r="F100"/>
  <c r="G99"/>
  <c r="F99"/>
  <c r="G97"/>
  <c r="F97"/>
  <c r="G96"/>
  <c r="F96"/>
  <c r="F95"/>
  <c r="G94"/>
  <c r="F94"/>
  <c r="G93"/>
  <c r="F93"/>
  <c r="G91"/>
  <c r="F91"/>
  <c r="G90"/>
  <c r="F90"/>
  <c r="G88"/>
  <c r="G87"/>
  <c r="G86"/>
  <c r="F86"/>
  <c r="G85"/>
  <c r="F85"/>
  <c r="G84"/>
  <c r="L84" s="1"/>
  <c r="E84"/>
  <c r="F84" s="1"/>
  <c r="G83"/>
  <c r="F83"/>
  <c r="G82"/>
  <c r="F82"/>
  <c r="G80"/>
  <c r="F80"/>
  <c r="G79"/>
  <c r="F79"/>
  <c r="G77"/>
  <c r="F77"/>
  <c r="F76"/>
  <c r="G74"/>
  <c r="F74"/>
  <c r="G73"/>
  <c r="F73"/>
  <c r="S71"/>
  <c r="F71"/>
  <c r="G71" s="1"/>
  <c r="Q71" s="1"/>
  <c r="G70"/>
  <c r="F70"/>
  <c r="G68"/>
  <c r="G66"/>
  <c r="Q66" s="1"/>
  <c r="G65"/>
  <c r="G64"/>
  <c r="Q64" s="1"/>
  <c r="G63"/>
  <c r="F63"/>
  <c r="G62"/>
  <c r="F62"/>
  <c r="G60"/>
  <c r="F60"/>
  <c r="G59"/>
  <c r="F59"/>
  <c r="F58"/>
  <c r="G57"/>
  <c r="F57"/>
  <c r="G56"/>
  <c r="F56"/>
  <c r="F55"/>
  <c r="G54"/>
  <c r="G53"/>
  <c r="F52"/>
  <c r="G52" s="1"/>
  <c r="G51"/>
  <c r="G50"/>
  <c r="G49"/>
  <c r="F49"/>
  <c r="G48"/>
  <c r="F48"/>
  <c r="G46"/>
  <c r="F46"/>
  <c r="G45"/>
  <c r="F45"/>
  <c r="G43"/>
  <c r="F43"/>
  <c r="G42"/>
  <c r="F42"/>
  <c r="F41"/>
  <c r="G40"/>
  <c r="F40"/>
  <c r="G39"/>
  <c r="F39"/>
  <c r="E38"/>
  <c r="G38" s="1"/>
  <c r="L38" s="1"/>
  <c r="G37"/>
  <c r="F37"/>
  <c r="G36"/>
  <c r="F36"/>
  <c r="G34"/>
  <c r="F25"/>
  <c r="G25" s="1"/>
  <c r="F24"/>
  <c r="G24" s="1"/>
  <c r="S23"/>
  <c r="F23"/>
  <c r="G23" s="1"/>
  <c r="Q23" s="1"/>
  <c r="J22"/>
  <c r="G22"/>
  <c r="J21"/>
  <c r="G21"/>
  <c r="T20"/>
  <c r="S20"/>
  <c r="F20"/>
  <c r="G20" s="1"/>
  <c r="F19"/>
  <c r="G19" s="1"/>
  <c r="G17"/>
  <c r="F15"/>
  <c r="G15" s="1"/>
  <c r="G14"/>
  <c r="G13"/>
  <c r="G12"/>
  <c r="F12"/>
  <c r="G11"/>
  <c r="F11"/>
  <c r="E10"/>
  <c r="G10" s="1"/>
  <c r="S8"/>
  <c r="F8"/>
  <c r="G8"/>
  <c r="Q8" s="1"/>
  <c r="T8" s="1"/>
  <c r="F7"/>
  <c r="G6"/>
  <c r="F6"/>
  <c r="G5"/>
  <c r="G4"/>
  <c r="G190" i="22"/>
  <c r="G73"/>
  <c r="L250" i="23" l="1"/>
  <c r="Q250" s="1"/>
  <c r="F38"/>
  <c r="F101"/>
  <c r="G47"/>
  <c r="L47" s="1"/>
  <c r="G407"/>
  <c r="G118"/>
  <c r="L118" s="1"/>
  <c r="F381"/>
  <c r="G35"/>
  <c r="L35" s="1"/>
  <c r="G55"/>
  <c r="G98"/>
  <c r="G395"/>
  <c r="G410"/>
  <c r="L410" s="1"/>
  <c r="L24"/>
  <c r="L21"/>
  <c r="U21" s="1"/>
  <c r="F305"/>
  <c r="Q22"/>
  <c r="F115"/>
  <c r="G273"/>
  <c r="G379"/>
  <c r="G89"/>
  <c r="L87" s="1"/>
  <c r="G340"/>
  <c r="Q352"/>
  <c r="L302"/>
  <c r="L291"/>
  <c r="L110"/>
  <c r="G72"/>
  <c r="L72" s="1"/>
  <c r="G16"/>
  <c r="G314"/>
  <c r="L314" s="1"/>
  <c r="G327"/>
  <c r="L327" s="1"/>
  <c r="G376"/>
  <c r="L371" s="1"/>
  <c r="L262"/>
  <c r="L242"/>
  <c r="L189"/>
  <c r="L160"/>
  <c r="G418"/>
  <c r="L418" s="1"/>
  <c r="L413"/>
  <c r="L407"/>
  <c r="L404"/>
  <c r="L352"/>
  <c r="L324"/>
  <c r="G299"/>
  <c r="L299" s="1"/>
  <c r="G287"/>
  <c r="G107"/>
  <c r="L107" s="1"/>
  <c r="L98"/>
  <c r="G95"/>
  <c r="L95" s="1"/>
  <c r="G81"/>
  <c r="L81" s="1"/>
  <c r="G78"/>
  <c r="L78" s="1"/>
  <c r="F75"/>
  <c r="F72"/>
  <c r="T71"/>
  <c r="G69"/>
  <c r="L64" s="1"/>
  <c r="U64" s="1"/>
  <c r="G61"/>
  <c r="L61" s="1"/>
  <c r="L44"/>
  <c r="L337"/>
  <c r="L294"/>
  <c r="L211"/>
  <c r="L41"/>
  <c r="L398"/>
  <c r="L391"/>
  <c r="L334"/>
  <c r="L363"/>
  <c r="T378"/>
  <c r="L270"/>
  <c r="L276"/>
  <c r="L359"/>
  <c r="L311"/>
  <c r="L331"/>
  <c r="L273"/>
  <c r="T370"/>
  <c r="Q371"/>
  <c r="L125"/>
  <c r="U125" s="1"/>
  <c r="L145"/>
  <c r="L170"/>
  <c r="L186"/>
  <c r="L192"/>
  <c r="L131"/>
  <c r="L163"/>
  <c r="L173"/>
  <c r="L208"/>
  <c r="L230"/>
  <c r="L236"/>
  <c r="L254"/>
  <c r="L259"/>
  <c r="L136"/>
  <c r="L142"/>
  <c r="L139"/>
  <c r="L155"/>
  <c r="L176"/>
  <c r="L195"/>
  <c r="L233"/>
  <c r="L58"/>
  <c r="L75"/>
  <c r="L92"/>
  <c r="L33"/>
  <c r="L4"/>
  <c r="U4" s="1"/>
  <c r="L9"/>
  <c r="U9" s="1"/>
  <c r="V7"/>
  <c r="R6"/>
  <c r="L179"/>
  <c r="L305"/>
  <c r="L344"/>
  <c r="L150"/>
  <c r="Q286"/>
  <c r="L50"/>
  <c r="L380"/>
  <c r="Q21"/>
  <c r="T23" s="1"/>
  <c r="Q276"/>
  <c r="G320"/>
  <c r="L320" s="1"/>
  <c r="G74" i="22"/>
  <c r="F74"/>
  <c r="F73"/>
  <c r="E72"/>
  <c r="G72" s="1"/>
  <c r="F72" l="1"/>
  <c r="L72"/>
  <c r="G45" l="1"/>
  <c r="G40" l="1"/>
  <c r="F40"/>
  <c r="G39"/>
  <c r="F39"/>
  <c r="E38"/>
  <c r="G38" s="1"/>
  <c r="F38" l="1"/>
  <c r="L38"/>
  <c r="G30"/>
  <c r="G322" l="1"/>
  <c r="F322"/>
  <c r="G321"/>
  <c r="F321"/>
  <c r="E320"/>
  <c r="F320" s="1"/>
  <c r="G320"/>
  <c r="L320" l="1"/>
  <c r="G326"/>
  <c r="F325"/>
  <c r="G325" s="1"/>
  <c r="D305" l="1"/>
  <c r="D304"/>
  <c r="D317" i="23" s="1"/>
  <c r="G317" s="1"/>
  <c r="L317" s="1"/>
  <c r="D296" i="22"/>
  <c r="D295"/>
  <c r="D279"/>
  <c r="D278"/>
  <c r="D288" i="23" s="1"/>
  <c r="G288" s="1"/>
  <c r="L284" s="1"/>
  <c r="U284" s="1"/>
  <c r="D238" i="22" l="1"/>
  <c r="D237"/>
  <c r="D247" i="23" s="1"/>
  <c r="G247" s="1"/>
  <c r="L245" s="1"/>
  <c r="D218" i="22" l="1"/>
  <c r="D217"/>
  <c r="D227" i="23" s="1"/>
  <c r="G227" s="1"/>
  <c r="L226" s="1"/>
  <c r="D214" i="22" l="1"/>
  <c r="D213"/>
  <c r="D223" i="23" s="1"/>
  <c r="G223" s="1"/>
  <c r="L221" s="1"/>
  <c r="D200" i="22" l="1"/>
  <c r="D205" i="23" s="1"/>
  <c r="G205" s="1"/>
  <c r="L198" s="1"/>
  <c r="D124" i="22" l="1"/>
  <c r="D123"/>
  <c r="G394" l="1"/>
  <c r="G383" i="21"/>
  <c r="G384"/>
  <c r="D20" i="22" l="1"/>
  <c r="D19"/>
  <c r="D18" i="23" s="1"/>
  <c r="G18" s="1"/>
  <c r="L13" s="1"/>
  <c r="U13" s="1"/>
  <c r="D8" i="22" l="1"/>
  <c r="D7"/>
  <c r="E251" l="1"/>
  <c r="E248"/>
  <c r="E236"/>
  <c r="E231"/>
  <c r="E225"/>
  <c r="E222"/>
  <c r="E219"/>
  <c r="E216"/>
  <c r="E212"/>
  <c r="E207"/>
  <c r="E202"/>
  <c r="E199"/>
  <c r="F199" s="1"/>
  <c r="E186"/>
  <c r="E183"/>
  <c r="E180"/>
  <c r="E177"/>
  <c r="E170"/>
  <c r="E167"/>
  <c r="E164"/>
  <c r="E161"/>
  <c r="E154"/>
  <c r="E151"/>
  <c r="E146"/>
  <c r="E139"/>
  <c r="E136"/>
  <c r="E133"/>
  <c r="E130"/>
  <c r="E127"/>
  <c r="E401"/>
  <c r="F401" s="1"/>
  <c r="E398"/>
  <c r="E393"/>
  <c r="F393" s="1"/>
  <c r="E390"/>
  <c r="F390" s="1"/>
  <c r="E387"/>
  <c r="F387" s="1"/>
  <c r="E384"/>
  <c r="F384" s="1"/>
  <c r="E381"/>
  <c r="F381" s="1"/>
  <c r="E362"/>
  <c r="E354"/>
  <c r="F354" s="1"/>
  <c r="E345"/>
  <c r="E342"/>
  <c r="F342" s="1"/>
  <c r="E335"/>
  <c r="F335" s="1"/>
  <c r="E327"/>
  <c r="F327" s="1"/>
  <c r="E313"/>
  <c r="F313" s="1"/>
  <c r="E310"/>
  <c r="F310" s="1"/>
  <c r="E303"/>
  <c r="F303" s="1"/>
  <c r="E300"/>
  <c r="E297"/>
  <c r="F297" s="1"/>
  <c r="E294"/>
  <c r="F294" s="1"/>
  <c r="E291"/>
  <c r="E288"/>
  <c r="E285"/>
  <c r="F285" s="1"/>
  <c r="E280"/>
  <c r="E277"/>
  <c r="F277" s="1"/>
  <c r="E262"/>
  <c r="F262" s="1"/>
  <c r="E259"/>
  <c r="E104"/>
  <c r="F104" s="1"/>
  <c r="E101"/>
  <c r="F101" s="1"/>
  <c r="E95"/>
  <c r="E92"/>
  <c r="E89"/>
  <c r="F89" s="1"/>
  <c r="E86"/>
  <c r="F86" s="1"/>
  <c r="E78"/>
  <c r="E75"/>
  <c r="F75" s="1"/>
  <c r="E69"/>
  <c r="F69" s="1"/>
  <c r="E66"/>
  <c r="F66" s="1"/>
  <c r="E58"/>
  <c r="F58" s="1"/>
  <c r="E55"/>
  <c r="F55" s="1"/>
  <c r="E52"/>
  <c r="F52" s="1"/>
  <c r="E44"/>
  <c r="F44" s="1"/>
  <c r="E41"/>
  <c r="E32"/>
  <c r="E18"/>
  <c r="F18" s="1"/>
  <c r="D401"/>
  <c r="D398"/>
  <c r="G398" s="1"/>
  <c r="D393"/>
  <c r="D390"/>
  <c r="D387"/>
  <c r="G387" s="1"/>
  <c r="D384"/>
  <c r="D381"/>
  <c r="D362"/>
  <c r="D360"/>
  <c r="G360" s="1"/>
  <c r="D354"/>
  <c r="G354" s="1"/>
  <c r="D352"/>
  <c r="G352" s="1"/>
  <c r="D345"/>
  <c r="D342"/>
  <c r="G342" s="1"/>
  <c r="D341"/>
  <c r="G341" s="1"/>
  <c r="D335"/>
  <c r="D333"/>
  <c r="G333" s="1"/>
  <c r="D327"/>
  <c r="G327" s="1"/>
  <c r="D313"/>
  <c r="G313" s="1"/>
  <c r="D310"/>
  <c r="D303"/>
  <c r="D300"/>
  <c r="G300" s="1"/>
  <c r="D297"/>
  <c r="G297" s="1"/>
  <c r="D291"/>
  <c r="D288"/>
  <c r="D285"/>
  <c r="G285" s="1"/>
  <c r="D280"/>
  <c r="D276"/>
  <c r="G276" s="1"/>
  <c r="D268"/>
  <c r="G268" s="1"/>
  <c r="D262"/>
  <c r="D259"/>
  <c r="G259" s="1"/>
  <c r="D251"/>
  <c r="G251" s="1"/>
  <c r="D248"/>
  <c r="D231"/>
  <c r="D225"/>
  <c r="D222"/>
  <c r="D219"/>
  <c r="D207"/>
  <c r="G207" s="1"/>
  <c r="D202"/>
  <c r="D195"/>
  <c r="G195" s="1"/>
  <c r="G186"/>
  <c r="D183"/>
  <c r="G183" s="1"/>
  <c r="D180"/>
  <c r="G180" s="1"/>
  <c r="D177"/>
  <c r="D176"/>
  <c r="G176" s="1"/>
  <c r="D170"/>
  <c r="G170" s="1"/>
  <c r="D167"/>
  <c r="G167" s="1"/>
  <c r="D164"/>
  <c r="D161"/>
  <c r="D160"/>
  <c r="D154"/>
  <c r="D151"/>
  <c r="D146"/>
  <c r="D139"/>
  <c r="D136"/>
  <c r="D133"/>
  <c r="D130"/>
  <c r="D127"/>
  <c r="D104"/>
  <c r="G104" s="1"/>
  <c r="D101"/>
  <c r="G101" s="1"/>
  <c r="D95"/>
  <c r="G95" s="1"/>
  <c r="D92"/>
  <c r="G92" s="1"/>
  <c r="D89"/>
  <c r="G89" s="1"/>
  <c r="D86"/>
  <c r="G86" s="1"/>
  <c r="D78"/>
  <c r="G78" s="1"/>
  <c r="D75"/>
  <c r="G75" s="1"/>
  <c r="D69"/>
  <c r="G69" s="1"/>
  <c r="D66"/>
  <c r="G66" s="1"/>
  <c r="D64"/>
  <c r="G64" s="1"/>
  <c r="D58"/>
  <c r="D55"/>
  <c r="D52"/>
  <c r="D50"/>
  <c r="G50" s="1"/>
  <c r="D44"/>
  <c r="D41"/>
  <c r="D32"/>
  <c r="G32" s="1"/>
  <c r="D16"/>
  <c r="G16" s="1"/>
  <c r="G403"/>
  <c r="G402"/>
  <c r="F402"/>
  <c r="G400"/>
  <c r="G399"/>
  <c r="F399"/>
  <c r="F398"/>
  <c r="G397"/>
  <c r="G396"/>
  <c r="G395"/>
  <c r="F394"/>
  <c r="G392"/>
  <c r="G391"/>
  <c r="F391"/>
  <c r="G389"/>
  <c r="G388"/>
  <c r="F388"/>
  <c r="G386"/>
  <c r="G385"/>
  <c r="F385"/>
  <c r="G383"/>
  <c r="G382"/>
  <c r="F382"/>
  <c r="G380"/>
  <c r="G379"/>
  <c r="G378"/>
  <c r="G377"/>
  <c r="G369"/>
  <c r="F369"/>
  <c r="G368"/>
  <c r="F368"/>
  <c r="E367"/>
  <c r="G367" s="1"/>
  <c r="S366"/>
  <c r="F366"/>
  <c r="G366" s="1"/>
  <c r="C366"/>
  <c r="F365"/>
  <c r="E365"/>
  <c r="G365" s="1"/>
  <c r="S364"/>
  <c r="G364"/>
  <c r="Q364" s="1"/>
  <c r="F364"/>
  <c r="G363"/>
  <c r="F363"/>
  <c r="F362"/>
  <c r="G361"/>
  <c r="F359"/>
  <c r="G359" s="1"/>
  <c r="Q359" s="1"/>
  <c r="G358"/>
  <c r="G357"/>
  <c r="C357"/>
  <c r="S356"/>
  <c r="G356"/>
  <c r="Q356" s="1"/>
  <c r="F356"/>
  <c r="G355"/>
  <c r="F355"/>
  <c r="G353"/>
  <c r="G351"/>
  <c r="Q351" s="1"/>
  <c r="F351"/>
  <c r="G350"/>
  <c r="G349"/>
  <c r="Q349" s="1"/>
  <c r="G347"/>
  <c r="F347"/>
  <c r="G346"/>
  <c r="F346"/>
  <c r="G345"/>
  <c r="F345"/>
  <c r="G344"/>
  <c r="Q344" s="1"/>
  <c r="F344"/>
  <c r="G343"/>
  <c r="F343"/>
  <c r="F340"/>
  <c r="G340" s="1"/>
  <c r="Q340" s="1"/>
  <c r="G339"/>
  <c r="G338"/>
  <c r="C338"/>
  <c r="S337"/>
  <c r="G337"/>
  <c r="Q337" s="1"/>
  <c r="F337"/>
  <c r="G336"/>
  <c r="F336"/>
  <c r="G334"/>
  <c r="F332"/>
  <c r="G332" s="1"/>
  <c r="Q332" s="1"/>
  <c r="G331"/>
  <c r="Q330"/>
  <c r="T337" s="1"/>
  <c r="G330"/>
  <c r="G329"/>
  <c r="F329"/>
  <c r="G328"/>
  <c r="F328"/>
  <c r="G324"/>
  <c r="G323"/>
  <c r="G319"/>
  <c r="F319"/>
  <c r="G318"/>
  <c r="F318"/>
  <c r="F317"/>
  <c r="E317"/>
  <c r="G317" s="1"/>
  <c r="G315"/>
  <c r="F315"/>
  <c r="G314"/>
  <c r="F314"/>
  <c r="G312"/>
  <c r="F312"/>
  <c r="G311"/>
  <c r="F311"/>
  <c r="G309"/>
  <c r="G308"/>
  <c r="F308"/>
  <c r="G307"/>
  <c r="F307"/>
  <c r="G306"/>
  <c r="L306" s="1"/>
  <c r="F306"/>
  <c r="E306"/>
  <c r="G305"/>
  <c r="F305"/>
  <c r="F304"/>
  <c r="G304"/>
  <c r="G302"/>
  <c r="F302"/>
  <c r="G301"/>
  <c r="F301"/>
  <c r="F300"/>
  <c r="G299"/>
  <c r="F299"/>
  <c r="G298"/>
  <c r="F298"/>
  <c r="G296"/>
  <c r="F296"/>
  <c r="F295"/>
  <c r="G295"/>
  <c r="G293"/>
  <c r="F293"/>
  <c r="G292"/>
  <c r="F292"/>
  <c r="F291"/>
  <c r="G290"/>
  <c r="F290"/>
  <c r="G289"/>
  <c r="F289"/>
  <c r="F288"/>
  <c r="G287"/>
  <c r="F287"/>
  <c r="G286"/>
  <c r="F286"/>
  <c r="G284"/>
  <c r="G283"/>
  <c r="G282"/>
  <c r="F282"/>
  <c r="G281"/>
  <c r="F281"/>
  <c r="F280"/>
  <c r="S279"/>
  <c r="G279"/>
  <c r="Q279" s="1"/>
  <c r="F279"/>
  <c r="F278"/>
  <c r="G278"/>
  <c r="F275"/>
  <c r="G275" s="1"/>
  <c r="Q275" s="1"/>
  <c r="G274"/>
  <c r="G273"/>
  <c r="Q273" s="1"/>
  <c r="T279" s="1"/>
  <c r="G272"/>
  <c r="Q272" s="1"/>
  <c r="F272"/>
  <c r="G271"/>
  <c r="F271"/>
  <c r="G270"/>
  <c r="F270"/>
  <c r="G267"/>
  <c r="Q267" s="1"/>
  <c r="G266"/>
  <c r="G265"/>
  <c r="G264"/>
  <c r="F264"/>
  <c r="G263"/>
  <c r="F263"/>
  <c r="G261"/>
  <c r="F261"/>
  <c r="G260"/>
  <c r="F260"/>
  <c r="G253"/>
  <c r="G252"/>
  <c r="G250"/>
  <c r="G249"/>
  <c r="G247"/>
  <c r="G246"/>
  <c r="G245"/>
  <c r="G244"/>
  <c r="G243"/>
  <c r="G242"/>
  <c r="G241"/>
  <c r="E240"/>
  <c r="G240" s="1"/>
  <c r="G238"/>
  <c r="G237"/>
  <c r="G235"/>
  <c r="G234"/>
  <c r="G233"/>
  <c r="G232"/>
  <c r="G230"/>
  <c r="G229"/>
  <c r="E228"/>
  <c r="G228" s="1"/>
  <c r="L228" s="1"/>
  <c r="G227"/>
  <c r="G226"/>
  <c r="G224"/>
  <c r="G223"/>
  <c r="G221"/>
  <c r="G220"/>
  <c r="G218"/>
  <c r="G217"/>
  <c r="G214"/>
  <c r="G213"/>
  <c r="G211"/>
  <c r="G210"/>
  <c r="G209"/>
  <c r="G208"/>
  <c r="G206"/>
  <c r="G205"/>
  <c r="G204"/>
  <c r="G203"/>
  <c r="S201"/>
  <c r="F201"/>
  <c r="G201"/>
  <c r="Q201" s="1"/>
  <c r="F200"/>
  <c r="G200"/>
  <c r="E198"/>
  <c r="G198" s="1"/>
  <c r="G194"/>
  <c r="Q194" s="1"/>
  <c r="F194"/>
  <c r="G193"/>
  <c r="G192"/>
  <c r="Q192" s="1"/>
  <c r="T201" s="1"/>
  <c r="G191"/>
  <c r="G189"/>
  <c r="G188"/>
  <c r="G187"/>
  <c r="G185"/>
  <c r="G184"/>
  <c r="G182"/>
  <c r="G181"/>
  <c r="G179"/>
  <c r="G178"/>
  <c r="F175"/>
  <c r="G175" s="1"/>
  <c r="G174"/>
  <c r="G173"/>
  <c r="G172"/>
  <c r="G171"/>
  <c r="G169"/>
  <c r="G168"/>
  <c r="G166"/>
  <c r="G165"/>
  <c r="G163"/>
  <c r="G162"/>
  <c r="G160"/>
  <c r="F159"/>
  <c r="G159" s="1"/>
  <c r="G158"/>
  <c r="G157"/>
  <c r="G156"/>
  <c r="G155"/>
  <c r="G153"/>
  <c r="G152"/>
  <c r="G150"/>
  <c r="G149"/>
  <c r="G148"/>
  <c r="G147"/>
  <c r="G145"/>
  <c r="G144"/>
  <c r="G143"/>
  <c r="G142"/>
  <c r="G141"/>
  <c r="G140"/>
  <c r="G138"/>
  <c r="G137"/>
  <c r="G135"/>
  <c r="G134"/>
  <c r="G132"/>
  <c r="G131"/>
  <c r="G129"/>
  <c r="G128"/>
  <c r="G126"/>
  <c r="G125"/>
  <c r="S124"/>
  <c r="G124"/>
  <c r="Q124" s="1"/>
  <c r="F124"/>
  <c r="G123"/>
  <c r="F123"/>
  <c r="G122"/>
  <c r="G121"/>
  <c r="G120"/>
  <c r="G119"/>
  <c r="Q119" s="1"/>
  <c r="T124" s="1"/>
  <c r="G114"/>
  <c r="F114"/>
  <c r="G113"/>
  <c r="F113"/>
  <c r="F112"/>
  <c r="E112"/>
  <c r="G112" s="1"/>
  <c r="G111"/>
  <c r="F111"/>
  <c r="G110"/>
  <c r="F110"/>
  <c r="E109"/>
  <c r="F109" s="1"/>
  <c r="F108"/>
  <c r="G108" s="1"/>
  <c r="E108"/>
  <c r="J107"/>
  <c r="G107"/>
  <c r="G106"/>
  <c r="F106"/>
  <c r="G105"/>
  <c r="F105"/>
  <c r="G103"/>
  <c r="F103"/>
  <c r="G102"/>
  <c r="F102"/>
  <c r="G100"/>
  <c r="F100"/>
  <c r="G99"/>
  <c r="F99"/>
  <c r="E98"/>
  <c r="F98" s="1"/>
  <c r="G97"/>
  <c r="F97"/>
  <c r="G96"/>
  <c r="F96"/>
  <c r="F95"/>
  <c r="G94"/>
  <c r="F94"/>
  <c r="G93"/>
  <c r="F93"/>
  <c r="F92"/>
  <c r="G91"/>
  <c r="F91"/>
  <c r="G90"/>
  <c r="F90"/>
  <c r="G88"/>
  <c r="F88"/>
  <c r="G87"/>
  <c r="F87"/>
  <c r="G85"/>
  <c r="G84"/>
  <c r="G83"/>
  <c r="F83"/>
  <c r="G82"/>
  <c r="F82"/>
  <c r="E81"/>
  <c r="G81" s="1"/>
  <c r="L81" s="1"/>
  <c r="G80"/>
  <c r="F80"/>
  <c r="G79"/>
  <c r="F79"/>
  <c r="F78"/>
  <c r="G77"/>
  <c r="F77"/>
  <c r="G76"/>
  <c r="F76"/>
  <c r="G71"/>
  <c r="F71"/>
  <c r="G70"/>
  <c r="F70"/>
  <c r="S68"/>
  <c r="F68"/>
  <c r="G68" s="1"/>
  <c r="Q68" s="1"/>
  <c r="G67"/>
  <c r="F67"/>
  <c r="G65"/>
  <c r="G63"/>
  <c r="Q63" s="1"/>
  <c r="G62"/>
  <c r="G61"/>
  <c r="Q61" s="1"/>
  <c r="G60"/>
  <c r="F60"/>
  <c r="G59"/>
  <c r="F59"/>
  <c r="G57"/>
  <c r="F57"/>
  <c r="G56"/>
  <c r="F56"/>
  <c r="F54"/>
  <c r="G54" s="1"/>
  <c r="G53"/>
  <c r="F53"/>
  <c r="G51"/>
  <c r="F49"/>
  <c r="G49" s="1"/>
  <c r="G48"/>
  <c r="G47"/>
  <c r="G46"/>
  <c r="F46"/>
  <c r="F45"/>
  <c r="G43"/>
  <c r="F43"/>
  <c r="G42"/>
  <c r="F42"/>
  <c r="F41"/>
  <c r="G37"/>
  <c r="F37"/>
  <c r="G36"/>
  <c r="F36"/>
  <c r="E35"/>
  <c r="F35" s="1"/>
  <c r="G34"/>
  <c r="F34"/>
  <c r="G33"/>
  <c r="F33"/>
  <c r="F32"/>
  <c r="G31"/>
  <c r="L30"/>
  <c r="F25"/>
  <c r="G25" s="1"/>
  <c r="G24"/>
  <c r="F24"/>
  <c r="S23"/>
  <c r="G23"/>
  <c r="Q23" s="1"/>
  <c r="F23"/>
  <c r="J22"/>
  <c r="G22"/>
  <c r="Q22" s="1"/>
  <c r="J21"/>
  <c r="G21"/>
  <c r="Q21" s="1"/>
  <c r="T20"/>
  <c r="S20"/>
  <c r="F20"/>
  <c r="G20" s="1"/>
  <c r="G19"/>
  <c r="F19"/>
  <c r="G17"/>
  <c r="F15"/>
  <c r="G15" s="1"/>
  <c r="G14"/>
  <c r="G13"/>
  <c r="G12"/>
  <c r="F12"/>
  <c r="G11"/>
  <c r="F11"/>
  <c r="E10"/>
  <c r="G10" s="1"/>
  <c r="L9" s="1"/>
  <c r="U9" s="1"/>
  <c r="S8"/>
  <c r="F8"/>
  <c r="G8"/>
  <c r="G7"/>
  <c r="F7"/>
  <c r="G6"/>
  <c r="F6"/>
  <c r="G5"/>
  <c r="G4"/>
  <c r="F383" i="21"/>
  <c r="E382"/>
  <c r="G382" s="1"/>
  <c r="L382" s="1"/>
  <c r="D298"/>
  <c r="D289"/>
  <c r="D272"/>
  <c r="D232"/>
  <c r="D231"/>
  <c r="D236" i="22" s="1"/>
  <c r="G236" s="1"/>
  <c r="T23" l="1"/>
  <c r="L24"/>
  <c r="F382" i="21"/>
  <c r="F367" i="22"/>
  <c r="G362"/>
  <c r="L357" s="1"/>
  <c r="L21"/>
  <c r="U21" s="1"/>
  <c r="F81"/>
  <c r="G44"/>
  <c r="G127"/>
  <c r="L125" s="1"/>
  <c r="G139"/>
  <c r="L139" s="1"/>
  <c r="G219"/>
  <c r="G280"/>
  <c r="G381"/>
  <c r="G393"/>
  <c r="L393" s="1"/>
  <c r="L239"/>
  <c r="Q239" s="1"/>
  <c r="G231"/>
  <c r="G291"/>
  <c r="L291" s="1"/>
  <c r="G390"/>
  <c r="G35"/>
  <c r="L112"/>
  <c r="G146"/>
  <c r="G41"/>
  <c r="L41" s="1"/>
  <c r="L89"/>
  <c r="G164"/>
  <c r="L164" s="1"/>
  <c r="L259"/>
  <c r="L251"/>
  <c r="G248"/>
  <c r="L248" s="1"/>
  <c r="L231"/>
  <c r="G225"/>
  <c r="L225" s="1"/>
  <c r="G222"/>
  <c r="L222" s="1"/>
  <c r="G202"/>
  <c r="L202" s="1"/>
  <c r="L186"/>
  <c r="L183"/>
  <c r="L180"/>
  <c r="G177"/>
  <c r="L170"/>
  <c r="L167"/>
  <c r="G161"/>
  <c r="L157" s="1"/>
  <c r="G154"/>
  <c r="L154" s="1"/>
  <c r="G151"/>
  <c r="L149" s="1"/>
  <c r="L144"/>
  <c r="G136"/>
  <c r="L136" s="1"/>
  <c r="G133"/>
  <c r="L133" s="1"/>
  <c r="G130"/>
  <c r="L130" s="1"/>
  <c r="G401"/>
  <c r="L401" s="1"/>
  <c r="L390"/>
  <c r="G384"/>
  <c r="L384" s="1"/>
  <c r="L349"/>
  <c r="L338"/>
  <c r="G335"/>
  <c r="L330" s="1"/>
  <c r="L313"/>
  <c r="G310"/>
  <c r="L310" s="1"/>
  <c r="G303"/>
  <c r="L303" s="1"/>
  <c r="G288"/>
  <c r="L288" s="1"/>
  <c r="L283"/>
  <c r="L280"/>
  <c r="G262"/>
  <c r="L262" s="1"/>
  <c r="L104"/>
  <c r="L101"/>
  <c r="L95"/>
  <c r="L92"/>
  <c r="G58"/>
  <c r="L58" s="1"/>
  <c r="G55"/>
  <c r="L55" s="1"/>
  <c r="G52"/>
  <c r="L47" s="1"/>
  <c r="L44"/>
  <c r="L323"/>
  <c r="L205"/>
  <c r="L387"/>
  <c r="L396"/>
  <c r="L265"/>
  <c r="L300"/>
  <c r="L317"/>
  <c r="Q338"/>
  <c r="L345"/>
  <c r="L297"/>
  <c r="T356"/>
  <c r="Q357"/>
  <c r="T364"/>
  <c r="L119"/>
  <c r="U119" s="1"/>
  <c r="L219"/>
  <c r="L243"/>
  <c r="L189"/>
  <c r="L32"/>
  <c r="L78"/>
  <c r="T68"/>
  <c r="L35"/>
  <c r="L61"/>
  <c r="U61" s="1"/>
  <c r="L69"/>
  <c r="L84"/>
  <c r="L75"/>
  <c r="L4"/>
  <c r="U4" s="1"/>
  <c r="L173"/>
  <c r="L234"/>
  <c r="L366"/>
  <c r="Q8"/>
  <c r="T8" s="1"/>
  <c r="V7"/>
  <c r="R6"/>
  <c r="G98"/>
  <c r="L98" s="1"/>
  <c r="G109"/>
  <c r="L107" s="1"/>
  <c r="Q265"/>
  <c r="Q366"/>
  <c r="T366" s="1"/>
  <c r="L377"/>
  <c r="D212" i="21"/>
  <c r="D216" i="22" s="1"/>
  <c r="G216" s="1"/>
  <c r="L215" s="1"/>
  <c r="D208" i="21"/>
  <c r="D207"/>
  <c r="D212" i="22" l="1"/>
  <c r="G212" s="1"/>
  <c r="L210" s="1"/>
  <c r="D195" i="21"/>
  <c r="D194"/>
  <c r="D199" i="22" s="1"/>
  <c r="G199" s="1"/>
  <c r="L192" s="1"/>
  <c r="D118" i="21" l="1"/>
  <c r="D117"/>
  <c r="G7" l="1"/>
  <c r="G117" l="1"/>
  <c r="G318" l="1"/>
  <c r="F318"/>
  <c r="G317"/>
  <c r="F317"/>
  <c r="E316"/>
  <c r="F316" s="1"/>
  <c r="G316"/>
  <c r="G315"/>
  <c r="G314"/>
  <c r="L314" l="1"/>
  <c r="G306"/>
  <c r="F306"/>
  <c r="G305"/>
  <c r="F305"/>
  <c r="E304"/>
  <c r="G304" s="1"/>
  <c r="F304" l="1"/>
  <c r="L304"/>
  <c r="D290"/>
  <c r="D294" i="22" s="1"/>
  <c r="G294" s="1"/>
  <c r="L294" s="1"/>
  <c r="D273" i="21" l="1"/>
  <c r="G272"/>
  <c r="D20"/>
  <c r="D18" i="22" s="1"/>
  <c r="G18" s="1"/>
  <c r="L13" s="1"/>
  <c r="U13" s="1"/>
  <c r="D8" i="21"/>
  <c r="G8" s="1"/>
  <c r="Q8" s="1"/>
  <c r="T8" s="1"/>
  <c r="E245"/>
  <c r="E242"/>
  <c r="E230"/>
  <c r="E225"/>
  <c r="E219"/>
  <c r="E216"/>
  <c r="E213"/>
  <c r="E210"/>
  <c r="E206"/>
  <c r="E201"/>
  <c r="E196"/>
  <c r="E193"/>
  <c r="F193" s="1"/>
  <c r="E180"/>
  <c r="E177"/>
  <c r="E174"/>
  <c r="E171"/>
  <c r="E164"/>
  <c r="E161"/>
  <c r="E158"/>
  <c r="E155"/>
  <c r="E148"/>
  <c r="E145"/>
  <c r="E140"/>
  <c r="E133"/>
  <c r="E130"/>
  <c r="E127"/>
  <c r="E124"/>
  <c r="E121"/>
  <c r="E390"/>
  <c r="F390" s="1"/>
  <c r="E387"/>
  <c r="F387" s="1"/>
  <c r="E379"/>
  <c r="E376"/>
  <c r="F376" s="1"/>
  <c r="E373"/>
  <c r="F373" s="1"/>
  <c r="E370"/>
  <c r="F370" s="1"/>
  <c r="E351"/>
  <c r="E343"/>
  <c r="E334"/>
  <c r="E331"/>
  <c r="F331" s="1"/>
  <c r="E324"/>
  <c r="F324" s="1"/>
  <c r="E307"/>
  <c r="F307" s="1"/>
  <c r="E297"/>
  <c r="F297" s="1"/>
  <c r="E294"/>
  <c r="F294" s="1"/>
  <c r="E291"/>
  <c r="E288"/>
  <c r="F288" s="1"/>
  <c r="E285"/>
  <c r="F285" s="1"/>
  <c r="E282"/>
  <c r="E279"/>
  <c r="F279" s="1"/>
  <c r="E274"/>
  <c r="F274" s="1"/>
  <c r="E271"/>
  <c r="F271" s="1"/>
  <c r="E256"/>
  <c r="F256" s="1"/>
  <c r="E253"/>
  <c r="E98"/>
  <c r="F98" s="1"/>
  <c r="E95"/>
  <c r="F95" s="1"/>
  <c r="E89"/>
  <c r="F89" s="1"/>
  <c r="E86"/>
  <c r="F86" s="1"/>
  <c r="E83"/>
  <c r="F83" s="1"/>
  <c r="E80"/>
  <c r="F80" s="1"/>
  <c r="E75"/>
  <c r="E72"/>
  <c r="F72" s="1"/>
  <c r="E69"/>
  <c r="E66"/>
  <c r="F66" s="1"/>
  <c r="E63"/>
  <c r="F63" s="1"/>
  <c r="E55"/>
  <c r="E52"/>
  <c r="F52" s="1"/>
  <c r="E49"/>
  <c r="E41"/>
  <c r="E38"/>
  <c r="E35"/>
  <c r="E32"/>
  <c r="F32" s="1"/>
  <c r="D390"/>
  <c r="G390" s="1"/>
  <c r="D387"/>
  <c r="D379"/>
  <c r="G379" s="1"/>
  <c r="D376"/>
  <c r="D373"/>
  <c r="G373" s="1"/>
  <c r="D370"/>
  <c r="G370" s="1"/>
  <c r="D351"/>
  <c r="G351" s="1"/>
  <c r="D349"/>
  <c r="G349" s="1"/>
  <c r="D343"/>
  <c r="D341"/>
  <c r="D334"/>
  <c r="D331"/>
  <c r="D330"/>
  <c r="G330" s="1"/>
  <c r="D324"/>
  <c r="G324" s="1"/>
  <c r="D322"/>
  <c r="G322" s="1"/>
  <c r="D307"/>
  <c r="D297"/>
  <c r="G297" s="1"/>
  <c r="D294"/>
  <c r="D291"/>
  <c r="D285"/>
  <c r="G285" s="1"/>
  <c r="D282"/>
  <c r="G282" s="1"/>
  <c r="D279"/>
  <c r="D274"/>
  <c r="D256"/>
  <c r="D253"/>
  <c r="D245"/>
  <c r="G245" s="1"/>
  <c r="D242"/>
  <c r="D225"/>
  <c r="D219"/>
  <c r="D216"/>
  <c r="D213"/>
  <c r="D201"/>
  <c r="G201" s="1"/>
  <c r="D196"/>
  <c r="D180"/>
  <c r="G180" s="1"/>
  <c r="D177"/>
  <c r="G177" s="1"/>
  <c r="D174"/>
  <c r="D171"/>
  <c r="D170"/>
  <c r="G170" s="1"/>
  <c r="D164"/>
  <c r="G164" s="1"/>
  <c r="D161"/>
  <c r="G161" s="1"/>
  <c r="D158"/>
  <c r="D155"/>
  <c r="G153"/>
  <c r="D148"/>
  <c r="G148" s="1"/>
  <c r="D145"/>
  <c r="G145" s="1"/>
  <c r="D140"/>
  <c r="D133"/>
  <c r="D130"/>
  <c r="G130" s="1"/>
  <c r="D127"/>
  <c r="G127" s="1"/>
  <c r="D124"/>
  <c r="D121"/>
  <c r="D98"/>
  <c r="G98" s="1"/>
  <c r="D95"/>
  <c r="G95" s="1"/>
  <c r="D89"/>
  <c r="D86"/>
  <c r="G86" s="1"/>
  <c r="D83"/>
  <c r="D80"/>
  <c r="G80" s="1"/>
  <c r="D75"/>
  <c r="G75" s="1"/>
  <c r="D72"/>
  <c r="D69"/>
  <c r="D66"/>
  <c r="G66" s="1"/>
  <c r="D63"/>
  <c r="G60"/>
  <c r="Q60" s="1"/>
  <c r="D55"/>
  <c r="D52"/>
  <c r="D49"/>
  <c r="D41"/>
  <c r="G41" s="1"/>
  <c r="D38"/>
  <c r="D35"/>
  <c r="D32"/>
  <c r="G32" s="1"/>
  <c r="E18"/>
  <c r="D16"/>
  <c r="G16" s="1"/>
  <c r="H385"/>
  <c r="J385" s="1"/>
  <c r="H366"/>
  <c r="J366" s="1"/>
  <c r="G392"/>
  <c r="G391"/>
  <c r="F391"/>
  <c r="G389"/>
  <c r="G388"/>
  <c r="F388"/>
  <c r="G386"/>
  <c r="G385"/>
  <c r="G381"/>
  <c r="G380"/>
  <c r="F380"/>
  <c r="F379"/>
  <c r="G378"/>
  <c r="G377"/>
  <c r="F377"/>
  <c r="G375"/>
  <c r="G374"/>
  <c r="F374"/>
  <c r="G372"/>
  <c r="G371"/>
  <c r="F371"/>
  <c r="G369"/>
  <c r="G368"/>
  <c r="G367"/>
  <c r="G366"/>
  <c r="G358"/>
  <c r="F358"/>
  <c r="G357"/>
  <c r="F357"/>
  <c r="F356"/>
  <c r="E356"/>
  <c r="G356" s="1"/>
  <c r="S355"/>
  <c r="G355"/>
  <c r="F355"/>
  <c r="C355"/>
  <c r="F354"/>
  <c r="G354" s="1"/>
  <c r="E354"/>
  <c r="S353"/>
  <c r="G353"/>
  <c r="Q353" s="1"/>
  <c r="F353"/>
  <c r="G352"/>
  <c r="F352"/>
  <c r="F351"/>
  <c r="G350"/>
  <c r="F348"/>
  <c r="G348" s="1"/>
  <c r="Q348" s="1"/>
  <c r="G347"/>
  <c r="G346"/>
  <c r="C346"/>
  <c r="S345"/>
  <c r="G345"/>
  <c r="Q345" s="1"/>
  <c r="F345"/>
  <c r="G344"/>
  <c r="F344"/>
  <c r="G342"/>
  <c r="F340"/>
  <c r="G340" s="1"/>
  <c r="Q340" s="1"/>
  <c r="G339"/>
  <c r="G338"/>
  <c r="Q338" s="1"/>
  <c r="G336"/>
  <c r="F336"/>
  <c r="G335"/>
  <c r="F335"/>
  <c r="F334"/>
  <c r="G333"/>
  <c r="Q333" s="1"/>
  <c r="F333"/>
  <c r="G332"/>
  <c r="F332"/>
  <c r="F329"/>
  <c r="G329" s="1"/>
  <c r="Q329" s="1"/>
  <c r="G328"/>
  <c r="G327"/>
  <c r="C327"/>
  <c r="S326"/>
  <c r="G326"/>
  <c r="Q326" s="1"/>
  <c r="F326"/>
  <c r="G325"/>
  <c r="F325"/>
  <c r="G323"/>
  <c r="F321"/>
  <c r="G321" s="1"/>
  <c r="Q321" s="1"/>
  <c r="G320"/>
  <c r="G319"/>
  <c r="Q319" s="1"/>
  <c r="T326" s="1"/>
  <c r="G313"/>
  <c r="F313"/>
  <c r="G312"/>
  <c r="F312"/>
  <c r="E311"/>
  <c r="G311" s="1"/>
  <c r="G309"/>
  <c r="F309"/>
  <c r="G308"/>
  <c r="F308"/>
  <c r="G303"/>
  <c r="G302"/>
  <c r="F302"/>
  <c r="G301"/>
  <c r="F301"/>
  <c r="F300"/>
  <c r="E300"/>
  <c r="G300"/>
  <c r="G299"/>
  <c r="F299"/>
  <c r="G298"/>
  <c r="F298"/>
  <c r="G296"/>
  <c r="F296"/>
  <c r="G295"/>
  <c r="F295"/>
  <c r="G293"/>
  <c r="F293"/>
  <c r="G292"/>
  <c r="F292"/>
  <c r="F291"/>
  <c r="G290"/>
  <c r="F290"/>
  <c r="F289"/>
  <c r="G289"/>
  <c r="G287"/>
  <c r="F287"/>
  <c r="G286"/>
  <c r="F286"/>
  <c r="G284"/>
  <c r="F284"/>
  <c r="G283"/>
  <c r="F283"/>
  <c r="F282"/>
  <c r="G281"/>
  <c r="F281"/>
  <c r="G280"/>
  <c r="F280"/>
  <c r="G278"/>
  <c r="G277"/>
  <c r="G276"/>
  <c r="F276"/>
  <c r="G275"/>
  <c r="F275"/>
  <c r="S273"/>
  <c r="F273"/>
  <c r="F272"/>
  <c r="F269"/>
  <c r="G269" s="1"/>
  <c r="Q269" s="1"/>
  <c r="G270"/>
  <c r="G268"/>
  <c r="G267"/>
  <c r="Q267" s="1"/>
  <c r="T273" s="1"/>
  <c r="G266"/>
  <c r="Q266" s="1"/>
  <c r="F266"/>
  <c r="G265"/>
  <c r="F265"/>
  <c r="G264"/>
  <c r="F264"/>
  <c r="G262"/>
  <c r="G261"/>
  <c r="Q261" s="1"/>
  <c r="G260"/>
  <c r="G259"/>
  <c r="Q259" s="1"/>
  <c r="G258"/>
  <c r="F258"/>
  <c r="G257"/>
  <c r="F257"/>
  <c r="G255"/>
  <c r="F255"/>
  <c r="G254"/>
  <c r="F254"/>
  <c r="G247"/>
  <c r="G246"/>
  <c r="G244"/>
  <c r="G243"/>
  <c r="G241"/>
  <c r="G240"/>
  <c r="G239"/>
  <c r="G238"/>
  <c r="G237"/>
  <c r="G236"/>
  <c r="G235"/>
  <c r="G234"/>
  <c r="E234"/>
  <c r="G232"/>
  <c r="G231"/>
  <c r="G229"/>
  <c r="G228"/>
  <c r="G227"/>
  <c r="G226"/>
  <c r="G224"/>
  <c r="G223"/>
  <c r="E222"/>
  <c r="G222" s="1"/>
  <c r="G221"/>
  <c r="G220"/>
  <c r="G219"/>
  <c r="G218"/>
  <c r="G217"/>
  <c r="G215"/>
  <c r="G214"/>
  <c r="G212"/>
  <c r="G211"/>
  <c r="G208"/>
  <c r="G207"/>
  <c r="G205"/>
  <c r="G204"/>
  <c r="G203"/>
  <c r="G202"/>
  <c r="G200"/>
  <c r="G199"/>
  <c r="G198"/>
  <c r="G197"/>
  <c r="S195"/>
  <c r="G195"/>
  <c r="Q195" s="1"/>
  <c r="F195"/>
  <c r="G194"/>
  <c r="F194"/>
  <c r="E192"/>
  <c r="G192" s="1"/>
  <c r="G189"/>
  <c r="F188"/>
  <c r="G187"/>
  <c r="G186"/>
  <c r="Q186" s="1"/>
  <c r="T195" s="1"/>
  <c r="G185"/>
  <c r="G184"/>
  <c r="G183"/>
  <c r="G182"/>
  <c r="G181"/>
  <c r="G179"/>
  <c r="G178"/>
  <c r="G176"/>
  <c r="G175"/>
  <c r="G173"/>
  <c r="G172"/>
  <c r="G169"/>
  <c r="F169"/>
  <c r="G168"/>
  <c r="G167"/>
  <c r="G166"/>
  <c r="G165"/>
  <c r="G163"/>
  <c r="G162"/>
  <c r="G160"/>
  <c r="G159"/>
  <c r="G157"/>
  <c r="G156"/>
  <c r="G154"/>
  <c r="F153"/>
  <c r="G152"/>
  <c r="G151"/>
  <c r="G150"/>
  <c r="G149"/>
  <c r="G147"/>
  <c r="G146"/>
  <c r="G144"/>
  <c r="G143"/>
  <c r="G142"/>
  <c r="G141"/>
  <c r="G139"/>
  <c r="G138"/>
  <c r="G137"/>
  <c r="G136"/>
  <c r="G135"/>
  <c r="G134"/>
  <c r="G132"/>
  <c r="G131"/>
  <c r="G129"/>
  <c r="G128"/>
  <c r="G126"/>
  <c r="G125"/>
  <c r="G123"/>
  <c r="G122"/>
  <c r="G120"/>
  <c r="G119"/>
  <c r="S118"/>
  <c r="F118"/>
  <c r="G118"/>
  <c r="Q118" s="1"/>
  <c r="F117"/>
  <c r="G116"/>
  <c r="G115"/>
  <c r="G114"/>
  <c r="G113"/>
  <c r="Q113" s="1"/>
  <c r="T118" s="1"/>
  <c r="G108"/>
  <c r="F108"/>
  <c r="G107"/>
  <c r="F107"/>
  <c r="G106"/>
  <c r="L106" s="1"/>
  <c r="E106"/>
  <c r="F106" s="1"/>
  <c r="G105"/>
  <c r="F105"/>
  <c r="G104"/>
  <c r="F104"/>
  <c r="E103"/>
  <c r="G103" s="1"/>
  <c r="F102"/>
  <c r="E102"/>
  <c r="G102" s="1"/>
  <c r="J101"/>
  <c r="G101"/>
  <c r="G100"/>
  <c r="F100"/>
  <c r="G99"/>
  <c r="F99"/>
  <c r="G97"/>
  <c r="F97"/>
  <c r="G96"/>
  <c r="F96"/>
  <c r="G94"/>
  <c r="F94"/>
  <c r="G93"/>
  <c r="F93"/>
  <c r="E92"/>
  <c r="F92" s="1"/>
  <c r="G92"/>
  <c r="G91"/>
  <c r="F91"/>
  <c r="G90"/>
  <c r="F90"/>
  <c r="G88"/>
  <c r="F88"/>
  <c r="G87"/>
  <c r="F87"/>
  <c r="G85"/>
  <c r="F85"/>
  <c r="G84"/>
  <c r="F84"/>
  <c r="G82"/>
  <c r="F82"/>
  <c r="G81"/>
  <c r="F81"/>
  <c r="G79"/>
  <c r="G78"/>
  <c r="G77"/>
  <c r="F77"/>
  <c r="G76"/>
  <c r="F76"/>
  <c r="F75"/>
  <c r="G74"/>
  <c r="F74"/>
  <c r="G73"/>
  <c r="F73"/>
  <c r="G71"/>
  <c r="F71"/>
  <c r="G70"/>
  <c r="F70"/>
  <c r="G68"/>
  <c r="F68"/>
  <c r="G67"/>
  <c r="F67"/>
  <c r="S65"/>
  <c r="F65"/>
  <c r="G65" s="1"/>
  <c r="Q65" s="1"/>
  <c r="G64"/>
  <c r="F64"/>
  <c r="G62"/>
  <c r="G61"/>
  <c r="G59"/>
  <c r="G58"/>
  <c r="Q58" s="1"/>
  <c r="G57"/>
  <c r="F57"/>
  <c r="G56"/>
  <c r="F56"/>
  <c r="F55"/>
  <c r="G54"/>
  <c r="F54"/>
  <c r="G53"/>
  <c r="F53"/>
  <c r="F51"/>
  <c r="G51" s="1"/>
  <c r="G50"/>
  <c r="F50"/>
  <c r="F49"/>
  <c r="G48"/>
  <c r="G47"/>
  <c r="G46"/>
  <c r="F46"/>
  <c r="G45"/>
  <c r="G44"/>
  <c r="G43"/>
  <c r="F43"/>
  <c r="F42"/>
  <c r="G40"/>
  <c r="F40"/>
  <c r="G39"/>
  <c r="F39"/>
  <c r="F38"/>
  <c r="G37"/>
  <c r="F37"/>
  <c r="G36"/>
  <c r="F36"/>
  <c r="F35"/>
  <c r="G34"/>
  <c r="F34"/>
  <c r="G33"/>
  <c r="F33"/>
  <c r="G31"/>
  <c r="G30"/>
  <c r="F25"/>
  <c r="G25" s="1"/>
  <c r="F24"/>
  <c r="G24" s="1"/>
  <c r="L24" s="1"/>
  <c r="S23"/>
  <c r="F23"/>
  <c r="G23" s="1"/>
  <c r="Q22"/>
  <c r="J22"/>
  <c r="G22"/>
  <c r="Q21"/>
  <c r="J21"/>
  <c r="G21"/>
  <c r="T20"/>
  <c r="S20"/>
  <c r="F20"/>
  <c r="F19"/>
  <c r="G19" s="1"/>
  <c r="F18"/>
  <c r="G17"/>
  <c r="F15"/>
  <c r="G15" s="1"/>
  <c r="G14"/>
  <c r="G13"/>
  <c r="G12"/>
  <c r="F12"/>
  <c r="G11"/>
  <c r="F11"/>
  <c r="E10"/>
  <c r="G10" s="1"/>
  <c r="S8"/>
  <c r="F8"/>
  <c r="F7"/>
  <c r="G6"/>
  <c r="F6"/>
  <c r="G5"/>
  <c r="G4"/>
  <c r="Q23" l="1"/>
  <c r="L21"/>
  <c r="U21" s="1"/>
  <c r="L9"/>
  <c r="U9" s="1"/>
  <c r="T23"/>
  <c r="G121"/>
  <c r="L355"/>
  <c r="G140"/>
  <c r="L138" s="1"/>
  <c r="G155"/>
  <c r="G343"/>
  <c r="F103"/>
  <c r="G133"/>
  <c r="L133" s="1"/>
  <c r="G20"/>
  <c r="F311"/>
  <c r="G35"/>
  <c r="G225"/>
  <c r="G253"/>
  <c r="L253" s="1"/>
  <c r="G376"/>
  <c r="G273"/>
  <c r="Q273" s="1"/>
  <c r="D277" i="22"/>
  <c r="G277" s="1"/>
  <c r="L273" s="1"/>
  <c r="U273" s="1"/>
  <c r="L127" i="21"/>
  <c r="L30"/>
  <c r="G69"/>
  <c r="L69" s="1"/>
  <c r="G171"/>
  <c r="L167" s="1"/>
  <c r="G49"/>
  <c r="L44" s="1"/>
  <c r="G124"/>
  <c r="L124" s="1"/>
  <c r="Q327"/>
  <c r="V7"/>
  <c r="L4"/>
  <c r="U4" s="1"/>
  <c r="L245"/>
  <c r="G242"/>
  <c r="L242" s="1"/>
  <c r="L225"/>
  <c r="G216"/>
  <c r="L216" s="1"/>
  <c r="G213"/>
  <c r="L213" s="1"/>
  <c r="G196"/>
  <c r="L196" s="1"/>
  <c r="L180"/>
  <c r="L177"/>
  <c r="G174"/>
  <c r="L174" s="1"/>
  <c r="L164"/>
  <c r="G158"/>
  <c r="L158" s="1"/>
  <c r="L151"/>
  <c r="L130"/>
  <c r="L390"/>
  <c r="G387"/>
  <c r="L385" s="1"/>
  <c r="L379"/>
  <c r="L376"/>
  <c r="L373"/>
  <c r="L366"/>
  <c r="L346"/>
  <c r="F343"/>
  <c r="G334"/>
  <c r="L334" s="1"/>
  <c r="G331"/>
  <c r="L327" s="1"/>
  <c r="L319"/>
  <c r="G307"/>
  <c r="L307" s="1"/>
  <c r="L297"/>
  <c r="G294"/>
  <c r="L294" s="1"/>
  <c r="G291"/>
  <c r="L291" s="1"/>
  <c r="G279"/>
  <c r="L277" s="1"/>
  <c r="G274"/>
  <c r="L274" s="1"/>
  <c r="G256"/>
  <c r="L256" s="1"/>
  <c r="L98"/>
  <c r="L95"/>
  <c r="G89"/>
  <c r="L89" s="1"/>
  <c r="L86"/>
  <c r="G83"/>
  <c r="L78"/>
  <c r="G72"/>
  <c r="L72" s="1"/>
  <c r="F69"/>
  <c r="L66"/>
  <c r="G63"/>
  <c r="L58" s="1"/>
  <c r="U58" s="1"/>
  <c r="G55"/>
  <c r="L55" s="1"/>
  <c r="G52"/>
  <c r="L52" s="1"/>
  <c r="L41"/>
  <c r="F41"/>
  <c r="G38"/>
  <c r="L32"/>
  <c r="L259"/>
  <c r="G188"/>
  <c r="Q188" s="1"/>
  <c r="L35"/>
  <c r="L83"/>
  <c r="L92"/>
  <c r="L38"/>
  <c r="L75"/>
  <c r="L161"/>
  <c r="L219"/>
  <c r="L113"/>
  <c r="U113" s="1"/>
  <c r="L143"/>
  <c r="L148"/>
  <c r="L183"/>
  <c r="L222"/>
  <c r="L233"/>
  <c r="Q233" s="1"/>
  <c r="L237"/>
  <c r="L285"/>
  <c r="L282"/>
  <c r="L311"/>
  <c r="T353"/>
  <c r="L300"/>
  <c r="Q346"/>
  <c r="T345"/>
  <c r="T65"/>
  <c r="L101"/>
  <c r="G341"/>
  <c r="L338" s="1"/>
  <c r="L119"/>
  <c r="L199"/>
  <c r="R6"/>
  <c r="Q355"/>
  <c r="T355" s="1"/>
  <c r="D290" i="20" l="1"/>
  <c r="D289"/>
  <c r="D288" i="21" s="1"/>
  <c r="G288" s="1"/>
  <c r="L288" s="1"/>
  <c r="D273" i="20" l="1"/>
  <c r="D272"/>
  <c r="D267"/>
  <c r="G54"/>
  <c r="F54"/>
  <c r="G53"/>
  <c r="F53"/>
  <c r="E52"/>
  <c r="F52" s="1"/>
  <c r="G52"/>
  <c r="D271" i="21" l="1"/>
  <c r="G271" s="1"/>
  <c r="L267" s="1"/>
  <c r="U267" s="1"/>
  <c r="L52" i="20"/>
  <c r="G30"/>
  <c r="G247" l="1"/>
  <c r="G246"/>
  <c r="E245"/>
  <c r="G245"/>
  <c r="L245" l="1"/>
  <c r="D232"/>
  <c r="D230" i="21" s="1"/>
  <c r="G230" s="1"/>
  <c r="L228" s="1"/>
  <c r="D212" i="20" l="1"/>
  <c r="D211"/>
  <c r="D210" i="21" s="1"/>
  <c r="G210" s="1"/>
  <c r="L209" s="1"/>
  <c r="D208" i="20"/>
  <c r="D207"/>
  <c r="D206" i="21" s="1"/>
  <c r="G206" s="1"/>
  <c r="L204" s="1"/>
  <c r="D195" i="20" l="1"/>
  <c r="D193" i="21" s="1"/>
  <c r="G193" s="1"/>
  <c r="L186" s="1"/>
  <c r="F117" i="20" l="1"/>
  <c r="F118"/>
  <c r="D118"/>
  <c r="D117"/>
  <c r="G117" s="1"/>
  <c r="E362" l="1"/>
  <c r="F15"/>
  <c r="D20"/>
  <c r="D19"/>
  <c r="D18" i="21" s="1"/>
  <c r="G18" s="1"/>
  <c r="L13" s="1"/>
  <c r="U13" s="1"/>
  <c r="D8" i="20" l="1"/>
  <c r="D7"/>
  <c r="G7" s="1"/>
  <c r="D242"/>
  <c r="D229"/>
  <c r="D225"/>
  <c r="D219"/>
  <c r="D216"/>
  <c r="D213"/>
  <c r="D205"/>
  <c r="D201"/>
  <c r="D200"/>
  <c r="D196"/>
  <c r="D189"/>
  <c r="D187"/>
  <c r="D180"/>
  <c r="D177"/>
  <c r="G177" s="1"/>
  <c r="D174"/>
  <c r="D171"/>
  <c r="D170"/>
  <c r="D168"/>
  <c r="D164"/>
  <c r="D161"/>
  <c r="D158"/>
  <c r="G158" s="1"/>
  <c r="D155"/>
  <c r="G155" s="1"/>
  <c r="D154"/>
  <c r="D152"/>
  <c r="D148"/>
  <c r="D145"/>
  <c r="G145" s="1"/>
  <c r="D144"/>
  <c r="D140"/>
  <c r="D139"/>
  <c r="D133"/>
  <c r="D130"/>
  <c r="D127"/>
  <c r="G127" s="1"/>
  <c r="D124"/>
  <c r="D121"/>
  <c r="G121" s="1"/>
  <c r="D120"/>
  <c r="D379"/>
  <c r="G379" s="1"/>
  <c r="D376"/>
  <c r="G376" s="1"/>
  <c r="D375"/>
  <c r="D371"/>
  <c r="D368"/>
  <c r="D365"/>
  <c r="D362"/>
  <c r="G362" s="1"/>
  <c r="H374"/>
  <c r="J374" s="1"/>
  <c r="H358"/>
  <c r="J358" s="1"/>
  <c r="D359"/>
  <c r="E242"/>
  <c r="E230"/>
  <c r="F229"/>
  <c r="E229"/>
  <c r="E225"/>
  <c r="E219"/>
  <c r="E216"/>
  <c r="E213"/>
  <c r="E210"/>
  <c r="E206"/>
  <c r="E205"/>
  <c r="F205"/>
  <c r="E201"/>
  <c r="E200"/>
  <c r="F200"/>
  <c r="E196"/>
  <c r="E193"/>
  <c r="F193" s="1"/>
  <c r="F188"/>
  <c r="G188" s="1"/>
  <c r="Q188" s="1"/>
  <c r="E187"/>
  <c r="F187"/>
  <c r="F189" s="1"/>
  <c r="E180"/>
  <c r="E177"/>
  <c r="E174"/>
  <c r="E171"/>
  <c r="F169"/>
  <c r="G169" s="1"/>
  <c r="E168"/>
  <c r="F168"/>
  <c r="F170" s="1"/>
  <c r="E164"/>
  <c r="E161"/>
  <c r="E158"/>
  <c r="E155"/>
  <c r="F153"/>
  <c r="E152"/>
  <c r="F152"/>
  <c r="F154" s="1"/>
  <c r="E148"/>
  <c r="E145"/>
  <c r="E144"/>
  <c r="F144"/>
  <c r="E140"/>
  <c r="E139"/>
  <c r="F139"/>
  <c r="E137"/>
  <c r="F137"/>
  <c r="E133"/>
  <c r="E130"/>
  <c r="E127"/>
  <c r="E124"/>
  <c r="E121"/>
  <c r="E120"/>
  <c r="F120"/>
  <c r="D343"/>
  <c r="D341"/>
  <c r="D339"/>
  <c r="D335"/>
  <c r="D333"/>
  <c r="D331"/>
  <c r="D326"/>
  <c r="D323"/>
  <c r="D320"/>
  <c r="D316"/>
  <c r="D312"/>
  <c r="D304"/>
  <c r="D300"/>
  <c r="D297"/>
  <c r="D294"/>
  <c r="D291"/>
  <c r="D285"/>
  <c r="D282"/>
  <c r="D279"/>
  <c r="D278"/>
  <c r="D274"/>
  <c r="D271"/>
  <c r="D270"/>
  <c r="D268"/>
  <c r="D256"/>
  <c r="D253"/>
  <c r="G253" s="1"/>
  <c r="E379"/>
  <c r="E376"/>
  <c r="F375"/>
  <c r="E375"/>
  <c r="E371"/>
  <c r="F371" s="1"/>
  <c r="E368"/>
  <c r="E365"/>
  <c r="F359"/>
  <c r="E359"/>
  <c r="E343"/>
  <c r="F343" s="1"/>
  <c r="F341"/>
  <c r="F340"/>
  <c r="G340" s="1"/>
  <c r="Q340" s="1"/>
  <c r="F339"/>
  <c r="E339"/>
  <c r="E335"/>
  <c r="F335" s="1"/>
  <c r="F333"/>
  <c r="F332"/>
  <c r="G332" s="1"/>
  <c r="Q332" s="1"/>
  <c r="F331"/>
  <c r="E331"/>
  <c r="E326"/>
  <c r="F326" s="1"/>
  <c r="E323"/>
  <c r="F321"/>
  <c r="G321" s="1"/>
  <c r="Q321" s="1"/>
  <c r="F320"/>
  <c r="F322" s="1"/>
  <c r="G322" s="1"/>
  <c r="E320"/>
  <c r="E316"/>
  <c r="F316" s="1"/>
  <c r="F313"/>
  <c r="G313" s="1"/>
  <c r="Q313" s="1"/>
  <c r="E312"/>
  <c r="F312"/>
  <c r="F314" s="1"/>
  <c r="G314" s="1"/>
  <c r="E304"/>
  <c r="E300"/>
  <c r="F300" s="1"/>
  <c r="E297"/>
  <c r="F297" s="1"/>
  <c r="E294"/>
  <c r="F294" s="1"/>
  <c r="E291"/>
  <c r="F291" s="1"/>
  <c r="E288"/>
  <c r="E285"/>
  <c r="F285" s="1"/>
  <c r="E282"/>
  <c r="F282" s="1"/>
  <c r="E279"/>
  <c r="F278"/>
  <c r="E278"/>
  <c r="E274"/>
  <c r="F274" s="1"/>
  <c r="E271"/>
  <c r="F271" s="1"/>
  <c r="F270"/>
  <c r="F269"/>
  <c r="G269" s="1"/>
  <c r="Q269" s="1"/>
  <c r="E268"/>
  <c r="F268"/>
  <c r="E256"/>
  <c r="E253"/>
  <c r="G136"/>
  <c r="D98"/>
  <c r="D95"/>
  <c r="G95" s="1"/>
  <c r="D92"/>
  <c r="G92" s="1"/>
  <c r="D89"/>
  <c r="G89" s="1"/>
  <c r="D86"/>
  <c r="D83"/>
  <c r="G83" s="1"/>
  <c r="D80"/>
  <c r="G80" s="1"/>
  <c r="D79"/>
  <c r="D75"/>
  <c r="D72"/>
  <c r="D69"/>
  <c r="D66"/>
  <c r="D63"/>
  <c r="D61"/>
  <c r="D59"/>
  <c r="D55"/>
  <c r="D49"/>
  <c r="D47"/>
  <c r="D45"/>
  <c r="D41"/>
  <c r="D38"/>
  <c r="D35"/>
  <c r="D32"/>
  <c r="E98"/>
  <c r="E95"/>
  <c r="F95" s="1"/>
  <c r="E92"/>
  <c r="F92" s="1"/>
  <c r="E89"/>
  <c r="F89" s="1"/>
  <c r="E86"/>
  <c r="F86" s="1"/>
  <c r="E83"/>
  <c r="E80"/>
  <c r="F80" s="1"/>
  <c r="E79"/>
  <c r="F79"/>
  <c r="E75"/>
  <c r="E72"/>
  <c r="F72" s="1"/>
  <c r="E69"/>
  <c r="F69" s="1"/>
  <c r="E66"/>
  <c r="F66" s="1"/>
  <c r="E63"/>
  <c r="F61"/>
  <c r="E61"/>
  <c r="F59"/>
  <c r="E59"/>
  <c r="E55"/>
  <c r="F55" s="1"/>
  <c r="E49"/>
  <c r="E47"/>
  <c r="F46"/>
  <c r="G46" s="1"/>
  <c r="F45"/>
  <c r="F47" s="1"/>
  <c r="E45"/>
  <c r="E41"/>
  <c r="F41" s="1"/>
  <c r="E38"/>
  <c r="E35"/>
  <c r="F35" s="1"/>
  <c r="E32"/>
  <c r="D31"/>
  <c r="F31"/>
  <c r="E31"/>
  <c r="D16"/>
  <c r="D14"/>
  <c r="E18"/>
  <c r="F18" s="1"/>
  <c r="F16"/>
  <c r="F14"/>
  <c r="E14"/>
  <c r="E10"/>
  <c r="G10" s="1"/>
  <c r="G381"/>
  <c r="G380"/>
  <c r="F380"/>
  <c r="G378"/>
  <c r="G377"/>
  <c r="F377"/>
  <c r="G374"/>
  <c r="G373"/>
  <c r="G372"/>
  <c r="F372"/>
  <c r="G370"/>
  <c r="G369"/>
  <c r="F369"/>
  <c r="G367"/>
  <c r="G366"/>
  <c r="F366"/>
  <c r="G364"/>
  <c r="G363"/>
  <c r="F363"/>
  <c r="G361"/>
  <c r="G360"/>
  <c r="G358"/>
  <c r="G350"/>
  <c r="F350"/>
  <c r="G349"/>
  <c r="F349"/>
  <c r="E348"/>
  <c r="F348" s="1"/>
  <c r="S347"/>
  <c r="F347"/>
  <c r="G347" s="1"/>
  <c r="C347"/>
  <c r="F346"/>
  <c r="E346"/>
  <c r="S345"/>
  <c r="G345"/>
  <c r="Q345" s="1"/>
  <c r="F345"/>
  <c r="G344"/>
  <c r="F344"/>
  <c r="G342"/>
  <c r="G338"/>
  <c r="C338"/>
  <c r="S337"/>
  <c r="G337"/>
  <c r="Q337" s="1"/>
  <c r="F337"/>
  <c r="G336"/>
  <c r="F336"/>
  <c r="G334"/>
  <c r="G330"/>
  <c r="G328"/>
  <c r="F328"/>
  <c r="G327"/>
  <c r="F327"/>
  <c r="G325"/>
  <c r="Q325" s="1"/>
  <c r="F325"/>
  <c r="G324"/>
  <c r="F324"/>
  <c r="F323"/>
  <c r="G319"/>
  <c r="C319"/>
  <c r="S318"/>
  <c r="G318"/>
  <c r="Q318" s="1"/>
  <c r="F318"/>
  <c r="G317"/>
  <c r="F317"/>
  <c r="G315"/>
  <c r="G311"/>
  <c r="Q311" s="1"/>
  <c r="G310"/>
  <c r="F310"/>
  <c r="G309"/>
  <c r="F309"/>
  <c r="E308"/>
  <c r="G308" s="1"/>
  <c r="G306"/>
  <c r="F306"/>
  <c r="G305"/>
  <c r="F305"/>
  <c r="F304"/>
  <c r="G303"/>
  <c r="G302"/>
  <c r="F302"/>
  <c r="G301"/>
  <c r="F301"/>
  <c r="G299"/>
  <c r="F299"/>
  <c r="G298"/>
  <c r="F298"/>
  <c r="G296"/>
  <c r="F296"/>
  <c r="G295"/>
  <c r="F295"/>
  <c r="G293"/>
  <c r="F293"/>
  <c r="G292"/>
  <c r="F292"/>
  <c r="F290"/>
  <c r="G290"/>
  <c r="G289"/>
  <c r="F289"/>
  <c r="G287"/>
  <c r="F287"/>
  <c r="G286"/>
  <c r="F286"/>
  <c r="G284"/>
  <c r="F284"/>
  <c r="G283"/>
  <c r="F283"/>
  <c r="G281"/>
  <c r="F281"/>
  <c r="G280"/>
  <c r="F280"/>
  <c r="F279"/>
  <c r="G277"/>
  <c r="G276"/>
  <c r="F276"/>
  <c r="G275"/>
  <c r="F275"/>
  <c r="S273"/>
  <c r="G273"/>
  <c r="Q273" s="1"/>
  <c r="F273"/>
  <c r="G272"/>
  <c r="F272"/>
  <c r="G267"/>
  <c r="G266"/>
  <c r="Q266" s="1"/>
  <c r="F266"/>
  <c r="G265"/>
  <c r="F265"/>
  <c r="G264"/>
  <c r="F264"/>
  <c r="G262"/>
  <c r="G261"/>
  <c r="Q261" s="1"/>
  <c r="G260"/>
  <c r="G259"/>
  <c r="Q259" s="1"/>
  <c r="G258"/>
  <c r="F258"/>
  <c r="G257"/>
  <c r="F257"/>
  <c r="G255"/>
  <c r="F255"/>
  <c r="G254"/>
  <c r="F254"/>
  <c r="G244"/>
  <c r="G243"/>
  <c r="G241"/>
  <c r="G240"/>
  <c r="G239"/>
  <c r="G238"/>
  <c r="G237"/>
  <c r="L237" s="1"/>
  <c r="G236"/>
  <c r="G235"/>
  <c r="E234"/>
  <c r="G234" s="1"/>
  <c r="G232"/>
  <c r="G231"/>
  <c r="G228"/>
  <c r="G227"/>
  <c r="G226"/>
  <c r="G224"/>
  <c r="G223"/>
  <c r="E222"/>
  <c r="G222" s="1"/>
  <c r="L222" s="1"/>
  <c r="G221"/>
  <c r="G220"/>
  <c r="G218"/>
  <c r="G217"/>
  <c r="G215"/>
  <c r="G214"/>
  <c r="G212"/>
  <c r="G211"/>
  <c r="G208"/>
  <c r="G207"/>
  <c r="G204"/>
  <c r="G203"/>
  <c r="G202"/>
  <c r="G199"/>
  <c r="G198"/>
  <c r="G197"/>
  <c r="S195"/>
  <c r="F195"/>
  <c r="G195"/>
  <c r="Q195" s="1"/>
  <c r="G194"/>
  <c r="F194"/>
  <c r="E192"/>
  <c r="G192" s="1"/>
  <c r="G186"/>
  <c r="Q186" s="1"/>
  <c r="G185"/>
  <c r="G184"/>
  <c r="G183"/>
  <c r="G182"/>
  <c r="G181"/>
  <c r="G179"/>
  <c r="G178"/>
  <c r="G176"/>
  <c r="G175"/>
  <c r="G173"/>
  <c r="G172"/>
  <c r="G167"/>
  <c r="G166"/>
  <c r="G165"/>
  <c r="G163"/>
  <c r="G162"/>
  <c r="G160"/>
  <c r="G159"/>
  <c r="G157"/>
  <c r="G156"/>
  <c r="G153"/>
  <c r="G151"/>
  <c r="G150"/>
  <c r="G149"/>
  <c r="G148"/>
  <c r="G147"/>
  <c r="G146"/>
  <c r="G143"/>
  <c r="G142"/>
  <c r="G141"/>
  <c r="G138"/>
  <c r="G135"/>
  <c r="G134"/>
  <c r="G132"/>
  <c r="G131"/>
  <c r="G129"/>
  <c r="G128"/>
  <c r="G126"/>
  <c r="G125"/>
  <c r="G123"/>
  <c r="G122"/>
  <c r="G119"/>
  <c r="S118"/>
  <c r="G118"/>
  <c r="Q118" s="1"/>
  <c r="G116"/>
  <c r="G115"/>
  <c r="G114"/>
  <c r="G113"/>
  <c r="Q113" s="1"/>
  <c r="T118" s="1"/>
  <c r="G108"/>
  <c r="F108"/>
  <c r="G107"/>
  <c r="F107"/>
  <c r="E106"/>
  <c r="F106" s="1"/>
  <c r="G105"/>
  <c r="F105"/>
  <c r="G104"/>
  <c r="F104"/>
  <c r="E103"/>
  <c r="G103" s="1"/>
  <c r="F102"/>
  <c r="E102"/>
  <c r="J101"/>
  <c r="G101"/>
  <c r="G100"/>
  <c r="F100"/>
  <c r="G99"/>
  <c r="F99"/>
  <c r="G97"/>
  <c r="F97"/>
  <c r="G96"/>
  <c r="F96"/>
  <c r="G94"/>
  <c r="F94"/>
  <c r="G93"/>
  <c r="F93"/>
  <c r="G91"/>
  <c r="F91"/>
  <c r="G90"/>
  <c r="F90"/>
  <c r="G88"/>
  <c r="F88"/>
  <c r="G87"/>
  <c r="F87"/>
  <c r="G85"/>
  <c r="F85"/>
  <c r="G84"/>
  <c r="F84"/>
  <c r="F83"/>
  <c r="G82"/>
  <c r="F82"/>
  <c r="G81"/>
  <c r="F81"/>
  <c r="G78"/>
  <c r="G77"/>
  <c r="F77"/>
  <c r="G76"/>
  <c r="F76"/>
  <c r="F75"/>
  <c r="G74"/>
  <c r="F74"/>
  <c r="G73"/>
  <c r="F73"/>
  <c r="G71"/>
  <c r="F71"/>
  <c r="G70"/>
  <c r="F70"/>
  <c r="G68"/>
  <c r="F68"/>
  <c r="G67"/>
  <c r="F67"/>
  <c r="S65"/>
  <c r="F65"/>
  <c r="G65" s="1"/>
  <c r="Q65" s="1"/>
  <c r="G64"/>
  <c r="F64"/>
  <c r="F63"/>
  <c r="G62"/>
  <c r="G60"/>
  <c r="Q60" s="1"/>
  <c r="G58"/>
  <c r="G57"/>
  <c r="F57"/>
  <c r="G56"/>
  <c r="F56"/>
  <c r="F51"/>
  <c r="G51" s="1"/>
  <c r="G50"/>
  <c r="F50"/>
  <c r="F49"/>
  <c r="G48"/>
  <c r="G44"/>
  <c r="G43"/>
  <c r="F43"/>
  <c r="G42"/>
  <c r="F42"/>
  <c r="G40"/>
  <c r="F40"/>
  <c r="G39"/>
  <c r="F39"/>
  <c r="F38"/>
  <c r="G37"/>
  <c r="F37"/>
  <c r="G36"/>
  <c r="F36"/>
  <c r="G34"/>
  <c r="F34"/>
  <c r="G33"/>
  <c r="F33"/>
  <c r="F32"/>
  <c r="F25"/>
  <c r="G25" s="1"/>
  <c r="F24"/>
  <c r="G24" s="1"/>
  <c r="S23"/>
  <c r="F23"/>
  <c r="G23" s="1"/>
  <c r="J22"/>
  <c r="G22"/>
  <c r="Q22" s="1"/>
  <c r="J21"/>
  <c r="Q21" s="1"/>
  <c r="G21"/>
  <c r="T20"/>
  <c r="S20"/>
  <c r="F20"/>
  <c r="F19"/>
  <c r="G19" s="1"/>
  <c r="G17"/>
  <c r="G15"/>
  <c r="G13"/>
  <c r="G12"/>
  <c r="F12"/>
  <c r="G11"/>
  <c r="F11"/>
  <c r="S8"/>
  <c r="F8"/>
  <c r="G8"/>
  <c r="Q8" s="1"/>
  <c r="T8" s="1"/>
  <c r="F7"/>
  <c r="G6"/>
  <c r="F6"/>
  <c r="G5"/>
  <c r="G4"/>
  <c r="G41" i="19"/>
  <c r="G43"/>
  <c r="F43"/>
  <c r="G42"/>
  <c r="F42"/>
  <c r="F41"/>
  <c r="E41"/>
  <c r="G282" i="20" l="1"/>
  <c r="G326"/>
  <c r="L326" s="1"/>
  <c r="G274"/>
  <c r="G285"/>
  <c r="G341"/>
  <c r="G359"/>
  <c r="L358" s="1"/>
  <c r="G365"/>
  <c r="G180"/>
  <c r="L180" s="1"/>
  <c r="G196"/>
  <c r="F103"/>
  <c r="L374"/>
  <c r="G35"/>
  <c r="L35" s="1"/>
  <c r="G47"/>
  <c r="G61"/>
  <c r="G72"/>
  <c r="G300"/>
  <c r="L300" s="1"/>
  <c r="G343"/>
  <c r="G170"/>
  <c r="G368"/>
  <c r="L368" s="1"/>
  <c r="G140"/>
  <c r="G31"/>
  <c r="L30" s="1"/>
  <c r="G38"/>
  <c r="L38" s="1"/>
  <c r="G63"/>
  <c r="G98"/>
  <c r="G304"/>
  <c r="L304" s="1"/>
  <c r="G137"/>
  <c r="G371"/>
  <c r="L371" s="1"/>
  <c r="G130"/>
  <c r="G201"/>
  <c r="G242"/>
  <c r="L242" s="1"/>
  <c r="G229"/>
  <c r="G225"/>
  <c r="L225" s="1"/>
  <c r="G219"/>
  <c r="L219" s="1"/>
  <c r="G216"/>
  <c r="L216" s="1"/>
  <c r="G270"/>
  <c r="L24"/>
  <c r="G106"/>
  <c r="L106" s="1"/>
  <c r="Q338"/>
  <c r="G346"/>
  <c r="G69"/>
  <c r="L130"/>
  <c r="G154"/>
  <c r="G164"/>
  <c r="L164" s="1"/>
  <c r="G174"/>
  <c r="L174" s="1"/>
  <c r="G213"/>
  <c r="L213" s="1"/>
  <c r="L72"/>
  <c r="G348"/>
  <c r="G66"/>
  <c r="L274"/>
  <c r="G133"/>
  <c r="G102"/>
  <c r="L233"/>
  <c r="Q233" s="1"/>
  <c r="G86"/>
  <c r="L86" s="1"/>
  <c r="G294"/>
  <c r="L294" s="1"/>
  <c r="G200"/>
  <c r="L196"/>
  <c r="G189"/>
  <c r="G187"/>
  <c r="G171"/>
  <c r="G161"/>
  <c r="L161" s="1"/>
  <c r="L158"/>
  <c r="G139"/>
  <c r="L127"/>
  <c r="G124"/>
  <c r="L124" s="1"/>
  <c r="L379"/>
  <c r="L365"/>
  <c r="G205"/>
  <c r="G168"/>
  <c r="G152"/>
  <c r="G144"/>
  <c r="G120"/>
  <c r="G335"/>
  <c r="G333"/>
  <c r="G323"/>
  <c r="G297"/>
  <c r="L297" s="1"/>
  <c r="G279"/>
  <c r="G278"/>
  <c r="G256"/>
  <c r="L256" s="1"/>
  <c r="L253"/>
  <c r="F379"/>
  <c r="G375"/>
  <c r="F368"/>
  <c r="F365"/>
  <c r="F362"/>
  <c r="G339"/>
  <c r="G331"/>
  <c r="G320"/>
  <c r="Q319"/>
  <c r="G312"/>
  <c r="F288"/>
  <c r="L285"/>
  <c r="G268"/>
  <c r="F256"/>
  <c r="L308"/>
  <c r="L259"/>
  <c r="T345"/>
  <c r="G271"/>
  <c r="L133"/>
  <c r="L183"/>
  <c r="L148"/>
  <c r="L177"/>
  <c r="L98"/>
  <c r="L92"/>
  <c r="G59"/>
  <c r="G49"/>
  <c r="G45"/>
  <c r="G32"/>
  <c r="L32" s="1"/>
  <c r="F98"/>
  <c r="G79"/>
  <c r="L66"/>
  <c r="G41"/>
  <c r="L41" s="1"/>
  <c r="L69"/>
  <c r="L89"/>
  <c r="G16"/>
  <c r="G14"/>
  <c r="L4"/>
  <c r="U4" s="1"/>
  <c r="L9"/>
  <c r="U9" s="1"/>
  <c r="G20"/>
  <c r="V7"/>
  <c r="R6"/>
  <c r="L101"/>
  <c r="L113"/>
  <c r="U113" s="1"/>
  <c r="L347"/>
  <c r="T195"/>
  <c r="T318"/>
  <c r="L21"/>
  <c r="U21" s="1"/>
  <c r="Q23"/>
  <c r="T23" s="1"/>
  <c r="G55"/>
  <c r="L55" s="1"/>
  <c r="Q58"/>
  <c r="T65" s="1"/>
  <c r="G75"/>
  <c r="L75" s="1"/>
  <c r="L83"/>
  <c r="L95"/>
  <c r="Q267"/>
  <c r="T273" s="1"/>
  <c r="L282"/>
  <c r="G291"/>
  <c r="L291" s="1"/>
  <c r="F308"/>
  <c r="G316"/>
  <c r="Q330"/>
  <c r="T337" s="1"/>
  <c r="F376"/>
  <c r="Q347"/>
  <c r="T347" s="1"/>
  <c r="L41" i="19"/>
  <c r="G39"/>
  <c r="L311" i="20" l="1"/>
  <c r="L138"/>
  <c r="L199"/>
  <c r="L267"/>
  <c r="U267" s="1"/>
  <c r="L167"/>
  <c r="L151"/>
  <c r="L143"/>
  <c r="L119"/>
  <c r="L330"/>
  <c r="L319"/>
  <c r="L277"/>
  <c r="L338"/>
  <c r="L58"/>
  <c r="U58" s="1"/>
  <c r="L44"/>
  <c r="L78"/>
  <c r="D32" i="19"/>
  <c r="G31"/>
  <c r="G242" l="1"/>
  <c r="G241"/>
  <c r="E240"/>
  <c r="G240" s="1"/>
  <c r="G159"/>
  <c r="G158"/>
  <c r="E157"/>
  <c r="G157" s="1"/>
  <c r="L240" l="1"/>
  <c r="L157"/>
  <c r="G123"/>
  <c r="G122"/>
  <c r="E121"/>
  <c r="G121" s="1"/>
  <c r="L121" l="1"/>
  <c r="D230"/>
  <c r="D229"/>
  <c r="D230" i="20" s="1"/>
  <c r="G230" s="1"/>
  <c r="L228" s="1"/>
  <c r="D208" i="19" l="1"/>
  <c r="D207"/>
  <c r="D210" i="20" s="1"/>
  <c r="G210" s="1"/>
  <c r="L209" s="1"/>
  <c r="D204" i="19"/>
  <c r="D203"/>
  <c r="D206" i="20" s="1"/>
  <c r="G206" s="1"/>
  <c r="L204" s="1"/>
  <c r="D191" i="19" l="1"/>
  <c r="D193" i="20" s="1"/>
  <c r="G193" s="1"/>
  <c r="L186" s="1"/>
  <c r="E151" i="19" l="1"/>
  <c r="G125" l="1"/>
  <c r="D115" l="1"/>
  <c r="D114"/>
  <c r="G114" s="1"/>
  <c r="D20" l="1"/>
  <c r="D19"/>
  <c r="D18" i="20" s="1"/>
  <c r="G18" s="1"/>
  <c r="L13" s="1"/>
  <c r="U13" s="1"/>
  <c r="D8" i="19"/>
  <c r="D7"/>
  <c r="G7" s="1"/>
  <c r="H369" l="1"/>
  <c r="J369" s="1"/>
  <c r="H353"/>
  <c r="J353" s="1"/>
  <c r="G279"/>
  <c r="F279"/>
  <c r="G278"/>
  <c r="F278"/>
  <c r="E277"/>
  <c r="F277" s="1"/>
  <c r="G277" l="1"/>
  <c r="L277" s="1"/>
  <c r="G296" l="1"/>
  <c r="D285"/>
  <c r="D284"/>
  <c r="D288" i="20" s="1"/>
  <c r="G288" s="1"/>
  <c r="L288" s="1"/>
  <c r="E228" i="19" l="1"/>
  <c r="G228" s="1"/>
  <c r="E223"/>
  <c r="E217"/>
  <c r="E214"/>
  <c r="E209"/>
  <c r="E206"/>
  <c r="E202"/>
  <c r="E197"/>
  <c r="E192"/>
  <c r="E189"/>
  <c r="F189" s="1"/>
  <c r="E176"/>
  <c r="E173"/>
  <c r="E170"/>
  <c r="E167"/>
  <c r="E160"/>
  <c r="E154"/>
  <c r="E144"/>
  <c r="E141"/>
  <c r="E136"/>
  <c r="E130"/>
  <c r="E127"/>
  <c r="E124"/>
  <c r="E118"/>
  <c r="D373"/>
  <c r="D370"/>
  <c r="D366"/>
  <c r="D363"/>
  <c r="D360"/>
  <c r="D357"/>
  <c r="D338"/>
  <c r="D336"/>
  <c r="G336" s="1"/>
  <c r="D330"/>
  <c r="D328"/>
  <c r="G328" s="1"/>
  <c r="D321"/>
  <c r="D318"/>
  <c r="D311"/>
  <c r="D309"/>
  <c r="D299"/>
  <c r="D295"/>
  <c r="D289"/>
  <c r="D280"/>
  <c r="D274"/>
  <c r="D269"/>
  <c r="D266"/>
  <c r="D265"/>
  <c r="D251"/>
  <c r="D248"/>
  <c r="G230"/>
  <c r="G229"/>
  <c r="G227"/>
  <c r="G226"/>
  <c r="D223"/>
  <c r="G223" s="1"/>
  <c r="D217"/>
  <c r="D209"/>
  <c r="G209" s="1"/>
  <c r="D206"/>
  <c r="D197"/>
  <c r="D192"/>
  <c r="G192" s="1"/>
  <c r="D189"/>
  <c r="G189" s="1"/>
  <c r="D185"/>
  <c r="G185" s="1"/>
  <c r="D176"/>
  <c r="D173"/>
  <c r="G173" s="1"/>
  <c r="D170"/>
  <c r="D167"/>
  <c r="D166"/>
  <c r="D160"/>
  <c r="D154"/>
  <c r="D150"/>
  <c r="D144"/>
  <c r="G144" s="1"/>
  <c r="D141"/>
  <c r="G141" s="1"/>
  <c r="D136"/>
  <c r="D130"/>
  <c r="D127"/>
  <c r="G127" s="1"/>
  <c r="D124"/>
  <c r="G124" s="1"/>
  <c r="D118"/>
  <c r="D95"/>
  <c r="G95" s="1"/>
  <c r="D92"/>
  <c r="D89"/>
  <c r="D86"/>
  <c r="D83"/>
  <c r="D80"/>
  <c r="D77"/>
  <c r="D72"/>
  <c r="D69"/>
  <c r="G69" s="1"/>
  <c r="D66"/>
  <c r="G66" s="1"/>
  <c r="D63"/>
  <c r="D60"/>
  <c r="D49"/>
  <c r="D38"/>
  <c r="D35"/>
  <c r="E373"/>
  <c r="E370"/>
  <c r="E366"/>
  <c r="F366" s="1"/>
  <c r="E363"/>
  <c r="E360"/>
  <c r="E357"/>
  <c r="F357" s="1"/>
  <c r="E338"/>
  <c r="E330"/>
  <c r="F330" s="1"/>
  <c r="E321"/>
  <c r="E318"/>
  <c r="E311"/>
  <c r="E303"/>
  <c r="E299"/>
  <c r="E295"/>
  <c r="F295" s="1"/>
  <c r="E292"/>
  <c r="E289"/>
  <c r="E286"/>
  <c r="G286" s="1"/>
  <c r="E283"/>
  <c r="F283" s="1"/>
  <c r="E280"/>
  <c r="F280" s="1"/>
  <c r="E274"/>
  <c r="F274" s="1"/>
  <c r="E269"/>
  <c r="F269" s="1"/>
  <c r="E266"/>
  <c r="F266" s="1"/>
  <c r="E251"/>
  <c r="E248"/>
  <c r="E95"/>
  <c r="E92"/>
  <c r="E89"/>
  <c r="F89" s="1"/>
  <c r="E86"/>
  <c r="E83"/>
  <c r="F83" s="1"/>
  <c r="E80"/>
  <c r="F80" s="1"/>
  <c r="E77"/>
  <c r="E72"/>
  <c r="E69"/>
  <c r="F69" s="1"/>
  <c r="E66"/>
  <c r="F66" s="1"/>
  <c r="E63"/>
  <c r="F63" s="1"/>
  <c r="E60"/>
  <c r="F60" s="1"/>
  <c r="E52"/>
  <c r="F52" s="1"/>
  <c r="E49"/>
  <c r="F49" s="1"/>
  <c r="E38"/>
  <c r="F38" s="1"/>
  <c r="E35"/>
  <c r="E32"/>
  <c r="G32" s="1"/>
  <c r="E18"/>
  <c r="G16"/>
  <c r="G375"/>
  <c r="G374"/>
  <c r="F374"/>
  <c r="G372"/>
  <c r="G371"/>
  <c r="F371"/>
  <c r="G369"/>
  <c r="G368"/>
  <c r="G367"/>
  <c r="F367"/>
  <c r="G365"/>
  <c r="G364"/>
  <c r="F364"/>
  <c r="G362"/>
  <c r="G361"/>
  <c r="F361"/>
  <c r="G359"/>
  <c r="G358"/>
  <c r="F358"/>
  <c r="G356"/>
  <c r="G355"/>
  <c r="G354"/>
  <c r="G353"/>
  <c r="G345"/>
  <c r="F345"/>
  <c r="G344"/>
  <c r="F344"/>
  <c r="E343"/>
  <c r="G343" s="1"/>
  <c r="S342"/>
  <c r="F342"/>
  <c r="G342" s="1"/>
  <c r="C342"/>
  <c r="F341"/>
  <c r="E341"/>
  <c r="G341" s="1"/>
  <c r="S340"/>
  <c r="G340"/>
  <c r="Q340" s="1"/>
  <c r="F340"/>
  <c r="G339"/>
  <c r="F339"/>
  <c r="G337"/>
  <c r="G335"/>
  <c r="Q335" s="1"/>
  <c r="G334"/>
  <c r="G333"/>
  <c r="C333"/>
  <c r="S332"/>
  <c r="G332"/>
  <c r="Q332" s="1"/>
  <c r="F332"/>
  <c r="G331"/>
  <c r="F331"/>
  <c r="G329"/>
  <c r="G327"/>
  <c r="Q327" s="1"/>
  <c r="G326"/>
  <c r="G325"/>
  <c r="Q325" s="1"/>
  <c r="G323"/>
  <c r="F323"/>
  <c r="G322"/>
  <c r="F322"/>
  <c r="F321"/>
  <c r="G320"/>
  <c r="Q320" s="1"/>
  <c r="F320"/>
  <c r="G319"/>
  <c r="F319"/>
  <c r="G316"/>
  <c r="Q316" s="1"/>
  <c r="G315"/>
  <c r="G314"/>
  <c r="C314"/>
  <c r="S313"/>
  <c r="G313"/>
  <c r="Q313" s="1"/>
  <c r="F313"/>
  <c r="G312"/>
  <c r="F312"/>
  <c r="G310"/>
  <c r="G308"/>
  <c r="Q308" s="1"/>
  <c r="G307"/>
  <c r="G306"/>
  <c r="C306"/>
  <c r="G305"/>
  <c r="F305"/>
  <c r="G304"/>
  <c r="F304"/>
  <c r="G301"/>
  <c r="F301"/>
  <c r="G300"/>
  <c r="F300"/>
  <c r="F299"/>
  <c r="G298"/>
  <c r="G297"/>
  <c r="F297"/>
  <c r="F296"/>
  <c r="G294"/>
  <c r="F294"/>
  <c r="G293"/>
  <c r="F293"/>
  <c r="F292"/>
  <c r="G291"/>
  <c r="F291"/>
  <c r="G290"/>
  <c r="F290"/>
  <c r="G288"/>
  <c r="F288"/>
  <c r="G287"/>
  <c r="F287"/>
  <c r="F285"/>
  <c r="G285"/>
  <c r="F284"/>
  <c r="G284"/>
  <c r="G282"/>
  <c r="F282"/>
  <c r="G281"/>
  <c r="F281"/>
  <c r="G276"/>
  <c r="F276"/>
  <c r="G275"/>
  <c r="F275"/>
  <c r="G273"/>
  <c r="G272"/>
  <c r="G271"/>
  <c r="F271"/>
  <c r="G270"/>
  <c r="F270"/>
  <c r="S268"/>
  <c r="G268"/>
  <c r="Q268" s="1"/>
  <c r="F268"/>
  <c r="G267"/>
  <c r="F267"/>
  <c r="G264"/>
  <c r="Q264" s="1"/>
  <c r="G263"/>
  <c r="G262"/>
  <c r="Q262" s="1"/>
  <c r="G261"/>
  <c r="Q261" s="1"/>
  <c r="F261"/>
  <c r="G260"/>
  <c r="F260"/>
  <c r="G259"/>
  <c r="F259"/>
  <c r="G257"/>
  <c r="G256"/>
  <c r="Q256" s="1"/>
  <c r="G255"/>
  <c r="G254"/>
  <c r="C254"/>
  <c r="G253"/>
  <c r="F253"/>
  <c r="G252"/>
  <c r="F252"/>
  <c r="G250"/>
  <c r="F250"/>
  <c r="G249"/>
  <c r="F249"/>
  <c r="G239"/>
  <c r="G238"/>
  <c r="G237"/>
  <c r="G236"/>
  <c r="G235"/>
  <c r="G234"/>
  <c r="G233"/>
  <c r="E232"/>
  <c r="G232" s="1"/>
  <c r="G225"/>
  <c r="G224"/>
  <c r="G222"/>
  <c r="G221"/>
  <c r="E220"/>
  <c r="G220" s="1"/>
  <c r="G219"/>
  <c r="G218"/>
  <c r="G216"/>
  <c r="G215"/>
  <c r="G213"/>
  <c r="G212"/>
  <c r="G211"/>
  <c r="G210"/>
  <c r="G208"/>
  <c r="G207"/>
  <c r="G204"/>
  <c r="G203"/>
  <c r="G201"/>
  <c r="G200"/>
  <c r="G199"/>
  <c r="G198"/>
  <c r="G196"/>
  <c r="G195"/>
  <c r="G194"/>
  <c r="G193"/>
  <c r="S191"/>
  <c r="G191"/>
  <c r="Q191" s="1"/>
  <c r="F191"/>
  <c r="G190"/>
  <c r="F190"/>
  <c r="E188"/>
  <c r="G188" s="1"/>
  <c r="G184"/>
  <c r="Q184" s="1"/>
  <c r="G183"/>
  <c r="G182"/>
  <c r="Q182" s="1"/>
  <c r="G181"/>
  <c r="G180"/>
  <c r="G179"/>
  <c r="G178"/>
  <c r="G177"/>
  <c r="G175"/>
  <c r="G174"/>
  <c r="G172"/>
  <c r="G171"/>
  <c r="G169"/>
  <c r="G168"/>
  <c r="G165"/>
  <c r="G164"/>
  <c r="G163"/>
  <c r="G162"/>
  <c r="G161"/>
  <c r="G156"/>
  <c r="G155"/>
  <c r="G153"/>
  <c r="G152"/>
  <c r="G149"/>
  <c r="G148"/>
  <c r="G147"/>
  <c r="G146"/>
  <c r="G145"/>
  <c r="G143"/>
  <c r="G142"/>
  <c r="G140"/>
  <c r="G139"/>
  <c r="G138"/>
  <c r="G137"/>
  <c r="G135"/>
  <c r="G134"/>
  <c r="G133"/>
  <c r="G132"/>
  <c r="G131"/>
  <c r="G129"/>
  <c r="G128"/>
  <c r="G126"/>
  <c r="G120"/>
  <c r="G119"/>
  <c r="G117"/>
  <c r="G116"/>
  <c r="S115"/>
  <c r="F115"/>
  <c r="G115"/>
  <c r="Q115" s="1"/>
  <c r="F114"/>
  <c r="G113"/>
  <c r="G112"/>
  <c r="G111"/>
  <c r="G110"/>
  <c r="Q110" s="1"/>
  <c r="G105"/>
  <c r="F105"/>
  <c r="G104"/>
  <c r="F104"/>
  <c r="E103"/>
  <c r="F103" s="1"/>
  <c r="G102"/>
  <c r="F102"/>
  <c r="G101"/>
  <c r="F101"/>
  <c r="E100"/>
  <c r="G100" s="1"/>
  <c r="F99"/>
  <c r="E99"/>
  <c r="J98"/>
  <c r="G98"/>
  <c r="G97"/>
  <c r="F97"/>
  <c r="G96"/>
  <c r="F96"/>
  <c r="G94"/>
  <c r="F94"/>
  <c r="G93"/>
  <c r="F93"/>
  <c r="F92"/>
  <c r="G91"/>
  <c r="F91"/>
  <c r="G90"/>
  <c r="F90"/>
  <c r="G88"/>
  <c r="F88"/>
  <c r="G87"/>
  <c r="F87"/>
  <c r="F86"/>
  <c r="G85"/>
  <c r="F85"/>
  <c r="G84"/>
  <c r="F84"/>
  <c r="G82"/>
  <c r="F82"/>
  <c r="G81"/>
  <c r="F81"/>
  <c r="G79"/>
  <c r="F79"/>
  <c r="G78"/>
  <c r="F78"/>
  <c r="G76"/>
  <c r="G75"/>
  <c r="G74"/>
  <c r="F74"/>
  <c r="G73"/>
  <c r="F73"/>
  <c r="F72"/>
  <c r="G71"/>
  <c r="F71"/>
  <c r="G70"/>
  <c r="F70"/>
  <c r="G68"/>
  <c r="F68"/>
  <c r="G67"/>
  <c r="F67"/>
  <c r="G65"/>
  <c r="F65"/>
  <c r="G64"/>
  <c r="F64"/>
  <c r="S62"/>
  <c r="F62"/>
  <c r="G62" s="1"/>
  <c r="Q62" s="1"/>
  <c r="G61"/>
  <c r="F61"/>
  <c r="G59"/>
  <c r="G58"/>
  <c r="G57"/>
  <c r="Q57" s="1"/>
  <c r="G56"/>
  <c r="G55"/>
  <c r="Q55" s="1"/>
  <c r="G54"/>
  <c r="F54"/>
  <c r="G53"/>
  <c r="F53"/>
  <c r="G52"/>
  <c r="F51"/>
  <c r="G51" s="1"/>
  <c r="G50"/>
  <c r="F50"/>
  <c r="G48"/>
  <c r="G47"/>
  <c r="G46"/>
  <c r="G45"/>
  <c r="G44"/>
  <c r="G40"/>
  <c r="F40"/>
  <c r="F39"/>
  <c r="G37"/>
  <c r="F37"/>
  <c r="G36"/>
  <c r="F36"/>
  <c r="F35"/>
  <c r="G34"/>
  <c r="F34"/>
  <c r="G33"/>
  <c r="F33"/>
  <c r="F32"/>
  <c r="G30"/>
  <c r="F25"/>
  <c r="G25" s="1"/>
  <c r="F24"/>
  <c r="G24" s="1"/>
  <c r="S23"/>
  <c r="F23"/>
  <c r="G23" s="1"/>
  <c r="Q23" s="1"/>
  <c r="J22"/>
  <c r="G22"/>
  <c r="J21"/>
  <c r="G21"/>
  <c r="T20"/>
  <c r="S20"/>
  <c r="F20"/>
  <c r="G20" s="1"/>
  <c r="F19"/>
  <c r="G19" s="1"/>
  <c r="F18"/>
  <c r="G17"/>
  <c r="G15"/>
  <c r="G14"/>
  <c r="G13"/>
  <c r="G12"/>
  <c r="F12"/>
  <c r="G11"/>
  <c r="F11"/>
  <c r="E10"/>
  <c r="G10" s="1"/>
  <c r="S8"/>
  <c r="G8"/>
  <c r="Q8" s="1"/>
  <c r="T8" s="1"/>
  <c r="F8"/>
  <c r="F7"/>
  <c r="G6"/>
  <c r="F6"/>
  <c r="G5"/>
  <c r="G4"/>
  <c r="D276" i="18"/>
  <c r="D292" i="19" s="1"/>
  <c r="G153" i="18"/>
  <c r="G155"/>
  <c r="G154"/>
  <c r="E153"/>
  <c r="G38" i="19" l="1"/>
  <c r="G49"/>
  <c r="L231"/>
  <c r="Q231" s="1"/>
  <c r="F343"/>
  <c r="G118"/>
  <c r="G130"/>
  <c r="G77"/>
  <c r="L75" s="1"/>
  <c r="G154"/>
  <c r="L154" s="1"/>
  <c r="Q22"/>
  <c r="G99"/>
  <c r="L98" s="1"/>
  <c r="F100"/>
  <c r="L342"/>
  <c r="L24"/>
  <c r="G103"/>
  <c r="L103" s="1"/>
  <c r="G63"/>
  <c r="L63" s="1"/>
  <c r="G89"/>
  <c r="L89" s="1"/>
  <c r="G266"/>
  <c r="G357"/>
  <c r="L353" s="1"/>
  <c r="G60"/>
  <c r="L55" s="1"/>
  <c r="U55" s="1"/>
  <c r="G280"/>
  <c r="L280" s="1"/>
  <c r="G299"/>
  <c r="G321"/>
  <c r="L321" s="1"/>
  <c r="G338"/>
  <c r="G366"/>
  <c r="L9"/>
  <c r="U9" s="1"/>
  <c r="G83"/>
  <c r="L83" s="1"/>
  <c r="G274"/>
  <c r="L272" s="1"/>
  <c r="G295"/>
  <c r="L295" s="1"/>
  <c r="G318"/>
  <c r="G80"/>
  <c r="L80" s="1"/>
  <c r="G248"/>
  <c r="L248" s="1"/>
  <c r="G269"/>
  <c r="G289"/>
  <c r="L289" s="1"/>
  <c r="G311"/>
  <c r="G330"/>
  <c r="L325" s="1"/>
  <c r="G360"/>
  <c r="G373"/>
  <c r="L373" s="1"/>
  <c r="L226"/>
  <c r="L192"/>
  <c r="L4"/>
  <c r="U4" s="1"/>
  <c r="Q254"/>
  <c r="L223"/>
  <c r="G217"/>
  <c r="L217" s="1"/>
  <c r="G206"/>
  <c r="L205" s="1"/>
  <c r="G197"/>
  <c r="L195" s="1"/>
  <c r="L182"/>
  <c r="G176"/>
  <c r="L176" s="1"/>
  <c r="L173"/>
  <c r="G170"/>
  <c r="L170" s="1"/>
  <c r="G167"/>
  <c r="G166"/>
  <c r="G160"/>
  <c r="L160" s="1"/>
  <c r="G136"/>
  <c r="L134" s="1"/>
  <c r="L130"/>
  <c r="L127"/>
  <c r="L124"/>
  <c r="G370"/>
  <c r="L369" s="1"/>
  <c r="G363"/>
  <c r="L363" s="1"/>
  <c r="G317"/>
  <c r="G309"/>
  <c r="G303"/>
  <c r="L303" s="1"/>
  <c r="L299"/>
  <c r="G292"/>
  <c r="L292" s="1"/>
  <c r="G265"/>
  <c r="G251"/>
  <c r="L251" s="1"/>
  <c r="L235"/>
  <c r="G150"/>
  <c r="L95"/>
  <c r="G92"/>
  <c r="L92" s="1"/>
  <c r="G86"/>
  <c r="L86" s="1"/>
  <c r="G72"/>
  <c r="L72" s="1"/>
  <c r="L66"/>
  <c r="L38"/>
  <c r="G35"/>
  <c r="L35" s="1"/>
  <c r="L32"/>
  <c r="L30"/>
  <c r="F373"/>
  <c r="F370"/>
  <c r="L366"/>
  <c r="F360"/>
  <c r="L360"/>
  <c r="F338"/>
  <c r="F318"/>
  <c r="F311"/>
  <c r="F289"/>
  <c r="F286"/>
  <c r="L269"/>
  <c r="F251"/>
  <c r="L254"/>
  <c r="L286"/>
  <c r="T340"/>
  <c r="Q306"/>
  <c r="T313" s="1"/>
  <c r="Q314"/>
  <c r="T332"/>
  <c r="Q333"/>
  <c r="L110"/>
  <c r="U110" s="1"/>
  <c r="L116"/>
  <c r="L144"/>
  <c r="L209"/>
  <c r="L220"/>
  <c r="L179"/>
  <c r="F95"/>
  <c r="F77"/>
  <c r="L69"/>
  <c r="L44"/>
  <c r="L52"/>
  <c r="V7"/>
  <c r="R6"/>
  <c r="T268"/>
  <c r="T115"/>
  <c r="T191"/>
  <c r="T62"/>
  <c r="L21"/>
  <c r="U21" s="1"/>
  <c r="L139"/>
  <c r="L333"/>
  <c r="F303"/>
  <c r="F363"/>
  <c r="Q342"/>
  <c r="T342" s="1"/>
  <c r="Q21"/>
  <c r="T23" s="1"/>
  <c r="L153" i="18"/>
  <c r="D209"/>
  <c r="D208"/>
  <c r="D214" i="19" l="1"/>
  <c r="G214" s="1"/>
  <c r="L212" s="1"/>
  <c r="L314"/>
  <c r="L163"/>
  <c r="L306"/>
  <c r="L262"/>
  <c r="U262" s="1"/>
  <c r="G194" i="18"/>
  <c r="G193"/>
  <c r="D197"/>
  <c r="D202" i="19" s="1"/>
  <c r="G202" s="1"/>
  <c r="L200" s="1"/>
  <c r="D148" i="18" l="1"/>
  <c r="D151" i="19" s="1"/>
  <c r="G151" s="1"/>
  <c r="L147" s="1"/>
  <c r="G121" i="18" l="1"/>
  <c r="D114" l="1"/>
  <c r="D113"/>
  <c r="G113" s="1"/>
  <c r="E216" l="1"/>
  <c r="E210"/>
  <c r="E207"/>
  <c r="E202"/>
  <c r="E199"/>
  <c r="E195"/>
  <c r="E190"/>
  <c r="E185"/>
  <c r="E182"/>
  <c r="E178"/>
  <c r="E169"/>
  <c r="E166"/>
  <c r="E163"/>
  <c r="E160"/>
  <c r="E159"/>
  <c r="E150"/>
  <c r="E147"/>
  <c r="E146"/>
  <c r="E140"/>
  <c r="E137"/>
  <c r="E132"/>
  <c r="E126"/>
  <c r="E123"/>
  <c r="E120"/>
  <c r="E117"/>
  <c r="G272"/>
  <c r="G273"/>
  <c r="F273"/>
  <c r="F272"/>
  <c r="E271"/>
  <c r="F271" s="1"/>
  <c r="G271" l="1"/>
  <c r="L271"/>
  <c r="G278"/>
  <c r="D267"/>
  <c r="D266"/>
  <c r="D283" i="19" l="1"/>
  <c r="G283" s="1"/>
  <c r="L283" s="1"/>
  <c r="D254" i="18"/>
  <c r="G41" l="1"/>
  <c r="G42" l="1"/>
  <c r="F42"/>
  <c r="F41"/>
  <c r="F40"/>
  <c r="E40"/>
  <c r="G40" s="1"/>
  <c r="L40" l="1"/>
  <c r="G30"/>
  <c r="G13"/>
  <c r="E31" l="1"/>
  <c r="G31" s="1"/>
  <c r="G33"/>
  <c r="F33"/>
  <c r="G32"/>
  <c r="F32"/>
  <c r="F31" l="1"/>
  <c r="L30"/>
  <c r="G347"/>
  <c r="G346"/>
  <c r="F346"/>
  <c r="E345"/>
  <c r="G345" s="1"/>
  <c r="D34"/>
  <c r="D37"/>
  <c r="D48"/>
  <c r="D51"/>
  <c r="D59"/>
  <c r="D62"/>
  <c r="D65"/>
  <c r="D68"/>
  <c r="G68" s="1"/>
  <c r="D71"/>
  <c r="D76"/>
  <c r="G76" s="1"/>
  <c r="D79"/>
  <c r="D82"/>
  <c r="D85"/>
  <c r="D88"/>
  <c r="D91"/>
  <c r="D94"/>
  <c r="D117"/>
  <c r="G117" s="1"/>
  <c r="D123"/>
  <c r="G123" s="1"/>
  <c r="D126"/>
  <c r="G126" s="1"/>
  <c r="D132"/>
  <c r="D137"/>
  <c r="G137" s="1"/>
  <c r="D140"/>
  <c r="D146"/>
  <c r="D150"/>
  <c r="G150" s="1"/>
  <c r="D159"/>
  <c r="D160"/>
  <c r="D163"/>
  <c r="G163" s="1"/>
  <c r="D166"/>
  <c r="G166" s="1"/>
  <c r="D169"/>
  <c r="G169" s="1"/>
  <c r="D178"/>
  <c r="G178" s="1"/>
  <c r="D185"/>
  <c r="G185" s="1"/>
  <c r="D190"/>
  <c r="D195"/>
  <c r="D199"/>
  <c r="G199" s="1"/>
  <c r="D202"/>
  <c r="D210"/>
  <c r="D216"/>
  <c r="G216" s="1"/>
  <c r="D233"/>
  <c r="D236"/>
  <c r="D250"/>
  <c r="D259"/>
  <c r="D262"/>
  <c r="G262" s="1"/>
  <c r="D268"/>
  <c r="D274"/>
  <c r="D277"/>
  <c r="D281"/>
  <c r="D291"/>
  <c r="D293"/>
  <c r="G293" s="1"/>
  <c r="D299"/>
  <c r="D300"/>
  <c r="D303"/>
  <c r="D310"/>
  <c r="D312"/>
  <c r="G312" s="1"/>
  <c r="D318"/>
  <c r="D320"/>
  <c r="H335"/>
  <c r="J335" s="1"/>
  <c r="D339"/>
  <c r="D348"/>
  <c r="D342"/>
  <c r="G342" s="1"/>
  <c r="H351"/>
  <c r="J351" s="1"/>
  <c r="D352"/>
  <c r="D355"/>
  <c r="E355"/>
  <c r="E352"/>
  <c r="E348"/>
  <c r="E342"/>
  <c r="E339"/>
  <c r="E320"/>
  <c r="E318"/>
  <c r="E312"/>
  <c r="E310"/>
  <c r="E303"/>
  <c r="E300"/>
  <c r="E299"/>
  <c r="E293"/>
  <c r="E291"/>
  <c r="E285"/>
  <c r="E281"/>
  <c r="E277"/>
  <c r="E274"/>
  <c r="E268"/>
  <c r="E265"/>
  <c r="E262"/>
  <c r="E259"/>
  <c r="E254"/>
  <c r="E251"/>
  <c r="E250"/>
  <c r="E236"/>
  <c r="E233"/>
  <c r="E94"/>
  <c r="E91"/>
  <c r="E88"/>
  <c r="E85"/>
  <c r="E82"/>
  <c r="E79"/>
  <c r="E76"/>
  <c r="E71"/>
  <c r="E68"/>
  <c r="E65"/>
  <c r="E62"/>
  <c r="E59"/>
  <c r="E51"/>
  <c r="E48"/>
  <c r="E37"/>
  <c r="E34"/>
  <c r="G259" l="1"/>
  <c r="G233"/>
  <c r="G59"/>
  <c r="G34"/>
  <c r="G320"/>
  <c r="G268"/>
  <c r="L345"/>
  <c r="G300"/>
  <c r="G281"/>
  <c r="G79"/>
  <c r="G65"/>
  <c r="G48"/>
  <c r="G352"/>
  <c r="G355"/>
  <c r="G348"/>
  <c r="F345"/>
  <c r="G339"/>
  <c r="E18"/>
  <c r="D20"/>
  <c r="D19"/>
  <c r="D18" i="19" s="1"/>
  <c r="G18" s="1"/>
  <c r="L13" s="1"/>
  <c r="U13" s="1"/>
  <c r="D16" i="18"/>
  <c r="E16"/>
  <c r="D8" l="1"/>
  <c r="D7"/>
  <c r="G7" l="1"/>
  <c r="G357"/>
  <c r="G356"/>
  <c r="F356"/>
  <c r="F355"/>
  <c r="G354"/>
  <c r="G353"/>
  <c r="F353"/>
  <c r="F352"/>
  <c r="G351"/>
  <c r="G350"/>
  <c r="G349"/>
  <c r="F349"/>
  <c r="F348"/>
  <c r="G344"/>
  <c r="G343"/>
  <c r="F343"/>
  <c r="F342"/>
  <c r="G341"/>
  <c r="G340"/>
  <c r="F340"/>
  <c r="F339"/>
  <c r="G338"/>
  <c r="G337"/>
  <c r="G336"/>
  <c r="G335"/>
  <c r="G327"/>
  <c r="F327"/>
  <c r="G326"/>
  <c r="F326"/>
  <c r="E325"/>
  <c r="F325" s="1"/>
  <c r="S324"/>
  <c r="F324"/>
  <c r="G324" s="1"/>
  <c r="C324"/>
  <c r="F323"/>
  <c r="E323"/>
  <c r="S322"/>
  <c r="G322"/>
  <c r="Q322" s="1"/>
  <c r="F322"/>
  <c r="G321"/>
  <c r="F321"/>
  <c r="F320"/>
  <c r="G319"/>
  <c r="G318"/>
  <c r="G317"/>
  <c r="Q317" s="1"/>
  <c r="G316"/>
  <c r="G315"/>
  <c r="C315"/>
  <c r="S314"/>
  <c r="G314"/>
  <c r="Q314" s="1"/>
  <c r="F314"/>
  <c r="G313"/>
  <c r="F313"/>
  <c r="F312"/>
  <c r="G311"/>
  <c r="G310"/>
  <c r="G309"/>
  <c r="Q309" s="1"/>
  <c r="G308"/>
  <c r="G307"/>
  <c r="Q307" s="1"/>
  <c r="G305"/>
  <c r="F305"/>
  <c r="G304"/>
  <c r="F304"/>
  <c r="G303"/>
  <c r="F303"/>
  <c r="G302"/>
  <c r="Q302" s="1"/>
  <c r="F302"/>
  <c r="G301"/>
  <c r="F301"/>
  <c r="F300"/>
  <c r="G299"/>
  <c r="G298"/>
  <c r="Q298" s="1"/>
  <c r="G297"/>
  <c r="G296"/>
  <c r="C296"/>
  <c r="S295"/>
  <c r="G295"/>
  <c r="Q295" s="1"/>
  <c r="F295"/>
  <c r="G294"/>
  <c r="F294"/>
  <c r="F293"/>
  <c r="G292"/>
  <c r="G291"/>
  <c r="G290"/>
  <c r="Q290" s="1"/>
  <c r="G289"/>
  <c r="G288"/>
  <c r="C288"/>
  <c r="G287"/>
  <c r="F287"/>
  <c r="G286"/>
  <c r="F286"/>
  <c r="F285"/>
  <c r="G285"/>
  <c r="G283"/>
  <c r="F283"/>
  <c r="G282"/>
  <c r="F282"/>
  <c r="F281"/>
  <c r="G280"/>
  <c r="G279"/>
  <c r="F279"/>
  <c r="F278"/>
  <c r="F277"/>
  <c r="G277"/>
  <c r="G276"/>
  <c r="F276"/>
  <c r="G275"/>
  <c r="F275"/>
  <c r="F274"/>
  <c r="G270"/>
  <c r="F270"/>
  <c r="G269"/>
  <c r="F269"/>
  <c r="F268"/>
  <c r="F267"/>
  <c r="G267"/>
  <c r="G266"/>
  <c r="F266"/>
  <c r="F265"/>
  <c r="G264"/>
  <c r="F264"/>
  <c r="G263"/>
  <c r="F263"/>
  <c r="F262"/>
  <c r="G261"/>
  <c r="F261"/>
  <c r="G260"/>
  <c r="F260"/>
  <c r="F259"/>
  <c r="G258"/>
  <c r="G257"/>
  <c r="G256"/>
  <c r="F256"/>
  <c r="G255"/>
  <c r="F255"/>
  <c r="F254"/>
  <c r="G254"/>
  <c r="S253"/>
  <c r="G253"/>
  <c r="Q253" s="1"/>
  <c r="F253"/>
  <c r="F252"/>
  <c r="G252"/>
  <c r="F251"/>
  <c r="G250"/>
  <c r="G249"/>
  <c r="Q249" s="1"/>
  <c r="G248"/>
  <c r="G247"/>
  <c r="C247"/>
  <c r="G246"/>
  <c r="Q246" s="1"/>
  <c r="F246"/>
  <c r="G245"/>
  <c r="F245"/>
  <c r="G244"/>
  <c r="F244"/>
  <c r="G242"/>
  <c r="G241"/>
  <c r="Q241" s="1"/>
  <c r="G240"/>
  <c r="G239"/>
  <c r="C239"/>
  <c r="G238"/>
  <c r="F238"/>
  <c r="G237"/>
  <c r="F237"/>
  <c r="F236"/>
  <c r="G236"/>
  <c r="G235"/>
  <c r="F235"/>
  <c r="G234"/>
  <c r="F234"/>
  <c r="G227"/>
  <c r="G226"/>
  <c r="G225"/>
  <c r="G224"/>
  <c r="G223"/>
  <c r="G222"/>
  <c r="G221"/>
  <c r="E220"/>
  <c r="G220" s="1"/>
  <c r="L219" s="1"/>
  <c r="Q219" s="1"/>
  <c r="G218"/>
  <c r="G217"/>
  <c r="G215"/>
  <c r="G214"/>
  <c r="E213"/>
  <c r="G213" s="1"/>
  <c r="G212"/>
  <c r="G211"/>
  <c r="G210"/>
  <c r="G209"/>
  <c r="G208"/>
  <c r="G206"/>
  <c r="G205"/>
  <c r="G204"/>
  <c r="G203"/>
  <c r="G202"/>
  <c r="G201"/>
  <c r="G200"/>
  <c r="G197"/>
  <c r="G196"/>
  <c r="G195"/>
  <c r="L193" s="1"/>
  <c r="G192"/>
  <c r="G191"/>
  <c r="G190"/>
  <c r="G189"/>
  <c r="G188"/>
  <c r="G187"/>
  <c r="G186"/>
  <c r="S184"/>
  <c r="F184"/>
  <c r="G184"/>
  <c r="Q184" s="1"/>
  <c r="G183"/>
  <c r="F183"/>
  <c r="E181"/>
  <c r="G181" s="1"/>
  <c r="G177"/>
  <c r="Q177" s="1"/>
  <c r="G176"/>
  <c r="G175"/>
  <c r="Q175" s="1"/>
  <c r="G174"/>
  <c r="G173"/>
  <c r="G172"/>
  <c r="G171"/>
  <c r="G170"/>
  <c r="G168"/>
  <c r="G167"/>
  <c r="G165"/>
  <c r="G164"/>
  <c r="G162"/>
  <c r="G161"/>
  <c r="G160"/>
  <c r="G159"/>
  <c r="G158"/>
  <c r="G157"/>
  <c r="G156"/>
  <c r="G152"/>
  <c r="G151"/>
  <c r="G149"/>
  <c r="G148"/>
  <c r="G146"/>
  <c r="G145"/>
  <c r="G144"/>
  <c r="G143"/>
  <c r="G142"/>
  <c r="G141"/>
  <c r="G140"/>
  <c r="G139"/>
  <c r="G138"/>
  <c r="G136"/>
  <c r="G135"/>
  <c r="G134"/>
  <c r="G133"/>
  <c r="G132"/>
  <c r="G131"/>
  <c r="G130"/>
  <c r="G129"/>
  <c r="G128"/>
  <c r="G127"/>
  <c r="G125"/>
  <c r="G124"/>
  <c r="G122"/>
  <c r="G120"/>
  <c r="G119"/>
  <c r="G118"/>
  <c r="G116"/>
  <c r="G115"/>
  <c r="S114"/>
  <c r="G114"/>
  <c r="Q114" s="1"/>
  <c r="F114"/>
  <c r="F113"/>
  <c r="G112"/>
  <c r="G111"/>
  <c r="G110"/>
  <c r="G109"/>
  <c r="G104"/>
  <c r="F104"/>
  <c r="G103"/>
  <c r="F103"/>
  <c r="E102"/>
  <c r="F102" s="1"/>
  <c r="G101"/>
  <c r="F101"/>
  <c r="G100"/>
  <c r="F100"/>
  <c r="G99"/>
  <c r="E99"/>
  <c r="F99" s="1"/>
  <c r="F98"/>
  <c r="G98" s="1"/>
  <c r="E98"/>
  <c r="J97"/>
  <c r="G97"/>
  <c r="G96"/>
  <c r="F96"/>
  <c r="G95"/>
  <c r="F95"/>
  <c r="F94"/>
  <c r="G94"/>
  <c r="G93"/>
  <c r="F93"/>
  <c r="G92"/>
  <c r="F92"/>
  <c r="G91"/>
  <c r="F91"/>
  <c r="G90"/>
  <c r="F90"/>
  <c r="G89"/>
  <c r="F89"/>
  <c r="F88"/>
  <c r="G88"/>
  <c r="G87"/>
  <c r="F87"/>
  <c r="G86"/>
  <c r="F86"/>
  <c r="F85"/>
  <c r="G85"/>
  <c r="G84"/>
  <c r="F84"/>
  <c r="G83"/>
  <c r="F83"/>
  <c r="F82"/>
  <c r="G82"/>
  <c r="G81"/>
  <c r="F81"/>
  <c r="G80"/>
  <c r="F80"/>
  <c r="F79"/>
  <c r="G78"/>
  <c r="F78"/>
  <c r="G77"/>
  <c r="F77"/>
  <c r="F76"/>
  <c r="G75"/>
  <c r="G74"/>
  <c r="G73"/>
  <c r="F73"/>
  <c r="G72"/>
  <c r="F72"/>
  <c r="G71"/>
  <c r="F71"/>
  <c r="G70"/>
  <c r="F70"/>
  <c r="G69"/>
  <c r="F69"/>
  <c r="F68"/>
  <c r="G67"/>
  <c r="F67"/>
  <c r="G66"/>
  <c r="F66"/>
  <c r="F65"/>
  <c r="G64"/>
  <c r="F64"/>
  <c r="G63"/>
  <c r="F63"/>
  <c r="F62"/>
  <c r="G62"/>
  <c r="S61"/>
  <c r="F61"/>
  <c r="G61" s="1"/>
  <c r="Q61" s="1"/>
  <c r="G60"/>
  <c r="F60"/>
  <c r="F59"/>
  <c r="G58"/>
  <c r="G57"/>
  <c r="G56"/>
  <c r="Q56" s="1"/>
  <c r="G55"/>
  <c r="G54"/>
  <c r="G53"/>
  <c r="F53"/>
  <c r="G52"/>
  <c r="F52"/>
  <c r="F51"/>
  <c r="G51"/>
  <c r="F50"/>
  <c r="G50" s="1"/>
  <c r="G49"/>
  <c r="F49"/>
  <c r="F48"/>
  <c r="G47"/>
  <c r="G46"/>
  <c r="G45"/>
  <c r="G44"/>
  <c r="G43"/>
  <c r="G39"/>
  <c r="F39"/>
  <c r="G38"/>
  <c r="F38"/>
  <c r="F37"/>
  <c r="G37"/>
  <c r="G36"/>
  <c r="F36"/>
  <c r="G35"/>
  <c r="F35"/>
  <c r="F34"/>
  <c r="G25"/>
  <c r="F25"/>
  <c r="F24"/>
  <c r="G24" s="1"/>
  <c r="S23"/>
  <c r="G23"/>
  <c r="Q23" s="1"/>
  <c r="F23"/>
  <c r="J22"/>
  <c r="G22"/>
  <c r="J21"/>
  <c r="G21"/>
  <c r="T20"/>
  <c r="S20"/>
  <c r="G20"/>
  <c r="F20"/>
  <c r="F19"/>
  <c r="G19" s="1"/>
  <c r="F18"/>
  <c r="G17"/>
  <c r="G16"/>
  <c r="G15"/>
  <c r="G14"/>
  <c r="G12"/>
  <c r="F12"/>
  <c r="G11"/>
  <c r="F11"/>
  <c r="E10"/>
  <c r="G10" s="1"/>
  <c r="S8"/>
  <c r="F8"/>
  <c r="G8"/>
  <c r="Q8" s="1"/>
  <c r="T8" s="1"/>
  <c r="F7"/>
  <c r="G6"/>
  <c r="F6"/>
  <c r="G5"/>
  <c r="G4"/>
  <c r="G4" i="17"/>
  <c r="G325" i="18" l="1"/>
  <c r="L202"/>
  <c r="L140"/>
  <c r="L210"/>
  <c r="L185"/>
  <c r="L166"/>
  <c r="Q288"/>
  <c r="T295" s="1"/>
  <c r="L85"/>
  <c r="Q239"/>
  <c r="L21"/>
  <c r="U21" s="1"/>
  <c r="L213"/>
  <c r="Q22"/>
  <c r="L97"/>
  <c r="F182"/>
  <c r="Q296"/>
  <c r="G323"/>
  <c r="L163"/>
  <c r="L169"/>
  <c r="L223"/>
  <c r="L24"/>
  <c r="L172"/>
  <c r="L216"/>
  <c r="L351"/>
  <c r="L62"/>
  <c r="L68"/>
  <c r="L130"/>
  <c r="L135"/>
  <c r="L355"/>
  <c r="L303"/>
  <c r="L285"/>
  <c r="L281"/>
  <c r="L268"/>
  <c r="L94"/>
  <c r="L91"/>
  <c r="L88"/>
  <c r="L82"/>
  <c r="L79"/>
  <c r="L74"/>
  <c r="L71"/>
  <c r="L65"/>
  <c r="L54"/>
  <c r="U54" s="1"/>
  <c r="L51"/>
  <c r="L43"/>
  <c r="L37"/>
  <c r="L34"/>
  <c r="L4"/>
  <c r="U4" s="1"/>
  <c r="L342"/>
  <c r="L236"/>
  <c r="L239"/>
  <c r="Q247"/>
  <c r="T253" s="1"/>
  <c r="Q315"/>
  <c r="L233"/>
  <c r="L277"/>
  <c r="L296"/>
  <c r="L254"/>
  <c r="L262"/>
  <c r="L315"/>
  <c r="L115"/>
  <c r="L109"/>
  <c r="U109" s="1"/>
  <c r="L123"/>
  <c r="L120"/>
  <c r="L126"/>
  <c r="L150"/>
  <c r="L198"/>
  <c r="L9"/>
  <c r="U9" s="1"/>
  <c r="T314"/>
  <c r="T184"/>
  <c r="V7"/>
  <c r="R6"/>
  <c r="L156"/>
  <c r="L288"/>
  <c r="L188"/>
  <c r="L257"/>
  <c r="L335"/>
  <c r="L307"/>
  <c r="T322"/>
  <c r="L324"/>
  <c r="Q21"/>
  <c r="T23" s="1"/>
  <c r="Q54"/>
  <c r="T61" s="1"/>
  <c r="G102"/>
  <c r="L102" s="1"/>
  <c r="Q109"/>
  <c r="T114" s="1"/>
  <c r="G274"/>
  <c r="L274" s="1"/>
  <c r="L348"/>
  <c r="Q324"/>
  <c r="T324" s="1"/>
  <c r="D197" i="17"/>
  <c r="D196"/>
  <c r="D207" i="18" l="1"/>
  <c r="G207" s="1"/>
  <c r="L205" s="1"/>
  <c r="D255" i="17" l="1"/>
  <c r="D265" i="18" s="1"/>
  <c r="G265" s="1"/>
  <c r="L265" s="1"/>
  <c r="D241" i="17" l="1"/>
  <c r="D240"/>
  <c r="D251" i="18" s="1"/>
  <c r="G251" s="1"/>
  <c r="L247" s="1"/>
  <c r="U247" s="1"/>
  <c r="G185" i="17" l="1"/>
  <c r="G184"/>
  <c r="E183"/>
  <c r="G183" s="1"/>
  <c r="L183" l="1"/>
  <c r="G167" l="1"/>
  <c r="D174"/>
  <c r="D182" i="18" s="1"/>
  <c r="G182" s="1"/>
  <c r="L175" s="1"/>
  <c r="D142" i="17" l="1"/>
  <c r="D141"/>
  <c r="D147" i="18" s="1"/>
  <c r="G147" s="1"/>
  <c r="L143" s="1"/>
  <c r="D107" i="17" l="1"/>
  <c r="D106"/>
  <c r="G65" l="1"/>
  <c r="D20" l="1"/>
  <c r="D19"/>
  <c r="D18" i="18" s="1"/>
  <c r="G18" s="1"/>
  <c r="L13" s="1"/>
  <c r="U13" s="1"/>
  <c r="D8" i="17" l="1"/>
  <c r="D7"/>
  <c r="G7" s="1"/>
  <c r="E204" l="1"/>
  <c r="E198"/>
  <c r="E195"/>
  <c r="E190"/>
  <c r="E187"/>
  <c r="E180"/>
  <c r="E175"/>
  <c r="E172"/>
  <c r="E168"/>
  <c r="E159"/>
  <c r="E156"/>
  <c r="E153"/>
  <c r="E150"/>
  <c r="E149"/>
  <c r="E143"/>
  <c r="E140"/>
  <c r="E139"/>
  <c r="E133"/>
  <c r="E130"/>
  <c r="E125"/>
  <c r="E119"/>
  <c r="E116"/>
  <c r="E113"/>
  <c r="E110"/>
  <c r="D204"/>
  <c r="G204" s="1"/>
  <c r="D198"/>
  <c r="D195"/>
  <c r="D190"/>
  <c r="G190" s="1"/>
  <c r="D187"/>
  <c r="D180"/>
  <c r="G180" s="1"/>
  <c r="D175"/>
  <c r="G175" s="1"/>
  <c r="D172"/>
  <c r="G172" s="1"/>
  <c r="D168"/>
  <c r="D159"/>
  <c r="G159" s="1"/>
  <c r="D156"/>
  <c r="G156" s="1"/>
  <c r="D153"/>
  <c r="G153" s="1"/>
  <c r="D150"/>
  <c r="D149"/>
  <c r="D143"/>
  <c r="D140"/>
  <c r="G140" s="1"/>
  <c r="D139"/>
  <c r="G139" s="1"/>
  <c r="D133"/>
  <c r="D130"/>
  <c r="G130" s="1"/>
  <c r="D125"/>
  <c r="D119"/>
  <c r="G119" s="1"/>
  <c r="D116"/>
  <c r="G116" s="1"/>
  <c r="D113"/>
  <c r="G113" s="1"/>
  <c r="D110"/>
  <c r="G110" s="1"/>
  <c r="E337"/>
  <c r="E334"/>
  <c r="E330"/>
  <c r="E327"/>
  <c r="E324"/>
  <c r="E305"/>
  <c r="E303"/>
  <c r="E297"/>
  <c r="E295"/>
  <c r="E288"/>
  <c r="E285"/>
  <c r="E284"/>
  <c r="E278"/>
  <c r="E276"/>
  <c r="E270"/>
  <c r="E266"/>
  <c r="E262"/>
  <c r="E259"/>
  <c r="E256"/>
  <c r="E253"/>
  <c r="E250"/>
  <c r="E247"/>
  <c r="E242"/>
  <c r="E239"/>
  <c r="E238"/>
  <c r="E224"/>
  <c r="E221"/>
  <c r="D337"/>
  <c r="G337" s="1"/>
  <c r="D334"/>
  <c r="D330"/>
  <c r="D327"/>
  <c r="D324"/>
  <c r="G324" s="1"/>
  <c r="D305"/>
  <c r="D303"/>
  <c r="D297"/>
  <c r="D295"/>
  <c r="D288"/>
  <c r="D285"/>
  <c r="D284"/>
  <c r="D278"/>
  <c r="G278" s="1"/>
  <c r="D276"/>
  <c r="D270"/>
  <c r="D266"/>
  <c r="D262"/>
  <c r="D256"/>
  <c r="D253"/>
  <c r="D250"/>
  <c r="G250" s="1"/>
  <c r="D247"/>
  <c r="D242"/>
  <c r="D239"/>
  <c r="D238"/>
  <c r="D224"/>
  <c r="D221"/>
  <c r="E87"/>
  <c r="E84"/>
  <c r="E81"/>
  <c r="E78"/>
  <c r="E75"/>
  <c r="E72"/>
  <c r="E69"/>
  <c r="E64"/>
  <c r="E61"/>
  <c r="E58"/>
  <c r="E55"/>
  <c r="E52"/>
  <c r="E50"/>
  <c r="E44"/>
  <c r="D87"/>
  <c r="D84"/>
  <c r="D81"/>
  <c r="D78"/>
  <c r="D75"/>
  <c r="D72"/>
  <c r="D69"/>
  <c r="D64"/>
  <c r="D61"/>
  <c r="G61" s="1"/>
  <c r="D58"/>
  <c r="D55"/>
  <c r="D52"/>
  <c r="G52" s="1"/>
  <c r="D50"/>
  <c r="D44"/>
  <c r="D41"/>
  <c r="D39"/>
  <c r="D33"/>
  <c r="D30"/>
  <c r="E41"/>
  <c r="E39"/>
  <c r="E33"/>
  <c r="E30"/>
  <c r="E18"/>
  <c r="E16"/>
  <c r="D16"/>
  <c r="E10"/>
  <c r="G266" l="1"/>
  <c r="G81"/>
  <c r="G239"/>
  <c r="G285"/>
  <c r="G330"/>
  <c r="G297"/>
  <c r="G69"/>
  <c r="G44"/>
  <c r="G58"/>
  <c r="G72"/>
  <c r="G242"/>
  <c r="G334"/>
  <c r="G30"/>
  <c r="D10"/>
  <c r="G10" s="1"/>
  <c r="G339"/>
  <c r="G338"/>
  <c r="F338"/>
  <c r="F337"/>
  <c r="G336"/>
  <c r="G335"/>
  <c r="F335"/>
  <c r="F334"/>
  <c r="G333"/>
  <c r="G332"/>
  <c r="G331"/>
  <c r="F331"/>
  <c r="F330"/>
  <c r="G329"/>
  <c r="G328"/>
  <c r="F328"/>
  <c r="F327"/>
  <c r="G326"/>
  <c r="G325"/>
  <c r="F325"/>
  <c r="F324"/>
  <c r="G323"/>
  <c r="G322"/>
  <c r="G321"/>
  <c r="G320"/>
  <c r="G312"/>
  <c r="F312"/>
  <c r="G311"/>
  <c r="F311"/>
  <c r="E310"/>
  <c r="F310" s="1"/>
  <c r="S309"/>
  <c r="F309"/>
  <c r="G309" s="1"/>
  <c r="C309"/>
  <c r="F308"/>
  <c r="E308"/>
  <c r="S307"/>
  <c r="G307"/>
  <c r="Q307" s="1"/>
  <c r="F307"/>
  <c r="G306"/>
  <c r="F306"/>
  <c r="F305"/>
  <c r="G305"/>
  <c r="G304"/>
  <c r="G303"/>
  <c r="G302"/>
  <c r="Q302" s="1"/>
  <c r="G301"/>
  <c r="G300"/>
  <c r="C300"/>
  <c r="S299"/>
  <c r="G299"/>
  <c r="Q299" s="1"/>
  <c r="F299"/>
  <c r="G298"/>
  <c r="F298"/>
  <c r="F297"/>
  <c r="G296"/>
  <c r="G295"/>
  <c r="G294"/>
  <c r="Q294" s="1"/>
  <c r="G293"/>
  <c r="G292"/>
  <c r="Q292" s="1"/>
  <c r="G290"/>
  <c r="F290"/>
  <c r="G289"/>
  <c r="F289"/>
  <c r="G288"/>
  <c r="F288"/>
  <c r="G287"/>
  <c r="Q287" s="1"/>
  <c r="F287"/>
  <c r="G286"/>
  <c r="F286"/>
  <c r="F285"/>
  <c r="G284"/>
  <c r="G283"/>
  <c r="Q283" s="1"/>
  <c r="G282"/>
  <c r="G281"/>
  <c r="C281"/>
  <c r="S280"/>
  <c r="G280"/>
  <c r="Q280" s="1"/>
  <c r="F280"/>
  <c r="G279"/>
  <c r="F279"/>
  <c r="F278"/>
  <c r="G277"/>
  <c r="G276"/>
  <c r="G275"/>
  <c r="Q275" s="1"/>
  <c r="G274"/>
  <c r="G273"/>
  <c r="Q273" s="1"/>
  <c r="C273"/>
  <c r="G272"/>
  <c r="F272"/>
  <c r="G271"/>
  <c r="F271"/>
  <c r="F270"/>
  <c r="G270"/>
  <c r="G268"/>
  <c r="F268"/>
  <c r="G267"/>
  <c r="F267"/>
  <c r="F266"/>
  <c r="G265"/>
  <c r="G264"/>
  <c r="F264"/>
  <c r="G263"/>
  <c r="F263"/>
  <c r="F262"/>
  <c r="G262"/>
  <c r="G261"/>
  <c r="F261"/>
  <c r="G260"/>
  <c r="F260"/>
  <c r="F259"/>
  <c r="G259"/>
  <c r="G258"/>
  <c r="F258"/>
  <c r="G257"/>
  <c r="F257"/>
  <c r="F256"/>
  <c r="G256"/>
  <c r="G255"/>
  <c r="F255"/>
  <c r="G254"/>
  <c r="F254"/>
  <c r="G253"/>
  <c r="F253"/>
  <c r="G252"/>
  <c r="F252"/>
  <c r="G251"/>
  <c r="F251"/>
  <c r="F250"/>
  <c r="G249"/>
  <c r="F249"/>
  <c r="G248"/>
  <c r="F248"/>
  <c r="F247"/>
  <c r="G247"/>
  <c r="G246"/>
  <c r="G245"/>
  <c r="G244"/>
  <c r="F244"/>
  <c r="G243"/>
  <c r="F243"/>
  <c r="F242"/>
  <c r="S241"/>
  <c r="G241"/>
  <c r="Q241" s="1"/>
  <c r="F241"/>
  <c r="G240"/>
  <c r="F240"/>
  <c r="F239"/>
  <c r="G238"/>
  <c r="G237"/>
  <c r="Q237" s="1"/>
  <c r="G236"/>
  <c r="G235"/>
  <c r="C235"/>
  <c r="G234"/>
  <c r="Q234" s="1"/>
  <c r="F234"/>
  <c r="G233"/>
  <c r="F233"/>
  <c r="G232"/>
  <c r="F232"/>
  <c r="G230"/>
  <c r="G229"/>
  <c r="Q229" s="1"/>
  <c r="G228"/>
  <c r="G227"/>
  <c r="C227"/>
  <c r="G226"/>
  <c r="F226"/>
  <c r="G225"/>
  <c r="F225"/>
  <c r="F224"/>
  <c r="G224"/>
  <c r="G223"/>
  <c r="F223"/>
  <c r="G222"/>
  <c r="F222"/>
  <c r="G221"/>
  <c r="G215"/>
  <c r="G214"/>
  <c r="G213"/>
  <c r="G212"/>
  <c r="G211"/>
  <c r="G210"/>
  <c r="G209"/>
  <c r="E208"/>
  <c r="G208" s="1"/>
  <c r="G206"/>
  <c r="G205"/>
  <c r="G203"/>
  <c r="G202"/>
  <c r="E201"/>
  <c r="G201" s="1"/>
  <c r="G200"/>
  <c r="G199"/>
  <c r="G198"/>
  <c r="G197"/>
  <c r="G196"/>
  <c r="G195"/>
  <c r="G194"/>
  <c r="G193"/>
  <c r="G192"/>
  <c r="G191"/>
  <c r="G189"/>
  <c r="G188"/>
  <c r="G187"/>
  <c r="G182"/>
  <c r="G181"/>
  <c r="G179"/>
  <c r="G178"/>
  <c r="G177"/>
  <c r="G176"/>
  <c r="S174"/>
  <c r="G174"/>
  <c r="Q174" s="1"/>
  <c r="F174"/>
  <c r="G173"/>
  <c r="F173"/>
  <c r="F172"/>
  <c r="E171"/>
  <c r="G171" s="1"/>
  <c r="G168"/>
  <c r="Q167"/>
  <c r="G166"/>
  <c r="G165"/>
  <c r="Q165" s="1"/>
  <c r="G164"/>
  <c r="G163"/>
  <c r="G162"/>
  <c r="G161"/>
  <c r="G160"/>
  <c r="G158"/>
  <c r="G157"/>
  <c r="G155"/>
  <c r="G154"/>
  <c r="G152"/>
  <c r="G151"/>
  <c r="G150"/>
  <c r="G149"/>
  <c r="G148"/>
  <c r="G147"/>
  <c r="G146"/>
  <c r="G145"/>
  <c r="G144"/>
  <c r="G143"/>
  <c r="G142"/>
  <c r="G141"/>
  <c r="G138"/>
  <c r="G137"/>
  <c r="G136"/>
  <c r="G135"/>
  <c r="G134"/>
  <c r="G133"/>
  <c r="G132"/>
  <c r="G131"/>
  <c r="G129"/>
  <c r="G128"/>
  <c r="G127"/>
  <c r="G126"/>
  <c r="G125"/>
  <c r="G124"/>
  <c r="G123"/>
  <c r="G122"/>
  <c r="G121"/>
  <c r="G120"/>
  <c r="G118"/>
  <c r="G117"/>
  <c r="G115"/>
  <c r="G114"/>
  <c r="G112"/>
  <c r="G111"/>
  <c r="G109"/>
  <c r="G108"/>
  <c r="S107"/>
  <c r="G107"/>
  <c r="Q107" s="1"/>
  <c r="F107"/>
  <c r="G106"/>
  <c r="F106"/>
  <c r="G105"/>
  <c r="G104"/>
  <c r="G103"/>
  <c r="G102"/>
  <c r="G97"/>
  <c r="F97"/>
  <c r="G96"/>
  <c r="F96"/>
  <c r="E95"/>
  <c r="F95" s="1"/>
  <c r="G94"/>
  <c r="F94"/>
  <c r="G93"/>
  <c r="F93"/>
  <c r="E92"/>
  <c r="G92" s="1"/>
  <c r="F91"/>
  <c r="E91"/>
  <c r="J90"/>
  <c r="G90"/>
  <c r="G89"/>
  <c r="F89"/>
  <c r="G88"/>
  <c r="F88"/>
  <c r="F87"/>
  <c r="G87"/>
  <c r="G86"/>
  <c r="F86"/>
  <c r="G85"/>
  <c r="F85"/>
  <c r="G84"/>
  <c r="F84"/>
  <c r="G83"/>
  <c r="F83"/>
  <c r="G82"/>
  <c r="F82"/>
  <c r="F81"/>
  <c r="G80"/>
  <c r="F80"/>
  <c r="G79"/>
  <c r="F79"/>
  <c r="F78"/>
  <c r="G78"/>
  <c r="G77"/>
  <c r="F77"/>
  <c r="G76"/>
  <c r="F76"/>
  <c r="F75"/>
  <c r="G75"/>
  <c r="G74"/>
  <c r="F74"/>
  <c r="G73"/>
  <c r="F73"/>
  <c r="F72"/>
  <c r="G71"/>
  <c r="F71"/>
  <c r="G70"/>
  <c r="F70"/>
  <c r="F69"/>
  <c r="G68"/>
  <c r="G67"/>
  <c r="G66"/>
  <c r="F66"/>
  <c r="F65"/>
  <c r="G64"/>
  <c r="F64"/>
  <c r="G63"/>
  <c r="F63"/>
  <c r="G62"/>
  <c r="F62"/>
  <c r="F61"/>
  <c r="G60"/>
  <c r="F60"/>
  <c r="G59"/>
  <c r="F59"/>
  <c r="F58"/>
  <c r="G57"/>
  <c r="F57"/>
  <c r="G56"/>
  <c r="F56"/>
  <c r="F55"/>
  <c r="G55"/>
  <c r="S54"/>
  <c r="F54"/>
  <c r="G54" s="1"/>
  <c r="Q54" s="1"/>
  <c r="G53"/>
  <c r="F53"/>
  <c r="F52"/>
  <c r="G51"/>
  <c r="G50"/>
  <c r="G49"/>
  <c r="Q49" s="1"/>
  <c r="G48"/>
  <c r="G47"/>
  <c r="Q47" s="1"/>
  <c r="G46"/>
  <c r="F46"/>
  <c r="G45"/>
  <c r="F45"/>
  <c r="F44"/>
  <c r="F43"/>
  <c r="G43" s="1"/>
  <c r="G42"/>
  <c r="F42"/>
  <c r="F41"/>
  <c r="G41"/>
  <c r="G40"/>
  <c r="G39"/>
  <c r="G38"/>
  <c r="G37"/>
  <c r="G36"/>
  <c r="G35"/>
  <c r="F35"/>
  <c r="G34"/>
  <c r="F34"/>
  <c r="F33"/>
  <c r="G33"/>
  <c r="G32"/>
  <c r="F32"/>
  <c r="G31"/>
  <c r="F31"/>
  <c r="F30"/>
  <c r="F25"/>
  <c r="G25" s="1"/>
  <c r="G24"/>
  <c r="F24"/>
  <c r="S23"/>
  <c r="F23"/>
  <c r="G23" s="1"/>
  <c r="Q23" s="1"/>
  <c r="Q22"/>
  <c r="J22"/>
  <c r="G22"/>
  <c r="J21"/>
  <c r="G21"/>
  <c r="T20"/>
  <c r="S20"/>
  <c r="F20"/>
  <c r="G20" s="1"/>
  <c r="F19"/>
  <c r="G19" s="1"/>
  <c r="F18"/>
  <c r="G17"/>
  <c r="G16"/>
  <c r="G15"/>
  <c r="G14"/>
  <c r="G13"/>
  <c r="G12"/>
  <c r="F12"/>
  <c r="G11"/>
  <c r="F11"/>
  <c r="S8"/>
  <c r="G8"/>
  <c r="R6" s="1"/>
  <c r="F8"/>
  <c r="F7"/>
  <c r="G6"/>
  <c r="F6"/>
  <c r="G5"/>
  <c r="G7" i="16"/>
  <c r="E221"/>
  <c r="D221"/>
  <c r="D20"/>
  <c r="D19"/>
  <c r="D18" i="17" s="1"/>
  <c r="D16" i="16"/>
  <c r="G170"/>
  <c r="F177"/>
  <c r="G158"/>
  <c r="G157"/>
  <c r="G156"/>
  <c r="E156"/>
  <c r="G145"/>
  <c r="G144"/>
  <c r="E143"/>
  <c r="G143" s="1"/>
  <c r="G65"/>
  <c r="G66"/>
  <c r="F66"/>
  <c r="F65"/>
  <c r="E64"/>
  <c r="G64" s="1"/>
  <c r="D337"/>
  <c r="D334"/>
  <c r="D330"/>
  <c r="D327"/>
  <c r="D324"/>
  <c r="D305"/>
  <c r="D303"/>
  <c r="D297"/>
  <c r="D295"/>
  <c r="D288"/>
  <c r="D285"/>
  <c r="D284"/>
  <c r="D278"/>
  <c r="D276"/>
  <c r="D270"/>
  <c r="D266"/>
  <c r="D262"/>
  <c r="D259"/>
  <c r="D256"/>
  <c r="D250"/>
  <c r="D247"/>
  <c r="D242"/>
  <c r="D238"/>
  <c r="D224"/>
  <c r="D204"/>
  <c r="D198"/>
  <c r="D190"/>
  <c r="D187"/>
  <c r="D183"/>
  <c r="D175"/>
  <c r="D171"/>
  <c r="D162"/>
  <c r="D159"/>
  <c r="D153"/>
  <c r="D152"/>
  <c r="G266" l="1"/>
  <c r="G285"/>
  <c r="G327"/>
  <c r="F64"/>
  <c r="F92" i="17"/>
  <c r="G18"/>
  <c r="G91"/>
  <c r="L201"/>
  <c r="L211"/>
  <c r="G308"/>
  <c r="Q300"/>
  <c r="Q281"/>
  <c r="L262"/>
  <c r="L256"/>
  <c r="Q227"/>
  <c r="L198"/>
  <c r="L162"/>
  <c r="L159"/>
  <c r="L330"/>
  <c r="Q8"/>
  <c r="T8" s="1"/>
  <c r="L190"/>
  <c r="L153"/>
  <c r="L90"/>
  <c r="L24"/>
  <c r="L78"/>
  <c r="L204"/>
  <c r="L207"/>
  <c r="Q207" s="1"/>
  <c r="L75"/>
  <c r="L133"/>
  <c r="L175"/>
  <c r="L309"/>
  <c r="L123"/>
  <c r="L108"/>
  <c r="L253"/>
  <c r="L221"/>
  <c r="L333"/>
  <c r="L300"/>
  <c r="L87"/>
  <c r="L81"/>
  <c r="L72"/>
  <c r="L67"/>
  <c r="L61"/>
  <c r="L58"/>
  <c r="L55"/>
  <c r="L44"/>
  <c r="L320"/>
  <c r="L337"/>
  <c r="T280"/>
  <c r="L224"/>
  <c r="L227"/>
  <c r="L242"/>
  <c r="L270"/>
  <c r="L273"/>
  <c r="L281"/>
  <c r="T307"/>
  <c r="Q235"/>
  <c r="T241" s="1"/>
  <c r="L245"/>
  <c r="L250"/>
  <c r="L266"/>
  <c r="L292"/>
  <c r="L259"/>
  <c r="L288"/>
  <c r="L113"/>
  <c r="L136"/>
  <c r="L102"/>
  <c r="U102" s="1"/>
  <c r="L116"/>
  <c r="L143"/>
  <c r="L146"/>
  <c r="L165"/>
  <c r="L186"/>
  <c r="T174"/>
  <c r="L119"/>
  <c r="L156"/>
  <c r="T54"/>
  <c r="L30"/>
  <c r="L33"/>
  <c r="L84"/>
  <c r="L36"/>
  <c r="L64"/>
  <c r="L4"/>
  <c r="U4" s="1"/>
  <c r="V7"/>
  <c r="L9"/>
  <c r="U9" s="1"/>
  <c r="L128"/>
  <c r="L178"/>
  <c r="T299"/>
  <c r="L13"/>
  <c r="U13" s="1"/>
  <c r="L21"/>
  <c r="U21" s="1"/>
  <c r="L47"/>
  <c r="U47" s="1"/>
  <c r="L193"/>
  <c r="L235"/>
  <c r="U235" s="1"/>
  <c r="Q21"/>
  <c r="T23" s="1"/>
  <c r="G95"/>
  <c r="L95" s="1"/>
  <c r="Q102"/>
  <c r="T107" s="1"/>
  <c r="G310"/>
  <c r="G327"/>
  <c r="L327" s="1"/>
  <c r="Q309"/>
  <c r="T309" s="1"/>
  <c r="L156" i="16"/>
  <c r="L143"/>
  <c r="L64"/>
  <c r="D146"/>
  <c r="D139"/>
  <c r="D140"/>
  <c r="G140" s="1"/>
  <c r="D133"/>
  <c r="D130"/>
  <c r="D125"/>
  <c r="D119"/>
  <c r="D116"/>
  <c r="D113"/>
  <c r="D110"/>
  <c r="D87"/>
  <c r="D84"/>
  <c r="D81"/>
  <c r="D78"/>
  <c r="D75"/>
  <c r="D72"/>
  <c r="D69"/>
  <c r="D61"/>
  <c r="D58"/>
  <c r="D55"/>
  <c r="D52"/>
  <c r="D50"/>
  <c r="D44"/>
  <c r="D41"/>
  <c r="D39"/>
  <c r="D33"/>
  <c r="D30"/>
  <c r="E204"/>
  <c r="G204" s="1"/>
  <c r="E198"/>
  <c r="G198" s="1"/>
  <c r="E195"/>
  <c r="E190"/>
  <c r="G190" s="1"/>
  <c r="E187"/>
  <c r="G187" s="1"/>
  <c r="E183"/>
  <c r="G183" s="1"/>
  <c r="G178"/>
  <c r="E175"/>
  <c r="F175" s="1"/>
  <c r="E171"/>
  <c r="G171" s="1"/>
  <c r="E162"/>
  <c r="E159"/>
  <c r="G159" s="1"/>
  <c r="E153"/>
  <c r="G153" s="1"/>
  <c r="E152"/>
  <c r="G152" s="1"/>
  <c r="E146"/>
  <c r="E140"/>
  <c r="E139"/>
  <c r="E133"/>
  <c r="E130"/>
  <c r="E125"/>
  <c r="E119"/>
  <c r="E116"/>
  <c r="E113"/>
  <c r="E110"/>
  <c r="G259"/>
  <c r="G305"/>
  <c r="E87"/>
  <c r="E84"/>
  <c r="F84" s="1"/>
  <c r="E81"/>
  <c r="F81" s="1"/>
  <c r="E78"/>
  <c r="F78" s="1"/>
  <c r="E75"/>
  <c r="E72"/>
  <c r="F72" s="1"/>
  <c r="E69"/>
  <c r="E61"/>
  <c r="F61" s="1"/>
  <c r="E58"/>
  <c r="F58" s="1"/>
  <c r="E55"/>
  <c r="F55" s="1"/>
  <c r="E52"/>
  <c r="E50"/>
  <c r="E44"/>
  <c r="F44" s="1"/>
  <c r="E41"/>
  <c r="F41" s="1"/>
  <c r="E39"/>
  <c r="E33"/>
  <c r="F33" s="1"/>
  <c r="E30"/>
  <c r="F30" s="1"/>
  <c r="E337"/>
  <c r="G337" s="1"/>
  <c r="E334"/>
  <c r="G334" s="1"/>
  <c r="E330"/>
  <c r="F330" s="1"/>
  <c r="E327"/>
  <c r="F327" s="1"/>
  <c r="E324"/>
  <c r="F324" s="1"/>
  <c r="E305"/>
  <c r="F305" s="1"/>
  <c r="E303"/>
  <c r="G303" s="1"/>
  <c r="E297"/>
  <c r="F297" s="1"/>
  <c r="E295"/>
  <c r="G295" s="1"/>
  <c r="E288"/>
  <c r="G288" s="1"/>
  <c r="E285"/>
  <c r="F285" s="1"/>
  <c r="E284"/>
  <c r="G284" s="1"/>
  <c r="E278"/>
  <c r="F278" s="1"/>
  <c r="E276"/>
  <c r="G276" s="1"/>
  <c r="E270"/>
  <c r="G270" s="1"/>
  <c r="E266"/>
  <c r="E262"/>
  <c r="F262" s="1"/>
  <c r="E259"/>
  <c r="E256"/>
  <c r="G256" s="1"/>
  <c r="E253"/>
  <c r="F253" s="1"/>
  <c r="E250"/>
  <c r="F250" s="1"/>
  <c r="E247"/>
  <c r="G247" s="1"/>
  <c r="E242"/>
  <c r="G242" s="1"/>
  <c r="E239"/>
  <c r="F239" s="1"/>
  <c r="E238"/>
  <c r="G238" s="1"/>
  <c r="E224"/>
  <c r="D10"/>
  <c r="E18"/>
  <c r="F18" s="1"/>
  <c r="E16"/>
  <c r="E10"/>
  <c r="G339"/>
  <c r="G338"/>
  <c r="F338"/>
  <c r="G336"/>
  <c r="G335"/>
  <c r="F335"/>
  <c r="G333"/>
  <c r="G332"/>
  <c r="G331"/>
  <c r="F331"/>
  <c r="G329"/>
  <c r="G328"/>
  <c r="F328"/>
  <c r="G326"/>
  <c r="G325"/>
  <c r="F325"/>
  <c r="G323"/>
  <c r="G322"/>
  <c r="G321"/>
  <c r="G320"/>
  <c r="G312"/>
  <c r="F312"/>
  <c r="G311"/>
  <c r="F311"/>
  <c r="E310"/>
  <c r="F310" s="1"/>
  <c r="S309"/>
  <c r="F309"/>
  <c r="G309" s="1"/>
  <c r="C309"/>
  <c r="F308"/>
  <c r="E308"/>
  <c r="S307"/>
  <c r="G307"/>
  <c r="Q307" s="1"/>
  <c r="F307"/>
  <c r="G306"/>
  <c r="F306"/>
  <c r="G304"/>
  <c r="G302"/>
  <c r="Q302" s="1"/>
  <c r="G301"/>
  <c r="G300"/>
  <c r="C300"/>
  <c r="S299"/>
  <c r="G299"/>
  <c r="Q299" s="1"/>
  <c r="F299"/>
  <c r="G298"/>
  <c r="F298"/>
  <c r="G296"/>
  <c r="G294"/>
  <c r="Q294" s="1"/>
  <c r="G293"/>
  <c r="G292"/>
  <c r="Q292" s="1"/>
  <c r="G290"/>
  <c r="F290"/>
  <c r="G289"/>
  <c r="F289"/>
  <c r="F288"/>
  <c r="G287"/>
  <c r="Q287" s="1"/>
  <c r="F287"/>
  <c r="G286"/>
  <c r="F286"/>
  <c r="G283"/>
  <c r="Q283" s="1"/>
  <c r="G282"/>
  <c r="G281"/>
  <c r="C281"/>
  <c r="S280"/>
  <c r="G280"/>
  <c r="Q280" s="1"/>
  <c r="F280"/>
  <c r="G279"/>
  <c r="F279"/>
  <c r="G277"/>
  <c r="G275"/>
  <c r="Q275" s="1"/>
  <c r="G274"/>
  <c r="G273"/>
  <c r="C273"/>
  <c r="G272"/>
  <c r="F272"/>
  <c r="G271"/>
  <c r="F271"/>
  <c r="G268"/>
  <c r="F268"/>
  <c r="G267"/>
  <c r="F267"/>
  <c r="G265"/>
  <c r="G264"/>
  <c r="F264"/>
  <c r="G263"/>
  <c r="F263"/>
  <c r="G261"/>
  <c r="F261"/>
  <c r="G260"/>
  <c r="F260"/>
  <c r="F259"/>
  <c r="G258"/>
  <c r="F258"/>
  <c r="G257"/>
  <c r="F257"/>
  <c r="F255"/>
  <c r="G255"/>
  <c r="F254"/>
  <c r="G254"/>
  <c r="G252"/>
  <c r="F252"/>
  <c r="G251"/>
  <c r="F251"/>
  <c r="G249"/>
  <c r="F249"/>
  <c r="G248"/>
  <c r="F248"/>
  <c r="G246"/>
  <c r="G245"/>
  <c r="G244"/>
  <c r="F244"/>
  <c r="G243"/>
  <c r="F243"/>
  <c r="F242"/>
  <c r="G223"/>
  <c r="F223"/>
  <c r="G222"/>
  <c r="F222"/>
  <c r="S241"/>
  <c r="F241"/>
  <c r="G241"/>
  <c r="Q241" s="1"/>
  <c r="F240"/>
  <c r="G240"/>
  <c r="G237"/>
  <c r="Q237" s="1"/>
  <c r="G236"/>
  <c r="G235"/>
  <c r="C235"/>
  <c r="G234"/>
  <c r="Q234" s="1"/>
  <c r="F234"/>
  <c r="G233"/>
  <c r="F233"/>
  <c r="G232"/>
  <c r="F232"/>
  <c r="G230"/>
  <c r="G229"/>
  <c r="Q229" s="1"/>
  <c r="G228"/>
  <c r="G227"/>
  <c r="C227"/>
  <c r="G226"/>
  <c r="F226"/>
  <c r="G225"/>
  <c r="F225"/>
  <c r="F224"/>
  <c r="G215"/>
  <c r="G214"/>
  <c r="G213"/>
  <c r="G212"/>
  <c r="G211"/>
  <c r="G210"/>
  <c r="G209"/>
  <c r="E208"/>
  <c r="G208" s="1"/>
  <c r="G206"/>
  <c r="G205"/>
  <c r="G203"/>
  <c r="G202"/>
  <c r="E201"/>
  <c r="G201" s="1"/>
  <c r="G200"/>
  <c r="G199"/>
  <c r="G197"/>
  <c r="G196"/>
  <c r="G194"/>
  <c r="G193"/>
  <c r="G192"/>
  <c r="G191"/>
  <c r="G189"/>
  <c r="G188"/>
  <c r="G185"/>
  <c r="G184"/>
  <c r="G182"/>
  <c r="G181"/>
  <c r="G180"/>
  <c r="G179"/>
  <c r="S177"/>
  <c r="G177"/>
  <c r="Q177" s="1"/>
  <c r="G176"/>
  <c r="F176"/>
  <c r="E174"/>
  <c r="G174" s="1"/>
  <c r="Q170"/>
  <c r="G169"/>
  <c r="G168"/>
  <c r="Q168" s="1"/>
  <c r="G167"/>
  <c r="G166"/>
  <c r="G165"/>
  <c r="G164"/>
  <c r="G163"/>
  <c r="G162"/>
  <c r="G161"/>
  <c r="G160"/>
  <c r="G155"/>
  <c r="G154"/>
  <c r="G151"/>
  <c r="G150"/>
  <c r="G149"/>
  <c r="G148"/>
  <c r="G147"/>
  <c r="G142"/>
  <c r="G141"/>
  <c r="G138"/>
  <c r="G137"/>
  <c r="G136"/>
  <c r="G135"/>
  <c r="G134"/>
  <c r="G132"/>
  <c r="G131"/>
  <c r="G129"/>
  <c r="G128"/>
  <c r="G127"/>
  <c r="G126"/>
  <c r="G124"/>
  <c r="G123"/>
  <c r="G122"/>
  <c r="G121"/>
  <c r="G120"/>
  <c r="G118"/>
  <c r="G117"/>
  <c r="G115"/>
  <c r="G114"/>
  <c r="G112"/>
  <c r="G111"/>
  <c r="G109"/>
  <c r="G108"/>
  <c r="S107"/>
  <c r="G107"/>
  <c r="Q107" s="1"/>
  <c r="F107"/>
  <c r="G106"/>
  <c r="F106"/>
  <c r="G105"/>
  <c r="G104"/>
  <c r="G103"/>
  <c r="G102"/>
  <c r="Q102" s="1"/>
  <c r="G97"/>
  <c r="F97"/>
  <c r="G96"/>
  <c r="F96"/>
  <c r="G95"/>
  <c r="L95" s="1"/>
  <c r="E95"/>
  <c r="F95" s="1"/>
  <c r="G94"/>
  <c r="F94"/>
  <c r="G93"/>
  <c r="F93"/>
  <c r="E92"/>
  <c r="G92" s="1"/>
  <c r="F91"/>
  <c r="E91"/>
  <c r="J90"/>
  <c r="G90"/>
  <c r="G89"/>
  <c r="F89"/>
  <c r="G88"/>
  <c r="F88"/>
  <c r="G86"/>
  <c r="F86"/>
  <c r="G85"/>
  <c r="F85"/>
  <c r="G83"/>
  <c r="F83"/>
  <c r="G82"/>
  <c r="F82"/>
  <c r="G80"/>
  <c r="F80"/>
  <c r="G79"/>
  <c r="F79"/>
  <c r="G77"/>
  <c r="F77"/>
  <c r="G76"/>
  <c r="F76"/>
  <c r="F75"/>
  <c r="G74"/>
  <c r="F74"/>
  <c r="G73"/>
  <c r="F73"/>
  <c r="G71"/>
  <c r="F71"/>
  <c r="G70"/>
  <c r="F70"/>
  <c r="F69"/>
  <c r="G68"/>
  <c r="G67"/>
  <c r="G63"/>
  <c r="F63"/>
  <c r="G62"/>
  <c r="F62"/>
  <c r="G60"/>
  <c r="F60"/>
  <c r="G59"/>
  <c r="F59"/>
  <c r="G57"/>
  <c r="F57"/>
  <c r="G56"/>
  <c r="F56"/>
  <c r="S54"/>
  <c r="F54"/>
  <c r="G54" s="1"/>
  <c r="Q54" s="1"/>
  <c r="G53"/>
  <c r="F53"/>
  <c r="G51"/>
  <c r="G49"/>
  <c r="Q49" s="1"/>
  <c r="G48"/>
  <c r="G47"/>
  <c r="G46"/>
  <c r="F46"/>
  <c r="G45"/>
  <c r="F45"/>
  <c r="F43"/>
  <c r="G43" s="1"/>
  <c r="G42"/>
  <c r="F42"/>
  <c r="G40"/>
  <c r="G39"/>
  <c r="G38"/>
  <c r="G37"/>
  <c r="G36"/>
  <c r="G35"/>
  <c r="F35"/>
  <c r="G34"/>
  <c r="F34"/>
  <c r="G32"/>
  <c r="F32"/>
  <c r="G31"/>
  <c r="F31"/>
  <c r="F25"/>
  <c r="G25" s="1"/>
  <c r="F24"/>
  <c r="G24" s="1"/>
  <c r="S23"/>
  <c r="F23"/>
  <c r="G23" s="1"/>
  <c r="Q23" s="1"/>
  <c r="J22"/>
  <c r="G22"/>
  <c r="J21"/>
  <c r="G21"/>
  <c r="T20"/>
  <c r="S20"/>
  <c r="F20"/>
  <c r="G20" s="1"/>
  <c r="F19"/>
  <c r="G19" s="1"/>
  <c r="G17"/>
  <c r="G16"/>
  <c r="G15"/>
  <c r="G14"/>
  <c r="G13"/>
  <c r="G12"/>
  <c r="F12"/>
  <c r="G11"/>
  <c r="F11"/>
  <c r="S8"/>
  <c r="G8"/>
  <c r="Q8" s="1"/>
  <c r="T8" s="1"/>
  <c r="F8"/>
  <c r="F7"/>
  <c r="G6"/>
  <c r="F6"/>
  <c r="G5"/>
  <c r="G4"/>
  <c r="G7" i="15"/>
  <c r="G58" i="16" l="1"/>
  <c r="G119"/>
  <c r="F337"/>
  <c r="G110"/>
  <c r="L108" s="1"/>
  <c r="G30"/>
  <c r="G44"/>
  <c r="G262"/>
  <c r="G308"/>
  <c r="L309" s="1"/>
  <c r="G330"/>
  <c r="G69"/>
  <c r="G81"/>
  <c r="G113"/>
  <c r="L113" s="1"/>
  <c r="G130"/>
  <c r="G175"/>
  <c r="Q235"/>
  <c r="T241" s="1"/>
  <c r="L337"/>
  <c r="F266"/>
  <c r="L281"/>
  <c r="G221"/>
  <c r="L221" s="1"/>
  <c r="L81"/>
  <c r="Q22"/>
  <c r="G297"/>
  <c r="L292" s="1"/>
  <c r="G50"/>
  <c r="G78"/>
  <c r="L78" s="1"/>
  <c r="G125"/>
  <c r="L123" s="1"/>
  <c r="G139"/>
  <c r="L136" s="1"/>
  <c r="T307"/>
  <c r="G250"/>
  <c r="L250" s="1"/>
  <c r="G75"/>
  <c r="G72"/>
  <c r="L72" s="1"/>
  <c r="G84"/>
  <c r="L84" s="1"/>
  <c r="G116"/>
  <c r="L116" s="1"/>
  <c r="G146"/>
  <c r="L146" s="1"/>
  <c r="G133"/>
  <c r="L133" s="1"/>
  <c r="G87"/>
  <c r="L87" s="1"/>
  <c r="G52"/>
  <c r="L47" s="1"/>
  <c r="U47" s="1"/>
  <c r="L186"/>
  <c r="L178"/>
  <c r="L162"/>
  <c r="F52"/>
  <c r="F270"/>
  <c r="F256"/>
  <c r="F247"/>
  <c r="L242"/>
  <c r="G10"/>
  <c r="L9" s="1"/>
  <c r="U9" s="1"/>
  <c r="Q21"/>
  <c r="T23" s="1"/>
  <c r="L168"/>
  <c r="L207"/>
  <c r="Q207" s="1"/>
  <c r="G324"/>
  <c r="L320" s="1"/>
  <c r="G33"/>
  <c r="L33" s="1"/>
  <c r="F87"/>
  <c r="L211"/>
  <c r="L44"/>
  <c r="G55"/>
  <c r="L55" s="1"/>
  <c r="L190"/>
  <c r="L201"/>
  <c r="L259"/>
  <c r="G41"/>
  <c r="L36" s="1"/>
  <c r="G61"/>
  <c r="L61" s="1"/>
  <c r="L75"/>
  <c r="G91"/>
  <c r="L90" s="1"/>
  <c r="L149"/>
  <c r="Q227"/>
  <c r="Q273"/>
  <c r="T280" s="1"/>
  <c r="G278"/>
  <c r="L273" s="1"/>
  <c r="Q281"/>
  <c r="G310"/>
  <c r="L24"/>
  <c r="F92"/>
  <c r="G224"/>
  <c r="L224" s="1"/>
  <c r="L288"/>
  <c r="L300"/>
  <c r="L333"/>
  <c r="L119"/>
  <c r="L128"/>
  <c r="L270"/>
  <c r="M270" s="1"/>
  <c r="L330"/>
  <c r="L21"/>
  <c r="U21" s="1"/>
  <c r="L102"/>
  <c r="U102" s="1"/>
  <c r="L327"/>
  <c r="L227"/>
  <c r="L245"/>
  <c r="L256"/>
  <c r="T299"/>
  <c r="Q300"/>
  <c r="L262"/>
  <c r="L266"/>
  <c r="T107"/>
  <c r="L159"/>
  <c r="L165"/>
  <c r="L181"/>
  <c r="L204"/>
  <c r="L198"/>
  <c r="L30"/>
  <c r="L4"/>
  <c r="U4" s="1"/>
  <c r="T177"/>
  <c r="Q47"/>
  <c r="T54" s="1"/>
  <c r="R6"/>
  <c r="V7"/>
  <c r="L58"/>
  <c r="L67"/>
  <c r="F334"/>
  <c r="Q309"/>
  <c r="T309" s="1"/>
  <c r="G260" i="15"/>
  <c r="D255"/>
  <c r="D254"/>
  <c r="D253" i="16" s="1"/>
  <c r="G253" s="1"/>
  <c r="L253" s="1"/>
  <c r="G240" i="15" l="1"/>
  <c r="D238"/>
  <c r="D237"/>
  <c r="D239" i="16" s="1"/>
  <c r="G239" s="1"/>
  <c r="L235" s="1"/>
  <c r="U235" s="1"/>
  <c r="G222" i="15"/>
  <c r="D197"/>
  <c r="D196"/>
  <c r="D195" i="16" s="1"/>
  <c r="G195" s="1"/>
  <c r="L193" s="1"/>
  <c r="G185" i="15" l="1"/>
  <c r="G184"/>
  <c r="G183"/>
  <c r="L183" l="1"/>
  <c r="G161" l="1"/>
  <c r="G160"/>
  <c r="G159"/>
  <c r="L159" l="1"/>
  <c r="E66" l="1"/>
  <c r="G66" s="1"/>
  <c r="G65"/>
  <c r="G64"/>
  <c r="G60" l="1"/>
  <c r="F60"/>
  <c r="G59"/>
  <c r="F59"/>
  <c r="E58"/>
  <c r="F58" s="1"/>
  <c r="G58"/>
  <c r="L58" l="1"/>
  <c r="E33" l="1"/>
  <c r="D20" l="1"/>
  <c r="D19"/>
  <c r="D18" i="16" s="1"/>
  <c r="G18" s="1"/>
  <c r="L13" s="1"/>
  <c r="U13" s="1"/>
  <c r="E204" i="15" l="1"/>
  <c r="E198"/>
  <c r="E195"/>
  <c r="E190"/>
  <c r="E187"/>
  <c r="E177"/>
  <c r="E172"/>
  <c r="E169"/>
  <c r="F169" s="1"/>
  <c r="E165"/>
  <c r="E156"/>
  <c r="E153"/>
  <c r="E150"/>
  <c r="E149"/>
  <c r="G149" s="1"/>
  <c r="E143"/>
  <c r="E140"/>
  <c r="E137"/>
  <c r="E136"/>
  <c r="E130"/>
  <c r="E127"/>
  <c r="E122"/>
  <c r="E116"/>
  <c r="E113"/>
  <c r="E110"/>
  <c r="G110" s="1"/>
  <c r="E107"/>
  <c r="G205"/>
  <c r="D204"/>
  <c r="D198"/>
  <c r="D195"/>
  <c r="D190"/>
  <c r="D187"/>
  <c r="D177"/>
  <c r="G177" s="1"/>
  <c r="D172"/>
  <c r="G172" s="1"/>
  <c r="D169"/>
  <c r="D165"/>
  <c r="D156"/>
  <c r="D153"/>
  <c r="G153" s="1"/>
  <c r="L153" s="1"/>
  <c r="D150"/>
  <c r="D143"/>
  <c r="G143" s="1"/>
  <c r="D137"/>
  <c r="D136"/>
  <c r="D130"/>
  <c r="G130" s="1"/>
  <c r="D127"/>
  <c r="D122"/>
  <c r="D116"/>
  <c r="G116" s="1"/>
  <c r="D113"/>
  <c r="D107"/>
  <c r="D10"/>
  <c r="D16"/>
  <c r="G16" s="1"/>
  <c r="D18"/>
  <c r="D30"/>
  <c r="D33"/>
  <c r="G33" s="1"/>
  <c r="L33" s="1"/>
  <c r="D39"/>
  <c r="D41"/>
  <c r="D44"/>
  <c r="D50"/>
  <c r="D52"/>
  <c r="D55"/>
  <c r="D61"/>
  <c r="D69"/>
  <c r="G69" s="1"/>
  <c r="D72"/>
  <c r="G72" s="1"/>
  <c r="D75"/>
  <c r="D78"/>
  <c r="D81"/>
  <c r="D84"/>
  <c r="G84" s="1"/>
  <c r="D221"/>
  <c r="D235"/>
  <c r="D239"/>
  <c r="D242"/>
  <c r="D247"/>
  <c r="D250"/>
  <c r="G250" s="1"/>
  <c r="D253"/>
  <c r="D256"/>
  <c r="D259"/>
  <c r="D262"/>
  <c r="D266"/>
  <c r="D270"/>
  <c r="D276"/>
  <c r="D278"/>
  <c r="D284"/>
  <c r="D285"/>
  <c r="D288"/>
  <c r="D295"/>
  <c r="D297"/>
  <c r="D303"/>
  <c r="D305"/>
  <c r="D337"/>
  <c r="D334"/>
  <c r="G334" s="1"/>
  <c r="D330"/>
  <c r="D327"/>
  <c r="D324"/>
  <c r="F337"/>
  <c r="E337"/>
  <c r="E334"/>
  <c r="E330"/>
  <c r="F330" s="1"/>
  <c r="E327"/>
  <c r="F327" s="1"/>
  <c r="E324"/>
  <c r="F324" s="1"/>
  <c r="E305"/>
  <c r="F305" s="1"/>
  <c r="E303"/>
  <c r="E297"/>
  <c r="F297" s="1"/>
  <c r="E295"/>
  <c r="E288"/>
  <c r="E285"/>
  <c r="F285" s="1"/>
  <c r="E284"/>
  <c r="E278"/>
  <c r="F278" s="1"/>
  <c r="E276"/>
  <c r="E270"/>
  <c r="F270" s="1"/>
  <c r="E266"/>
  <c r="F266" s="1"/>
  <c r="E262"/>
  <c r="E259"/>
  <c r="F259" s="1"/>
  <c r="E256"/>
  <c r="E253"/>
  <c r="E250"/>
  <c r="E247"/>
  <c r="F247" s="1"/>
  <c r="E242"/>
  <c r="E239"/>
  <c r="E236"/>
  <c r="F236" s="1"/>
  <c r="E235"/>
  <c r="E221"/>
  <c r="E84"/>
  <c r="F84" s="1"/>
  <c r="E81"/>
  <c r="E78"/>
  <c r="E75"/>
  <c r="F75" s="1"/>
  <c r="E72"/>
  <c r="F72" s="1"/>
  <c r="E69"/>
  <c r="F66"/>
  <c r="E61"/>
  <c r="E55"/>
  <c r="F55" s="1"/>
  <c r="E52"/>
  <c r="E50"/>
  <c r="E44"/>
  <c r="F44" s="1"/>
  <c r="E41"/>
  <c r="F41" s="1"/>
  <c r="E39"/>
  <c r="F33"/>
  <c r="E30"/>
  <c r="F30" s="1"/>
  <c r="E10"/>
  <c r="H47"/>
  <c r="J47" s="1"/>
  <c r="E18"/>
  <c r="E16"/>
  <c r="G339"/>
  <c r="G338"/>
  <c r="F338"/>
  <c r="G336"/>
  <c r="G335"/>
  <c r="F335"/>
  <c r="G333"/>
  <c r="G332"/>
  <c r="G331"/>
  <c r="F331"/>
  <c r="G329"/>
  <c r="G328"/>
  <c r="F328"/>
  <c r="G326"/>
  <c r="G325"/>
  <c r="F325"/>
  <c r="G323"/>
  <c r="G322"/>
  <c r="G321"/>
  <c r="G320"/>
  <c r="G312"/>
  <c r="F312"/>
  <c r="G311"/>
  <c r="F311"/>
  <c r="E310"/>
  <c r="F310" s="1"/>
  <c r="S309"/>
  <c r="F309"/>
  <c r="G309" s="1"/>
  <c r="C309"/>
  <c r="L309" s="1"/>
  <c r="F308"/>
  <c r="E308"/>
  <c r="G308" s="1"/>
  <c r="S307"/>
  <c r="G307"/>
  <c r="Q307" s="1"/>
  <c r="F307"/>
  <c r="G306"/>
  <c r="F306"/>
  <c r="G304"/>
  <c r="G302"/>
  <c r="Q302" s="1"/>
  <c r="G301"/>
  <c r="G300"/>
  <c r="C300"/>
  <c r="S299"/>
  <c r="G299"/>
  <c r="Q299" s="1"/>
  <c r="F299"/>
  <c r="G298"/>
  <c r="F298"/>
  <c r="G296"/>
  <c r="G294"/>
  <c r="Q294" s="1"/>
  <c r="G293"/>
  <c r="G292"/>
  <c r="Q292" s="1"/>
  <c r="G290"/>
  <c r="F290"/>
  <c r="G289"/>
  <c r="F289"/>
  <c r="G287"/>
  <c r="Q287" s="1"/>
  <c r="F287"/>
  <c r="G286"/>
  <c r="F286"/>
  <c r="G283"/>
  <c r="Q283" s="1"/>
  <c r="G282"/>
  <c r="G281"/>
  <c r="C281"/>
  <c r="S280"/>
  <c r="G280"/>
  <c r="Q280" s="1"/>
  <c r="F280"/>
  <c r="G279"/>
  <c r="F279"/>
  <c r="G277"/>
  <c r="G275"/>
  <c r="Q275" s="1"/>
  <c r="G274"/>
  <c r="G273"/>
  <c r="C273"/>
  <c r="G272"/>
  <c r="F272"/>
  <c r="G271"/>
  <c r="F271"/>
  <c r="G268"/>
  <c r="F268"/>
  <c r="G267"/>
  <c r="F267"/>
  <c r="G265"/>
  <c r="G264"/>
  <c r="F264"/>
  <c r="G263"/>
  <c r="F263"/>
  <c r="G261"/>
  <c r="F261"/>
  <c r="F260"/>
  <c r="G258"/>
  <c r="F258"/>
  <c r="G257"/>
  <c r="F257"/>
  <c r="G255"/>
  <c r="F255"/>
  <c r="G254"/>
  <c r="F254"/>
  <c r="G252"/>
  <c r="F252"/>
  <c r="G251"/>
  <c r="F251"/>
  <c r="G249"/>
  <c r="F249"/>
  <c r="G248"/>
  <c r="F248"/>
  <c r="G246"/>
  <c r="G245"/>
  <c r="G244"/>
  <c r="F244"/>
  <c r="G243"/>
  <c r="F243"/>
  <c r="G241"/>
  <c r="F241"/>
  <c r="F240"/>
  <c r="S238"/>
  <c r="G238"/>
  <c r="Q238" s="1"/>
  <c r="F238"/>
  <c r="F237"/>
  <c r="G237"/>
  <c r="G234"/>
  <c r="Q234" s="1"/>
  <c r="G233"/>
  <c r="G232"/>
  <c r="C232"/>
  <c r="G231"/>
  <c r="Q231" s="1"/>
  <c r="F231"/>
  <c r="G230"/>
  <c r="F230"/>
  <c r="G229"/>
  <c r="F229"/>
  <c r="G227"/>
  <c r="G226"/>
  <c r="Q226" s="1"/>
  <c r="G225"/>
  <c r="G224"/>
  <c r="C224"/>
  <c r="G223"/>
  <c r="F223"/>
  <c r="F222"/>
  <c r="F221"/>
  <c r="G215"/>
  <c r="G214"/>
  <c r="G213"/>
  <c r="G212"/>
  <c r="G211"/>
  <c r="G210"/>
  <c r="G209"/>
  <c r="G208"/>
  <c r="E208"/>
  <c r="G206"/>
  <c r="G203"/>
  <c r="G202"/>
  <c r="G201"/>
  <c r="E201"/>
  <c r="G200"/>
  <c r="G199"/>
  <c r="G197"/>
  <c r="G196"/>
  <c r="G194"/>
  <c r="G193"/>
  <c r="G192"/>
  <c r="G191"/>
  <c r="G189"/>
  <c r="G188"/>
  <c r="G182"/>
  <c r="G181"/>
  <c r="G179"/>
  <c r="G178"/>
  <c r="G176"/>
  <c r="G175"/>
  <c r="G174"/>
  <c r="G173"/>
  <c r="S171"/>
  <c r="G171"/>
  <c r="Q171" s="1"/>
  <c r="F171"/>
  <c r="G170"/>
  <c r="F170"/>
  <c r="E168"/>
  <c r="G168" s="1"/>
  <c r="G164"/>
  <c r="Q164" s="1"/>
  <c r="G163"/>
  <c r="G162"/>
  <c r="Q162" s="1"/>
  <c r="G158"/>
  <c r="G157"/>
  <c r="G155"/>
  <c r="G154"/>
  <c r="G152"/>
  <c r="G151"/>
  <c r="G148"/>
  <c r="G147"/>
  <c r="G146"/>
  <c r="G145"/>
  <c r="G144"/>
  <c r="G142"/>
  <c r="G141"/>
  <c r="G139"/>
  <c r="G138"/>
  <c r="G135"/>
  <c r="G134"/>
  <c r="G133"/>
  <c r="G132"/>
  <c r="G131"/>
  <c r="G129"/>
  <c r="G128"/>
  <c r="G126"/>
  <c r="G125"/>
  <c r="G124"/>
  <c r="G123"/>
  <c r="G121"/>
  <c r="G120"/>
  <c r="G119"/>
  <c r="G118"/>
  <c r="G117"/>
  <c r="G115"/>
  <c r="G114"/>
  <c r="G112"/>
  <c r="G111"/>
  <c r="G109"/>
  <c r="G108"/>
  <c r="G106"/>
  <c r="G105"/>
  <c r="S104"/>
  <c r="G104"/>
  <c r="Q104" s="1"/>
  <c r="F104"/>
  <c r="G103"/>
  <c r="F103"/>
  <c r="E102"/>
  <c r="E101"/>
  <c r="F101" s="1"/>
  <c r="G100"/>
  <c r="G99"/>
  <c r="G94"/>
  <c r="F94"/>
  <c r="G93"/>
  <c r="F93"/>
  <c r="E92"/>
  <c r="F92" s="1"/>
  <c r="G91"/>
  <c r="F91"/>
  <c r="G90"/>
  <c r="F90"/>
  <c r="E89"/>
  <c r="F89" s="1"/>
  <c r="F88"/>
  <c r="G88" s="1"/>
  <c r="E88"/>
  <c r="J87"/>
  <c r="G87"/>
  <c r="G86"/>
  <c r="F86"/>
  <c r="G85"/>
  <c r="F85"/>
  <c r="G83"/>
  <c r="F83"/>
  <c r="G82"/>
  <c r="F82"/>
  <c r="G80"/>
  <c r="F80"/>
  <c r="G79"/>
  <c r="F79"/>
  <c r="F78"/>
  <c r="G77"/>
  <c r="F77"/>
  <c r="G76"/>
  <c r="F76"/>
  <c r="G74"/>
  <c r="F74"/>
  <c r="G73"/>
  <c r="F73"/>
  <c r="G71"/>
  <c r="F71"/>
  <c r="G70"/>
  <c r="F70"/>
  <c r="G68"/>
  <c r="F68"/>
  <c r="G67"/>
  <c r="F67"/>
  <c r="G63"/>
  <c r="F63"/>
  <c r="G62"/>
  <c r="F62"/>
  <c r="G57"/>
  <c r="F57"/>
  <c r="G56"/>
  <c r="F56"/>
  <c r="S54"/>
  <c r="F54"/>
  <c r="G54" s="1"/>
  <c r="G53"/>
  <c r="F53"/>
  <c r="F52"/>
  <c r="G51"/>
  <c r="G49"/>
  <c r="Q49" s="1"/>
  <c r="G48"/>
  <c r="G47"/>
  <c r="G46"/>
  <c r="F46"/>
  <c r="G45"/>
  <c r="F45"/>
  <c r="F43"/>
  <c r="G43" s="1"/>
  <c r="G42"/>
  <c r="F42"/>
  <c r="G40"/>
  <c r="G38"/>
  <c r="G37"/>
  <c r="G36"/>
  <c r="G35"/>
  <c r="F35"/>
  <c r="G34"/>
  <c r="F34"/>
  <c r="G32"/>
  <c r="F32"/>
  <c r="G31"/>
  <c r="F31"/>
  <c r="F25"/>
  <c r="G25" s="1"/>
  <c r="G24"/>
  <c r="F24"/>
  <c r="S23"/>
  <c r="F23"/>
  <c r="G23" s="1"/>
  <c r="J22"/>
  <c r="Q22" s="1"/>
  <c r="G22"/>
  <c r="J21"/>
  <c r="G21"/>
  <c r="Q21" s="1"/>
  <c r="T20"/>
  <c r="S20"/>
  <c r="F20"/>
  <c r="G20" s="1"/>
  <c r="F19"/>
  <c r="G19" s="1"/>
  <c r="G17"/>
  <c r="G15"/>
  <c r="G14"/>
  <c r="G13"/>
  <c r="G12"/>
  <c r="F12"/>
  <c r="G11"/>
  <c r="F11"/>
  <c r="S8"/>
  <c r="G8"/>
  <c r="Q8" s="1"/>
  <c r="T8" s="1"/>
  <c r="F8"/>
  <c r="F7"/>
  <c r="G6"/>
  <c r="F6"/>
  <c r="G5"/>
  <c r="G4"/>
  <c r="G223" i="14"/>
  <c r="H30"/>
  <c r="J30" s="1"/>
  <c r="G325"/>
  <c r="G324"/>
  <c r="F324"/>
  <c r="E323"/>
  <c r="F323" s="1"/>
  <c r="D323"/>
  <c r="G332"/>
  <c r="G331"/>
  <c r="F331"/>
  <c r="E330"/>
  <c r="F330" s="1"/>
  <c r="D330"/>
  <c r="H329"/>
  <c r="J329" s="1"/>
  <c r="G329"/>
  <c r="G328"/>
  <c r="G327"/>
  <c r="F327"/>
  <c r="E326"/>
  <c r="F326" s="1"/>
  <c r="D326"/>
  <c r="G322"/>
  <c r="G321"/>
  <c r="F321"/>
  <c r="E320"/>
  <c r="F320" s="1"/>
  <c r="D320"/>
  <c r="G319"/>
  <c r="G318"/>
  <c r="G317"/>
  <c r="H316"/>
  <c r="H317" s="1"/>
  <c r="J317" s="1"/>
  <c r="G316"/>
  <c r="G335"/>
  <c r="G334"/>
  <c r="F334"/>
  <c r="E333"/>
  <c r="F333" s="1"/>
  <c r="D333"/>
  <c r="G268"/>
  <c r="F268"/>
  <c r="G267"/>
  <c r="F267"/>
  <c r="E266"/>
  <c r="F266" s="1"/>
  <c r="D266"/>
  <c r="G240"/>
  <c r="F240"/>
  <c r="G239"/>
  <c r="F239"/>
  <c r="E238"/>
  <c r="F238" s="1"/>
  <c r="G257"/>
  <c r="F257"/>
  <c r="G256"/>
  <c r="F256"/>
  <c r="E255"/>
  <c r="F255" s="1"/>
  <c r="D255"/>
  <c r="G237"/>
  <c r="F237"/>
  <c r="G236"/>
  <c r="F236"/>
  <c r="E235"/>
  <c r="F235" s="1"/>
  <c r="D235"/>
  <c r="G219"/>
  <c r="F219"/>
  <c r="G218"/>
  <c r="F218"/>
  <c r="E217"/>
  <c r="F217" s="1"/>
  <c r="D217"/>
  <c r="G251"/>
  <c r="F251"/>
  <c r="G250"/>
  <c r="F250"/>
  <c r="E249"/>
  <c r="F249" s="1"/>
  <c r="D249"/>
  <c r="G254"/>
  <c r="F254"/>
  <c r="G253"/>
  <c r="F253"/>
  <c r="E252"/>
  <c r="F252" s="1"/>
  <c r="D252"/>
  <c r="G308"/>
  <c r="F308"/>
  <c r="G307"/>
  <c r="F307"/>
  <c r="E306"/>
  <c r="F306" s="1"/>
  <c r="G286"/>
  <c r="F286"/>
  <c r="G285"/>
  <c r="F285"/>
  <c r="E284"/>
  <c r="F284" s="1"/>
  <c r="D284"/>
  <c r="G264"/>
  <c r="F264"/>
  <c r="G263"/>
  <c r="F263"/>
  <c r="E262"/>
  <c r="F262" s="1"/>
  <c r="D262"/>
  <c r="G261"/>
  <c r="G260"/>
  <c r="F260"/>
  <c r="G259"/>
  <c r="F259"/>
  <c r="E258"/>
  <c r="F258" s="1"/>
  <c r="D258"/>
  <c r="G283"/>
  <c r="Q283" s="1"/>
  <c r="F283"/>
  <c r="G282"/>
  <c r="F282"/>
  <c r="E281"/>
  <c r="F281" s="1"/>
  <c r="D281"/>
  <c r="E280"/>
  <c r="D280"/>
  <c r="G279"/>
  <c r="Q279" s="1"/>
  <c r="G278"/>
  <c r="G277"/>
  <c r="C277"/>
  <c r="G245"/>
  <c r="F245"/>
  <c r="G244"/>
  <c r="F244"/>
  <c r="E243"/>
  <c r="F243" s="1"/>
  <c r="D243"/>
  <c r="G242"/>
  <c r="G241"/>
  <c r="G248"/>
  <c r="F248"/>
  <c r="G247"/>
  <c r="F247"/>
  <c r="E246"/>
  <c r="F246" s="1"/>
  <c r="D246"/>
  <c r="G227"/>
  <c r="Q227" s="1"/>
  <c r="F227"/>
  <c r="G226"/>
  <c r="F226"/>
  <c r="G225"/>
  <c r="F225"/>
  <c r="G222"/>
  <c r="Q222" s="1"/>
  <c r="G221"/>
  <c r="G220"/>
  <c r="C220"/>
  <c r="S276"/>
  <c r="G276"/>
  <c r="Q276" s="1"/>
  <c r="F276"/>
  <c r="G275"/>
  <c r="F275"/>
  <c r="E274"/>
  <c r="F274" s="1"/>
  <c r="D274"/>
  <c r="G273"/>
  <c r="E272"/>
  <c r="D272"/>
  <c r="G271"/>
  <c r="Q271" s="1"/>
  <c r="G270"/>
  <c r="G269"/>
  <c r="C269"/>
  <c r="S234"/>
  <c r="G234"/>
  <c r="Q234" s="1"/>
  <c r="F234"/>
  <c r="F233"/>
  <c r="D233"/>
  <c r="G233" s="1"/>
  <c r="E232"/>
  <c r="F232" s="1"/>
  <c r="D232"/>
  <c r="E231"/>
  <c r="D231"/>
  <c r="G230"/>
  <c r="Q230" s="1"/>
  <c r="G229"/>
  <c r="G228"/>
  <c r="C228"/>
  <c r="S305"/>
  <c r="F305"/>
  <c r="G305" s="1"/>
  <c r="C305"/>
  <c r="F304"/>
  <c r="E304"/>
  <c r="S303"/>
  <c r="G303"/>
  <c r="Q303" s="1"/>
  <c r="F303"/>
  <c r="G302"/>
  <c r="F302"/>
  <c r="E301"/>
  <c r="F301" s="1"/>
  <c r="D301"/>
  <c r="G300"/>
  <c r="E299"/>
  <c r="D299"/>
  <c r="G298"/>
  <c r="Q298" s="1"/>
  <c r="G297"/>
  <c r="G296"/>
  <c r="C296"/>
  <c r="S295"/>
  <c r="G295"/>
  <c r="Q295" s="1"/>
  <c r="F295"/>
  <c r="G294"/>
  <c r="F294"/>
  <c r="E293"/>
  <c r="F293" s="1"/>
  <c r="D293"/>
  <c r="G292"/>
  <c r="E291"/>
  <c r="D291"/>
  <c r="G290"/>
  <c r="Q290" s="1"/>
  <c r="G289"/>
  <c r="G288"/>
  <c r="Q288" s="1"/>
  <c r="G131"/>
  <c r="G130"/>
  <c r="E129"/>
  <c r="G129" s="1"/>
  <c r="G128"/>
  <c r="G127"/>
  <c r="G211"/>
  <c r="G210"/>
  <c r="G209"/>
  <c r="G208"/>
  <c r="G207"/>
  <c r="G121"/>
  <c r="G120"/>
  <c r="G119"/>
  <c r="E118"/>
  <c r="D118"/>
  <c r="G117"/>
  <c r="G116"/>
  <c r="E115"/>
  <c r="D115"/>
  <c r="G144"/>
  <c r="G143"/>
  <c r="E142"/>
  <c r="D142"/>
  <c r="G114"/>
  <c r="G113"/>
  <c r="E112"/>
  <c r="D112"/>
  <c r="G173"/>
  <c r="G172"/>
  <c r="E171"/>
  <c r="D171"/>
  <c r="G202"/>
  <c r="G201"/>
  <c r="E200"/>
  <c r="D200"/>
  <c r="G199"/>
  <c r="G198"/>
  <c r="E197"/>
  <c r="G197" s="1"/>
  <c r="G134"/>
  <c r="G133"/>
  <c r="E132"/>
  <c r="D132"/>
  <c r="G196"/>
  <c r="G195"/>
  <c r="E194"/>
  <c r="D194"/>
  <c r="G193"/>
  <c r="D192"/>
  <c r="G192" s="1"/>
  <c r="E191"/>
  <c r="D191"/>
  <c r="G190"/>
  <c r="G189"/>
  <c r="G157"/>
  <c r="G156"/>
  <c r="E155"/>
  <c r="D155"/>
  <c r="G160"/>
  <c r="G159"/>
  <c r="E158"/>
  <c r="D158"/>
  <c r="G147"/>
  <c r="G146"/>
  <c r="E145"/>
  <c r="D145"/>
  <c r="G188"/>
  <c r="G187"/>
  <c r="E186"/>
  <c r="D186"/>
  <c r="G178"/>
  <c r="G177"/>
  <c r="E176"/>
  <c r="D176"/>
  <c r="G175"/>
  <c r="H174"/>
  <c r="J174" s="1"/>
  <c r="G174"/>
  <c r="G111"/>
  <c r="G110"/>
  <c r="E109"/>
  <c r="D109"/>
  <c r="G108"/>
  <c r="H107"/>
  <c r="J107" s="1"/>
  <c r="G107"/>
  <c r="G181"/>
  <c r="G180"/>
  <c r="E179"/>
  <c r="D179"/>
  <c r="G185"/>
  <c r="G184"/>
  <c r="E183"/>
  <c r="D183"/>
  <c r="G206"/>
  <c r="G205"/>
  <c r="E204"/>
  <c r="G204" s="1"/>
  <c r="G154"/>
  <c r="G153"/>
  <c r="E152"/>
  <c r="D152"/>
  <c r="E151"/>
  <c r="D151"/>
  <c r="G150"/>
  <c r="G149"/>
  <c r="H148"/>
  <c r="J148" s="1"/>
  <c r="G148"/>
  <c r="G141"/>
  <c r="G140"/>
  <c r="E139"/>
  <c r="D139"/>
  <c r="E138"/>
  <c r="D138"/>
  <c r="G137"/>
  <c r="G136"/>
  <c r="H135"/>
  <c r="J135" s="1"/>
  <c r="G135"/>
  <c r="G126"/>
  <c r="G125"/>
  <c r="E124"/>
  <c r="D124"/>
  <c r="G123"/>
  <c r="H122"/>
  <c r="J122" s="1"/>
  <c r="G122"/>
  <c r="S170"/>
  <c r="G170"/>
  <c r="Q170" s="1"/>
  <c r="F170"/>
  <c r="G169"/>
  <c r="F169"/>
  <c r="E168"/>
  <c r="F168" s="1"/>
  <c r="D168"/>
  <c r="E167"/>
  <c r="G167" s="1"/>
  <c r="E164"/>
  <c r="D164"/>
  <c r="G163"/>
  <c r="Q163" s="1"/>
  <c r="G162"/>
  <c r="H161"/>
  <c r="J161" s="1"/>
  <c r="G161"/>
  <c r="S106"/>
  <c r="G106"/>
  <c r="Q106" s="1"/>
  <c r="F106"/>
  <c r="F105"/>
  <c r="D105"/>
  <c r="G105" s="1"/>
  <c r="E104"/>
  <c r="F104" s="1"/>
  <c r="E103"/>
  <c r="F103" s="1"/>
  <c r="G102"/>
  <c r="H101"/>
  <c r="J101" s="1"/>
  <c r="G101"/>
  <c r="F48"/>
  <c r="G48" s="1"/>
  <c r="G47"/>
  <c r="F47"/>
  <c r="E46"/>
  <c r="F46" s="1"/>
  <c r="D46"/>
  <c r="G45"/>
  <c r="E44"/>
  <c r="D44"/>
  <c r="G43"/>
  <c r="G42"/>
  <c r="G41"/>
  <c r="G76"/>
  <c r="F76"/>
  <c r="G75"/>
  <c r="F75"/>
  <c r="E74"/>
  <c r="F74" s="1"/>
  <c r="D74"/>
  <c r="G62"/>
  <c r="F62"/>
  <c r="G61"/>
  <c r="F61"/>
  <c r="E60"/>
  <c r="F60" s="1"/>
  <c r="D60"/>
  <c r="G85"/>
  <c r="F85"/>
  <c r="G84"/>
  <c r="F84"/>
  <c r="E83"/>
  <c r="F83" s="1"/>
  <c r="D83"/>
  <c r="G82"/>
  <c r="F82"/>
  <c r="G81"/>
  <c r="F81"/>
  <c r="E80"/>
  <c r="F80" s="1"/>
  <c r="D80"/>
  <c r="G79"/>
  <c r="F79"/>
  <c r="G78"/>
  <c r="F78"/>
  <c r="E77"/>
  <c r="F77" s="1"/>
  <c r="D77"/>
  <c r="G37"/>
  <c r="F37"/>
  <c r="G36"/>
  <c r="F36"/>
  <c r="E35"/>
  <c r="F35" s="1"/>
  <c r="D35"/>
  <c r="G51"/>
  <c r="F51"/>
  <c r="G50"/>
  <c r="F50"/>
  <c r="E49"/>
  <c r="F49" s="1"/>
  <c r="D49"/>
  <c r="G96"/>
  <c r="F96"/>
  <c r="G95"/>
  <c r="F95"/>
  <c r="E94"/>
  <c r="F94" s="1"/>
  <c r="G65"/>
  <c r="F65"/>
  <c r="G64"/>
  <c r="F64"/>
  <c r="E63"/>
  <c r="F63" s="1"/>
  <c r="D63"/>
  <c r="G40"/>
  <c r="F40"/>
  <c r="G39"/>
  <c r="F39"/>
  <c r="E38"/>
  <c r="F38" s="1"/>
  <c r="D38"/>
  <c r="G70"/>
  <c r="F70"/>
  <c r="G69"/>
  <c r="F69"/>
  <c r="E68"/>
  <c r="F68" s="1"/>
  <c r="D68"/>
  <c r="G67"/>
  <c r="G66"/>
  <c r="G93"/>
  <c r="F93"/>
  <c r="G92"/>
  <c r="F92"/>
  <c r="E91"/>
  <c r="F91" s="1"/>
  <c r="F90"/>
  <c r="E90"/>
  <c r="J89"/>
  <c r="G89"/>
  <c r="G73"/>
  <c r="F73"/>
  <c r="G72"/>
  <c r="F72"/>
  <c r="E71"/>
  <c r="F71" s="1"/>
  <c r="D71"/>
  <c r="G88"/>
  <c r="F88"/>
  <c r="G87"/>
  <c r="F87"/>
  <c r="E86"/>
  <c r="F86" s="1"/>
  <c r="D86"/>
  <c r="S59"/>
  <c r="F59"/>
  <c r="G59" s="1"/>
  <c r="Q59" s="1"/>
  <c r="G58"/>
  <c r="F58"/>
  <c r="E57"/>
  <c r="F57" s="1"/>
  <c r="D57"/>
  <c r="G56"/>
  <c r="E55"/>
  <c r="D55"/>
  <c r="G54"/>
  <c r="Q54" s="1"/>
  <c r="G53"/>
  <c r="G52"/>
  <c r="S34"/>
  <c r="G34"/>
  <c r="Q34" s="1"/>
  <c r="F34"/>
  <c r="G33"/>
  <c r="F33"/>
  <c r="F32"/>
  <c r="G32" s="1"/>
  <c r="G31"/>
  <c r="G30"/>
  <c r="G12"/>
  <c r="F12"/>
  <c r="G11"/>
  <c r="F11"/>
  <c r="E10"/>
  <c r="D10"/>
  <c r="F25"/>
  <c r="G25" s="1"/>
  <c r="F24"/>
  <c r="G24" s="1"/>
  <c r="S23"/>
  <c r="F23"/>
  <c r="G23" s="1"/>
  <c r="Q23" s="1"/>
  <c r="J22"/>
  <c r="G22"/>
  <c r="J21"/>
  <c r="G21"/>
  <c r="T20"/>
  <c r="S20"/>
  <c r="F20"/>
  <c r="G20" s="1"/>
  <c r="F19"/>
  <c r="G19" s="1"/>
  <c r="E18"/>
  <c r="F18" s="1"/>
  <c r="D18"/>
  <c r="G17"/>
  <c r="E16"/>
  <c r="D16"/>
  <c r="G15"/>
  <c r="G14"/>
  <c r="G13"/>
  <c r="S8"/>
  <c r="G8"/>
  <c r="Q8" s="1"/>
  <c r="T8" s="1"/>
  <c r="F8"/>
  <c r="G7"/>
  <c r="F7"/>
  <c r="G6"/>
  <c r="F6"/>
  <c r="G5"/>
  <c r="G4"/>
  <c r="G324" i="13"/>
  <c r="G323"/>
  <c r="F323"/>
  <c r="E322"/>
  <c r="G321"/>
  <c r="G320"/>
  <c r="F320"/>
  <c r="G319"/>
  <c r="F319"/>
  <c r="E319"/>
  <c r="G318"/>
  <c r="G317"/>
  <c r="G316"/>
  <c r="F316"/>
  <c r="E315"/>
  <c r="G315" s="1"/>
  <c r="L315" s="1"/>
  <c r="G314"/>
  <c r="G313"/>
  <c r="F313"/>
  <c r="G312"/>
  <c r="E312"/>
  <c r="F312" s="1"/>
  <c r="G311"/>
  <c r="G310"/>
  <c r="G309"/>
  <c r="L308" s="1"/>
  <c r="G308"/>
  <c r="G307"/>
  <c r="G306"/>
  <c r="F306"/>
  <c r="G305"/>
  <c r="L305" s="1"/>
  <c r="F305"/>
  <c r="E305"/>
  <c r="G298"/>
  <c r="F298"/>
  <c r="G297"/>
  <c r="F297"/>
  <c r="G296"/>
  <c r="L296" s="1"/>
  <c r="F296"/>
  <c r="E296"/>
  <c r="G295"/>
  <c r="F295"/>
  <c r="G294"/>
  <c r="F294"/>
  <c r="F293"/>
  <c r="E293"/>
  <c r="G293" s="1"/>
  <c r="L293" s="1"/>
  <c r="G292"/>
  <c r="F292"/>
  <c r="G291"/>
  <c r="F291"/>
  <c r="E290"/>
  <c r="G289"/>
  <c r="F289"/>
  <c r="G288"/>
  <c r="F288"/>
  <c r="G287"/>
  <c r="L287" s="1"/>
  <c r="F287"/>
  <c r="E287"/>
  <c r="G286"/>
  <c r="F286"/>
  <c r="G285"/>
  <c r="F285"/>
  <c r="G284"/>
  <c r="L284" s="1"/>
  <c r="F284"/>
  <c r="E284"/>
  <c r="G282"/>
  <c r="F282"/>
  <c r="G281"/>
  <c r="F281"/>
  <c r="E280"/>
  <c r="G278"/>
  <c r="F278"/>
  <c r="G277"/>
  <c r="F277"/>
  <c r="F276"/>
  <c r="E276"/>
  <c r="G276" s="1"/>
  <c r="G274"/>
  <c r="F274"/>
  <c r="G273"/>
  <c r="F273"/>
  <c r="E272"/>
  <c r="G271"/>
  <c r="G270"/>
  <c r="F270"/>
  <c r="G269"/>
  <c r="F269"/>
  <c r="E268"/>
  <c r="G267"/>
  <c r="Q267" s="1"/>
  <c r="F267"/>
  <c r="G266"/>
  <c r="F266"/>
  <c r="G265"/>
  <c r="F265"/>
  <c r="E265"/>
  <c r="G264"/>
  <c r="Q263"/>
  <c r="G263"/>
  <c r="F262"/>
  <c r="E262"/>
  <c r="G262" s="1"/>
  <c r="G261"/>
  <c r="C261"/>
  <c r="G260"/>
  <c r="F260"/>
  <c r="G259"/>
  <c r="F259"/>
  <c r="F258"/>
  <c r="E258"/>
  <c r="G258" s="1"/>
  <c r="G257"/>
  <c r="G256"/>
  <c r="G255"/>
  <c r="F255"/>
  <c r="G254"/>
  <c r="F254"/>
  <c r="G253"/>
  <c r="L253" s="1"/>
  <c r="F253"/>
  <c r="E253"/>
  <c r="G252"/>
  <c r="Q252" s="1"/>
  <c r="F252"/>
  <c r="G251"/>
  <c r="F251"/>
  <c r="F250"/>
  <c r="E250"/>
  <c r="G250" s="1"/>
  <c r="G248"/>
  <c r="G247"/>
  <c r="Q247" s="1"/>
  <c r="G246"/>
  <c r="L245" s="1"/>
  <c r="G245"/>
  <c r="C245"/>
  <c r="Q245" s="1"/>
  <c r="S244"/>
  <c r="Q244"/>
  <c r="G244"/>
  <c r="F244"/>
  <c r="G243"/>
  <c r="F243"/>
  <c r="E242"/>
  <c r="G242" s="1"/>
  <c r="G241"/>
  <c r="G240"/>
  <c r="G239"/>
  <c r="Q239" s="1"/>
  <c r="G238"/>
  <c r="G237"/>
  <c r="C237"/>
  <c r="Q237" s="1"/>
  <c r="S236"/>
  <c r="G236"/>
  <c r="Q236" s="1"/>
  <c r="F236"/>
  <c r="G235"/>
  <c r="F235"/>
  <c r="F234"/>
  <c r="G234" s="1"/>
  <c r="E234"/>
  <c r="G233"/>
  <c r="G232"/>
  <c r="Q232" s="1"/>
  <c r="G231"/>
  <c r="G230"/>
  <c r="C230"/>
  <c r="Q230" s="1"/>
  <c r="S229"/>
  <c r="G229"/>
  <c r="F229"/>
  <c r="C229"/>
  <c r="Q229" s="1"/>
  <c r="T229" s="1"/>
  <c r="G228"/>
  <c r="L229" s="1"/>
  <c r="F228"/>
  <c r="E228"/>
  <c r="S227"/>
  <c r="Q227"/>
  <c r="G227"/>
  <c r="F227"/>
  <c r="G226"/>
  <c r="F226"/>
  <c r="E225"/>
  <c r="G225" s="1"/>
  <c r="G224"/>
  <c r="G223"/>
  <c r="G222"/>
  <c r="Q222" s="1"/>
  <c r="T227" s="1"/>
  <c r="G221"/>
  <c r="G220"/>
  <c r="C220"/>
  <c r="Q220" s="1"/>
  <c r="S219"/>
  <c r="Q219"/>
  <c r="G219"/>
  <c r="F219"/>
  <c r="G218"/>
  <c r="F218"/>
  <c r="F217"/>
  <c r="E217"/>
  <c r="G217" s="1"/>
  <c r="G216"/>
  <c r="G215"/>
  <c r="Q214"/>
  <c r="G214"/>
  <c r="G213"/>
  <c r="G212"/>
  <c r="Q212" s="1"/>
  <c r="T219" s="1"/>
  <c r="G206"/>
  <c r="G205"/>
  <c r="E204"/>
  <c r="G204" s="1"/>
  <c r="G203"/>
  <c r="L202" s="1"/>
  <c r="G202"/>
  <c r="G201"/>
  <c r="G200"/>
  <c r="G199"/>
  <c r="E198"/>
  <c r="G198" s="1"/>
  <c r="G197"/>
  <c r="G196"/>
  <c r="G195"/>
  <c r="L195" s="1"/>
  <c r="E195"/>
  <c r="G194"/>
  <c r="G193"/>
  <c r="L192"/>
  <c r="G192"/>
  <c r="E192"/>
  <c r="G191"/>
  <c r="G190"/>
  <c r="L189" s="1"/>
  <c r="G189"/>
  <c r="E189"/>
  <c r="G188"/>
  <c r="G187"/>
  <c r="E186"/>
  <c r="G186" s="1"/>
  <c r="G185"/>
  <c r="G184"/>
  <c r="E183"/>
  <c r="G183" s="1"/>
  <c r="L183" s="1"/>
  <c r="G182"/>
  <c r="G181"/>
  <c r="E180"/>
  <c r="G180" s="1"/>
  <c r="L180" s="1"/>
  <c r="G179"/>
  <c r="G178"/>
  <c r="E177"/>
  <c r="G177" s="1"/>
  <c r="G176"/>
  <c r="G175"/>
  <c r="E174"/>
  <c r="G174" s="1"/>
  <c r="L174" s="1"/>
  <c r="G173"/>
  <c r="D173"/>
  <c r="D172"/>
  <c r="G172" s="1"/>
  <c r="E171"/>
  <c r="G171" s="1"/>
  <c r="D171"/>
  <c r="G170"/>
  <c r="G169"/>
  <c r="G168"/>
  <c r="G167"/>
  <c r="E166"/>
  <c r="G166" s="1"/>
  <c r="L166" s="1"/>
  <c r="G165"/>
  <c r="G164"/>
  <c r="E163"/>
  <c r="G163" s="1"/>
  <c r="L163" s="1"/>
  <c r="G162"/>
  <c r="G161"/>
  <c r="E160"/>
  <c r="G160" s="1"/>
  <c r="G159"/>
  <c r="G158"/>
  <c r="G157"/>
  <c r="E157"/>
  <c r="G156"/>
  <c r="G155"/>
  <c r="G154"/>
  <c r="E154"/>
  <c r="G153"/>
  <c r="G152"/>
  <c r="L152" s="1"/>
  <c r="G151"/>
  <c r="G150"/>
  <c r="E149"/>
  <c r="G149" s="1"/>
  <c r="G148"/>
  <c r="G147"/>
  <c r="G146"/>
  <c r="G145"/>
  <c r="E144"/>
  <c r="G144" s="1"/>
  <c r="L144" s="1"/>
  <c r="G143"/>
  <c r="G142"/>
  <c r="E141"/>
  <c r="G141" s="1"/>
  <c r="L140" s="1"/>
  <c r="G139"/>
  <c r="G138"/>
  <c r="E137"/>
  <c r="G137" s="1"/>
  <c r="L136" s="1"/>
  <c r="Q136" s="1"/>
  <c r="G135"/>
  <c r="G134"/>
  <c r="E133"/>
  <c r="G133" s="1"/>
  <c r="G132"/>
  <c r="G131"/>
  <c r="G130"/>
  <c r="G129"/>
  <c r="G128"/>
  <c r="G127"/>
  <c r="E126"/>
  <c r="G126" s="1"/>
  <c r="E125"/>
  <c r="G125" s="1"/>
  <c r="G124"/>
  <c r="G123"/>
  <c r="G122"/>
  <c r="G121"/>
  <c r="G120"/>
  <c r="G119"/>
  <c r="E119"/>
  <c r="F118"/>
  <c r="G118" s="1"/>
  <c r="E118"/>
  <c r="G117"/>
  <c r="S116"/>
  <c r="G116"/>
  <c r="Q116" s="1"/>
  <c r="F116"/>
  <c r="G115"/>
  <c r="F115"/>
  <c r="G114"/>
  <c r="F114"/>
  <c r="E114"/>
  <c r="D114"/>
  <c r="E113"/>
  <c r="G113" s="1"/>
  <c r="G110"/>
  <c r="G109"/>
  <c r="Q109" s="1"/>
  <c r="G108"/>
  <c r="G107"/>
  <c r="Q107" s="1"/>
  <c r="S106"/>
  <c r="G106"/>
  <c r="Q106" s="1"/>
  <c r="F106"/>
  <c r="F105"/>
  <c r="D105"/>
  <c r="G105" s="1"/>
  <c r="E104"/>
  <c r="G103"/>
  <c r="F103"/>
  <c r="E103"/>
  <c r="G102"/>
  <c r="Q101"/>
  <c r="T106" s="1"/>
  <c r="G101"/>
  <c r="F96"/>
  <c r="G96" s="1"/>
  <c r="G95"/>
  <c r="F95"/>
  <c r="F94"/>
  <c r="E94"/>
  <c r="G94" s="1"/>
  <c r="G93"/>
  <c r="E92"/>
  <c r="G92" s="1"/>
  <c r="G91"/>
  <c r="G90"/>
  <c r="G89"/>
  <c r="G88"/>
  <c r="F88"/>
  <c r="G87"/>
  <c r="F87"/>
  <c r="F86"/>
  <c r="E86"/>
  <c r="G86" s="1"/>
  <c r="G85"/>
  <c r="F85"/>
  <c r="G84"/>
  <c r="F84"/>
  <c r="E83"/>
  <c r="G82"/>
  <c r="F82"/>
  <c r="G81"/>
  <c r="F81"/>
  <c r="F80"/>
  <c r="E80"/>
  <c r="G80" s="1"/>
  <c r="G79"/>
  <c r="F79"/>
  <c r="G78"/>
  <c r="F78"/>
  <c r="E77"/>
  <c r="G76"/>
  <c r="F76"/>
  <c r="G75"/>
  <c r="F75"/>
  <c r="F74"/>
  <c r="E74"/>
  <c r="G74" s="1"/>
  <c r="G73"/>
  <c r="F73"/>
  <c r="G72"/>
  <c r="F72"/>
  <c r="E71"/>
  <c r="G70"/>
  <c r="F70"/>
  <c r="G69"/>
  <c r="F69"/>
  <c r="F68"/>
  <c r="E68"/>
  <c r="G68" s="1"/>
  <c r="G67"/>
  <c r="F67"/>
  <c r="G66"/>
  <c r="F66"/>
  <c r="E65"/>
  <c r="G64"/>
  <c r="F64"/>
  <c r="G63"/>
  <c r="F63"/>
  <c r="F62"/>
  <c r="E62"/>
  <c r="G62" s="1"/>
  <c r="G61"/>
  <c r="F61"/>
  <c r="G60"/>
  <c r="F60"/>
  <c r="E59"/>
  <c r="G58"/>
  <c r="F58"/>
  <c r="G57"/>
  <c r="F57"/>
  <c r="E56"/>
  <c r="G56" s="1"/>
  <c r="L54" s="1"/>
  <c r="G55"/>
  <c r="G54"/>
  <c r="G53"/>
  <c r="F53"/>
  <c r="G52"/>
  <c r="F52"/>
  <c r="G51"/>
  <c r="E51"/>
  <c r="F51" s="1"/>
  <c r="F50"/>
  <c r="E50"/>
  <c r="J49"/>
  <c r="G49"/>
  <c r="G48"/>
  <c r="F48"/>
  <c r="G47"/>
  <c r="F47"/>
  <c r="E46"/>
  <c r="G46" s="1"/>
  <c r="G45"/>
  <c r="F45"/>
  <c r="G44"/>
  <c r="F44"/>
  <c r="E43"/>
  <c r="G43" s="1"/>
  <c r="S42"/>
  <c r="G42"/>
  <c r="Q42" s="1"/>
  <c r="F42"/>
  <c r="G41"/>
  <c r="F41"/>
  <c r="G40"/>
  <c r="E40"/>
  <c r="F40" s="1"/>
  <c r="G39"/>
  <c r="G38"/>
  <c r="E38"/>
  <c r="Q37"/>
  <c r="G37"/>
  <c r="G36"/>
  <c r="G35"/>
  <c r="Q35" s="1"/>
  <c r="T42" s="1"/>
  <c r="S34"/>
  <c r="G34"/>
  <c r="Q34" s="1"/>
  <c r="F34"/>
  <c r="G33"/>
  <c r="F33"/>
  <c r="F32"/>
  <c r="G32" s="1"/>
  <c r="G31"/>
  <c r="Q30"/>
  <c r="T34" s="1"/>
  <c r="G30"/>
  <c r="G26"/>
  <c r="F26"/>
  <c r="G25"/>
  <c r="F25"/>
  <c r="E24"/>
  <c r="G24" s="1"/>
  <c r="L23" s="1"/>
  <c r="U23" s="1"/>
  <c r="F21"/>
  <c r="G21" s="1"/>
  <c r="G20"/>
  <c r="F20"/>
  <c r="S19"/>
  <c r="F19"/>
  <c r="G19" s="1"/>
  <c r="Q19" s="1"/>
  <c r="J18"/>
  <c r="Q18" s="1"/>
  <c r="G18"/>
  <c r="J17"/>
  <c r="G17"/>
  <c r="T16"/>
  <c r="S16"/>
  <c r="F16"/>
  <c r="G16" s="1"/>
  <c r="G15"/>
  <c r="E14"/>
  <c r="G13"/>
  <c r="F12"/>
  <c r="E12"/>
  <c r="G11"/>
  <c r="G10"/>
  <c r="G9"/>
  <c r="S8"/>
  <c r="Q8"/>
  <c r="T8" s="1"/>
  <c r="G8"/>
  <c r="F8"/>
  <c r="G7"/>
  <c r="R6" s="1"/>
  <c r="F7"/>
  <c r="G6"/>
  <c r="F6"/>
  <c r="G5"/>
  <c r="G4"/>
  <c r="G311" i="12"/>
  <c r="G310"/>
  <c r="F310"/>
  <c r="F309"/>
  <c r="E309"/>
  <c r="G309" s="1"/>
  <c r="G308"/>
  <c r="J307"/>
  <c r="G307"/>
  <c r="F307"/>
  <c r="J306"/>
  <c r="F306"/>
  <c r="E306"/>
  <c r="G306" s="1"/>
  <c r="J305"/>
  <c r="G305"/>
  <c r="G304"/>
  <c r="G303"/>
  <c r="F303"/>
  <c r="G302"/>
  <c r="F302"/>
  <c r="E302"/>
  <c r="G301"/>
  <c r="G300"/>
  <c r="F300"/>
  <c r="J299"/>
  <c r="E299"/>
  <c r="F299" s="1"/>
  <c r="J298"/>
  <c r="G298"/>
  <c r="J297"/>
  <c r="G297"/>
  <c r="G296"/>
  <c r="G295"/>
  <c r="G294"/>
  <c r="G293"/>
  <c r="F293"/>
  <c r="G292"/>
  <c r="L292" s="1"/>
  <c r="E292"/>
  <c r="F292" s="1"/>
  <c r="G285"/>
  <c r="F285"/>
  <c r="G284"/>
  <c r="F284"/>
  <c r="E283"/>
  <c r="G282"/>
  <c r="F282"/>
  <c r="G281"/>
  <c r="F281"/>
  <c r="G280"/>
  <c r="L280" s="1"/>
  <c r="E280"/>
  <c r="F280" s="1"/>
  <c r="G279"/>
  <c r="F279"/>
  <c r="G278"/>
  <c r="F278"/>
  <c r="E277"/>
  <c r="G276"/>
  <c r="F276"/>
  <c r="G275"/>
  <c r="F275"/>
  <c r="G274"/>
  <c r="L274" s="1"/>
  <c r="E274"/>
  <c r="F274" s="1"/>
  <c r="G272"/>
  <c r="F272"/>
  <c r="G271"/>
  <c r="F271"/>
  <c r="F270"/>
  <c r="E270"/>
  <c r="G270" s="1"/>
  <c r="G268"/>
  <c r="F268"/>
  <c r="G267"/>
  <c r="F267"/>
  <c r="E266"/>
  <c r="G264"/>
  <c r="F264"/>
  <c r="G263"/>
  <c r="F263"/>
  <c r="G262"/>
  <c r="L262" s="1"/>
  <c r="F262"/>
  <c r="E262"/>
  <c r="G261"/>
  <c r="G260"/>
  <c r="F260"/>
  <c r="G259"/>
  <c r="F259"/>
  <c r="G258"/>
  <c r="L258" s="1"/>
  <c r="E258"/>
  <c r="F258" s="1"/>
  <c r="G257"/>
  <c r="Q257" s="1"/>
  <c r="F257"/>
  <c r="G256"/>
  <c r="F256"/>
  <c r="E255"/>
  <c r="E254"/>
  <c r="G254" s="1"/>
  <c r="J253"/>
  <c r="G253"/>
  <c r="F252"/>
  <c r="G252" s="1"/>
  <c r="E252"/>
  <c r="J251"/>
  <c r="G251"/>
  <c r="C251"/>
  <c r="Q251" s="1"/>
  <c r="G250"/>
  <c r="F250"/>
  <c r="G249"/>
  <c r="F249"/>
  <c r="G248"/>
  <c r="E248"/>
  <c r="F248" s="1"/>
  <c r="F247"/>
  <c r="E247"/>
  <c r="G246"/>
  <c r="G245"/>
  <c r="F245"/>
  <c r="G244"/>
  <c r="F244"/>
  <c r="E243"/>
  <c r="F243" s="1"/>
  <c r="G242"/>
  <c r="Q242" s="1"/>
  <c r="F242"/>
  <c r="G241"/>
  <c r="F241"/>
  <c r="E240"/>
  <c r="F240" s="1"/>
  <c r="G238"/>
  <c r="J237"/>
  <c r="G237"/>
  <c r="Q237" s="1"/>
  <c r="G236"/>
  <c r="J235"/>
  <c r="G235"/>
  <c r="C235"/>
  <c r="Q235" s="1"/>
  <c r="S234"/>
  <c r="Q234"/>
  <c r="G234"/>
  <c r="F234"/>
  <c r="G233"/>
  <c r="F233"/>
  <c r="E232"/>
  <c r="F232" s="1"/>
  <c r="G231"/>
  <c r="G230"/>
  <c r="J229"/>
  <c r="G229"/>
  <c r="G228"/>
  <c r="J227"/>
  <c r="G227"/>
  <c r="C227"/>
  <c r="S226"/>
  <c r="G226"/>
  <c r="Q226" s="1"/>
  <c r="F226"/>
  <c r="G225"/>
  <c r="F225"/>
  <c r="E224"/>
  <c r="F224" s="1"/>
  <c r="G223"/>
  <c r="J222"/>
  <c r="G222"/>
  <c r="Q222" s="1"/>
  <c r="G221"/>
  <c r="J220"/>
  <c r="G220"/>
  <c r="C220"/>
  <c r="Q220" s="1"/>
  <c r="S219"/>
  <c r="G219"/>
  <c r="F219"/>
  <c r="C219"/>
  <c r="Q219" s="1"/>
  <c r="T219" s="1"/>
  <c r="F218"/>
  <c r="G218" s="1"/>
  <c r="E218"/>
  <c r="S217"/>
  <c r="G217"/>
  <c r="Q217" s="1"/>
  <c r="F217"/>
  <c r="G216"/>
  <c r="F216"/>
  <c r="E215"/>
  <c r="F215" s="1"/>
  <c r="G214"/>
  <c r="G213"/>
  <c r="J212"/>
  <c r="G212"/>
  <c r="G211"/>
  <c r="J210"/>
  <c r="G210"/>
  <c r="C210"/>
  <c r="Q210" s="1"/>
  <c r="S209"/>
  <c r="G209"/>
  <c r="Q209" s="1"/>
  <c r="F209"/>
  <c r="G208"/>
  <c r="F208"/>
  <c r="E207"/>
  <c r="F207" s="1"/>
  <c r="G206"/>
  <c r="G205"/>
  <c r="J204"/>
  <c r="Q204" s="1"/>
  <c r="G204"/>
  <c r="G203"/>
  <c r="Q202"/>
  <c r="T209" s="1"/>
  <c r="J202"/>
  <c r="G202"/>
  <c r="G196"/>
  <c r="G195"/>
  <c r="E194"/>
  <c r="G194" s="1"/>
  <c r="F193"/>
  <c r="G193" s="1"/>
  <c r="G192"/>
  <c r="G191"/>
  <c r="G190"/>
  <c r="G189"/>
  <c r="E188"/>
  <c r="G188" s="1"/>
  <c r="G187"/>
  <c r="G186"/>
  <c r="E185"/>
  <c r="G185" s="1"/>
  <c r="L185" s="1"/>
  <c r="G184"/>
  <c r="G183"/>
  <c r="E182"/>
  <c r="G182" s="1"/>
  <c r="G181"/>
  <c r="G180"/>
  <c r="E179"/>
  <c r="G179" s="1"/>
  <c r="G178"/>
  <c r="G177"/>
  <c r="E176"/>
  <c r="G176" s="1"/>
  <c r="G175"/>
  <c r="G174"/>
  <c r="G173"/>
  <c r="L173" s="1"/>
  <c r="E173"/>
  <c r="G172"/>
  <c r="G171"/>
  <c r="E170"/>
  <c r="G170" s="1"/>
  <c r="L170" s="1"/>
  <c r="G169"/>
  <c r="G168"/>
  <c r="E167"/>
  <c r="G167" s="1"/>
  <c r="G166"/>
  <c r="G165"/>
  <c r="E164"/>
  <c r="G164" s="1"/>
  <c r="G163"/>
  <c r="G162"/>
  <c r="G161"/>
  <c r="E161"/>
  <c r="G160"/>
  <c r="G159"/>
  <c r="E158"/>
  <c r="G158" s="1"/>
  <c r="G157"/>
  <c r="G156"/>
  <c r="E155"/>
  <c r="G155" s="1"/>
  <c r="L155" s="1"/>
  <c r="G154"/>
  <c r="G153"/>
  <c r="E152"/>
  <c r="G152" s="1"/>
  <c r="G151"/>
  <c r="G150"/>
  <c r="G149"/>
  <c r="E149"/>
  <c r="G148"/>
  <c r="G147"/>
  <c r="G146"/>
  <c r="E146"/>
  <c r="F145"/>
  <c r="G145" s="1"/>
  <c r="L144" s="1"/>
  <c r="J144"/>
  <c r="G144"/>
  <c r="G143"/>
  <c r="G142"/>
  <c r="E141"/>
  <c r="G141" s="1"/>
  <c r="F140"/>
  <c r="G140" s="1"/>
  <c r="J139"/>
  <c r="G139"/>
  <c r="G138"/>
  <c r="G137"/>
  <c r="E136"/>
  <c r="G136" s="1"/>
  <c r="G135"/>
  <c r="G134"/>
  <c r="E133"/>
  <c r="G133" s="1"/>
  <c r="G131"/>
  <c r="G130"/>
  <c r="G129"/>
  <c r="E129"/>
  <c r="G127"/>
  <c r="G126"/>
  <c r="E125"/>
  <c r="G125" s="1"/>
  <c r="G124"/>
  <c r="G123"/>
  <c r="G122"/>
  <c r="J121"/>
  <c r="G121"/>
  <c r="G120"/>
  <c r="G119"/>
  <c r="G118"/>
  <c r="E118"/>
  <c r="E117"/>
  <c r="G117" s="1"/>
  <c r="G116"/>
  <c r="F115"/>
  <c r="E115"/>
  <c r="J114"/>
  <c r="G114"/>
  <c r="G113"/>
  <c r="G112"/>
  <c r="E111"/>
  <c r="G111" s="1"/>
  <c r="F110"/>
  <c r="G110" s="1"/>
  <c r="E110"/>
  <c r="J109"/>
  <c r="G109"/>
  <c r="S108"/>
  <c r="G108"/>
  <c r="Q108" s="1"/>
  <c r="F108"/>
  <c r="G107"/>
  <c r="F107"/>
  <c r="G106"/>
  <c r="E106"/>
  <c r="F106" s="1"/>
  <c r="E105"/>
  <c r="G105" s="1"/>
  <c r="E102"/>
  <c r="G102" s="1"/>
  <c r="G101"/>
  <c r="Q101" s="1"/>
  <c r="E100"/>
  <c r="G100" s="1"/>
  <c r="J99"/>
  <c r="G99"/>
  <c r="Q99" s="1"/>
  <c r="S98"/>
  <c r="G98"/>
  <c r="Q98" s="1"/>
  <c r="F98"/>
  <c r="G97"/>
  <c r="F97"/>
  <c r="E96"/>
  <c r="F96" s="1"/>
  <c r="E95"/>
  <c r="G94"/>
  <c r="F94"/>
  <c r="E94"/>
  <c r="G93"/>
  <c r="Q93" s="1"/>
  <c r="T98" s="1"/>
  <c r="G88"/>
  <c r="F88"/>
  <c r="G87"/>
  <c r="F87"/>
  <c r="G86"/>
  <c r="E86"/>
  <c r="F86" s="1"/>
  <c r="G85"/>
  <c r="F85"/>
  <c r="G84"/>
  <c r="F84"/>
  <c r="E83"/>
  <c r="G82"/>
  <c r="F82"/>
  <c r="G81"/>
  <c r="F81"/>
  <c r="G80"/>
  <c r="E80"/>
  <c r="F80" s="1"/>
  <c r="G79"/>
  <c r="F79"/>
  <c r="G78"/>
  <c r="F78"/>
  <c r="E77"/>
  <c r="G76"/>
  <c r="F76"/>
  <c r="G75"/>
  <c r="F75"/>
  <c r="G74"/>
  <c r="E74"/>
  <c r="F74" s="1"/>
  <c r="G73"/>
  <c r="F73"/>
  <c r="G72"/>
  <c r="F72"/>
  <c r="E71"/>
  <c r="G70"/>
  <c r="F70"/>
  <c r="G69"/>
  <c r="F69"/>
  <c r="G68"/>
  <c r="E68"/>
  <c r="F68" s="1"/>
  <c r="G67"/>
  <c r="F67"/>
  <c r="G66"/>
  <c r="F66"/>
  <c r="E65"/>
  <c r="G64"/>
  <c r="F64"/>
  <c r="G63"/>
  <c r="F63"/>
  <c r="G62"/>
  <c r="E62"/>
  <c r="F62" s="1"/>
  <c r="G61"/>
  <c r="F61"/>
  <c r="G60"/>
  <c r="F60"/>
  <c r="E59"/>
  <c r="G58"/>
  <c r="F58"/>
  <c r="G57"/>
  <c r="F57"/>
  <c r="E56"/>
  <c r="F55"/>
  <c r="E55"/>
  <c r="J54"/>
  <c r="G54"/>
  <c r="G53"/>
  <c r="F53"/>
  <c r="G52"/>
  <c r="F52"/>
  <c r="G51"/>
  <c r="E51"/>
  <c r="F51" s="1"/>
  <c r="F50"/>
  <c r="E50"/>
  <c r="J49"/>
  <c r="G49"/>
  <c r="G48"/>
  <c r="F48"/>
  <c r="G47"/>
  <c r="F47"/>
  <c r="E46"/>
  <c r="F46" s="1"/>
  <c r="G45"/>
  <c r="F45"/>
  <c r="G44"/>
  <c r="F44"/>
  <c r="E43"/>
  <c r="F43" s="1"/>
  <c r="S42"/>
  <c r="G42"/>
  <c r="Q42" s="1"/>
  <c r="F42"/>
  <c r="G41"/>
  <c r="F41"/>
  <c r="G40"/>
  <c r="E40"/>
  <c r="F40" s="1"/>
  <c r="F39"/>
  <c r="G39" s="1"/>
  <c r="G38"/>
  <c r="G37"/>
  <c r="Q37" s="1"/>
  <c r="F36"/>
  <c r="E36"/>
  <c r="J35"/>
  <c r="G35"/>
  <c r="S34"/>
  <c r="G34"/>
  <c r="Q34" s="1"/>
  <c r="F34"/>
  <c r="G33"/>
  <c r="F33"/>
  <c r="F32"/>
  <c r="G32" s="1"/>
  <c r="E32"/>
  <c r="F31"/>
  <c r="E31"/>
  <c r="G31" s="1"/>
  <c r="J30"/>
  <c r="Q30" s="1"/>
  <c r="T34" s="1"/>
  <c r="G30"/>
  <c r="G26"/>
  <c r="F26"/>
  <c r="G25"/>
  <c r="F25"/>
  <c r="J24"/>
  <c r="E24"/>
  <c r="G24" s="1"/>
  <c r="L23" s="1"/>
  <c r="U23" s="1"/>
  <c r="F21"/>
  <c r="G21" s="1"/>
  <c r="F20"/>
  <c r="G20" s="1"/>
  <c r="S19"/>
  <c r="F19"/>
  <c r="G19" s="1"/>
  <c r="Q19" s="1"/>
  <c r="J18"/>
  <c r="G18"/>
  <c r="J17"/>
  <c r="G17"/>
  <c r="L17" s="1"/>
  <c r="U17" s="1"/>
  <c r="T16"/>
  <c r="S16"/>
  <c r="F16"/>
  <c r="G16" s="1"/>
  <c r="F15"/>
  <c r="G15" s="1"/>
  <c r="F14"/>
  <c r="G14" s="1"/>
  <c r="E14"/>
  <c r="G13"/>
  <c r="G12"/>
  <c r="J11"/>
  <c r="G11"/>
  <c r="G10"/>
  <c r="J9"/>
  <c r="G9"/>
  <c r="S8"/>
  <c r="G8"/>
  <c r="F8"/>
  <c r="G7"/>
  <c r="F7"/>
  <c r="R6"/>
  <c r="G6"/>
  <c r="F6"/>
  <c r="J5"/>
  <c r="G5"/>
  <c r="J4"/>
  <c r="G4"/>
  <c r="G310" i="11"/>
  <c r="G309"/>
  <c r="F309"/>
  <c r="E308"/>
  <c r="G307"/>
  <c r="J306"/>
  <c r="G306"/>
  <c r="F306"/>
  <c r="J305"/>
  <c r="F305"/>
  <c r="E305"/>
  <c r="G305" s="1"/>
  <c r="J304"/>
  <c r="G304"/>
  <c r="L304" s="1"/>
  <c r="G303"/>
  <c r="G302"/>
  <c r="F302"/>
  <c r="G301"/>
  <c r="F301"/>
  <c r="E301"/>
  <c r="G300"/>
  <c r="G299"/>
  <c r="F299"/>
  <c r="J298"/>
  <c r="E298"/>
  <c r="J297"/>
  <c r="G297"/>
  <c r="J296"/>
  <c r="G296"/>
  <c r="J295"/>
  <c r="G295"/>
  <c r="J294"/>
  <c r="G294"/>
  <c r="G293"/>
  <c r="G292"/>
  <c r="F292"/>
  <c r="G291"/>
  <c r="L291" s="1"/>
  <c r="E291"/>
  <c r="F291" s="1"/>
  <c r="G284"/>
  <c r="F284"/>
  <c r="G283"/>
  <c r="F283"/>
  <c r="G282"/>
  <c r="L282" s="1"/>
  <c r="E282"/>
  <c r="F282" s="1"/>
  <c r="G281"/>
  <c r="F281"/>
  <c r="G280"/>
  <c r="F280"/>
  <c r="E279"/>
  <c r="G278"/>
  <c r="F278"/>
  <c r="G277"/>
  <c r="F277"/>
  <c r="E276"/>
  <c r="F276" s="1"/>
  <c r="G275"/>
  <c r="F275"/>
  <c r="G274"/>
  <c r="F274"/>
  <c r="L273"/>
  <c r="G273"/>
  <c r="E273"/>
  <c r="F273" s="1"/>
  <c r="G271"/>
  <c r="F271"/>
  <c r="G270"/>
  <c r="F270"/>
  <c r="E269"/>
  <c r="G267"/>
  <c r="F267"/>
  <c r="G266"/>
  <c r="F266"/>
  <c r="E265"/>
  <c r="G263"/>
  <c r="F263"/>
  <c r="G262"/>
  <c r="F262"/>
  <c r="G261"/>
  <c r="L261" s="1"/>
  <c r="F261"/>
  <c r="E261"/>
  <c r="G260"/>
  <c r="G259"/>
  <c r="F259"/>
  <c r="G258"/>
  <c r="F258"/>
  <c r="E257"/>
  <c r="Q256"/>
  <c r="G256"/>
  <c r="F256"/>
  <c r="G255"/>
  <c r="F255"/>
  <c r="E254"/>
  <c r="F254" s="1"/>
  <c r="G253"/>
  <c r="E253"/>
  <c r="J252"/>
  <c r="G252"/>
  <c r="Q252" s="1"/>
  <c r="G251"/>
  <c r="F251"/>
  <c r="E251"/>
  <c r="J250"/>
  <c r="G250"/>
  <c r="C250"/>
  <c r="G249"/>
  <c r="F249"/>
  <c r="G248"/>
  <c r="F248"/>
  <c r="E247"/>
  <c r="G247" s="1"/>
  <c r="G246"/>
  <c r="F246"/>
  <c r="E246"/>
  <c r="G245"/>
  <c r="G244"/>
  <c r="F244"/>
  <c r="G243"/>
  <c r="F243"/>
  <c r="E242"/>
  <c r="G242" s="1"/>
  <c r="L242" s="1"/>
  <c r="G241"/>
  <c r="Q241" s="1"/>
  <c r="F241"/>
  <c r="G240"/>
  <c r="F240"/>
  <c r="E239"/>
  <c r="G239" s="1"/>
  <c r="E237"/>
  <c r="G237" s="1"/>
  <c r="J236"/>
  <c r="G236"/>
  <c r="Q236" s="1"/>
  <c r="F235"/>
  <c r="E235"/>
  <c r="G235" s="1"/>
  <c r="J234"/>
  <c r="G234"/>
  <c r="C234"/>
  <c r="S233"/>
  <c r="G233"/>
  <c r="Q233" s="1"/>
  <c r="F233"/>
  <c r="G232"/>
  <c r="F232"/>
  <c r="G231"/>
  <c r="F231"/>
  <c r="E231"/>
  <c r="G230"/>
  <c r="E229"/>
  <c r="G229" s="1"/>
  <c r="J228"/>
  <c r="G228"/>
  <c r="F227"/>
  <c r="E227"/>
  <c r="G227" s="1"/>
  <c r="J226"/>
  <c r="G226"/>
  <c r="C226"/>
  <c r="Q226" s="1"/>
  <c r="S225"/>
  <c r="Q225"/>
  <c r="G225"/>
  <c r="F225"/>
  <c r="G224"/>
  <c r="F224"/>
  <c r="E223"/>
  <c r="E222"/>
  <c r="G222" s="1"/>
  <c r="J221"/>
  <c r="G221"/>
  <c r="Q221" s="1"/>
  <c r="G220"/>
  <c r="F220"/>
  <c r="E220"/>
  <c r="J219"/>
  <c r="G219"/>
  <c r="C219"/>
  <c r="S218"/>
  <c r="F218"/>
  <c r="G218" s="1"/>
  <c r="C218"/>
  <c r="L218" s="1"/>
  <c r="F217"/>
  <c r="E217"/>
  <c r="G217" s="1"/>
  <c r="S216"/>
  <c r="G216"/>
  <c r="Q216" s="1"/>
  <c r="F216"/>
  <c r="G215"/>
  <c r="F215"/>
  <c r="F214"/>
  <c r="E214"/>
  <c r="G214" s="1"/>
  <c r="G213"/>
  <c r="E212"/>
  <c r="G212" s="1"/>
  <c r="Q211"/>
  <c r="T216" s="1"/>
  <c r="J211"/>
  <c r="G211"/>
  <c r="F210"/>
  <c r="G210" s="1"/>
  <c r="E210"/>
  <c r="J209"/>
  <c r="G209"/>
  <c r="C209"/>
  <c r="Q209" s="1"/>
  <c r="S208"/>
  <c r="G208"/>
  <c r="Q208" s="1"/>
  <c r="F208"/>
  <c r="G207"/>
  <c r="F207"/>
  <c r="E206"/>
  <c r="G206" s="1"/>
  <c r="G205"/>
  <c r="E204"/>
  <c r="G204" s="1"/>
  <c r="J203"/>
  <c r="Q203" s="1"/>
  <c r="G203"/>
  <c r="F202"/>
  <c r="E202"/>
  <c r="G202" s="1"/>
  <c r="J201"/>
  <c r="G201"/>
  <c r="Q201" s="1"/>
  <c r="G195"/>
  <c r="G194"/>
  <c r="E193"/>
  <c r="G193" s="1"/>
  <c r="F192"/>
  <c r="G192" s="1"/>
  <c r="L191" s="1"/>
  <c r="G191"/>
  <c r="G190"/>
  <c r="G189"/>
  <c r="G188"/>
  <c r="E188"/>
  <c r="G187"/>
  <c r="G186"/>
  <c r="E185"/>
  <c r="G185" s="1"/>
  <c r="L185" s="1"/>
  <c r="G184"/>
  <c r="G183"/>
  <c r="E182"/>
  <c r="G182" s="1"/>
  <c r="L182" s="1"/>
  <c r="G181"/>
  <c r="G180"/>
  <c r="E179"/>
  <c r="G179" s="1"/>
  <c r="L179" s="1"/>
  <c r="G178"/>
  <c r="G177"/>
  <c r="E176"/>
  <c r="G176" s="1"/>
  <c r="G175"/>
  <c r="G174"/>
  <c r="E173"/>
  <c r="G173" s="1"/>
  <c r="L173" s="1"/>
  <c r="G172"/>
  <c r="G171"/>
  <c r="E170"/>
  <c r="G170" s="1"/>
  <c r="G169"/>
  <c r="G168"/>
  <c r="G167"/>
  <c r="L167" s="1"/>
  <c r="E167"/>
  <c r="G166"/>
  <c r="G165"/>
  <c r="G164"/>
  <c r="E164"/>
  <c r="G163"/>
  <c r="G162"/>
  <c r="E161"/>
  <c r="G161" s="1"/>
  <c r="L161" s="1"/>
  <c r="G160"/>
  <c r="G159"/>
  <c r="E158"/>
  <c r="G158" s="1"/>
  <c r="L158" s="1"/>
  <c r="G157"/>
  <c r="G156"/>
  <c r="E155"/>
  <c r="G155" s="1"/>
  <c r="G154"/>
  <c r="G153"/>
  <c r="E152"/>
  <c r="G152" s="1"/>
  <c r="G151"/>
  <c r="G150"/>
  <c r="E149"/>
  <c r="G149" s="1"/>
  <c r="L149" s="1"/>
  <c r="G148"/>
  <c r="G147"/>
  <c r="E146"/>
  <c r="G146" s="1"/>
  <c r="J145"/>
  <c r="G145"/>
  <c r="F145"/>
  <c r="J144"/>
  <c r="G144"/>
  <c r="G143"/>
  <c r="G142"/>
  <c r="E141"/>
  <c r="G141" s="1"/>
  <c r="J140"/>
  <c r="F140"/>
  <c r="G140" s="1"/>
  <c r="J139"/>
  <c r="G139"/>
  <c r="G138"/>
  <c r="G137"/>
  <c r="G136"/>
  <c r="L136" s="1"/>
  <c r="E136"/>
  <c r="G135"/>
  <c r="G134"/>
  <c r="G133"/>
  <c r="L132" s="1"/>
  <c r="E133"/>
  <c r="G131"/>
  <c r="G130"/>
  <c r="G129"/>
  <c r="L128" s="1"/>
  <c r="Q128" s="1"/>
  <c r="E129"/>
  <c r="G127"/>
  <c r="G126"/>
  <c r="E125"/>
  <c r="G125" s="1"/>
  <c r="E124"/>
  <c r="G124" s="1"/>
  <c r="G123"/>
  <c r="J122"/>
  <c r="G122"/>
  <c r="J121"/>
  <c r="G121"/>
  <c r="G120"/>
  <c r="G119"/>
  <c r="E118"/>
  <c r="G118" s="1"/>
  <c r="E117"/>
  <c r="G117" s="1"/>
  <c r="G116"/>
  <c r="J115"/>
  <c r="F115"/>
  <c r="G115" s="1"/>
  <c r="E115"/>
  <c r="J114"/>
  <c r="G114"/>
  <c r="G113"/>
  <c r="G112"/>
  <c r="E111"/>
  <c r="G111" s="1"/>
  <c r="J110"/>
  <c r="F110"/>
  <c r="E110"/>
  <c r="G110" s="1"/>
  <c r="J109"/>
  <c r="G109"/>
  <c r="S108"/>
  <c r="Q108"/>
  <c r="G108"/>
  <c r="F108"/>
  <c r="G107"/>
  <c r="F107"/>
  <c r="G106"/>
  <c r="E106"/>
  <c r="F106" s="1"/>
  <c r="E105"/>
  <c r="G105" s="1"/>
  <c r="E102"/>
  <c r="G102" s="1"/>
  <c r="G101"/>
  <c r="Q101" s="1"/>
  <c r="J100"/>
  <c r="E100"/>
  <c r="G100" s="1"/>
  <c r="J99"/>
  <c r="G99"/>
  <c r="S98"/>
  <c r="G98"/>
  <c r="Q98" s="1"/>
  <c r="F98"/>
  <c r="G97"/>
  <c r="F97"/>
  <c r="E96"/>
  <c r="J95"/>
  <c r="F95"/>
  <c r="E95"/>
  <c r="F94"/>
  <c r="E94"/>
  <c r="G94" s="1"/>
  <c r="J93"/>
  <c r="G93"/>
  <c r="G88"/>
  <c r="F88"/>
  <c r="G87"/>
  <c r="F87"/>
  <c r="E86"/>
  <c r="G85"/>
  <c r="F85"/>
  <c r="G84"/>
  <c r="F84"/>
  <c r="G83"/>
  <c r="L83" s="1"/>
  <c r="E83"/>
  <c r="F83" s="1"/>
  <c r="G82"/>
  <c r="F82"/>
  <c r="G81"/>
  <c r="F81"/>
  <c r="G80"/>
  <c r="L80" s="1"/>
  <c r="F80"/>
  <c r="E80"/>
  <c r="G79"/>
  <c r="F79"/>
  <c r="G78"/>
  <c r="F78"/>
  <c r="F77"/>
  <c r="E77"/>
  <c r="G77" s="1"/>
  <c r="G76"/>
  <c r="F76"/>
  <c r="G75"/>
  <c r="F75"/>
  <c r="E74"/>
  <c r="G73"/>
  <c r="F73"/>
  <c r="G72"/>
  <c r="F72"/>
  <c r="G71"/>
  <c r="L71" s="1"/>
  <c r="E71"/>
  <c r="F71" s="1"/>
  <c r="G70"/>
  <c r="F70"/>
  <c r="G69"/>
  <c r="F69"/>
  <c r="G68"/>
  <c r="L68" s="1"/>
  <c r="F68"/>
  <c r="E68"/>
  <c r="G67"/>
  <c r="F67"/>
  <c r="G66"/>
  <c r="F66"/>
  <c r="F65"/>
  <c r="E65"/>
  <c r="G65" s="1"/>
  <c r="G64"/>
  <c r="F64"/>
  <c r="G63"/>
  <c r="F63"/>
  <c r="E62"/>
  <c r="G61"/>
  <c r="F61"/>
  <c r="G60"/>
  <c r="F60"/>
  <c r="G59"/>
  <c r="L59" s="1"/>
  <c r="E59"/>
  <c r="F59" s="1"/>
  <c r="G58"/>
  <c r="F58"/>
  <c r="G57"/>
  <c r="F57"/>
  <c r="E56"/>
  <c r="F55"/>
  <c r="E55"/>
  <c r="G55" s="1"/>
  <c r="J54"/>
  <c r="G54"/>
  <c r="G53"/>
  <c r="F53"/>
  <c r="G52"/>
  <c r="F52"/>
  <c r="E51"/>
  <c r="F50"/>
  <c r="E50"/>
  <c r="J49"/>
  <c r="G49"/>
  <c r="G48"/>
  <c r="F48"/>
  <c r="G47"/>
  <c r="F47"/>
  <c r="E46"/>
  <c r="G46" s="1"/>
  <c r="L46" s="1"/>
  <c r="G45"/>
  <c r="F45"/>
  <c r="G44"/>
  <c r="F44"/>
  <c r="E43"/>
  <c r="G43" s="1"/>
  <c r="S42"/>
  <c r="F42"/>
  <c r="G42" s="1"/>
  <c r="Q42" s="1"/>
  <c r="G41"/>
  <c r="F41"/>
  <c r="F40"/>
  <c r="E40"/>
  <c r="G40" s="1"/>
  <c r="F39"/>
  <c r="G39" s="1"/>
  <c r="E38"/>
  <c r="G38" s="1"/>
  <c r="G37"/>
  <c r="Q37" s="1"/>
  <c r="F36"/>
  <c r="E36"/>
  <c r="G36" s="1"/>
  <c r="J35"/>
  <c r="G35"/>
  <c r="S34"/>
  <c r="G34"/>
  <c r="Q34" s="1"/>
  <c r="F34"/>
  <c r="G33"/>
  <c r="F33"/>
  <c r="G32"/>
  <c r="F32"/>
  <c r="E32"/>
  <c r="F31"/>
  <c r="E31"/>
  <c r="G31" s="1"/>
  <c r="L30" s="1"/>
  <c r="U30" s="1"/>
  <c r="J30"/>
  <c r="G30"/>
  <c r="G26"/>
  <c r="F26"/>
  <c r="G25"/>
  <c r="F25"/>
  <c r="J24"/>
  <c r="E24"/>
  <c r="G24" s="1"/>
  <c r="L23" s="1"/>
  <c r="U23" s="1"/>
  <c r="G21"/>
  <c r="F21"/>
  <c r="F20"/>
  <c r="G20" s="1"/>
  <c r="S19"/>
  <c r="G19"/>
  <c r="Q19" s="1"/>
  <c r="F19"/>
  <c r="J18"/>
  <c r="G18"/>
  <c r="Q18" s="1"/>
  <c r="J17"/>
  <c r="G17"/>
  <c r="T16"/>
  <c r="S16"/>
  <c r="G16"/>
  <c r="F16"/>
  <c r="F15"/>
  <c r="G15" s="1"/>
  <c r="G14"/>
  <c r="E14"/>
  <c r="F14" s="1"/>
  <c r="G13"/>
  <c r="G12"/>
  <c r="E12"/>
  <c r="J11"/>
  <c r="G11"/>
  <c r="G10"/>
  <c r="J9"/>
  <c r="G9"/>
  <c r="S8"/>
  <c r="G8"/>
  <c r="V7" s="1"/>
  <c r="F8"/>
  <c r="G7"/>
  <c r="F7"/>
  <c r="E6"/>
  <c r="G6" s="1"/>
  <c r="J5"/>
  <c r="G5"/>
  <c r="J4"/>
  <c r="G4"/>
  <c r="G291" i="10"/>
  <c r="G290"/>
  <c r="F290"/>
  <c r="G289"/>
  <c r="L289" s="1"/>
  <c r="E289"/>
  <c r="F289" s="1"/>
  <c r="G288"/>
  <c r="J287"/>
  <c r="G287"/>
  <c r="F287"/>
  <c r="J286"/>
  <c r="G286"/>
  <c r="L285" s="1"/>
  <c r="E286"/>
  <c r="F286" s="1"/>
  <c r="J285"/>
  <c r="G285"/>
  <c r="G284"/>
  <c r="G283"/>
  <c r="F283"/>
  <c r="E282"/>
  <c r="F282" s="1"/>
  <c r="G281"/>
  <c r="G280"/>
  <c r="F280"/>
  <c r="J279"/>
  <c r="E279"/>
  <c r="F279" s="1"/>
  <c r="J278"/>
  <c r="G278"/>
  <c r="J277"/>
  <c r="G277"/>
  <c r="J276"/>
  <c r="G276"/>
  <c r="J275"/>
  <c r="G275"/>
  <c r="G274"/>
  <c r="G273"/>
  <c r="F273"/>
  <c r="E272"/>
  <c r="F272" s="1"/>
  <c r="G264"/>
  <c r="F264"/>
  <c r="G263"/>
  <c r="F263"/>
  <c r="E262"/>
  <c r="F262" s="1"/>
  <c r="G260"/>
  <c r="F260"/>
  <c r="G259"/>
  <c r="F259"/>
  <c r="E258"/>
  <c r="F258" s="1"/>
  <c r="G256"/>
  <c r="F256"/>
  <c r="G255"/>
  <c r="F255"/>
  <c r="E254"/>
  <c r="F254" s="1"/>
  <c r="G252"/>
  <c r="F252"/>
  <c r="G251"/>
  <c r="F251"/>
  <c r="E250"/>
  <c r="F250" s="1"/>
  <c r="G249"/>
  <c r="G248"/>
  <c r="F248"/>
  <c r="G247"/>
  <c r="F247"/>
  <c r="E246"/>
  <c r="G245"/>
  <c r="Q245" s="1"/>
  <c r="F245"/>
  <c r="G244"/>
  <c r="F244"/>
  <c r="G243"/>
  <c r="E243"/>
  <c r="F243" s="1"/>
  <c r="E242"/>
  <c r="G242" s="1"/>
  <c r="Q241"/>
  <c r="J241"/>
  <c r="G241"/>
  <c r="F240"/>
  <c r="E240"/>
  <c r="J239"/>
  <c r="G239"/>
  <c r="C239"/>
  <c r="Q239" s="1"/>
  <c r="G238"/>
  <c r="F238"/>
  <c r="G237"/>
  <c r="F237"/>
  <c r="G236"/>
  <c r="E236"/>
  <c r="F236" s="1"/>
  <c r="F235"/>
  <c r="E235"/>
  <c r="G234"/>
  <c r="G233"/>
  <c r="F233"/>
  <c r="G232"/>
  <c r="F232"/>
  <c r="E231"/>
  <c r="G230"/>
  <c r="Q230" s="1"/>
  <c r="F230"/>
  <c r="G229"/>
  <c r="F229"/>
  <c r="G228"/>
  <c r="E228"/>
  <c r="F228" s="1"/>
  <c r="E226"/>
  <c r="G226" s="1"/>
  <c r="J225"/>
  <c r="G225"/>
  <c r="Q225" s="1"/>
  <c r="F224"/>
  <c r="E224"/>
  <c r="G224" s="1"/>
  <c r="J223"/>
  <c r="G223"/>
  <c r="C223"/>
  <c r="S222"/>
  <c r="G222"/>
  <c r="Q222" s="1"/>
  <c r="F222"/>
  <c r="G221"/>
  <c r="F221"/>
  <c r="G220"/>
  <c r="E220"/>
  <c r="F220" s="1"/>
  <c r="G219"/>
  <c r="E218"/>
  <c r="G218" s="1"/>
  <c r="J217"/>
  <c r="G217"/>
  <c r="Q217" s="1"/>
  <c r="F216"/>
  <c r="G216" s="1"/>
  <c r="E216"/>
  <c r="J215"/>
  <c r="G215"/>
  <c r="C215"/>
  <c r="Q215" s="1"/>
  <c r="T222" s="1"/>
  <c r="S214"/>
  <c r="G214"/>
  <c r="Q214" s="1"/>
  <c r="F214"/>
  <c r="G213"/>
  <c r="F213"/>
  <c r="E212"/>
  <c r="F212" s="1"/>
  <c r="G212" s="1"/>
  <c r="E211"/>
  <c r="G211" s="1"/>
  <c r="J210"/>
  <c r="G210"/>
  <c r="Q210" s="1"/>
  <c r="F209"/>
  <c r="G209" s="1"/>
  <c r="E209"/>
  <c r="J208"/>
  <c r="G208"/>
  <c r="C208"/>
  <c r="Q208" s="1"/>
  <c r="T214" s="1"/>
  <c r="S207"/>
  <c r="F207"/>
  <c r="G207" s="1"/>
  <c r="C207"/>
  <c r="F206"/>
  <c r="E206"/>
  <c r="S205"/>
  <c r="Q205"/>
  <c r="G205"/>
  <c r="F205"/>
  <c r="G204"/>
  <c r="F204"/>
  <c r="E203"/>
  <c r="F203" s="1"/>
  <c r="G202"/>
  <c r="E201"/>
  <c r="G201" s="1"/>
  <c r="J200"/>
  <c r="Q200" s="1"/>
  <c r="T205" s="1"/>
  <c r="G200"/>
  <c r="F199"/>
  <c r="E199"/>
  <c r="G199" s="1"/>
  <c r="J198"/>
  <c r="G198"/>
  <c r="C198"/>
  <c r="S197"/>
  <c r="Q197"/>
  <c r="G197"/>
  <c r="F197"/>
  <c r="G196"/>
  <c r="F196"/>
  <c r="E195"/>
  <c r="F195" s="1"/>
  <c r="G194"/>
  <c r="E193"/>
  <c r="G193" s="1"/>
  <c r="J192"/>
  <c r="Q192" s="1"/>
  <c r="G192"/>
  <c r="F191"/>
  <c r="E191"/>
  <c r="G191" s="1"/>
  <c r="J190"/>
  <c r="G190"/>
  <c r="G184"/>
  <c r="G183"/>
  <c r="G182"/>
  <c r="E182"/>
  <c r="G181"/>
  <c r="G180"/>
  <c r="E179"/>
  <c r="G179" s="1"/>
  <c r="G178"/>
  <c r="G177"/>
  <c r="E176"/>
  <c r="G176" s="1"/>
  <c r="L176" s="1"/>
  <c r="G175"/>
  <c r="G174"/>
  <c r="E173"/>
  <c r="G173" s="1"/>
  <c r="G172"/>
  <c r="G171"/>
  <c r="E170"/>
  <c r="G170" s="1"/>
  <c r="L170" s="1"/>
  <c r="G169"/>
  <c r="G168"/>
  <c r="E167"/>
  <c r="G167" s="1"/>
  <c r="G166"/>
  <c r="G165"/>
  <c r="E164"/>
  <c r="G164" s="1"/>
  <c r="L164" s="1"/>
  <c r="G163"/>
  <c r="G162"/>
  <c r="E161"/>
  <c r="G161" s="1"/>
  <c r="L161" s="1"/>
  <c r="G160"/>
  <c r="G159"/>
  <c r="E158"/>
  <c r="G158" s="1"/>
  <c r="L158" s="1"/>
  <c r="G157"/>
  <c r="G156"/>
  <c r="E155"/>
  <c r="G155" s="1"/>
  <c r="G154"/>
  <c r="G153"/>
  <c r="E152"/>
  <c r="G152" s="1"/>
  <c r="G151"/>
  <c r="G150"/>
  <c r="E149"/>
  <c r="G149" s="1"/>
  <c r="G148"/>
  <c r="G147"/>
  <c r="G146"/>
  <c r="L146" s="1"/>
  <c r="E146"/>
  <c r="G145"/>
  <c r="G144"/>
  <c r="E143"/>
  <c r="G143" s="1"/>
  <c r="L143" s="1"/>
  <c r="G142"/>
  <c r="G141"/>
  <c r="E140"/>
  <c r="G140" s="1"/>
  <c r="F139"/>
  <c r="G139" s="1"/>
  <c r="G138"/>
  <c r="G137"/>
  <c r="G136"/>
  <c r="E135"/>
  <c r="G135" s="1"/>
  <c r="F134"/>
  <c r="G134" s="1"/>
  <c r="G133"/>
  <c r="G132"/>
  <c r="G131"/>
  <c r="E130"/>
  <c r="G130" s="1"/>
  <c r="G129"/>
  <c r="G128"/>
  <c r="E127"/>
  <c r="G127" s="1"/>
  <c r="L126" s="1"/>
  <c r="G125"/>
  <c r="G124"/>
  <c r="E123"/>
  <c r="G123" s="1"/>
  <c r="G121"/>
  <c r="G120"/>
  <c r="E119"/>
  <c r="G119" s="1"/>
  <c r="E118"/>
  <c r="G118" s="1"/>
  <c r="G117"/>
  <c r="G116"/>
  <c r="J115"/>
  <c r="G115"/>
  <c r="G114"/>
  <c r="G113"/>
  <c r="E112"/>
  <c r="G112" s="1"/>
  <c r="E111"/>
  <c r="G111" s="1"/>
  <c r="G110"/>
  <c r="F109"/>
  <c r="E109"/>
  <c r="G109" s="1"/>
  <c r="G108"/>
  <c r="G107"/>
  <c r="G106"/>
  <c r="E105"/>
  <c r="G105" s="1"/>
  <c r="F104"/>
  <c r="E104"/>
  <c r="G103"/>
  <c r="S102"/>
  <c r="G102"/>
  <c r="Q102" s="1"/>
  <c r="F102"/>
  <c r="G101"/>
  <c r="F101"/>
  <c r="E100"/>
  <c r="F100" s="1"/>
  <c r="E99"/>
  <c r="G99" s="1"/>
  <c r="E96"/>
  <c r="G96" s="1"/>
  <c r="G95"/>
  <c r="Q95" s="1"/>
  <c r="E94"/>
  <c r="G94" s="1"/>
  <c r="J93"/>
  <c r="G93"/>
  <c r="S92"/>
  <c r="G92"/>
  <c r="Q92" s="1"/>
  <c r="F92"/>
  <c r="G91"/>
  <c r="F91"/>
  <c r="G90"/>
  <c r="E90"/>
  <c r="F90" s="1"/>
  <c r="J89"/>
  <c r="E89"/>
  <c r="F89" s="1"/>
  <c r="G89" s="1"/>
  <c r="F88"/>
  <c r="G88" s="1"/>
  <c r="E88"/>
  <c r="G87"/>
  <c r="Q87" s="1"/>
  <c r="T92" s="1"/>
  <c r="G82"/>
  <c r="F82"/>
  <c r="G81"/>
  <c r="F81"/>
  <c r="G80"/>
  <c r="L80" s="1"/>
  <c r="E80"/>
  <c r="F80" s="1"/>
  <c r="G79"/>
  <c r="F79"/>
  <c r="G78"/>
  <c r="F78"/>
  <c r="G77"/>
  <c r="L77" s="1"/>
  <c r="F77"/>
  <c r="E77"/>
  <c r="G76"/>
  <c r="F76"/>
  <c r="G75"/>
  <c r="F75"/>
  <c r="E74"/>
  <c r="G73"/>
  <c r="F73"/>
  <c r="G72"/>
  <c r="F72"/>
  <c r="E71"/>
  <c r="G70"/>
  <c r="F70"/>
  <c r="G69"/>
  <c r="F69"/>
  <c r="G68"/>
  <c r="L68" s="1"/>
  <c r="E68"/>
  <c r="F68" s="1"/>
  <c r="G67"/>
  <c r="F67"/>
  <c r="G66"/>
  <c r="F66"/>
  <c r="G65"/>
  <c r="L65" s="1"/>
  <c r="F65"/>
  <c r="E65"/>
  <c r="G64"/>
  <c r="F64"/>
  <c r="G63"/>
  <c r="F63"/>
  <c r="E62"/>
  <c r="G61"/>
  <c r="F61"/>
  <c r="G60"/>
  <c r="F60"/>
  <c r="E59"/>
  <c r="G58"/>
  <c r="F58"/>
  <c r="G57"/>
  <c r="F57"/>
  <c r="E56"/>
  <c r="F56" s="1"/>
  <c r="F55"/>
  <c r="E55"/>
  <c r="G55" s="1"/>
  <c r="J54"/>
  <c r="G54"/>
  <c r="G53"/>
  <c r="F53"/>
  <c r="G52"/>
  <c r="F52"/>
  <c r="E51"/>
  <c r="F50"/>
  <c r="E50"/>
  <c r="J49"/>
  <c r="G49"/>
  <c r="G48"/>
  <c r="F48"/>
  <c r="G47"/>
  <c r="F47"/>
  <c r="E46"/>
  <c r="F46" s="1"/>
  <c r="G45"/>
  <c r="F45"/>
  <c r="G44"/>
  <c r="F44"/>
  <c r="E43"/>
  <c r="F43" s="1"/>
  <c r="S42"/>
  <c r="F42"/>
  <c r="G42" s="1"/>
  <c r="Q42" s="1"/>
  <c r="G41"/>
  <c r="F41"/>
  <c r="F40"/>
  <c r="E40"/>
  <c r="G40" s="1"/>
  <c r="F39"/>
  <c r="G39" s="1"/>
  <c r="E38"/>
  <c r="G38" s="1"/>
  <c r="G37"/>
  <c r="Q37" s="1"/>
  <c r="F36"/>
  <c r="E36"/>
  <c r="G36" s="1"/>
  <c r="Q35"/>
  <c r="J35"/>
  <c r="G35"/>
  <c r="S34"/>
  <c r="G34"/>
  <c r="Q34" s="1"/>
  <c r="F34"/>
  <c r="G33"/>
  <c r="F33"/>
  <c r="F32"/>
  <c r="G32" s="1"/>
  <c r="E32"/>
  <c r="F31"/>
  <c r="E31"/>
  <c r="G31" s="1"/>
  <c r="J30"/>
  <c r="Q30" s="1"/>
  <c r="T34" s="1"/>
  <c r="G30"/>
  <c r="G26"/>
  <c r="F26"/>
  <c r="G25"/>
  <c r="F25"/>
  <c r="J24"/>
  <c r="E24"/>
  <c r="G24" s="1"/>
  <c r="F21"/>
  <c r="G21" s="1"/>
  <c r="F20"/>
  <c r="G20" s="1"/>
  <c r="S19"/>
  <c r="F19"/>
  <c r="G19" s="1"/>
  <c r="Q19" s="1"/>
  <c r="J18"/>
  <c r="G18"/>
  <c r="J17"/>
  <c r="G17"/>
  <c r="L17" s="1"/>
  <c r="U17" s="1"/>
  <c r="T16"/>
  <c r="S16"/>
  <c r="F16"/>
  <c r="G16" s="1"/>
  <c r="F15"/>
  <c r="G15" s="1"/>
  <c r="F14"/>
  <c r="G14" s="1"/>
  <c r="E14"/>
  <c r="G13"/>
  <c r="E12"/>
  <c r="G12" s="1"/>
  <c r="J11"/>
  <c r="G11"/>
  <c r="G10"/>
  <c r="J9"/>
  <c r="G9"/>
  <c r="S8"/>
  <c r="G8"/>
  <c r="Q8" s="1"/>
  <c r="T8" s="1"/>
  <c r="F8"/>
  <c r="G7"/>
  <c r="F7"/>
  <c r="E6"/>
  <c r="F6" s="1"/>
  <c r="J5"/>
  <c r="G5"/>
  <c r="J4"/>
  <c r="G4"/>
  <c r="G282" i="9"/>
  <c r="G281"/>
  <c r="F281"/>
  <c r="E280"/>
  <c r="G279"/>
  <c r="G278"/>
  <c r="F278"/>
  <c r="G277"/>
  <c r="E277"/>
  <c r="F277" s="1"/>
  <c r="L276"/>
  <c r="G276"/>
  <c r="G275"/>
  <c r="G274"/>
  <c r="F274"/>
  <c r="E273"/>
  <c r="G273" s="1"/>
  <c r="L273" s="1"/>
  <c r="G272"/>
  <c r="G271"/>
  <c r="F271"/>
  <c r="E270"/>
  <c r="F270" s="1"/>
  <c r="J269"/>
  <c r="G269"/>
  <c r="J268"/>
  <c r="G268"/>
  <c r="J267"/>
  <c r="G267"/>
  <c r="J266"/>
  <c r="G266"/>
  <c r="G265"/>
  <c r="G264"/>
  <c r="F264"/>
  <c r="G263"/>
  <c r="L263" s="1"/>
  <c r="E263"/>
  <c r="F263" s="1"/>
  <c r="G255"/>
  <c r="F255"/>
  <c r="G254"/>
  <c r="F254"/>
  <c r="G253"/>
  <c r="L253" s="1"/>
  <c r="F253"/>
  <c r="E253"/>
  <c r="G251"/>
  <c r="F251"/>
  <c r="G250"/>
  <c r="F250"/>
  <c r="E249"/>
  <c r="G249" s="1"/>
  <c r="G247"/>
  <c r="F247"/>
  <c r="G246"/>
  <c r="F246"/>
  <c r="E245"/>
  <c r="G243"/>
  <c r="F243"/>
  <c r="G242"/>
  <c r="F242"/>
  <c r="G241"/>
  <c r="L241" s="1"/>
  <c r="E241"/>
  <c r="F241" s="1"/>
  <c r="G240"/>
  <c r="G239"/>
  <c r="F239"/>
  <c r="G238"/>
  <c r="F238"/>
  <c r="E237"/>
  <c r="G237" s="1"/>
  <c r="L237" s="1"/>
  <c r="G236"/>
  <c r="Q236" s="1"/>
  <c r="F236"/>
  <c r="G235"/>
  <c r="F235"/>
  <c r="E234"/>
  <c r="G234" s="1"/>
  <c r="E233"/>
  <c r="G233" s="1"/>
  <c r="J232"/>
  <c r="G232"/>
  <c r="Q232" s="1"/>
  <c r="F231"/>
  <c r="E231"/>
  <c r="G231" s="1"/>
  <c r="J230"/>
  <c r="G230"/>
  <c r="C230"/>
  <c r="Q230" s="1"/>
  <c r="G229"/>
  <c r="F229"/>
  <c r="G228"/>
  <c r="F228"/>
  <c r="E227"/>
  <c r="G227" s="1"/>
  <c r="F226"/>
  <c r="E226"/>
  <c r="G226" s="1"/>
  <c r="G225"/>
  <c r="G224"/>
  <c r="F224"/>
  <c r="G223"/>
  <c r="F223"/>
  <c r="E222"/>
  <c r="F222" s="1"/>
  <c r="G221"/>
  <c r="Q221" s="1"/>
  <c r="F221"/>
  <c r="G220"/>
  <c r="F220"/>
  <c r="E219"/>
  <c r="F219" s="1"/>
  <c r="G217"/>
  <c r="E217"/>
  <c r="J216"/>
  <c r="G216"/>
  <c r="Q216" s="1"/>
  <c r="F215"/>
  <c r="E215"/>
  <c r="J214"/>
  <c r="G214"/>
  <c r="C214"/>
  <c r="S213"/>
  <c r="G213"/>
  <c r="Q213" s="1"/>
  <c r="F213"/>
  <c r="G212"/>
  <c r="F212"/>
  <c r="E211"/>
  <c r="G210"/>
  <c r="E209"/>
  <c r="G209" s="1"/>
  <c r="J208"/>
  <c r="G208"/>
  <c r="Q208" s="1"/>
  <c r="F207"/>
  <c r="E207"/>
  <c r="G207" s="1"/>
  <c r="J206"/>
  <c r="G206"/>
  <c r="C206"/>
  <c r="S205"/>
  <c r="G205"/>
  <c r="Q205" s="1"/>
  <c r="F205"/>
  <c r="G204"/>
  <c r="F204"/>
  <c r="E203"/>
  <c r="F203" s="1"/>
  <c r="G203" s="1"/>
  <c r="E202"/>
  <c r="G202" s="1"/>
  <c r="J201"/>
  <c r="G201"/>
  <c r="Q201" s="1"/>
  <c r="F200"/>
  <c r="G200" s="1"/>
  <c r="E200"/>
  <c r="J199"/>
  <c r="G199"/>
  <c r="C199"/>
  <c r="Q199" s="1"/>
  <c r="S198"/>
  <c r="F198"/>
  <c r="G198" s="1"/>
  <c r="C198"/>
  <c r="G197"/>
  <c r="F197"/>
  <c r="E197"/>
  <c r="S196"/>
  <c r="G196"/>
  <c r="Q196" s="1"/>
  <c r="F196"/>
  <c r="G195"/>
  <c r="F195"/>
  <c r="E194"/>
  <c r="F194" s="1"/>
  <c r="G193"/>
  <c r="E192"/>
  <c r="G192" s="1"/>
  <c r="J191"/>
  <c r="Q191" s="1"/>
  <c r="T196" s="1"/>
  <c r="G191"/>
  <c r="F190"/>
  <c r="E190"/>
  <c r="J189"/>
  <c r="G189"/>
  <c r="C189"/>
  <c r="S188"/>
  <c r="G188"/>
  <c r="Q188" s="1"/>
  <c r="F188"/>
  <c r="G187"/>
  <c r="F187"/>
  <c r="E186"/>
  <c r="F186" s="1"/>
  <c r="G185"/>
  <c r="E184"/>
  <c r="G184" s="1"/>
  <c r="J183"/>
  <c r="Q183" s="1"/>
  <c r="G183"/>
  <c r="F182"/>
  <c r="E182"/>
  <c r="J181"/>
  <c r="Q181" s="1"/>
  <c r="G181"/>
  <c r="G175"/>
  <c r="G174"/>
  <c r="E173"/>
  <c r="G173" s="1"/>
  <c r="L173" s="1"/>
  <c r="G172"/>
  <c r="G171"/>
  <c r="E170"/>
  <c r="G170" s="1"/>
  <c r="L170" s="1"/>
  <c r="G169"/>
  <c r="G168"/>
  <c r="E167"/>
  <c r="G167" s="1"/>
  <c r="G166"/>
  <c r="G165"/>
  <c r="E164"/>
  <c r="G164" s="1"/>
  <c r="L164" s="1"/>
  <c r="G163"/>
  <c r="G162"/>
  <c r="E161"/>
  <c r="G161" s="1"/>
  <c r="G160"/>
  <c r="G159"/>
  <c r="E158"/>
  <c r="G158" s="1"/>
  <c r="L158" s="1"/>
  <c r="G157"/>
  <c r="G156"/>
  <c r="E155"/>
  <c r="G155" s="1"/>
  <c r="L155" s="1"/>
  <c r="G154"/>
  <c r="G153"/>
  <c r="E152"/>
  <c r="G152" s="1"/>
  <c r="L152" s="1"/>
  <c r="G151"/>
  <c r="G150"/>
  <c r="E149"/>
  <c r="G149" s="1"/>
  <c r="G148"/>
  <c r="G147"/>
  <c r="E146"/>
  <c r="G146" s="1"/>
  <c r="G145"/>
  <c r="G144"/>
  <c r="E143"/>
  <c r="G143" s="1"/>
  <c r="G142"/>
  <c r="G141"/>
  <c r="G140"/>
  <c r="L140" s="1"/>
  <c r="E140"/>
  <c r="G139"/>
  <c r="G138"/>
  <c r="E137"/>
  <c r="G137" s="1"/>
  <c r="L137" s="1"/>
  <c r="G136"/>
  <c r="G135"/>
  <c r="E134"/>
  <c r="G134" s="1"/>
  <c r="F133"/>
  <c r="G133" s="1"/>
  <c r="G132"/>
  <c r="G131"/>
  <c r="G130"/>
  <c r="E129"/>
  <c r="G129" s="1"/>
  <c r="F128"/>
  <c r="G128" s="1"/>
  <c r="G127"/>
  <c r="G126"/>
  <c r="G125"/>
  <c r="E124"/>
  <c r="G124" s="1"/>
  <c r="G123"/>
  <c r="G122"/>
  <c r="E121"/>
  <c r="G121" s="1"/>
  <c r="L120" s="1"/>
  <c r="G119"/>
  <c r="G118"/>
  <c r="E117"/>
  <c r="G117" s="1"/>
  <c r="L116" s="1"/>
  <c r="Q116" s="1"/>
  <c r="G115"/>
  <c r="G114"/>
  <c r="E113"/>
  <c r="G113" s="1"/>
  <c r="E112"/>
  <c r="G112" s="1"/>
  <c r="G111"/>
  <c r="G110"/>
  <c r="J109"/>
  <c r="G109"/>
  <c r="G108"/>
  <c r="G107"/>
  <c r="E106"/>
  <c r="G106" s="1"/>
  <c r="E105"/>
  <c r="G105" s="1"/>
  <c r="G104"/>
  <c r="F103"/>
  <c r="E103"/>
  <c r="G103" s="1"/>
  <c r="G102"/>
  <c r="G101"/>
  <c r="G100"/>
  <c r="E99"/>
  <c r="G99" s="1"/>
  <c r="F98"/>
  <c r="E98"/>
  <c r="G97"/>
  <c r="S96"/>
  <c r="G96"/>
  <c r="Q96" s="1"/>
  <c r="F96"/>
  <c r="G95"/>
  <c r="F95"/>
  <c r="E94"/>
  <c r="F94" s="1"/>
  <c r="E93"/>
  <c r="G93" s="1"/>
  <c r="E90"/>
  <c r="G90" s="1"/>
  <c r="D89"/>
  <c r="G89" s="1"/>
  <c r="Q89" s="1"/>
  <c r="G88"/>
  <c r="E88"/>
  <c r="J87"/>
  <c r="G87"/>
  <c r="S86"/>
  <c r="G86"/>
  <c r="Q86" s="1"/>
  <c r="F86"/>
  <c r="G85"/>
  <c r="F85"/>
  <c r="E84"/>
  <c r="F84" s="1"/>
  <c r="J83"/>
  <c r="E83"/>
  <c r="F83" s="1"/>
  <c r="F82"/>
  <c r="E82"/>
  <c r="G82" s="1"/>
  <c r="G81"/>
  <c r="C81"/>
  <c r="Q81" s="1"/>
  <c r="T86" s="1"/>
  <c r="G76"/>
  <c r="F76"/>
  <c r="G75"/>
  <c r="F75"/>
  <c r="E74"/>
  <c r="F74" s="1"/>
  <c r="G73"/>
  <c r="F73"/>
  <c r="G72"/>
  <c r="F72"/>
  <c r="E71"/>
  <c r="F71" s="1"/>
  <c r="G70"/>
  <c r="F70"/>
  <c r="G69"/>
  <c r="F69"/>
  <c r="E68"/>
  <c r="G67"/>
  <c r="F67"/>
  <c r="G66"/>
  <c r="F66"/>
  <c r="E65"/>
  <c r="G64"/>
  <c r="F64"/>
  <c r="G63"/>
  <c r="F63"/>
  <c r="E62"/>
  <c r="G61"/>
  <c r="F61"/>
  <c r="G60"/>
  <c r="F60"/>
  <c r="E59"/>
  <c r="G58"/>
  <c r="F58"/>
  <c r="G57"/>
  <c r="F57"/>
  <c r="E56"/>
  <c r="F55"/>
  <c r="E55"/>
  <c r="J54"/>
  <c r="G54"/>
  <c r="G53"/>
  <c r="F53"/>
  <c r="G52"/>
  <c r="F52"/>
  <c r="E51"/>
  <c r="G51" s="1"/>
  <c r="F50"/>
  <c r="E50"/>
  <c r="J49"/>
  <c r="G49"/>
  <c r="G48"/>
  <c r="F48"/>
  <c r="G47"/>
  <c r="F47"/>
  <c r="G46"/>
  <c r="F46"/>
  <c r="E46"/>
  <c r="G45"/>
  <c r="F45"/>
  <c r="G44"/>
  <c r="F44"/>
  <c r="E43"/>
  <c r="S42"/>
  <c r="F42"/>
  <c r="G42" s="1"/>
  <c r="Q42" s="1"/>
  <c r="G41"/>
  <c r="F41"/>
  <c r="F40"/>
  <c r="E40"/>
  <c r="G40" s="1"/>
  <c r="F39"/>
  <c r="G39" s="1"/>
  <c r="G38"/>
  <c r="E38"/>
  <c r="G37"/>
  <c r="Q37" s="1"/>
  <c r="F36"/>
  <c r="E36"/>
  <c r="J35"/>
  <c r="G35"/>
  <c r="C35"/>
  <c r="Q35" s="1"/>
  <c r="S34"/>
  <c r="G34"/>
  <c r="Q34" s="1"/>
  <c r="F34"/>
  <c r="G33"/>
  <c r="F33"/>
  <c r="E32"/>
  <c r="F32" s="1"/>
  <c r="G32" s="1"/>
  <c r="F31"/>
  <c r="E31"/>
  <c r="G31" s="1"/>
  <c r="J30"/>
  <c r="G30"/>
  <c r="C30"/>
  <c r="Q30" s="1"/>
  <c r="G26"/>
  <c r="F26"/>
  <c r="G25"/>
  <c r="F25"/>
  <c r="J24"/>
  <c r="E24"/>
  <c r="G24" s="1"/>
  <c r="F21"/>
  <c r="G21" s="1"/>
  <c r="F20"/>
  <c r="G20" s="1"/>
  <c r="S19"/>
  <c r="F19"/>
  <c r="G19" s="1"/>
  <c r="Q19" s="1"/>
  <c r="J18"/>
  <c r="G18"/>
  <c r="Q18" s="1"/>
  <c r="J17"/>
  <c r="G17"/>
  <c r="T16"/>
  <c r="S16"/>
  <c r="F16"/>
  <c r="G16" s="1"/>
  <c r="F15"/>
  <c r="G15" s="1"/>
  <c r="E14"/>
  <c r="F14" s="1"/>
  <c r="G14" s="1"/>
  <c r="G13"/>
  <c r="E12"/>
  <c r="G12" s="1"/>
  <c r="J11"/>
  <c r="G11"/>
  <c r="G10"/>
  <c r="J9"/>
  <c r="G9"/>
  <c r="C9"/>
  <c r="S8"/>
  <c r="G8"/>
  <c r="Q8" s="1"/>
  <c r="T8" s="1"/>
  <c r="F8"/>
  <c r="G7"/>
  <c r="F7"/>
  <c r="E6"/>
  <c r="J5"/>
  <c r="G5"/>
  <c r="J4"/>
  <c r="G4"/>
  <c r="C4"/>
  <c r="G276" i="8"/>
  <c r="G275"/>
  <c r="F275"/>
  <c r="G274"/>
  <c r="L274" s="1"/>
  <c r="E274"/>
  <c r="F274" s="1"/>
  <c r="G273"/>
  <c r="G272"/>
  <c r="F272"/>
  <c r="E271"/>
  <c r="F271" s="1"/>
  <c r="G270"/>
  <c r="G269"/>
  <c r="G268"/>
  <c r="F268"/>
  <c r="E267"/>
  <c r="G266"/>
  <c r="G265"/>
  <c r="F265"/>
  <c r="G264"/>
  <c r="E264"/>
  <c r="F264" s="1"/>
  <c r="J263"/>
  <c r="G263"/>
  <c r="J262"/>
  <c r="G262"/>
  <c r="J261"/>
  <c r="G261"/>
  <c r="J260"/>
  <c r="G260"/>
  <c r="G259"/>
  <c r="G258"/>
  <c r="F258"/>
  <c r="E257"/>
  <c r="F257" s="1"/>
  <c r="G249"/>
  <c r="F249"/>
  <c r="G248"/>
  <c r="F248"/>
  <c r="E247"/>
  <c r="F247" s="1"/>
  <c r="G245"/>
  <c r="F245"/>
  <c r="G244"/>
  <c r="F244"/>
  <c r="E243"/>
  <c r="F243" s="1"/>
  <c r="G241"/>
  <c r="F241"/>
  <c r="G240"/>
  <c r="F240"/>
  <c r="E239"/>
  <c r="F239" s="1"/>
  <c r="G237"/>
  <c r="F237"/>
  <c r="G236"/>
  <c r="F236"/>
  <c r="E235"/>
  <c r="F235" s="1"/>
  <c r="G234"/>
  <c r="G233"/>
  <c r="F233"/>
  <c r="G232"/>
  <c r="F232"/>
  <c r="E231"/>
  <c r="G230"/>
  <c r="Q230" s="1"/>
  <c r="F230"/>
  <c r="G229"/>
  <c r="F229"/>
  <c r="E228"/>
  <c r="E227"/>
  <c r="G227" s="1"/>
  <c r="J226"/>
  <c r="G226"/>
  <c r="Q226" s="1"/>
  <c r="F225"/>
  <c r="E225"/>
  <c r="G225" s="1"/>
  <c r="J224"/>
  <c r="G224"/>
  <c r="C224"/>
  <c r="G223"/>
  <c r="F223"/>
  <c r="G222"/>
  <c r="F222"/>
  <c r="F221"/>
  <c r="E221"/>
  <c r="G221" s="1"/>
  <c r="F220"/>
  <c r="E220"/>
  <c r="G219"/>
  <c r="G218"/>
  <c r="F218"/>
  <c r="G217"/>
  <c r="F217"/>
  <c r="E216"/>
  <c r="G216" s="1"/>
  <c r="L216" s="1"/>
  <c r="G215"/>
  <c r="Q215" s="1"/>
  <c r="F215"/>
  <c r="G214"/>
  <c r="F214"/>
  <c r="E213"/>
  <c r="F213" s="1"/>
  <c r="E211"/>
  <c r="G211" s="1"/>
  <c r="Q210"/>
  <c r="J210"/>
  <c r="G210"/>
  <c r="G209"/>
  <c r="F209"/>
  <c r="E209"/>
  <c r="J208"/>
  <c r="G208"/>
  <c r="C208"/>
  <c r="S207"/>
  <c r="G207"/>
  <c r="Q207" s="1"/>
  <c r="F207"/>
  <c r="G206"/>
  <c r="F206"/>
  <c r="E205"/>
  <c r="G204"/>
  <c r="E203"/>
  <c r="G203" s="1"/>
  <c r="J202"/>
  <c r="G202"/>
  <c r="F201"/>
  <c r="E201"/>
  <c r="G201" s="1"/>
  <c r="J200"/>
  <c r="G200"/>
  <c r="C200"/>
  <c r="S199"/>
  <c r="G199"/>
  <c r="Q199" s="1"/>
  <c r="F199"/>
  <c r="G198"/>
  <c r="F198"/>
  <c r="F197"/>
  <c r="E197"/>
  <c r="E196"/>
  <c r="G196" s="1"/>
  <c r="J195"/>
  <c r="Q195" s="1"/>
  <c r="G195"/>
  <c r="F194"/>
  <c r="E194"/>
  <c r="G194" s="1"/>
  <c r="J193"/>
  <c r="G193"/>
  <c r="C193"/>
  <c r="S192"/>
  <c r="G192"/>
  <c r="F192"/>
  <c r="C192"/>
  <c r="F191"/>
  <c r="E191"/>
  <c r="G191" s="1"/>
  <c r="S190"/>
  <c r="G190"/>
  <c r="Q190" s="1"/>
  <c r="F190"/>
  <c r="G189"/>
  <c r="F189"/>
  <c r="E188"/>
  <c r="G187"/>
  <c r="E186"/>
  <c r="G186" s="1"/>
  <c r="J185"/>
  <c r="G185"/>
  <c r="F184"/>
  <c r="E184"/>
  <c r="G184" s="1"/>
  <c r="J183"/>
  <c r="G183"/>
  <c r="C183"/>
  <c r="S182"/>
  <c r="Q182"/>
  <c r="G182"/>
  <c r="F182"/>
  <c r="G181"/>
  <c r="F181"/>
  <c r="E180"/>
  <c r="G179"/>
  <c r="G178"/>
  <c r="E178"/>
  <c r="J177"/>
  <c r="G177"/>
  <c r="F176"/>
  <c r="E176"/>
  <c r="J175"/>
  <c r="G175"/>
  <c r="G169"/>
  <c r="G168"/>
  <c r="G167"/>
  <c r="L167" s="1"/>
  <c r="E167"/>
  <c r="G166"/>
  <c r="G165"/>
  <c r="E164"/>
  <c r="G164" s="1"/>
  <c r="L164" s="1"/>
  <c r="G163"/>
  <c r="G162"/>
  <c r="E161"/>
  <c r="G161" s="1"/>
  <c r="G160"/>
  <c r="G159"/>
  <c r="E158"/>
  <c r="G158" s="1"/>
  <c r="L158" s="1"/>
  <c r="G157"/>
  <c r="G156"/>
  <c r="E155"/>
  <c r="G155" s="1"/>
  <c r="L155" s="1"/>
  <c r="G154"/>
  <c r="G153"/>
  <c r="E152"/>
  <c r="G152" s="1"/>
  <c r="G151"/>
  <c r="G150"/>
  <c r="E149"/>
  <c r="G149" s="1"/>
  <c r="G148"/>
  <c r="G147"/>
  <c r="E146"/>
  <c r="G146" s="1"/>
  <c r="G145"/>
  <c r="G144"/>
  <c r="G143"/>
  <c r="E143"/>
  <c r="G142"/>
  <c r="G141"/>
  <c r="L140" s="1"/>
  <c r="E140"/>
  <c r="G140" s="1"/>
  <c r="G139"/>
  <c r="G138"/>
  <c r="E137"/>
  <c r="G137" s="1"/>
  <c r="G136"/>
  <c r="G135"/>
  <c r="E134"/>
  <c r="G134" s="1"/>
  <c r="F133"/>
  <c r="G133" s="1"/>
  <c r="G132"/>
  <c r="G131"/>
  <c r="G130"/>
  <c r="E129"/>
  <c r="G129" s="1"/>
  <c r="F128"/>
  <c r="G128" s="1"/>
  <c r="G127"/>
  <c r="G125"/>
  <c r="L124" s="1"/>
  <c r="G124"/>
  <c r="G123"/>
  <c r="G122"/>
  <c r="E121"/>
  <c r="G121" s="1"/>
  <c r="L121" s="1"/>
  <c r="G120"/>
  <c r="G119"/>
  <c r="E118"/>
  <c r="G118" s="1"/>
  <c r="G116"/>
  <c r="G115"/>
  <c r="E114"/>
  <c r="G114" s="1"/>
  <c r="G112"/>
  <c r="G111"/>
  <c r="E110"/>
  <c r="G110" s="1"/>
  <c r="E109"/>
  <c r="G109" s="1"/>
  <c r="G108"/>
  <c r="G107"/>
  <c r="J106"/>
  <c r="G106"/>
  <c r="G105"/>
  <c r="G104"/>
  <c r="G103"/>
  <c r="E103"/>
  <c r="E102"/>
  <c r="G102" s="1"/>
  <c r="G101"/>
  <c r="F100"/>
  <c r="E100"/>
  <c r="G100" s="1"/>
  <c r="G99"/>
  <c r="G98"/>
  <c r="G97"/>
  <c r="G96"/>
  <c r="E96"/>
  <c r="F95"/>
  <c r="E95"/>
  <c r="G94"/>
  <c r="S93"/>
  <c r="Q93"/>
  <c r="G93"/>
  <c r="F93"/>
  <c r="G92"/>
  <c r="F92"/>
  <c r="E91"/>
  <c r="F91" s="1"/>
  <c r="G90"/>
  <c r="E90"/>
  <c r="E87"/>
  <c r="D87"/>
  <c r="D86"/>
  <c r="G86" s="1"/>
  <c r="E85"/>
  <c r="G85" s="1"/>
  <c r="J84"/>
  <c r="G84"/>
  <c r="S83"/>
  <c r="Q83"/>
  <c r="G83"/>
  <c r="F83"/>
  <c r="G82"/>
  <c r="F82"/>
  <c r="E81"/>
  <c r="F81" s="1"/>
  <c r="J80"/>
  <c r="E80"/>
  <c r="F80" s="1"/>
  <c r="F79"/>
  <c r="E79"/>
  <c r="G79" s="1"/>
  <c r="G78"/>
  <c r="C78"/>
  <c r="Q78" s="1"/>
  <c r="T83" s="1"/>
  <c r="G73"/>
  <c r="F73"/>
  <c r="G72"/>
  <c r="F72"/>
  <c r="E71"/>
  <c r="F71" s="1"/>
  <c r="G70"/>
  <c r="F70"/>
  <c r="G69"/>
  <c r="F69"/>
  <c r="E68"/>
  <c r="F68" s="1"/>
  <c r="G67"/>
  <c r="F67"/>
  <c r="G66"/>
  <c r="F66"/>
  <c r="E65"/>
  <c r="F65" s="1"/>
  <c r="G64"/>
  <c r="F64"/>
  <c r="G63"/>
  <c r="F63"/>
  <c r="E62"/>
  <c r="F62" s="1"/>
  <c r="G61"/>
  <c r="F61"/>
  <c r="G60"/>
  <c r="F60"/>
  <c r="E59"/>
  <c r="F59" s="1"/>
  <c r="G58"/>
  <c r="F58"/>
  <c r="G57"/>
  <c r="F57"/>
  <c r="G56"/>
  <c r="E56"/>
  <c r="F56" s="1"/>
  <c r="F55"/>
  <c r="E55"/>
  <c r="G55" s="1"/>
  <c r="J54"/>
  <c r="G54"/>
  <c r="G53"/>
  <c r="F53"/>
  <c r="G52"/>
  <c r="F52"/>
  <c r="E51"/>
  <c r="F51" s="1"/>
  <c r="G50"/>
  <c r="F50"/>
  <c r="E50"/>
  <c r="J49"/>
  <c r="G49"/>
  <c r="G48"/>
  <c r="F48"/>
  <c r="G47"/>
  <c r="F47"/>
  <c r="G46"/>
  <c r="L46" s="1"/>
  <c r="F46"/>
  <c r="E46"/>
  <c r="G45"/>
  <c r="F45"/>
  <c r="G44"/>
  <c r="F44"/>
  <c r="G43"/>
  <c r="L43" s="1"/>
  <c r="E43"/>
  <c r="F43" s="1"/>
  <c r="S42"/>
  <c r="F42"/>
  <c r="G42" s="1"/>
  <c r="Q42" s="1"/>
  <c r="G41"/>
  <c r="F41"/>
  <c r="E40"/>
  <c r="F40" s="1"/>
  <c r="G39"/>
  <c r="F39"/>
  <c r="E38"/>
  <c r="G38" s="1"/>
  <c r="G37"/>
  <c r="Q37" s="1"/>
  <c r="F36"/>
  <c r="E36"/>
  <c r="J35"/>
  <c r="G35"/>
  <c r="C35"/>
  <c r="Q35" s="1"/>
  <c r="T42" s="1"/>
  <c r="S34"/>
  <c r="G34"/>
  <c r="Q34" s="1"/>
  <c r="F34"/>
  <c r="G33"/>
  <c r="F33"/>
  <c r="E32"/>
  <c r="F32" s="1"/>
  <c r="G32" s="1"/>
  <c r="F31"/>
  <c r="E31"/>
  <c r="G31" s="1"/>
  <c r="J30"/>
  <c r="G30"/>
  <c r="C30"/>
  <c r="Q30" s="1"/>
  <c r="G26"/>
  <c r="F26"/>
  <c r="G25"/>
  <c r="F25"/>
  <c r="J24"/>
  <c r="E24"/>
  <c r="G24" s="1"/>
  <c r="F21"/>
  <c r="G21" s="1"/>
  <c r="F20"/>
  <c r="G20" s="1"/>
  <c r="S19"/>
  <c r="F19"/>
  <c r="G19" s="1"/>
  <c r="Q19" s="1"/>
  <c r="J18"/>
  <c r="G18"/>
  <c r="Q18" s="1"/>
  <c r="J17"/>
  <c r="G17"/>
  <c r="L17" s="1"/>
  <c r="U17" s="1"/>
  <c r="T16"/>
  <c r="S16"/>
  <c r="F16"/>
  <c r="G16" s="1"/>
  <c r="F15"/>
  <c r="G15" s="1"/>
  <c r="E14"/>
  <c r="G13"/>
  <c r="E12"/>
  <c r="G12" s="1"/>
  <c r="J11"/>
  <c r="G11"/>
  <c r="G10"/>
  <c r="J9"/>
  <c r="G9"/>
  <c r="C9"/>
  <c r="S8"/>
  <c r="G8"/>
  <c r="Q8" s="1"/>
  <c r="T8" s="1"/>
  <c r="F8"/>
  <c r="G7"/>
  <c r="F7"/>
  <c r="G6"/>
  <c r="E6"/>
  <c r="F6" s="1"/>
  <c r="J5"/>
  <c r="G5"/>
  <c r="J4"/>
  <c r="G4"/>
  <c r="C4"/>
  <c r="G263" i="7"/>
  <c r="G262"/>
  <c r="F262"/>
  <c r="E261"/>
  <c r="G261" s="1"/>
  <c r="G260"/>
  <c r="G259"/>
  <c r="F259"/>
  <c r="G258"/>
  <c r="F258"/>
  <c r="E258"/>
  <c r="G257"/>
  <c r="G256"/>
  <c r="G255"/>
  <c r="F255"/>
  <c r="E254"/>
  <c r="G253"/>
  <c r="G252"/>
  <c r="F252"/>
  <c r="E251"/>
  <c r="F251" s="1"/>
  <c r="J250"/>
  <c r="G250"/>
  <c r="J249"/>
  <c r="G249"/>
  <c r="J248"/>
  <c r="G248"/>
  <c r="J247"/>
  <c r="G247"/>
  <c r="G246"/>
  <c r="G245"/>
  <c r="F245"/>
  <c r="L244"/>
  <c r="F244"/>
  <c r="E244"/>
  <c r="G244" s="1"/>
  <c r="G236"/>
  <c r="F236"/>
  <c r="G235"/>
  <c r="F235"/>
  <c r="F234"/>
  <c r="E234"/>
  <c r="G234" s="1"/>
  <c r="G232"/>
  <c r="F232"/>
  <c r="G231"/>
  <c r="F231"/>
  <c r="E230"/>
  <c r="G228"/>
  <c r="F228"/>
  <c r="G227"/>
  <c r="F227"/>
  <c r="L226"/>
  <c r="E226"/>
  <c r="G226" s="1"/>
  <c r="G225"/>
  <c r="G224"/>
  <c r="F224"/>
  <c r="G223"/>
  <c r="F223"/>
  <c r="E222"/>
  <c r="G222" s="1"/>
  <c r="G221"/>
  <c r="Q221" s="1"/>
  <c r="F221"/>
  <c r="G220"/>
  <c r="F220"/>
  <c r="E219"/>
  <c r="G219" s="1"/>
  <c r="E218"/>
  <c r="G218" s="1"/>
  <c r="J217"/>
  <c r="G217"/>
  <c r="F216"/>
  <c r="E216"/>
  <c r="G216" s="1"/>
  <c r="J215"/>
  <c r="G215"/>
  <c r="C215"/>
  <c r="G214"/>
  <c r="F214"/>
  <c r="G213"/>
  <c r="F213"/>
  <c r="E212"/>
  <c r="G212" s="1"/>
  <c r="G211"/>
  <c r="F211"/>
  <c r="E211"/>
  <c r="G210"/>
  <c r="G209"/>
  <c r="F209"/>
  <c r="G208"/>
  <c r="F208"/>
  <c r="E207"/>
  <c r="F207" s="1"/>
  <c r="G206"/>
  <c r="Q206" s="1"/>
  <c r="F206"/>
  <c r="G205"/>
  <c r="F205"/>
  <c r="E204"/>
  <c r="F204" s="1"/>
  <c r="E202"/>
  <c r="G202" s="1"/>
  <c r="J201"/>
  <c r="G201"/>
  <c r="Q201" s="1"/>
  <c r="F200"/>
  <c r="E200"/>
  <c r="G200" s="1"/>
  <c r="J199"/>
  <c r="G199"/>
  <c r="C199"/>
  <c r="S198"/>
  <c r="G198"/>
  <c r="Q198" s="1"/>
  <c r="F198"/>
  <c r="G197"/>
  <c r="F197"/>
  <c r="E196"/>
  <c r="G195"/>
  <c r="G194"/>
  <c r="E194"/>
  <c r="J193"/>
  <c r="G193"/>
  <c r="F192"/>
  <c r="E192"/>
  <c r="J191"/>
  <c r="G191"/>
  <c r="C191"/>
  <c r="S190"/>
  <c r="G190"/>
  <c r="Q190" s="1"/>
  <c r="F190"/>
  <c r="G189"/>
  <c r="F189"/>
  <c r="E188"/>
  <c r="F188" s="1"/>
  <c r="G188" s="1"/>
  <c r="E187"/>
  <c r="G187" s="1"/>
  <c r="J186"/>
  <c r="G186"/>
  <c r="G185"/>
  <c r="F185"/>
  <c r="E185"/>
  <c r="J184"/>
  <c r="G184"/>
  <c r="C184"/>
  <c r="S183"/>
  <c r="F183"/>
  <c r="G183" s="1"/>
  <c r="C183"/>
  <c r="F182"/>
  <c r="G182" s="1"/>
  <c r="E182"/>
  <c r="S181"/>
  <c r="Q181"/>
  <c r="G181"/>
  <c r="F181"/>
  <c r="G180"/>
  <c r="F180"/>
  <c r="E179"/>
  <c r="F179" s="1"/>
  <c r="G178"/>
  <c r="E177"/>
  <c r="G177" s="1"/>
  <c r="J176"/>
  <c r="Q176" s="1"/>
  <c r="T181" s="1"/>
  <c r="G176"/>
  <c r="F175"/>
  <c r="E175"/>
  <c r="G175" s="1"/>
  <c r="J174"/>
  <c r="G174"/>
  <c r="C174"/>
  <c r="S173"/>
  <c r="Q173"/>
  <c r="G173"/>
  <c r="F173"/>
  <c r="G172"/>
  <c r="F172"/>
  <c r="E171"/>
  <c r="F171" s="1"/>
  <c r="G170"/>
  <c r="E169"/>
  <c r="G169" s="1"/>
  <c r="J168"/>
  <c r="Q168" s="1"/>
  <c r="G168"/>
  <c r="F167"/>
  <c r="E167"/>
  <c r="G167" s="1"/>
  <c r="J166"/>
  <c r="Q166" s="1"/>
  <c r="T173" s="1"/>
  <c r="G166"/>
  <c r="G160"/>
  <c r="G159"/>
  <c r="E158"/>
  <c r="G158" s="1"/>
  <c r="L158" s="1"/>
  <c r="G157"/>
  <c r="G156"/>
  <c r="E155"/>
  <c r="G155" s="1"/>
  <c r="G154"/>
  <c r="G153"/>
  <c r="E152"/>
  <c r="G152" s="1"/>
  <c r="G151"/>
  <c r="G150"/>
  <c r="E149"/>
  <c r="G149" s="1"/>
  <c r="G148"/>
  <c r="G147"/>
  <c r="E146"/>
  <c r="G146" s="1"/>
  <c r="G145"/>
  <c r="G144"/>
  <c r="E143"/>
  <c r="G143" s="1"/>
  <c r="G142"/>
  <c r="G141"/>
  <c r="E140"/>
  <c r="G140" s="1"/>
  <c r="G139"/>
  <c r="G138"/>
  <c r="G137"/>
  <c r="L137" s="1"/>
  <c r="E137"/>
  <c r="G136"/>
  <c r="G135"/>
  <c r="E134"/>
  <c r="G134" s="1"/>
  <c r="L134" s="1"/>
  <c r="G133"/>
  <c r="G132"/>
  <c r="E131"/>
  <c r="G131" s="1"/>
  <c r="F130"/>
  <c r="G130" s="1"/>
  <c r="G129"/>
  <c r="G128"/>
  <c r="G127"/>
  <c r="E126"/>
  <c r="G126" s="1"/>
  <c r="F125"/>
  <c r="G125" s="1"/>
  <c r="G124"/>
  <c r="G122"/>
  <c r="D121"/>
  <c r="G121" s="1"/>
  <c r="G120"/>
  <c r="G119"/>
  <c r="E118"/>
  <c r="G118" s="1"/>
  <c r="L118" s="1"/>
  <c r="G117"/>
  <c r="G116"/>
  <c r="E115"/>
  <c r="G115" s="1"/>
  <c r="G113"/>
  <c r="G112"/>
  <c r="E111"/>
  <c r="G111" s="1"/>
  <c r="G109"/>
  <c r="G108"/>
  <c r="E107"/>
  <c r="G107" s="1"/>
  <c r="E106"/>
  <c r="G106" s="1"/>
  <c r="G105"/>
  <c r="G104"/>
  <c r="J103"/>
  <c r="G103"/>
  <c r="G102"/>
  <c r="G101"/>
  <c r="E100"/>
  <c r="G100" s="1"/>
  <c r="E99"/>
  <c r="G99" s="1"/>
  <c r="G98"/>
  <c r="F97"/>
  <c r="E97"/>
  <c r="G97" s="1"/>
  <c r="G96"/>
  <c r="G95"/>
  <c r="G94"/>
  <c r="G93"/>
  <c r="E93"/>
  <c r="F92"/>
  <c r="E92"/>
  <c r="G91"/>
  <c r="S90"/>
  <c r="G90"/>
  <c r="Q90" s="1"/>
  <c r="F90"/>
  <c r="G89"/>
  <c r="F89"/>
  <c r="E88"/>
  <c r="F88" s="1"/>
  <c r="E87"/>
  <c r="G87" s="1"/>
  <c r="E84"/>
  <c r="G84" s="1"/>
  <c r="G83"/>
  <c r="Q83" s="1"/>
  <c r="E82"/>
  <c r="G82" s="1"/>
  <c r="J81"/>
  <c r="G81"/>
  <c r="S80"/>
  <c r="G80"/>
  <c r="Q80" s="1"/>
  <c r="F80"/>
  <c r="G79"/>
  <c r="F79"/>
  <c r="G78"/>
  <c r="E78"/>
  <c r="F78" s="1"/>
  <c r="J77"/>
  <c r="E77"/>
  <c r="F77" s="1"/>
  <c r="G77" s="1"/>
  <c r="F76"/>
  <c r="G76" s="1"/>
  <c r="L75" s="1"/>
  <c r="U75" s="1"/>
  <c r="E76"/>
  <c r="G75"/>
  <c r="C75"/>
  <c r="G70"/>
  <c r="F70"/>
  <c r="G69"/>
  <c r="F69"/>
  <c r="G68"/>
  <c r="L68" s="1"/>
  <c r="E68"/>
  <c r="F68" s="1"/>
  <c r="G67"/>
  <c r="F67"/>
  <c r="G66"/>
  <c r="F66"/>
  <c r="G65"/>
  <c r="E65"/>
  <c r="F65" s="1"/>
  <c r="G64"/>
  <c r="F64"/>
  <c r="G63"/>
  <c r="F63"/>
  <c r="G62"/>
  <c r="L62" s="1"/>
  <c r="E62"/>
  <c r="F62" s="1"/>
  <c r="G61"/>
  <c r="F61"/>
  <c r="G60"/>
  <c r="F60"/>
  <c r="G59"/>
  <c r="E59"/>
  <c r="F59" s="1"/>
  <c r="G58"/>
  <c r="F58"/>
  <c r="G57"/>
  <c r="F57"/>
  <c r="G56"/>
  <c r="E56"/>
  <c r="F56" s="1"/>
  <c r="F55"/>
  <c r="E55"/>
  <c r="G55" s="1"/>
  <c r="J54"/>
  <c r="G54"/>
  <c r="G53"/>
  <c r="F53"/>
  <c r="G52"/>
  <c r="F52"/>
  <c r="E51"/>
  <c r="F50"/>
  <c r="G50" s="1"/>
  <c r="E50"/>
  <c r="J49"/>
  <c r="G49"/>
  <c r="G48"/>
  <c r="F48"/>
  <c r="G47"/>
  <c r="F47"/>
  <c r="E46"/>
  <c r="F46" s="1"/>
  <c r="G45"/>
  <c r="F45"/>
  <c r="G44"/>
  <c r="F44"/>
  <c r="E43"/>
  <c r="F43" s="1"/>
  <c r="S42"/>
  <c r="F42"/>
  <c r="G42" s="1"/>
  <c r="Q42" s="1"/>
  <c r="G41"/>
  <c r="F41"/>
  <c r="E40"/>
  <c r="F40" s="1"/>
  <c r="F39"/>
  <c r="G39" s="1"/>
  <c r="E38"/>
  <c r="G38" s="1"/>
  <c r="G37"/>
  <c r="Q37" s="1"/>
  <c r="F36"/>
  <c r="E36"/>
  <c r="J35"/>
  <c r="G35"/>
  <c r="C35"/>
  <c r="Q35" s="1"/>
  <c r="S34"/>
  <c r="G34"/>
  <c r="Q34" s="1"/>
  <c r="F34"/>
  <c r="G33"/>
  <c r="F33"/>
  <c r="E32"/>
  <c r="F32" s="1"/>
  <c r="G32" s="1"/>
  <c r="F31"/>
  <c r="G31" s="1"/>
  <c r="E31"/>
  <c r="J30"/>
  <c r="G30"/>
  <c r="C30"/>
  <c r="Q30" s="1"/>
  <c r="T34" s="1"/>
  <c r="G26"/>
  <c r="F26"/>
  <c r="G25"/>
  <c r="F25"/>
  <c r="J24"/>
  <c r="G24"/>
  <c r="L23"/>
  <c r="U23" s="1"/>
  <c r="F21"/>
  <c r="G21" s="1"/>
  <c r="F20"/>
  <c r="G20" s="1"/>
  <c r="S19"/>
  <c r="F19"/>
  <c r="G19" s="1"/>
  <c r="J18"/>
  <c r="G18"/>
  <c r="J17"/>
  <c r="Q17" s="1"/>
  <c r="G17"/>
  <c r="T16"/>
  <c r="S16"/>
  <c r="F16"/>
  <c r="G16" s="1"/>
  <c r="F15"/>
  <c r="G15" s="1"/>
  <c r="E14"/>
  <c r="F14" s="1"/>
  <c r="G13"/>
  <c r="E12"/>
  <c r="G12" s="1"/>
  <c r="J11"/>
  <c r="G11"/>
  <c r="E10"/>
  <c r="G10" s="1"/>
  <c r="J9"/>
  <c r="G9"/>
  <c r="C9"/>
  <c r="S8"/>
  <c r="G8"/>
  <c r="Q8" s="1"/>
  <c r="T8" s="1"/>
  <c r="F8"/>
  <c r="G7"/>
  <c r="F7"/>
  <c r="G6"/>
  <c r="E6"/>
  <c r="F6" s="1"/>
  <c r="J5"/>
  <c r="F5"/>
  <c r="G5" s="1"/>
  <c r="E5"/>
  <c r="J4"/>
  <c r="G4"/>
  <c r="C4"/>
  <c r="G247" i="6"/>
  <c r="G246"/>
  <c r="F246"/>
  <c r="F245"/>
  <c r="E245"/>
  <c r="G245" s="1"/>
  <c r="G244"/>
  <c r="G243"/>
  <c r="F243"/>
  <c r="E242"/>
  <c r="G242" s="1"/>
  <c r="G241"/>
  <c r="G240"/>
  <c r="F240"/>
  <c r="G239"/>
  <c r="L239" s="1"/>
  <c r="F239"/>
  <c r="E239"/>
  <c r="G238"/>
  <c r="G237"/>
  <c r="F237"/>
  <c r="F236"/>
  <c r="E236"/>
  <c r="G236" s="1"/>
  <c r="G235"/>
  <c r="J234"/>
  <c r="G234"/>
  <c r="J233"/>
  <c r="G233"/>
  <c r="J232"/>
  <c r="G232"/>
  <c r="G231"/>
  <c r="G230"/>
  <c r="F230"/>
  <c r="F229"/>
  <c r="E229"/>
  <c r="G229" s="1"/>
  <c r="G221"/>
  <c r="F221"/>
  <c r="G220"/>
  <c r="F220"/>
  <c r="F219"/>
  <c r="E219"/>
  <c r="G219" s="1"/>
  <c r="G217"/>
  <c r="F217"/>
  <c r="G216"/>
  <c r="F216"/>
  <c r="F215"/>
  <c r="E215"/>
  <c r="G215" s="1"/>
  <c r="G213"/>
  <c r="F213"/>
  <c r="G212"/>
  <c r="F212"/>
  <c r="F211"/>
  <c r="E211"/>
  <c r="G211" s="1"/>
  <c r="G210"/>
  <c r="G209"/>
  <c r="F209"/>
  <c r="G208"/>
  <c r="F208"/>
  <c r="E207"/>
  <c r="G206"/>
  <c r="Q206" s="1"/>
  <c r="F206"/>
  <c r="G205"/>
  <c r="F205"/>
  <c r="G204"/>
  <c r="E204"/>
  <c r="F204" s="1"/>
  <c r="E203"/>
  <c r="G203" s="1"/>
  <c r="J202"/>
  <c r="G202"/>
  <c r="G201"/>
  <c r="F201"/>
  <c r="E201"/>
  <c r="J200"/>
  <c r="G200"/>
  <c r="C200"/>
  <c r="G199"/>
  <c r="F199"/>
  <c r="G198"/>
  <c r="F198"/>
  <c r="E197"/>
  <c r="F196"/>
  <c r="E196"/>
  <c r="G195"/>
  <c r="G194"/>
  <c r="F194"/>
  <c r="G193"/>
  <c r="F193"/>
  <c r="G192"/>
  <c r="L192" s="1"/>
  <c r="E192"/>
  <c r="F192" s="1"/>
  <c r="G191"/>
  <c r="Q191" s="1"/>
  <c r="F191"/>
  <c r="G190"/>
  <c r="F190"/>
  <c r="G189"/>
  <c r="E189"/>
  <c r="F189" s="1"/>
  <c r="E187"/>
  <c r="G187" s="1"/>
  <c r="J186"/>
  <c r="G186"/>
  <c r="Q186" s="1"/>
  <c r="F185"/>
  <c r="E185"/>
  <c r="J184"/>
  <c r="G184"/>
  <c r="C184"/>
  <c r="S183"/>
  <c r="G183"/>
  <c r="Q183" s="1"/>
  <c r="F183"/>
  <c r="G182"/>
  <c r="F182"/>
  <c r="E181"/>
  <c r="G180"/>
  <c r="G179"/>
  <c r="E179"/>
  <c r="J178"/>
  <c r="G178"/>
  <c r="Q178" s="1"/>
  <c r="F177"/>
  <c r="G177" s="1"/>
  <c r="E177"/>
  <c r="J176"/>
  <c r="G176"/>
  <c r="C176"/>
  <c r="S175"/>
  <c r="G175"/>
  <c r="Q175" s="1"/>
  <c r="F175"/>
  <c r="G174"/>
  <c r="F174"/>
  <c r="E173"/>
  <c r="F173" s="1"/>
  <c r="G173" s="1"/>
  <c r="E172"/>
  <c r="G172" s="1"/>
  <c r="J171"/>
  <c r="Q171" s="1"/>
  <c r="G171"/>
  <c r="F170"/>
  <c r="G170" s="1"/>
  <c r="E170"/>
  <c r="J169"/>
  <c r="G169"/>
  <c r="C169"/>
  <c r="Q169" s="1"/>
  <c r="S168"/>
  <c r="F168"/>
  <c r="G168" s="1"/>
  <c r="C168"/>
  <c r="Q168" s="1"/>
  <c r="T168" s="1"/>
  <c r="F167"/>
  <c r="E167"/>
  <c r="S166"/>
  <c r="G166"/>
  <c r="Q166" s="1"/>
  <c r="F166"/>
  <c r="G165"/>
  <c r="F165"/>
  <c r="G164"/>
  <c r="E164"/>
  <c r="F164" s="1"/>
  <c r="G163"/>
  <c r="E162"/>
  <c r="G162" s="1"/>
  <c r="J161"/>
  <c r="G161"/>
  <c r="Q161" s="1"/>
  <c r="F160"/>
  <c r="E160"/>
  <c r="G160" s="1"/>
  <c r="J159"/>
  <c r="G159"/>
  <c r="C159"/>
  <c r="Q159" s="1"/>
  <c r="S158"/>
  <c r="G158"/>
  <c r="Q158" s="1"/>
  <c r="F158"/>
  <c r="G157"/>
  <c r="F157"/>
  <c r="G156"/>
  <c r="E156"/>
  <c r="F156" s="1"/>
  <c r="G155"/>
  <c r="G154"/>
  <c r="E154"/>
  <c r="J153"/>
  <c r="G153"/>
  <c r="F152"/>
  <c r="E152"/>
  <c r="J151"/>
  <c r="G151"/>
  <c r="G145"/>
  <c r="G144"/>
  <c r="E143"/>
  <c r="G143" s="1"/>
  <c r="G142"/>
  <c r="G141"/>
  <c r="E140"/>
  <c r="G140" s="1"/>
  <c r="G139"/>
  <c r="G138"/>
  <c r="E137"/>
  <c r="G137" s="1"/>
  <c r="G136"/>
  <c r="G135"/>
  <c r="G134"/>
  <c r="L134" s="1"/>
  <c r="E134"/>
  <c r="G133"/>
  <c r="G132"/>
  <c r="E131"/>
  <c r="G131" s="1"/>
  <c r="L131" s="1"/>
  <c r="G130"/>
  <c r="G129"/>
  <c r="E128"/>
  <c r="G128" s="1"/>
  <c r="L128" s="1"/>
  <c r="G127"/>
  <c r="G126"/>
  <c r="E125"/>
  <c r="G125" s="1"/>
  <c r="F124"/>
  <c r="G124" s="1"/>
  <c r="G123"/>
  <c r="G122"/>
  <c r="G121"/>
  <c r="E120"/>
  <c r="G120" s="1"/>
  <c r="G119"/>
  <c r="L118" s="1"/>
  <c r="F119"/>
  <c r="G118"/>
  <c r="G116"/>
  <c r="G115"/>
  <c r="L115" s="1"/>
  <c r="G114"/>
  <c r="G113"/>
  <c r="E112"/>
  <c r="G112" s="1"/>
  <c r="L112" s="1"/>
  <c r="G111"/>
  <c r="G110"/>
  <c r="E109"/>
  <c r="G109" s="1"/>
  <c r="L108" s="1"/>
  <c r="G107"/>
  <c r="G106"/>
  <c r="E105"/>
  <c r="G105" s="1"/>
  <c r="G103"/>
  <c r="G102"/>
  <c r="E101"/>
  <c r="G101" s="1"/>
  <c r="E100"/>
  <c r="G100" s="1"/>
  <c r="G99"/>
  <c r="G98"/>
  <c r="J97"/>
  <c r="G97"/>
  <c r="G96"/>
  <c r="G95"/>
  <c r="E94"/>
  <c r="G94" s="1"/>
  <c r="E93"/>
  <c r="G93" s="1"/>
  <c r="G92"/>
  <c r="F91"/>
  <c r="G91" s="1"/>
  <c r="E91"/>
  <c r="G90"/>
  <c r="G89"/>
  <c r="G88"/>
  <c r="E87"/>
  <c r="G87" s="1"/>
  <c r="F86"/>
  <c r="E86"/>
  <c r="G86" s="1"/>
  <c r="G85"/>
  <c r="S84"/>
  <c r="G84"/>
  <c r="Q84" s="1"/>
  <c r="F84"/>
  <c r="G83"/>
  <c r="F83"/>
  <c r="E82"/>
  <c r="G82" s="1"/>
  <c r="E81"/>
  <c r="G81" s="1"/>
  <c r="E78"/>
  <c r="G78" s="1"/>
  <c r="G77"/>
  <c r="Q77" s="1"/>
  <c r="E76"/>
  <c r="G76" s="1"/>
  <c r="J75"/>
  <c r="G75"/>
  <c r="S74"/>
  <c r="G74"/>
  <c r="Q74" s="1"/>
  <c r="F74"/>
  <c r="G73"/>
  <c r="F73"/>
  <c r="E72"/>
  <c r="F72" s="1"/>
  <c r="J71"/>
  <c r="E71"/>
  <c r="F71" s="1"/>
  <c r="G71" s="1"/>
  <c r="F70"/>
  <c r="E70"/>
  <c r="G70" s="1"/>
  <c r="G69"/>
  <c r="C69"/>
  <c r="Q69" s="1"/>
  <c r="G64"/>
  <c r="F64"/>
  <c r="G63"/>
  <c r="F63"/>
  <c r="E62"/>
  <c r="F62" s="1"/>
  <c r="G61"/>
  <c r="F61"/>
  <c r="G60"/>
  <c r="F60"/>
  <c r="E59"/>
  <c r="G58"/>
  <c r="F58"/>
  <c r="G57"/>
  <c r="F57"/>
  <c r="E56"/>
  <c r="G55"/>
  <c r="F55"/>
  <c r="G54"/>
  <c r="F54"/>
  <c r="E53"/>
  <c r="F52"/>
  <c r="E52"/>
  <c r="G52" s="1"/>
  <c r="J51"/>
  <c r="G51"/>
  <c r="G50"/>
  <c r="F50"/>
  <c r="G49"/>
  <c r="F49"/>
  <c r="E48"/>
  <c r="F48" s="1"/>
  <c r="F47"/>
  <c r="E47"/>
  <c r="G47" s="1"/>
  <c r="J46"/>
  <c r="G46"/>
  <c r="G45"/>
  <c r="F45"/>
  <c r="G44"/>
  <c r="F44"/>
  <c r="E43"/>
  <c r="G43" s="1"/>
  <c r="G42"/>
  <c r="F42"/>
  <c r="G41"/>
  <c r="F41"/>
  <c r="E40"/>
  <c r="G40" s="1"/>
  <c r="L40" s="1"/>
  <c r="S39"/>
  <c r="G39"/>
  <c r="Q39" s="1"/>
  <c r="F39"/>
  <c r="G38"/>
  <c r="F38"/>
  <c r="G37"/>
  <c r="E37"/>
  <c r="F37" s="1"/>
  <c r="F36"/>
  <c r="G36" s="1"/>
  <c r="E35"/>
  <c r="G35" s="1"/>
  <c r="G34"/>
  <c r="Q34" s="1"/>
  <c r="F33"/>
  <c r="E33"/>
  <c r="J32"/>
  <c r="G32"/>
  <c r="C32"/>
  <c r="S31"/>
  <c r="G31"/>
  <c r="Q31" s="1"/>
  <c r="F31"/>
  <c r="G30"/>
  <c r="F30"/>
  <c r="E29"/>
  <c r="F29" s="1"/>
  <c r="G29" s="1"/>
  <c r="G28"/>
  <c r="F28"/>
  <c r="E28"/>
  <c r="J27"/>
  <c r="G27"/>
  <c r="C27"/>
  <c r="F21"/>
  <c r="G21" s="1"/>
  <c r="F20"/>
  <c r="G20" s="1"/>
  <c r="L20" s="1"/>
  <c r="S19"/>
  <c r="G19"/>
  <c r="Q19" s="1"/>
  <c r="F19"/>
  <c r="J18"/>
  <c r="G18"/>
  <c r="Q18" s="1"/>
  <c r="L17"/>
  <c r="U17" s="1"/>
  <c r="J17"/>
  <c r="G17"/>
  <c r="T16"/>
  <c r="S16"/>
  <c r="G16"/>
  <c r="F16"/>
  <c r="F15"/>
  <c r="G15" s="1"/>
  <c r="G14"/>
  <c r="F14"/>
  <c r="E14"/>
  <c r="G13"/>
  <c r="G12"/>
  <c r="E12"/>
  <c r="J11"/>
  <c r="G11"/>
  <c r="G10"/>
  <c r="E10"/>
  <c r="J9"/>
  <c r="G9"/>
  <c r="C9"/>
  <c r="S8"/>
  <c r="G8"/>
  <c r="Q8" s="1"/>
  <c r="T8" s="1"/>
  <c r="F8"/>
  <c r="G7"/>
  <c r="F7"/>
  <c r="E6"/>
  <c r="G6" s="1"/>
  <c r="J5"/>
  <c r="F5"/>
  <c r="E5"/>
  <c r="G5" s="1"/>
  <c r="J4"/>
  <c r="G4"/>
  <c r="C4"/>
  <c r="G238" i="5"/>
  <c r="G237"/>
  <c r="F237"/>
  <c r="E236"/>
  <c r="G235"/>
  <c r="G234"/>
  <c r="F234"/>
  <c r="G233"/>
  <c r="L233" s="1"/>
  <c r="E233"/>
  <c r="F233" s="1"/>
  <c r="G232"/>
  <c r="G231"/>
  <c r="F231"/>
  <c r="E230"/>
  <c r="F230" s="1"/>
  <c r="G229"/>
  <c r="J228"/>
  <c r="G228"/>
  <c r="L228" s="1"/>
  <c r="J227"/>
  <c r="G227"/>
  <c r="J226"/>
  <c r="G226"/>
  <c r="G225"/>
  <c r="G224"/>
  <c r="F224"/>
  <c r="E223"/>
  <c r="F223" s="1"/>
  <c r="G215"/>
  <c r="F215"/>
  <c r="G214"/>
  <c r="F214"/>
  <c r="E213"/>
  <c r="F213" s="1"/>
  <c r="G211"/>
  <c r="F211"/>
  <c r="G210"/>
  <c r="F210"/>
  <c r="E209"/>
  <c r="F209" s="1"/>
  <c r="G207"/>
  <c r="F207"/>
  <c r="G206"/>
  <c r="F206"/>
  <c r="E205"/>
  <c r="G205" s="1"/>
  <c r="L205" s="1"/>
  <c r="G204"/>
  <c r="G203"/>
  <c r="F203"/>
  <c r="G202"/>
  <c r="F202"/>
  <c r="F201"/>
  <c r="E201"/>
  <c r="G201" s="1"/>
  <c r="G200"/>
  <c r="Q200" s="1"/>
  <c r="F200"/>
  <c r="G199"/>
  <c r="F199"/>
  <c r="E198"/>
  <c r="G198" s="1"/>
  <c r="E197"/>
  <c r="G197" s="1"/>
  <c r="J196"/>
  <c r="G196"/>
  <c r="Q196" s="1"/>
  <c r="F195"/>
  <c r="G195" s="1"/>
  <c r="E195"/>
  <c r="J194"/>
  <c r="G194"/>
  <c r="C194"/>
  <c r="Q194" s="1"/>
  <c r="G193"/>
  <c r="F193"/>
  <c r="G192"/>
  <c r="F192"/>
  <c r="F191"/>
  <c r="E191"/>
  <c r="G191" s="1"/>
  <c r="F190"/>
  <c r="E190"/>
  <c r="G190" s="1"/>
  <c r="G189"/>
  <c r="G188"/>
  <c r="F188"/>
  <c r="G187"/>
  <c r="F187"/>
  <c r="E186"/>
  <c r="G186" s="1"/>
  <c r="G185"/>
  <c r="Q185" s="1"/>
  <c r="F185"/>
  <c r="G184"/>
  <c r="F184"/>
  <c r="E183"/>
  <c r="G183" s="1"/>
  <c r="G181"/>
  <c r="E181"/>
  <c r="J180"/>
  <c r="G180"/>
  <c r="Q180" s="1"/>
  <c r="F179"/>
  <c r="E179"/>
  <c r="J178"/>
  <c r="G178"/>
  <c r="C178"/>
  <c r="Q178" s="1"/>
  <c r="S177"/>
  <c r="G177"/>
  <c r="Q177" s="1"/>
  <c r="F177"/>
  <c r="G176"/>
  <c r="F176"/>
  <c r="E175"/>
  <c r="G174"/>
  <c r="E173"/>
  <c r="G173" s="1"/>
  <c r="J172"/>
  <c r="G172"/>
  <c r="Q172" s="1"/>
  <c r="F171"/>
  <c r="E171"/>
  <c r="G171" s="1"/>
  <c r="J170"/>
  <c r="G170"/>
  <c r="C170"/>
  <c r="S169"/>
  <c r="G169"/>
  <c r="Q169" s="1"/>
  <c r="F169"/>
  <c r="G168"/>
  <c r="F168"/>
  <c r="F167"/>
  <c r="G167" s="1"/>
  <c r="E167"/>
  <c r="E166"/>
  <c r="G166" s="1"/>
  <c r="J165"/>
  <c r="G165"/>
  <c r="Q165" s="1"/>
  <c r="F164"/>
  <c r="E164"/>
  <c r="J163"/>
  <c r="G163"/>
  <c r="C163"/>
  <c r="Q163" s="1"/>
  <c r="S162"/>
  <c r="G162"/>
  <c r="F162"/>
  <c r="C162"/>
  <c r="Q162" s="1"/>
  <c r="T162" s="1"/>
  <c r="F161"/>
  <c r="E161"/>
  <c r="S160"/>
  <c r="Q160"/>
  <c r="G160"/>
  <c r="F160"/>
  <c r="G159"/>
  <c r="F159"/>
  <c r="E158"/>
  <c r="G158" s="1"/>
  <c r="G157"/>
  <c r="E156"/>
  <c r="G156" s="1"/>
  <c r="J155"/>
  <c r="Q155" s="1"/>
  <c r="T160" s="1"/>
  <c r="G155"/>
  <c r="F154"/>
  <c r="E154"/>
  <c r="G154" s="1"/>
  <c r="J153"/>
  <c r="G153"/>
  <c r="C153"/>
  <c r="S152"/>
  <c r="Q152"/>
  <c r="G152"/>
  <c r="F152"/>
  <c r="G151"/>
  <c r="F151"/>
  <c r="E150"/>
  <c r="G150" s="1"/>
  <c r="G149"/>
  <c r="E148"/>
  <c r="G148" s="1"/>
  <c r="J147"/>
  <c r="Q147" s="1"/>
  <c r="G147"/>
  <c r="F146"/>
  <c r="E146"/>
  <c r="G146" s="1"/>
  <c r="J145"/>
  <c r="G145"/>
  <c r="G139"/>
  <c r="G138"/>
  <c r="E137"/>
  <c r="G137" s="1"/>
  <c r="G136"/>
  <c r="G135"/>
  <c r="E134"/>
  <c r="G134" s="1"/>
  <c r="G133"/>
  <c r="G132"/>
  <c r="E131"/>
  <c r="G131" s="1"/>
  <c r="G130"/>
  <c r="G129"/>
  <c r="G128"/>
  <c r="L128" s="1"/>
  <c r="E128"/>
  <c r="G127"/>
  <c r="G126"/>
  <c r="L125"/>
  <c r="G125"/>
  <c r="E125"/>
  <c r="G124"/>
  <c r="G123"/>
  <c r="G122"/>
  <c r="E122"/>
  <c r="F121"/>
  <c r="G121" s="1"/>
  <c r="G120"/>
  <c r="G119"/>
  <c r="G118"/>
  <c r="E117"/>
  <c r="G117" s="1"/>
  <c r="F116"/>
  <c r="G116" s="1"/>
  <c r="L115" s="1"/>
  <c r="G115"/>
  <c r="G113"/>
  <c r="G112"/>
  <c r="G111"/>
  <c r="G110"/>
  <c r="E109"/>
  <c r="G109" s="1"/>
  <c r="G108"/>
  <c r="G107"/>
  <c r="E106"/>
  <c r="G106" s="1"/>
  <c r="L105"/>
  <c r="G104"/>
  <c r="G103"/>
  <c r="E102"/>
  <c r="G102" s="1"/>
  <c r="L101" s="1"/>
  <c r="Q101" s="1"/>
  <c r="G100"/>
  <c r="G99"/>
  <c r="E98"/>
  <c r="G98" s="1"/>
  <c r="E97"/>
  <c r="G97" s="1"/>
  <c r="G96"/>
  <c r="G95"/>
  <c r="J94"/>
  <c r="G94"/>
  <c r="G93"/>
  <c r="G92"/>
  <c r="E91"/>
  <c r="G91" s="1"/>
  <c r="G90"/>
  <c r="E90"/>
  <c r="G89"/>
  <c r="G88"/>
  <c r="F88"/>
  <c r="E88"/>
  <c r="G87"/>
  <c r="G86"/>
  <c r="G85"/>
  <c r="E84"/>
  <c r="G84" s="1"/>
  <c r="F83"/>
  <c r="E83"/>
  <c r="G83" s="1"/>
  <c r="G82"/>
  <c r="S81"/>
  <c r="G81"/>
  <c r="Q81" s="1"/>
  <c r="F81"/>
  <c r="G80"/>
  <c r="F80"/>
  <c r="E79"/>
  <c r="G79" s="1"/>
  <c r="G78"/>
  <c r="E78"/>
  <c r="E75"/>
  <c r="G75" s="1"/>
  <c r="G74"/>
  <c r="Q74" s="1"/>
  <c r="E73"/>
  <c r="G73" s="1"/>
  <c r="J72"/>
  <c r="G72"/>
  <c r="S71"/>
  <c r="G71"/>
  <c r="Q71" s="1"/>
  <c r="F71"/>
  <c r="G70"/>
  <c r="F70"/>
  <c r="E69"/>
  <c r="J68"/>
  <c r="E68"/>
  <c r="F67"/>
  <c r="E67"/>
  <c r="G67" s="1"/>
  <c r="G66"/>
  <c r="C66"/>
  <c r="Q66" s="1"/>
  <c r="G61"/>
  <c r="F61"/>
  <c r="G60"/>
  <c r="F60"/>
  <c r="E59"/>
  <c r="F59" s="1"/>
  <c r="G58"/>
  <c r="F58"/>
  <c r="G57"/>
  <c r="F57"/>
  <c r="E56"/>
  <c r="F56" s="1"/>
  <c r="G55"/>
  <c r="F55"/>
  <c r="G54"/>
  <c r="F54"/>
  <c r="E53"/>
  <c r="F53" s="1"/>
  <c r="F52"/>
  <c r="E52"/>
  <c r="G52" s="1"/>
  <c r="J51"/>
  <c r="G51"/>
  <c r="G50"/>
  <c r="F50"/>
  <c r="G49"/>
  <c r="F49"/>
  <c r="E48"/>
  <c r="F48" s="1"/>
  <c r="F47"/>
  <c r="E47"/>
  <c r="J46"/>
  <c r="G46"/>
  <c r="G45"/>
  <c r="F45"/>
  <c r="G44"/>
  <c r="F44"/>
  <c r="G43"/>
  <c r="L43" s="1"/>
  <c r="E43"/>
  <c r="F43" s="1"/>
  <c r="G42"/>
  <c r="F42"/>
  <c r="G41"/>
  <c r="F41"/>
  <c r="E40"/>
  <c r="F40" s="1"/>
  <c r="S39"/>
  <c r="F39"/>
  <c r="G39" s="1"/>
  <c r="Q39" s="1"/>
  <c r="G38"/>
  <c r="F38"/>
  <c r="E37"/>
  <c r="F37" s="1"/>
  <c r="F36"/>
  <c r="G36" s="1"/>
  <c r="E35"/>
  <c r="G35" s="1"/>
  <c r="G34"/>
  <c r="Q34" s="1"/>
  <c r="F33"/>
  <c r="G33" s="1"/>
  <c r="E33"/>
  <c r="J32"/>
  <c r="G32"/>
  <c r="C32"/>
  <c r="Q32" s="1"/>
  <c r="T39" s="1"/>
  <c r="S31"/>
  <c r="G31"/>
  <c r="Q31" s="1"/>
  <c r="F31"/>
  <c r="G30"/>
  <c r="F30"/>
  <c r="E29"/>
  <c r="F29" s="1"/>
  <c r="G29" s="1"/>
  <c r="F28"/>
  <c r="E28"/>
  <c r="G28" s="1"/>
  <c r="J27"/>
  <c r="G27"/>
  <c r="C27"/>
  <c r="F21"/>
  <c r="G21" s="1"/>
  <c r="F20"/>
  <c r="G20" s="1"/>
  <c r="L20" s="1"/>
  <c r="S19"/>
  <c r="F19"/>
  <c r="G19" s="1"/>
  <c r="Q19" s="1"/>
  <c r="J18"/>
  <c r="G18"/>
  <c r="J17"/>
  <c r="G17"/>
  <c r="T16"/>
  <c r="S16"/>
  <c r="F16"/>
  <c r="G16" s="1"/>
  <c r="F15"/>
  <c r="G15" s="1"/>
  <c r="F14"/>
  <c r="E14"/>
  <c r="G13"/>
  <c r="E12"/>
  <c r="G12" s="1"/>
  <c r="J11"/>
  <c r="G11"/>
  <c r="E10"/>
  <c r="G10" s="1"/>
  <c r="J9"/>
  <c r="G9"/>
  <c r="C9"/>
  <c r="S8"/>
  <c r="Q8"/>
  <c r="T8" s="1"/>
  <c r="G8"/>
  <c r="F8"/>
  <c r="G7"/>
  <c r="F7"/>
  <c r="E6"/>
  <c r="F6" s="1"/>
  <c r="J5"/>
  <c r="F5"/>
  <c r="E5"/>
  <c r="G5" s="1"/>
  <c r="J4"/>
  <c r="G4"/>
  <c r="C4"/>
  <c r="G223" i="4"/>
  <c r="G222"/>
  <c r="F222"/>
  <c r="E221"/>
  <c r="G220"/>
  <c r="G219"/>
  <c r="F219"/>
  <c r="G218"/>
  <c r="F218"/>
  <c r="E218"/>
  <c r="G217"/>
  <c r="J216"/>
  <c r="G216"/>
  <c r="J215"/>
  <c r="G215"/>
  <c r="J214"/>
  <c r="G214"/>
  <c r="L214" s="1"/>
  <c r="G213"/>
  <c r="G212"/>
  <c r="F212"/>
  <c r="G211"/>
  <c r="L211" s="1"/>
  <c r="E211"/>
  <c r="F211" s="1"/>
  <c r="G203"/>
  <c r="F203"/>
  <c r="G202"/>
  <c r="F202"/>
  <c r="G201"/>
  <c r="L201" s="1"/>
  <c r="E201"/>
  <c r="F201" s="1"/>
  <c r="G199"/>
  <c r="F199"/>
  <c r="G198"/>
  <c r="F198"/>
  <c r="E197"/>
  <c r="G195"/>
  <c r="F195"/>
  <c r="G194"/>
  <c r="F194"/>
  <c r="E193"/>
  <c r="F193" s="1"/>
  <c r="G192"/>
  <c r="G191"/>
  <c r="F191"/>
  <c r="G190"/>
  <c r="F190"/>
  <c r="E189"/>
  <c r="G189" s="1"/>
  <c r="L189" s="1"/>
  <c r="G188"/>
  <c r="Q188" s="1"/>
  <c r="F188"/>
  <c r="G187"/>
  <c r="F187"/>
  <c r="E186"/>
  <c r="G186" s="1"/>
  <c r="E185"/>
  <c r="G185" s="1"/>
  <c r="J184"/>
  <c r="G184"/>
  <c r="F183"/>
  <c r="E183"/>
  <c r="G183" s="1"/>
  <c r="J182"/>
  <c r="G182"/>
  <c r="C182"/>
  <c r="G181"/>
  <c r="F181"/>
  <c r="G180"/>
  <c r="F180"/>
  <c r="E179"/>
  <c r="G179" s="1"/>
  <c r="G178"/>
  <c r="F178"/>
  <c r="E178"/>
  <c r="G177"/>
  <c r="L177" s="1"/>
  <c r="G176"/>
  <c r="F176"/>
  <c r="G175"/>
  <c r="F175"/>
  <c r="E174"/>
  <c r="F174" s="1"/>
  <c r="G173"/>
  <c r="Q173" s="1"/>
  <c r="F173"/>
  <c r="G172"/>
  <c r="F172"/>
  <c r="E171"/>
  <c r="F171" s="1"/>
  <c r="E169"/>
  <c r="G169" s="1"/>
  <c r="J168"/>
  <c r="G168"/>
  <c r="Q168" s="1"/>
  <c r="F167"/>
  <c r="E167"/>
  <c r="G167" s="1"/>
  <c r="J166"/>
  <c r="G166"/>
  <c r="C166"/>
  <c r="Q166" s="1"/>
  <c r="S165"/>
  <c r="G165"/>
  <c r="Q165" s="1"/>
  <c r="F165"/>
  <c r="G164"/>
  <c r="F164"/>
  <c r="E163"/>
  <c r="G162"/>
  <c r="G161"/>
  <c r="E161"/>
  <c r="J160"/>
  <c r="G160"/>
  <c r="F159"/>
  <c r="E159"/>
  <c r="J158"/>
  <c r="G158"/>
  <c r="C158"/>
  <c r="S157"/>
  <c r="G157"/>
  <c r="Q157" s="1"/>
  <c r="F157"/>
  <c r="G156"/>
  <c r="F156"/>
  <c r="E155"/>
  <c r="F155" s="1"/>
  <c r="G155" s="1"/>
  <c r="E154"/>
  <c r="G154" s="1"/>
  <c r="J153"/>
  <c r="G153"/>
  <c r="G152"/>
  <c r="F152"/>
  <c r="E152"/>
  <c r="J151"/>
  <c r="G151"/>
  <c r="C151"/>
  <c r="S150"/>
  <c r="F150"/>
  <c r="G150" s="1"/>
  <c r="C150"/>
  <c r="F149"/>
  <c r="G149" s="1"/>
  <c r="E149"/>
  <c r="S148"/>
  <c r="Q148"/>
  <c r="G148"/>
  <c r="F148"/>
  <c r="G147"/>
  <c r="F147"/>
  <c r="E146"/>
  <c r="F146" s="1"/>
  <c r="G145"/>
  <c r="E144"/>
  <c r="G144" s="1"/>
  <c r="J143"/>
  <c r="Q143" s="1"/>
  <c r="T148" s="1"/>
  <c r="G143"/>
  <c r="F142"/>
  <c r="E142"/>
  <c r="G142" s="1"/>
  <c r="J141"/>
  <c r="G141"/>
  <c r="C141"/>
  <c r="S140"/>
  <c r="Q140"/>
  <c r="G140"/>
  <c r="F140"/>
  <c r="G139"/>
  <c r="F139"/>
  <c r="E138"/>
  <c r="F138" s="1"/>
  <c r="G137"/>
  <c r="E136"/>
  <c r="G136" s="1"/>
  <c r="J135"/>
  <c r="Q135" s="1"/>
  <c r="G135"/>
  <c r="F134"/>
  <c r="E134"/>
  <c r="G134" s="1"/>
  <c r="J133"/>
  <c r="Q133" s="1"/>
  <c r="T140" s="1"/>
  <c r="G133"/>
  <c r="G127"/>
  <c r="G126"/>
  <c r="E125"/>
  <c r="G125" s="1"/>
  <c r="L125" s="1"/>
  <c r="G124"/>
  <c r="G123"/>
  <c r="E122"/>
  <c r="G122" s="1"/>
  <c r="L122" s="1"/>
  <c r="G121"/>
  <c r="G120"/>
  <c r="E119"/>
  <c r="G119" s="1"/>
  <c r="G118"/>
  <c r="G117"/>
  <c r="E116"/>
  <c r="G116" s="1"/>
  <c r="F115"/>
  <c r="G115" s="1"/>
  <c r="G114"/>
  <c r="G113"/>
  <c r="G112"/>
  <c r="E111"/>
  <c r="G111" s="1"/>
  <c r="F110"/>
  <c r="G110" s="1"/>
  <c r="G109"/>
  <c r="G107"/>
  <c r="G106"/>
  <c r="L106" s="1"/>
  <c r="G105"/>
  <c r="G104"/>
  <c r="E103"/>
  <c r="G103" s="1"/>
  <c r="L103" s="1"/>
  <c r="G102"/>
  <c r="G101"/>
  <c r="E100"/>
  <c r="G100" s="1"/>
  <c r="L99" s="1"/>
  <c r="G98"/>
  <c r="G97"/>
  <c r="E96"/>
  <c r="G96" s="1"/>
  <c r="L95" s="1"/>
  <c r="Q95" s="1"/>
  <c r="G94"/>
  <c r="G93"/>
  <c r="E92"/>
  <c r="G92" s="1"/>
  <c r="E91"/>
  <c r="G91" s="1"/>
  <c r="G90"/>
  <c r="G89"/>
  <c r="J88"/>
  <c r="G88"/>
  <c r="G87"/>
  <c r="G86"/>
  <c r="E85"/>
  <c r="G85" s="1"/>
  <c r="E84"/>
  <c r="G84" s="1"/>
  <c r="G83"/>
  <c r="F82"/>
  <c r="E82"/>
  <c r="G82" s="1"/>
  <c r="G81"/>
  <c r="G80"/>
  <c r="G79"/>
  <c r="E78"/>
  <c r="G78" s="1"/>
  <c r="G77"/>
  <c r="F77"/>
  <c r="E77"/>
  <c r="G76"/>
  <c r="S75"/>
  <c r="G75"/>
  <c r="Q75" s="1"/>
  <c r="F75"/>
  <c r="G74"/>
  <c r="F74"/>
  <c r="E73"/>
  <c r="F73" s="1"/>
  <c r="E72"/>
  <c r="G72" s="1"/>
  <c r="G69"/>
  <c r="E69"/>
  <c r="G68"/>
  <c r="Q68" s="1"/>
  <c r="G67"/>
  <c r="E67"/>
  <c r="J66"/>
  <c r="G66"/>
  <c r="S65"/>
  <c r="Q65"/>
  <c r="G65"/>
  <c r="F65"/>
  <c r="G64"/>
  <c r="F64"/>
  <c r="E63"/>
  <c r="F63" s="1"/>
  <c r="J62"/>
  <c r="E62"/>
  <c r="F62" s="1"/>
  <c r="G61"/>
  <c r="F61"/>
  <c r="E61"/>
  <c r="G60"/>
  <c r="C60"/>
  <c r="G55"/>
  <c r="F55"/>
  <c r="G54"/>
  <c r="F54"/>
  <c r="E53"/>
  <c r="F52"/>
  <c r="G52" s="1"/>
  <c r="E52"/>
  <c r="J51"/>
  <c r="G51"/>
  <c r="G50"/>
  <c r="F50"/>
  <c r="G49"/>
  <c r="F49"/>
  <c r="E48"/>
  <c r="F48" s="1"/>
  <c r="F47"/>
  <c r="E47"/>
  <c r="J46"/>
  <c r="G46"/>
  <c r="G45"/>
  <c r="F45"/>
  <c r="G44"/>
  <c r="F44"/>
  <c r="G43"/>
  <c r="L43" s="1"/>
  <c r="E43"/>
  <c r="F43" s="1"/>
  <c r="G42"/>
  <c r="F42"/>
  <c r="G41"/>
  <c r="F41"/>
  <c r="G40"/>
  <c r="L40" s="1"/>
  <c r="F40"/>
  <c r="E40"/>
  <c r="S39"/>
  <c r="F39"/>
  <c r="G39" s="1"/>
  <c r="Q39" s="1"/>
  <c r="G38"/>
  <c r="F38"/>
  <c r="E37"/>
  <c r="F37" s="1"/>
  <c r="G36"/>
  <c r="F36"/>
  <c r="E35"/>
  <c r="G35" s="1"/>
  <c r="G34"/>
  <c r="Q34" s="1"/>
  <c r="F33"/>
  <c r="E33"/>
  <c r="J32"/>
  <c r="G32"/>
  <c r="C32"/>
  <c r="Q32" s="1"/>
  <c r="S31"/>
  <c r="G31"/>
  <c r="Q31" s="1"/>
  <c r="F31"/>
  <c r="G30"/>
  <c r="F30"/>
  <c r="E29"/>
  <c r="F29" s="1"/>
  <c r="G29" s="1"/>
  <c r="F28"/>
  <c r="E28"/>
  <c r="J27"/>
  <c r="G27"/>
  <c r="C27"/>
  <c r="F21"/>
  <c r="G21" s="1"/>
  <c r="F20"/>
  <c r="G20" s="1"/>
  <c r="L20" s="1"/>
  <c r="S19"/>
  <c r="F19"/>
  <c r="G19" s="1"/>
  <c r="Q19" s="1"/>
  <c r="J18"/>
  <c r="G18"/>
  <c r="Q18" s="1"/>
  <c r="J17"/>
  <c r="G17"/>
  <c r="T16"/>
  <c r="S16"/>
  <c r="F16"/>
  <c r="G16" s="1"/>
  <c r="F15"/>
  <c r="G15" s="1"/>
  <c r="F14"/>
  <c r="E14"/>
  <c r="G13"/>
  <c r="E12"/>
  <c r="G12" s="1"/>
  <c r="J11"/>
  <c r="G11"/>
  <c r="E10"/>
  <c r="G10" s="1"/>
  <c r="J9"/>
  <c r="G9"/>
  <c r="C9"/>
  <c r="S8"/>
  <c r="G8"/>
  <c r="Q8" s="1"/>
  <c r="T8" s="1"/>
  <c r="F8"/>
  <c r="G7"/>
  <c r="F7"/>
  <c r="E6"/>
  <c r="F6" s="1"/>
  <c r="J5"/>
  <c r="F5"/>
  <c r="E5"/>
  <c r="J4"/>
  <c r="G4"/>
  <c r="C4"/>
  <c r="G217" i="3"/>
  <c r="G216"/>
  <c r="F216"/>
  <c r="E215"/>
  <c r="F215" s="1"/>
  <c r="G214"/>
  <c r="G213"/>
  <c r="F213"/>
  <c r="G212"/>
  <c r="E212"/>
  <c r="F212" s="1"/>
  <c r="G211"/>
  <c r="L210" s="1"/>
  <c r="J210"/>
  <c r="G210"/>
  <c r="J209"/>
  <c r="G209"/>
  <c r="J208"/>
  <c r="G208"/>
  <c r="G207"/>
  <c r="G206"/>
  <c r="F206"/>
  <c r="E205"/>
  <c r="G205" s="1"/>
  <c r="L205" s="1"/>
  <c r="G197"/>
  <c r="F197"/>
  <c r="G196"/>
  <c r="F196"/>
  <c r="G195"/>
  <c r="F195"/>
  <c r="G193"/>
  <c r="F193"/>
  <c r="G192"/>
  <c r="F192"/>
  <c r="G191"/>
  <c r="L191" s="1"/>
  <c r="F191"/>
  <c r="G189"/>
  <c r="F189"/>
  <c r="G188"/>
  <c r="F188"/>
  <c r="E187"/>
  <c r="F187" s="1"/>
  <c r="G186"/>
  <c r="G185"/>
  <c r="F185"/>
  <c r="G184"/>
  <c r="F184"/>
  <c r="E183"/>
  <c r="G183" s="1"/>
  <c r="L183" s="1"/>
  <c r="G182"/>
  <c r="Q182" s="1"/>
  <c r="F182"/>
  <c r="G181"/>
  <c r="F181"/>
  <c r="E180"/>
  <c r="G180" s="1"/>
  <c r="E179"/>
  <c r="G179" s="1"/>
  <c r="Q178"/>
  <c r="J178"/>
  <c r="G178"/>
  <c r="F177"/>
  <c r="E177"/>
  <c r="J176"/>
  <c r="G176"/>
  <c r="C176"/>
  <c r="Q176" s="1"/>
  <c r="G175"/>
  <c r="F175"/>
  <c r="G174"/>
  <c r="F174"/>
  <c r="F173"/>
  <c r="E173"/>
  <c r="G173" s="1"/>
  <c r="F172"/>
  <c r="E172"/>
  <c r="G172" s="1"/>
  <c r="L171" s="1"/>
  <c r="G171"/>
  <c r="G170"/>
  <c r="F170"/>
  <c r="G169"/>
  <c r="F169"/>
  <c r="E168"/>
  <c r="G167"/>
  <c r="Q167" s="1"/>
  <c r="F167"/>
  <c r="G166"/>
  <c r="F166"/>
  <c r="G165"/>
  <c r="E165"/>
  <c r="F165" s="1"/>
  <c r="E163"/>
  <c r="G163" s="1"/>
  <c r="Q162"/>
  <c r="J162"/>
  <c r="G162"/>
  <c r="F161"/>
  <c r="G161" s="1"/>
  <c r="E161"/>
  <c r="J160"/>
  <c r="G160"/>
  <c r="C160"/>
  <c r="Q160" s="1"/>
  <c r="S159"/>
  <c r="G159"/>
  <c r="Q159" s="1"/>
  <c r="F159"/>
  <c r="G158"/>
  <c r="F158"/>
  <c r="E157"/>
  <c r="G156"/>
  <c r="E155"/>
  <c r="G155" s="1"/>
  <c r="J154"/>
  <c r="G154"/>
  <c r="Q154" s="1"/>
  <c r="F153"/>
  <c r="E153"/>
  <c r="G153" s="1"/>
  <c r="J152"/>
  <c r="G152"/>
  <c r="C152"/>
  <c r="S151"/>
  <c r="G151"/>
  <c r="Q151" s="1"/>
  <c r="F151"/>
  <c r="G150"/>
  <c r="F150"/>
  <c r="F149"/>
  <c r="E149"/>
  <c r="E148"/>
  <c r="G148" s="1"/>
  <c r="Q147"/>
  <c r="J147"/>
  <c r="G147"/>
  <c r="F146"/>
  <c r="E146"/>
  <c r="G146" s="1"/>
  <c r="J145"/>
  <c r="G145"/>
  <c r="C145"/>
  <c r="S144"/>
  <c r="F144"/>
  <c r="G144" s="1"/>
  <c r="C144"/>
  <c r="F143"/>
  <c r="E143"/>
  <c r="G143" s="1"/>
  <c r="S142"/>
  <c r="G142"/>
  <c r="Q142" s="1"/>
  <c r="F142"/>
  <c r="G141"/>
  <c r="F141"/>
  <c r="E140"/>
  <c r="G139"/>
  <c r="E138"/>
  <c r="G138" s="1"/>
  <c r="J137"/>
  <c r="G137"/>
  <c r="F136"/>
  <c r="E136"/>
  <c r="G136" s="1"/>
  <c r="J135"/>
  <c r="G135"/>
  <c r="C135"/>
  <c r="S134"/>
  <c r="G134"/>
  <c r="Q134" s="1"/>
  <c r="F134"/>
  <c r="G133"/>
  <c r="F133"/>
  <c r="G132"/>
  <c r="E132"/>
  <c r="F132" s="1"/>
  <c r="G131"/>
  <c r="G130"/>
  <c r="E130"/>
  <c r="J129"/>
  <c r="G129"/>
  <c r="Q129" s="1"/>
  <c r="G128"/>
  <c r="F128"/>
  <c r="E128"/>
  <c r="J127"/>
  <c r="G127"/>
  <c r="Q127" s="1"/>
  <c r="G121"/>
  <c r="G120"/>
  <c r="E119"/>
  <c r="G119" s="1"/>
  <c r="L119" s="1"/>
  <c r="G118"/>
  <c r="G117"/>
  <c r="E116"/>
  <c r="G116" s="1"/>
  <c r="L114" s="1"/>
  <c r="F115"/>
  <c r="G115" s="1"/>
  <c r="G114"/>
  <c r="G113"/>
  <c r="G112"/>
  <c r="G111"/>
  <c r="E111"/>
  <c r="F110"/>
  <c r="G110" s="1"/>
  <c r="G109"/>
  <c r="L109" s="1"/>
  <c r="G107"/>
  <c r="G106"/>
  <c r="L106" s="1"/>
  <c r="G105"/>
  <c r="G104"/>
  <c r="E103"/>
  <c r="G103" s="1"/>
  <c r="G102"/>
  <c r="G101"/>
  <c r="E100"/>
  <c r="G100" s="1"/>
  <c r="G98"/>
  <c r="G97"/>
  <c r="L95" s="1"/>
  <c r="Q95" s="1"/>
  <c r="E96"/>
  <c r="G96" s="1"/>
  <c r="G94"/>
  <c r="G93"/>
  <c r="E92"/>
  <c r="G92" s="1"/>
  <c r="G91"/>
  <c r="E91"/>
  <c r="G90"/>
  <c r="G89"/>
  <c r="J88"/>
  <c r="G88"/>
  <c r="G87"/>
  <c r="G86"/>
  <c r="G85"/>
  <c r="E85"/>
  <c r="E84"/>
  <c r="G84" s="1"/>
  <c r="G83"/>
  <c r="F82"/>
  <c r="E82"/>
  <c r="G81"/>
  <c r="G80"/>
  <c r="G79"/>
  <c r="E78"/>
  <c r="G78" s="1"/>
  <c r="G77"/>
  <c r="F77"/>
  <c r="E77"/>
  <c r="G76"/>
  <c r="S75"/>
  <c r="G75"/>
  <c r="Q75" s="1"/>
  <c r="F75"/>
  <c r="G74"/>
  <c r="F74"/>
  <c r="G73"/>
  <c r="E73"/>
  <c r="F73" s="1"/>
  <c r="E72"/>
  <c r="G72" s="1"/>
  <c r="G69"/>
  <c r="E69"/>
  <c r="G68"/>
  <c r="Q68" s="1"/>
  <c r="E67"/>
  <c r="G67" s="1"/>
  <c r="J66"/>
  <c r="G66"/>
  <c r="Q66" s="1"/>
  <c r="S65"/>
  <c r="Q65"/>
  <c r="G65"/>
  <c r="F65"/>
  <c r="G64"/>
  <c r="F64"/>
  <c r="E63"/>
  <c r="F63" s="1"/>
  <c r="J62"/>
  <c r="E62"/>
  <c r="F62" s="1"/>
  <c r="G61"/>
  <c r="F61"/>
  <c r="E61"/>
  <c r="G60"/>
  <c r="C60"/>
  <c r="Q60" s="1"/>
  <c r="T65" s="1"/>
  <c r="G55"/>
  <c r="F55"/>
  <c r="G54"/>
  <c r="F54"/>
  <c r="E53"/>
  <c r="G52"/>
  <c r="F52"/>
  <c r="E52"/>
  <c r="J51"/>
  <c r="G51"/>
  <c r="G50"/>
  <c r="F50"/>
  <c r="G49"/>
  <c r="F49"/>
  <c r="E48"/>
  <c r="F48" s="1"/>
  <c r="F47"/>
  <c r="E47"/>
  <c r="J46"/>
  <c r="G46"/>
  <c r="G45"/>
  <c r="F45"/>
  <c r="G44"/>
  <c r="F44"/>
  <c r="G43"/>
  <c r="L43" s="1"/>
  <c r="F43"/>
  <c r="E43"/>
  <c r="G42"/>
  <c r="F42"/>
  <c r="G41"/>
  <c r="F41"/>
  <c r="E40"/>
  <c r="G40" s="1"/>
  <c r="L40" s="1"/>
  <c r="S39"/>
  <c r="F39"/>
  <c r="G39" s="1"/>
  <c r="Q39" s="1"/>
  <c r="G38"/>
  <c r="F38"/>
  <c r="E37"/>
  <c r="F37" s="1"/>
  <c r="F36"/>
  <c r="G36" s="1"/>
  <c r="E35"/>
  <c r="G35" s="1"/>
  <c r="G34"/>
  <c r="Q34" s="1"/>
  <c r="F33"/>
  <c r="E33"/>
  <c r="G33" s="1"/>
  <c r="J32"/>
  <c r="G32"/>
  <c r="C32"/>
  <c r="Q32" s="1"/>
  <c r="S31"/>
  <c r="G31"/>
  <c r="Q31" s="1"/>
  <c r="F31"/>
  <c r="G30"/>
  <c r="F30"/>
  <c r="E29"/>
  <c r="F29" s="1"/>
  <c r="G29" s="1"/>
  <c r="F28"/>
  <c r="E28"/>
  <c r="J27"/>
  <c r="G27"/>
  <c r="C27"/>
  <c r="Q27" s="1"/>
  <c r="T31" s="1"/>
  <c r="G21"/>
  <c r="F21"/>
  <c r="F20"/>
  <c r="G20" s="1"/>
  <c r="S19"/>
  <c r="G19"/>
  <c r="Q19" s="1"/>
  <c r="F19"/>
  <c r="J18"/>
  <c r="G18"/>
  <c r="Q18" s="1"/>
  <c r="J17"/>
  <c r="G17"/>
  <c r="T16"/>
  <c r="S16"/>
  <c r="G16"/>
  <c r="F16"/>
  <c r="F15"/>
  <c r="G15" s="1"/>
  <c r="G14"/>
  <c r="F14"/>
  <c r="E14"/>
  <c r="G13"/>
  <c r="G12"/>
  <c r="E12"/>
  <c r="J11"/>
  <c r="G11"/>
  <c r="G10"/>
  <c r="E10"/>
  <c r="J9"/>
  <c r="G9"/>
  <c r="C9"/>
  <c r="S8"/>
  <c r="G8"/>
  <c r="Q8" s="1"/>
  <c r="T8" s="1"/>
  <c r="F8"/>
  <c r="G7"/>
  <c r="G23" s="1"/>
  <c r="F7"/>
  <c r="E6"/>
  <c r="F6" s="1"/>
  <c r="J5"/>
  <c r="F5"/>
  <c r="E5"/>
  <c r="J4"/>
  <c r="G4"/>
  <c r="C4"/>
  <c r="G207" i="2"/>
  <c r="G206"/>
  <c r="F206"/>
  <c r="F205"/>
  <c r="E205"/>
  <c r="G205" s="1"/>
  <c r="G204"/>
  <c r="G203"/>
  <c r="F203"/>
  <c r="E202"/>
  <c r="G201"/>
  <c r="L200" s="1"/>
  <c r="J200"/>
  <c r="G200"/>
  <c r="J199"/>
  <c r="G199"/>
  <c r="J198"/>
  <c r="G198"/>
  <c r="G197"/>
  <c r="G196"/>
  <c r="F196"/>
  <c r="G195"/>
  <c r="L195" s="1"/>
  <c r="F195"/>
  <c r="E195"/>
  <c r="G189"/>
  <c r="F189"/>
  <c r="G188"/>
  <c r="F188"/>
  <c r="G187"/>
  <c r="F187"/>
  <c r="E187"/>
  <c r="G186"/>
  <c r="G185"/>
  <c r="F185"/>
  <c r="G184"/>
  <c r="F184"/>
  <c r="E183"/>
  <c r="G183" s="1"/>
  <c r="L183" s="1"/>
  <c r="Q182"/>
  <c r="G182"/>
  <c r="F182"/>
  <c r="G181"/>
  <c r="F181"/>
  <c r="E180"/>
  <c r="G180" s="1"/>
  <c r="E179"/>
  <c r="G179" s="1"/>
  <c r="J178"/>
  <c r="G178"/>
  <c r="F177"/>
  <c r="E177"/>
  <c r="G177" s="1"/>
  <c r="J176"/>
  <c r="G176"/>
  <c r="C176"/>
  <c r="G175"/>
  <c r="F175"/>
  <c r="G174"/>
  <c r="F174"/>
  <c r="E173"/>
  <c r="G173" s="1"/>
  <c r="G172"/>
  <c r="F172"/>
  <c r="E172"/>
  <c r="G171"/>
  <c r="L171" s="1"/>
  <c r="G170"/>
  <c r="F170"/>
  <c r="G169"/>
  <c r="F169"/>
  <c r="E168"/>
  <c r="F168" s="1"/>
  <c r="G167"/>
  <c r="Q167" s="1"/>
  <c r="F167"/>
  <c r="G166"/>
  <c r="F166"/>
  <c r="E165"/>
  <c r="F165" s="1"/>
  <c r="E163"/>
  <c r="G163" s="1"/>
  <c r="J162"/>
  <c r="G162"/>
  <c r="F161"/>
  <c r="E161"/>
  <c r="J160"/>
  <c r="G160"/>
  <c r="C160"/>
  <c r="Q160" s="1"/>
  <c r="S159"/>
  <c r="G159"/>
  <c r="Q159" s="1"/>
  <c r="F159"/>
  <c r="G158"/>
  <c r="U161" s="1"/>
  <c r="F158"/>
  <c r="E157"/>
  <c r="F157" s="1"/>
  <c r="G156"/>
  <c r="E155"/>
  <c r="G155" s="1"/>
  <c r="J154"/>
  <c r="G154"/>
  <c r="Q154" s="1"/>
  <c r="F153"/>
  <c r="E153"/>
  <c r="J152"/>
  <c r="G152"/>
  <c r="C152"/>
  <c r="Q152" s="1"/>
  <c r="T159" s="1"/>
  <c r="S151"/>
  <c r="G151"/>
  <c r="Q151" s="1"/>
  <c r="F151"/>
  <c r="G150"/>
  <c r="F150"/>
  <c r="E149"/>
  <c r="F149" s="1"/>
  <c r="G148"/>
  <c r="E148"/>
  <c r="J147"/>
  <c r="G147"/>
  <c r="Q147" s="1"/>
  <c r="F146"/>
  <c r="E146"/>
  <c r="J145"/>
  <c r="G145"/>
  <c r="C145"/>
  <c r="S144"/>
  <c r="F144"/>
  <c r="G144" s="1"/>
  <c r="C144"/>
  <c r="G143"/>
  <c r="F143"/>
  <c r="E143"/>
  <c r="S142"/>
  <c r="G142"/>
  <c r="Q142" s="1"/>
  <c r="F142"/>
  <c r="G141"/>
  <c r="F141"/>
  <c r="E140"/>
  <c r="F140" s="1"/>
  <c r="G139"/>
  <c r="E138"/>
  <c r="G138" s="1"/>
  <c r="Q137"/>
  <c r="T142" s="1"/>
  <c r="J137"/>
  <c r="G137"/>
  <c r="F136"/>
  <c r="E136"/>
  <c r="J135"/>
  <c r="G135"/>
  <c r="C135"/>
  <c r="S134"/>
  <c r="G134"/>
  <c r="Q134" s="1"/>
  <c r="F134"/>
  <c r="G133"/>
  <c r="F133"/>
  <c r="E132"/>
  <c r="F132" s="1"/>
  <c r="G131"/>
  <c r="E130"/>
  <c r="G130" s="1"/>
  <c r="Q129"/>
  <c r="J129"/>
  <c r="G129"/>
  <c r="F128"/>
  <c r="E128"/>
  <c r="J127"/>
  <c r="G127"/>
  <c r="G121"/>
  <c r="G120"/>
  <c r="E119"/>
  <c r="G119" s="1"/>
  <c r="F118"/>
  <c r="G118" s="1"/>
  <c r="G117"/>
  <c r="G116"/>
  <c r="G115"/>
  <c r="E114"/>
  <c r="G114" s="1"/>
  <c r="F113"/>
  <c r="G113" s="1"/>
  <c r="G112"/>
  <c r="G110"/>
  <c r="G109"/>
  <c r="L109" s="1"/>
  <c r="G108"/>
  <c r="G107"/>
  <c r="E106"/>
  <c r="G106" s="1"/>
  <c r="G105"/>
  <c r="G104"/>
  <c r="G103"/>
  <c r="G101"/>
  <c r="G100"/>
  <c r="E99"/>
  <c r="G99" s="1"/>
  <c r="L98" s="1"/>
  <c r="Q98" s="1"/>
  <c r="G97"/>
  <c r="G96"/>
  <c r="E95"/>
  <c r="G95" s="1"/>
  <c r="E94"/>
  <c r="G94" s="1"/>
  <c r="G93"/>
  <c r="G92"/>
  <c r="J91"/>
  <c r="G91"/>
  <c r="G90"/>
  <c r="G89"/>
  <c r="E88"/>
  <c r="G88" s="1"/>
  <c r="E87"/>
  <c r="G87" s="1"/>
  <c r="G86"/>
  <c r="F85"/>
  <c r="E85"/>
  <c r="G84"/>
  <c r="G83"/>
  <c r="G82"/>
  <c r="E81"/>
  <c r="G81" s="1"/>
  <c r="G80"/>
  <c r="F80"/>
  <c r="E80"/>
  <c r="G79"/>
  <c r="S78"/>
  <c r="G78"/>
  <c r="Q78" s="1"/>
  <c r="F78"/>
  <c r="G77"/>
  <c r="F77"/>
  <c r="E76"/>
  <c r="F76" s="1"/>
  <c r="E75"/>
  <c r="G75" s="1"/>
  <c r="E72"/>
  <c r="G72" s="1"/>
  <c r="G71"/>
  <c r="Q71" s="1"/>
  <c r="E70"/>
  <c r="G70" s="1"/>
  <c r="Q69"/>
  <c r="T78" s="1"/>
  <c r="J69"/>
  <c r="G69"/>
  <c r="S68"/>
  <c r="G68"/>
  <c r="Q68" s="1"/>
  <c r="F68"/>
  <c r="G67"/>
  <c r="F67"/>
  <c r="E66"/>
  <c r="F66" s="1"/>
  <c r="J65"/>
  <c r="E65"/>
  <c r="F65" s="1"/>
  <c r="F64"/>
  <c r="E64"/>
  <c r="G64" s="1"/>
  <c r="G63"/>
  <c r="C63"/>
  <c r="G58"/>
  <c r="F58"/>
  <c r="G57"/>
  <c r="F57"/>
  <c r="E56"/>
  <c r="F56" s="1"/>
  <c r="G55"/>
  <c r="F55"/>
  <c r="G54"/>
  <c r="F54"/>
  <c r="E53"/>
  <c r="F53" s="1"/>
  <c r="G52"/>
  <c r="F52"/>
  <c r="E52"/>
  <c r="J51"/>
  <c r="G51"/>
  <c r="G50"/>
  <c r="F50"/>
  <c r="G49"/>
  <c r="F49"/>
  <c r="E48"/>
  <c r="F48" s="1"/>
  <c r="F47"/>
  <c r="E47"/>
  <c r="G47" s="1"/>
  <c r="J46"/>
  <c r="G46"/>
  <c r="G45"/>
  <c r="F45"/>
  <c r="G44"/>
  <c r="F44"/>
  <c r="E43"/>
  <c r="G42"/>
  <c r="F42"/>
  <c r="G41"/>
  <c r="F41"/>
  <c r="G40"/>
  <c r="L40" s="1"/>
  <c r="E40"/>
  <c r="F40" s="1"/>
  <c r="S39"/>
  <c r="F39"/>
  <c r="G39" s="1"/>
  <c r="Q39" s="1"/>
  <c r="G38"/>
  <c r="F38"/>
  <c r="E37"/>
  <c r="F37" s="1"/>
  <c r="F36"/>
  <c r="G36" s="1"/>
  <c r="E35"/>
  <c r="G35" s="1"/>
  <c r="G34"/>
  <c r="Q34" s="1"/>
  <c r="F33"/>
  <c r="E33"/>
  <c r="J32"/>
  <c r="G32"/>
  <c r="C32"/>
  <c r="S31"/>
  <c r="G31"/>
  <c r="Q31" s="1"/>
  <c r="F31"/>
  <c r="G30"/>
  <c r="F30"/>
  <c r="F29"/>
  <c r="G29" s="1"/>
  <c r="E29"/>
  <c r="F28"/>
  <c r="E28"/>
  <c r="G28" s="1"/>
  <c r="J27"/>
  <c r="G27"/>
  <c r="C27"/>
  <c r="F21"/>
  <c r="G21" s="1"/>
  <c r="F20"/>
  <c r="G20" s="1"/>
  <c r="S19"/>
  <c r="F19"/>
  <c r="G19" s="1"/>
  <c r="Q19" s="1"/>
  <c r="J18"/>
  <c r="G18"/>
  <c r="J17"/>
  <c r="G17"/>
  <c r="T16"/>
  <c r="S16"/>
  <c r="F16"/>
  <c r="G16" s="1"/>
  <c r="F15"/>
  <c r="G15" s="1"/>
  <c r="E14"/>
  <c r="F14" s="1"/>
  <c r="G14" s="1"/>
  <c r="G13"/>
  <c r="G12"/>
  <c r="E12"/>
  <c r="J11"/>
  <c r="G11"/>
  <c r="G10"/>
  <c r="E10"/>
  <c r="J9"/>
  <c r="G9"/>
  <c r="C9"/>
  <c r="S8"/>
  <c r="G8"/>
  <c r="Q8" s="1"/>
  <c r="T8" s="1"/>
  <c r="F8"/>
  <c r="G7"/>
  <c r="G23" s="1"/>
  <c r="F7"/>
  <c r="E6"/>
  <c r="F6" s="1"/>
  <c r="J5"/>
  <c r="F5"/>
  <c r="E5"/>
  <c r="J4"/>
  <c r="G4"/>
  <c r="C4"/>
  <c r="E203" i="1"/>
  <c r="G203" s="1"/>
  <c r="G202"/>
  <c r="F202"/>
  <c r="G201"/>
  <c r="L201" s="1"/>
  <c r="F201"/>
  <c r="E200"/>
  <c r="G200" s="1"/>
  <c r="L194" s="1"/>
  <c r="G199"/>
  <c r="F199"/>
  <c r="G198"/>
  <c r="F198"/>
  <c r="G197"/>
  <c r="G196"/>
  <c r="G195"/>
  <c r="G194"/>
  <c r="E193"/>
  <c r="G193" s="1"/>
  <c r="G192"/>
  <c r="F192"/>
  <c r="G191"/>
  <c r="F191"/>
  <c r="G185"/>
  <c r="F185"/>
  <c r="G184"/>
  <c r="F184"/>
  <c r="G183"/>
  <c r="L183" s="1"/>
  <c r="E183"/>
  <c r="F183" s="1"/>
  <c r="G182"/>
  <c r="G181"/>
  <c r="L179" s="1"/>
  <c r="F181"/>
  <c r="G180"/>
  <c r="F180"/>
  <c r="G179"/>
  <c r="E179"/>
  <c r="F179" s="1"/>
  <c r="G178"/>
  <c r="Q178" s="1"/>
  <c r="F178"/>
  <c r="G177"/>
  <c r="F177"/>
  <c r="G176"/>
  <c r="E176"/>
  <c r="F176" s="1"/>
  <c r="G175"/>
  <c r="E175"/>
  <c r="J174"/>
  <c r="G174"/>
  <c r="Q174" s="1"/>
  <c r="F173"/>
  <c r="G173" s="1"/>
  <c r="E173"/>
  <c r="J172"/>
  <c r="G172"/>
  <c r="C172"/>
  <c r="Q172" s="1"/>
  <c r="G171"/>
  <c r="F171"/>
  <c r="G170"/>
  <c r="F170"/>
  <c r="G169"/>
  <c r="E169"/>
  <c r="F169" s="1"/>
  <c r="F168"/>
  <c r="G168" s="1"/>
  <c r="E168"/>
  <c r="G167"/>
  <c r="G166"/>
  <c r="F166"/>
  <c r="G165"/>
  <c r="F165"/>
  <c r="E164"/>
  <c r="F164" s="1"/>
  <c r="G163"/>
  <c r="Q163" s="1"/>
  <c r="F163"/>
  <c r="G162"/>
  <c r="F162"/>
  <c r="E161"/>
  <c r="F161" s="1"/>
  <c r="E159"/>
  <c r="G159" s="1"/>
  <c r="J158"/>
  <c r="G158"/>
  <c r="Q158" s="1"/>
  <c r="F157"/>
  <c r="E157"/>
  <c r="J156"/>
  <c r="G156"/>
  <c r="C156"/>
  <c r="Q156" s="1"/>
  <c r="S155"/>
  <c r="G155"/>
  <c r="Q155" s="1"/>
  <c r="F155"/>
  <c r="G154"/>
  <c r="U157" s="1"/>
  <c r="F154"/>
  <c r="E153"/>
  <c r="F153" s="1"/>
  <c r="G152"/>
  <c r="G151"/>
  <c r="E151"/>
  <c r="J150"/>
  <c r="G150"/>
  <c r="F149"/>
  <c r="E149"/>
  <c r="G149" s="1"/>
  <c r="J148"/>
  <c r="G148"/>
  <c r="C148"/>
  <c r="S147"/>
  <c r="G147"/>
  <c r="Q147" s="1"/>
  <c r="F147"/>
  <c r="G146"/>
  <c r="F146"/>
  <c r="E145"/>
  <c r="F145" s="1"/>
  <c r="E144"/>
  <c r="G144" s="1"/>
  <c r="J143"/>
  <c r="G143"/>
  <c r="Q143" s="1"/>
  <c r="F142"/>
  <c r="E142"/>
  <c r="J141"/>
  <c r="G141"/>
  <c r="C141"/>
  <c r="Q141" s="1"/>
  <c r="S140"/>
  <c r="F140"/>
  <c r="G140" s="1"/>
  <c r="C140"/>
  <c r="F139"/>
  <c r="G139" s="1"/>
  <c r="E139"/>
  <c r="S138"/>
  <c r="G138"/>
  <c r="Q138" s="1"/>
  <c r="F138"/>
  <c r="G137"/>
  <c r="F137"/>
  <c r="F136"/>
  <c r="E136"/>
  <c r="G136" s="1"/>
  <c r="G135"/>
  <c r="E134"/>
  <c r="G134" s="1"/>
  <c r="J133"/>
  <c r="Q133" s="1"/>
  <c r="G133"/>
  <c r="F132"/>
  <c r="E132"/>
  <c r="J131"/>
  <c r="G131"/>
  <c r="C131"/>
  <c r="Q131" s="1"/>
  <c r="S130"/>
  <c r="G130"/>
  <c r="Q130" s="1"/>
  <c r="F130"/>
  <c r="G129"/>
  <c r="F129"/>
  <c r="E128"/>
  <c r="G127"/>
  <c r="E126"/>
  <c r="G126" s="1"/>
  <c r="J125"/>
  <c r="G125"/>
  <c r="Q125" s="1"/>
  <c r="G124"/>
  <c r="F124"/>
  <c r="E124"/>
  <c r="Q123"/>
  <c r="T130" s="1"/>
  <c r="J123"/>
  <c r="G123"/>
  <c r="G117"/>
  <c r="G116"/>
  <c r="G115"/>
  <c r="E115"/>
  <c r="F114"/>
  <c r="G114" s="1"/>
  <c r="G113"/>
  <c r="G112"/>
  <c r="G111"/>
  <c r="E110"/>
  <c r="G110" s="1"/>
  <c r="F109"/>
  <c r="G109" s="1"/>
  <c r="G108"/>
  <c r="G106"/>
  <c r="G105"/>
  <c r="G104"/>
  <c r="G103"/>
  <c r="G102"/>
  <c r="E102"/>
  <c r="G101"/>
  <c r="G100"/>
  <c r="G99"/>
  <c r="E99"/>
  <c r="G97"/>
  <c r="G96"/>
  <c r="G95"/>
  <c r="E95"/>
  <c r="E94"/>
  <c r="G94" s="1"/>
  <c r="G93"/>
  <c r="G92"/>
  <c r="J91"/>
  <c r="G91"/>
  <c r="G90"/>
  <c r="G89"/>
  <c r="E88"/>
  <c r="G88" s="1"/>
  <c r="F87"/>
  <c r="E87"/>
  <c r="G86"/>
  <c r="F85"/>
  <c r="E85"/>
  <c r="G84"/>
  <c r="G83"/>
  <c r="G82"/>
  <c r="E81"/>
  <c r="G81" s="1"/>
  <c r="F80"/>
  <c r="E80"/>
  <c r="G80" s="1"/>
  <c r="G79"/>
  <c r="S78"/>
  <c r="G78"/>
  <c r="Q78" s="1"/>
  <c r="F78"/>
  <c r="G77"/>
  <c r="F77"/>
  <c r="E76"/>
  <c r="F76" s="1"/>
  <c r="E75"/>
  <c r="G75" s="1"/>
  <c r="E72"/>
  <c r="G72" s="1"/>
  <c r="G71"/>
  <c r="Q71" s="1"/>
  <c r="E70"/>
  <c r="G70" s="1"/>
  <c r="J69"/>
  <c r="G69"/>
  <c r="S68"/>
  <c r="G68"/>
  <c r="Q68" s="1"/>
  <c r="F68"/>
  <c r="G67"/>
  <c r="F67"/>
  <c r="E66"/>
  <c r="F66" s="1"/>
  <c r="J65"/>
  <c r="E65"/>
  <c r="F65" s="1"/>
  <c r="G65" s="1"/>
  <c r="F64"/>
  <c r="E64"/>
  <c r="G64" s="1"/>
  <c r="G63"/>
  <c r="C63"/>
  <c r="G58"/>
  <c r="F58"/>
  <c r="G57"/>
  <c r="F57"/>
  <c r="E56"/>
  <c r="F56" s="1"/>
  <c r="G55"/>
  <c r="F55"/>
  <c r="G54"/>
  <c r="F54"/>
  <c r="E53"/>
  <c r="G53" s="1"/>
  <c r="F52"/>
  <c r="E52"/>
  <c r="G52" s="1"/>
  <c r="I51"/>
  <c r="J51" s="1"/>
  <c r="G51"/>
  <c r="G50"/>
  <c r="F50"/>
  <c r="G49"/>
  <c r="F49"/>
  <c r="E48"/>
  <c r="G47"/>
  <c r="F47"/>
  <c r="E47"/>
  <c r="J46"/>
  <c r="I46"/>
  <c r="G46"/>
  <c r="G45"/>
  <c r="F45"/>
  <c r="G44"/>
  <c r="F44"/>
  <c r="E43"/>
  <c r="G42"/>
  <c r="F42"/>
  <c r="G41"/>
  <c r="F41"/>
  <c r="G40"/>
  <c r="L40" s="1"/>
  <c r="E40"/>
  <c r="F40" s="1"/>
  <c r="S39"/>
  <c r="F39"/>
  <c r="G39" s="1"/>
  <c r="Q39" s="1"/>
  <c r="G38"/>
  <c r="F38"/>
  <c r="E37"/>
  <c r="F37" s="1"/>
  <c r="F36"/>
  <c r="G36" s="1"/>
  <c r="E35"/>
  <c r="G35" s="1"/>
  <c r="G34"/>
  <c r="Q34" s="1"/>
  <c r="F33"/>
  <c r="E33"/>
  <c r="G33" s="1"/>
  <c r="I32"/>
  <c r="J32" s="1"/>
  <c r="G32"/>
  <c r="C32"/>
  <c r="Q32" s="1"/>
  <c r="S31"/>
  <c r="G31"/>
  <c r="Q31" s="1"/>
  <c r="F31"/>
  <c r="G30"/>
  <c r="F30"/>
  <c r="E29"/>
  <c r="F29" s="1"/>
  <c r="G29" s="1"/>
  <c r="F28"/>
  <c r="E28"/>
  <c r="J27"/>
  <c r="G27"/>
  <c r="C27"/>
  <c r="F21"/>
  <c r="G21" s="1"/>
  <c r="F20"/>
  <c r="G20" s="1"/>
  <c r="S19"/>
  <c r="F19"/>
  <c r="G19" s="1"/>
  <c r="Q19" s="1"/>
  <c r="J18"/>
  <c r="G18"/>
  <c r="J17"/>
  <c r="G17"/>
  <c r="T16"/>
  <c r="S16"/>
  <c r="F16"/>
  <c r="G16" s="1"/>
  <c r="F15"/>
  <c r="G15" s="1"/>
  <c r="E14"/>
  <c r="F14" s="1"/>
  <c r="G14" s="1"/>
  <c r="G13"/>
  <c r="E12"/>
  <c r="G12" s="1"/>
  <c r="J11"/>
  <c r="G11"/>
  <c r="E10"/>
  <c r="G10" s="1"/>
  <c r="J9"/>
  <c r="G9"/>
  <c r="C9"/>
  <c r="S8"/>
  <c r="G8"/>
  <c r="Q8" s="1"/>
  <c r="T8" s="1"/>
  <c r="F8"/>
  <c r="G7"/>
  <c r="F7"/>
  <c r="E6"/>
  <c r="F6" s="1"/>
  <c r="J5"/>
  <c r="F5"/>
  <c r="E5"/>
  <c r="G5" s="1"/>
  <c r="J4"/>
  <c r="G4"/>
  <c r="C4"/>
  <c r="T138" l="1"/>
  <c r="G168" i="3"/>
  <c r="L168" s="1"/>
  <c r="F168"/>
  <c r="F163" i="4"/>
  <c r="G163"/>
  <c r="G236" i="5"/>
  <c r="L236" s="1"/>
  <c r="F236"/>
  <c r="F196" i="7"/>
  <c r="G196"/>
  <c r="G231" i="8"/>
  <c r="L231" s="1"/>
  <c r="F231"/>
  <c r="F56" i="9"/>
  <c r="G56"/>
  <c r="F53" i="1"/>
  <c r="L98"/>
  <c r="Q98" s="1"/>
  <c r="L102"/>
  <c r="L113"/>
  <c r="G132"/>
  <c r="Q140"/>
  <c r="T140" s="1"/>
  <c r="L191"/>
  <c r="Q17" i="2"/>
  <c r="L27"/>
  <c r="F43"/>
  <c r="G43"/>
  <c r="L43" s="1"/>
  <c r="Q145"/>
  <c r="L187"/>
  <c r="F40" i="3"/>
  <c r="L66"/>
  <c r="L103"/>
  <c r="L160"/>
  <c r="G177"/>
  <c r="F183"/>
  <c r="F205"/>
  <c r="G5" i="4"/>
  <c r="G6"/>
  <c r="Q27"/>
  <c r="Q60"/>
  <c r="T65" s="1"/>
  <c r="L76"/>
  <c r="L72" i="5"/>
  <c r="Q72"/>
  <c r="T81" s="1"/>
  <c r="L137"/>
  <c r="L201"/>
  <c r="F205"/>
  <c r="G53" i="6"/>
  <c r="L51" s="1"/>
  <c r="F53"/>
  <c r="G62"/>
  <c r="L62" s="1"/>
  <c r="G72"/>
  <c r="L69" s="1"/>
  <c r="U69" s="1"/>
  <c r="L143"/>
  <c r="F197"/>
  <c r="G197"/>
  <c r="L143" i="8"/>
  <c r="Q208"/>
  <c r="F216"/>
  <c r="G50" i="9"/>
  <c r="L49" s="1"/>
  <c r="G59"/>
  <c r="L59" s="1"/>
  <c r="F59"/>
  <c r="G297" i="15"/>
  <c r="G239"/>
  <c r="L99" i="3"/>
  <c r="G175" i="5"/>
  <c r="L170" s="1"/>
  <c r="F175"/>
  <c r="F56" i="6"/>
  <c r="G56"/>
  <c r="L56" s="1"/>
  <c r="L169"/>
  <c r="G230" i="7"/>
  <c r="L230" s="1"/>
  <c r="F230"/>
  <c r="F14" i="8"/>
  <c r="G14" s="1"/>
  <c r="L9" s="1"/>
  <c r="U9" s="1"/>
  <c r="L152"/>
  <c r="F6" i="9"/>
  <c r="G6"/>
  <c r="L4" s="1"/>
  <c r="U4" s="1"/>
  <c r="G56" i="11"/>
  <c r="F56"/>
  <c r="L155"/>
  <c r="F59" i="12"/>
  <c r="G59"/>
  <c r="L59" s="1"/>
  <c r="F83"/>
  <c r="G83"/>
  <c r="L83" s="1"/>
  <c r="G77" i="13"/>
  <c r="L77" s="1"/>
  <c r="F77"/>
  <c r="G128" i="1"/>
  <c r="F128"/>
  <c r="L27" i="6"/>
  <c r="U27" s="1"/>
  <c r="G48" i="1"/>
  <c r="F48"/>
  <c r="G140" i="3"/>
  <c r="L135" s="1"/>
  <c r="F140"/>
  <c r="G157"/>
  <c r="F157"/>
  <c r="U4" i="4"/>
  <c r="F197"/>
  <c r="G197"/>
  <c r="L197" s="1"/>
  <c r="Q17" i="1"/>
  <c r="T19" s="1"/>
  <c r="F43"/>
  <c r="G43"/>
  <c r="L43" s="1"/>
  <c r="Q63"/>
  <c r="T68" s="1"/>
  <c r="G87"/>
  <c r="L91"/>
  <c r="L108"/>
  <c r="G142"/>
  <c r="Q150"/>
  <c r="L102" i="2"/>
  <c r="G161"/>
  <c r="G202"/>
  <c r="L198" s="1"/>
  <c r="F202"/>
  <c r="G28" i="3"/>
  <c r="T39"/>
  <c r="G47"/>
  <c r="G53"/>
  <c r="L51" s="1"/>
  <c r="F53"/>
  <c r="L208"/>
  <c r="L4" i="4"/>
  <c r="G14"/>
  <c r="L9" s="1"/>
  <c r="U9" s="1"/>
  <c r="G221"/>
  <c r="L221" s="1"/>
  <c r="F221"/>
  <c r="G69" i="5"/>
  <c r="F69"/>
  <c r="L94"/>
  <c r="L131"/>
  <c r="L194"/>
  <c r="F6" i="6"/>
  <c r="F181"/>
  <c r="G181"/>
  <c r="L211"/>
  <c r="L219"/>
  <c r="G40" i="7"/>
  <c r="L49"/>
  <c r="F51"/>
  <c r="G51"/>
  <c r="L149"/>
  <c r="Q184"/>
  <c r="Q193"/>
  <c r="L234"/>
  <c r="F254"/>
  <c r="G254"/>
  <c r="L254" s="1"/>
  <c r="L257"/>
  <c r="F180" i="8"/>
  <c r="G180"/>
  <c r="F188"/>
  <c r="G188"/>
  <c r="L183" s="1"/>
  <c r="Q202"/>
  <c r="G205"/>
  <c r="F205"/>
  <c r="G228"/>
  <c r="L224" s="1"/>
  <c r="F228"/>
  <c r="G267"/>
  <c r="L267" s="1"/>
  <c r="F267"/>
  <c r="G43" i="9"/>
  <c r="L43" s="1"/>
  <c r="F43"/>
  <c r="G65"/>
  <c r="L65" s="1"/>
  <c r="F65"/>
  <c r="G71" i="10"/>
  <c r="L71" s="1"/>
  <c r="F71"/>
  <c r="F223" i="11"/>
  <c r="G223" s="1"/>
  <c r="L219" s="1"/>
  <c r="U219" s="1"/>
  <c r="F265"/>
  <c r="G265"/>
  <c r="L265" s="1"/>
  <c r="G245" i="9"/>
  <c r="L245" s="1"/>
  <c r="F245"/>
  <c r="V7" i="10"/>
  <c r="R6"/>
  <c r="G272" i="13"/>
  <c r="L272" s="1"/>
  <c r="F272"/>
  <c r="G122" i="15"/>
  <c r="Q27" i="1"/>
  <c r="T31" s="1"/>
  <c r="G33" i="2"/>
  <c r="G85"/>
  <c r="L117"/>
  <c r="G136"/>
  <c r="L88" i="3"/>
  <c r="T42" i="10"/>
  <c r="G59"/>
  <c r="L59" s="1"/>
  <c r="F59"/>
  <c r="G74"/>
  <c r="L74" s="1"/>
  <c r="F74"/>
  <c r="F269" i="11"/>
  <c r="G269"/>
  <c r="F77" i="12"/>
  <c r="G77"/>
  <c r="L77" s="1"/>
  <c r="D236" i="15"/>
  <c r="G236" s="1"/>
  <c r="G10"/>
  <c r="L9" s="1"/>
  <c r="L17" i="1"/>
  <c r="U17" s="1"/>
  <c r="G28"/>
  <c r="L27" s="1"/>
  <c r="U27" s="1"/>
  <c r="G85"/>
  <c r="L167"/>
  <c r="L172"/>
  <c r="L17" i="2"/>
  <c r="U17" s="1"/>
  <c r="Q27"/>
  <c r="T31" s="1"/>
  <c r="Q32"/>
  <c r="T39" s="1"/>
  <c r="G128"/>
  <c r="Q135"/>
  <c r="L144"/>
  <c r="Q176"/>
  <c r="L9" i="3"/>
  <c r="U9" s="1"/>
  <c r="L20"/>
  <c r="L76"/>
  <c r="Q135"/>
  <c r="Q145"/>
  <c r="Q152"/>
  <c r="T159" s="1"/>
  <c r="L51" i="4"/>
  <c r="L114"/>
  <c r="L119"/>
  <c r="Q158"/>
  <c r="Q182"/>
  <c r="L216"/>
  <c r="L17" i="5"/>
  <c r="U17" s="1"/>
  <c r="L87"/>
  <c r="L112"/>
  <c r="L120"/>
  <c r="L186"/>
  <c r="L9" i="6"/>
  <c r="U9" s="1"/>
  <c r="L104"/>
  <c r="Q104" s="1"/>
  <c r="L140"/>
  <c r="Q202"/>
  <c r="F207"/>
  <c r="G207"/>
  <c r="L207" s="1"/>
  <c r="U4" i="7"/>
  <c r="L4"/>
  <c r="L59"/>
  <c r="L65"/>
  <c r="L96"/>
  <c r="L103"/>
  <c r="L110"/>
  <c r="Q110" s="1"/>
  <c r="L143"/>
  <c r="L155"/>
  <c r="L210"/>
  <c r="L261"/>
  <c r="L54" i="8"/>
  <c r="L113"/>
  <c r="Q113" s="1"/>
  <c r="L149"/>
  <c r="L17" i="9"/>
  <c r="U17" s="1"/>
  <c r="L30"/>
  <c r="U30" s="1"/>
  <c r="G68"/>
  <c r="L68" s="1"/>
  <c r="F68"/>
  <c r="L109"/>
  <c r="T188"/>
  <c r="F211"/>
  <c r="G211"/>
  <c r="L249"/>
  <c r="L23" i="10"/>
  <c r="U23" s="1"/>
  <c r="G62"/>
  <c r="L62" s="1"/>
  <c r="F62"/>
  <c r="L207"/>
  <c r="L215"/>
  <c r="G246"/>
  <c r="L246" s="1"/>
  <c r="F246"/>
  <c r="L121" i="11"/>
  <c r="F206"/>
  <c r="F279"/>
  <c r="G279"/>
  <c r="L279" s="1"/>
  <c r="F71" i="12"/>
  <c r="G71"/>
  <c r="L71" s="1"/>
  <c r="L20" i="1"/>
  <c r="G56"/>
  <c r="L56" s="1"/>
  <c r="G66"/>
  <c r="L63" s="1"/>
  <c r="U63" s="1"/>
  <c r="L105"/>
  <c r="Q148"/>
  <c r="G157"/>
  <c r="L196"/>
  <c r="G5" i="2"/>
  <c r="L20"/>
  <c r="Q63"/>
  <c r="G76"/>
  <c r="L69" s="1"/>
  <c r="L106"/>
  <c r="Q127"/>
  <c r="G146"/>
  <c r="G153"/>
  <c r="Q162"/>
  <c r="Q178"/>
  <c r="L205"/>
  <c r="G5" i="3"/>
  <c r="L17"/>
  <c r="U17" s="1"/>
  <c r="G82"/>
  <c r="L81" s="1"/>
  <c r="G149"/>
  <c r="F180"/>
  <c r="L195"/>
  <c r="Q17" i="4"/>
  <c r="G28"/>
  <c r="G33"/>
  <c r="L32" s="1"/>
  <c r="U32" s="1"/>
  <c r="G47"/>
  <c r="F53"/>
  <c r="G53"/>
  <c r="G73"/>
  <c r="L66" s="1"/>
  <c r="L88"/>
  <c r="Q151"/>
  <c r="Q160"/>
  <c r="G193"/>
  <c r="L193" s="1"/>
  <c r="G14" i="5"/>
  <c r="L9" s="1"/>
  <c r="U9" s="1"/>
  <c r="L27"/>
  <c r="G40"/>
  <c r="L40" s="1"/>
  <c r="T71"/>
  <c r="G68"/>
  <c r="F68"/>
  <c r="L153"/>
  <c r="G161"/>
  <c r="L162" s="1"/>
  <c r="G164"/>
  <c r="L163" s="1"/>
  <c r="G179"/>
  <c r="L189"/>
  <c r="F198"/>
  <c r="Q27" i="6"/>
  <c r="T31" s="1"/>
  <c r="G48"/>
  <c r="L46" s="1"/>
  <c r="F59"/>
  <c r="G59"/>
  <c r="L59" s="1"/>
  <c r="L90"/>
  <c r="L123"/>
  <c r="G152"/>
  <c r="L151" s="1"/>
  <c r="U151" s="1"/>
  <c r="L159"/>
  <c r="T166"/>
  <c r="Q176"/>
  <c r="L176"/>
  <c r="Q184"/>
  <c r="G185"/>
  <c r="L184" s="1"/>
  <c r="L234"/>
  <c r="G36" i="7"/>
  <c r="L35" s="1"/>
  <c r="U35" s="1"/>
  <c r="G92"/>
  <c r="L91" s="1"/>
  <c r="L121"/>
  <c r="L140"/>
  <c r="L152"/>
  <c r="Q191"/>
  <c r="Q199"/>
  <c r="Q215"/>
  <c r="F226"/>
  <c r="L249"/>
  <c r="F261"/>
  <c r="L23" i="8"/>
  <c r="U23" s="1"/>
  <c r="G36"/>
  <c r="L35" s="1"/>
  <c r="U35" s="1"/>
  <c r="L99"/>
  <c r="L132"/>
  <c r="L161"/>
  <c r="Q177"/>
  <c r="Q183"/>
  <c r="Q192"/>
  <c r="T192" s="1"/>
  <c r="Q193"/>
  <c r="Q200"/>
  <c r="T207" s="1"/>
  <c r="G213"/>
  <c r="L208" s="1"/>
  <c r="G220"/>
  <c r="Q224"/>
  <c r="L46" i="9"/>
  <c r="F51"/>
  <c r="G55"/>
  <c r="L54" s="1"/>
  <c r="G62"/>
  <c r="L62" s="1"/>
  <c r="F62"/>
  <c r="Q87"/>
  <c r="T96" s="1"/>
  <c r="L102"/>
  <c r="L198"/>
  <c r="L199"/>
  <c r="U199" s="1"/>
  <c r="L225"/>
  <c r="F249"/>
  <c r="G280"/>
  <c r="L280" s="1"/>
  <c r="F280"/>
  <c r="L130" i="10"/>
  <c r="L138"/>
  <c r="L149"/>
  <c r="G235"/>
  <c r="G240"/>
  <c r="L239" s="1"/>
  <c r="L4" i="11"/>
  <c r="U4" s="1"/>
  <c r="L49"/>
  <c r="G51"/>
  <c r="F51"/>
  <c r="G62"/>
  <c r="L62" s="1"/>
  <c r="F62"/>
  <c r="G74"/>
  <c r="L74" s="1"/>
  <c r="F74"/>
  <c r="G86"/>
  <c r="L86" s="1"/>
  <c r="F86"/>
  <c r="G96"/>
  <c r="F96"/>
  <c r="Q250"/>
  <c r="F257"/>
  <c r="G257"/>
  <c r="L257" s="1"/>
  <c r="F298"/>
  <c r="G298"/>
  <c r="L294" s="1"/>
  <c r="F65" i="12"/>
  <c r="G65"/>
  <c r="L65" s="1"/>
  <c r="Q66" i="4"/>
  <c r="L109"/>
  <c r="Q141"/>
  <c r="Q153"/>
  <c r="G159"/>
  <c r="L182"/>
  <c r="Q184"/>
  <c r="Q18" i="5"/>
  <c r="Q27"/>
  <c r="T31" s="1"/>
  <c r="G47"/>
  <c r="L109"/>
  <c r="L134"/>
  <c r="Q145"/>
  <c r="Q153"/>
  <c r="Q170"/>
  <c r="Q17" i="6"/>
  <c r="Q32"/>
  <c r="G33"/>
  <c r="L32" s="1"/>
  <c r="U32" s="1"/>
  <c r="L43"/>
  <c r="L137"/>
  <c r="Q151"/>
  <c r="Q153"/>
  <c r="G167"/>
  <c r="G196"/>
  <c r="L195" s="1"/>
  <c r="Q200"/>
  <c r="L200"/>
  <c r="L215"/>
  <c r="L229"/>
  <c r="L232"/>
  <c r="L242"/>
  <c r="L245"/>
  <c r="Q18" i="7"/>
  <c r="Q75"/>
  <c r="L114"/>
  <c r="L146"/>
  <c r="Q174"/>
  <c r="Q186"/>
  <c r="G192"/>
  <c r="L191" s="1"/>
  <c r="L215"/>
  <c r="Q217"/>
  <c r="L222"/>
  <c r="L4" i="8"/>
  <c r="U4" s="1"/>
  <c r="L20"/>
  <c r="Q84"/>
  <c r="G87"/>
  <c r="G95"/>
  <c r="L94" s="1"/>
  <c r="L106"/>
  <c r="L117"/>
  <c r="L127"/>
  <c r="L137"/>
  <c r="L146"/>
  <c r="G176"/>
  <c r="Q185"/>
  <c r="T190" s="1"/>
  <c r="G197"/>
  <c r="L200"/>
  <c r="L260"/>
  <c r="L262"/>
  <c r="L23" i="9"/>
  <c r="U23" s="1"/>
  <c r="G36"/>
  <c r="L35" s="1"/>
  <c r="G98"/>
  <c r="L97" s="1"/>
  <c r="L124"/>
  <c r="L143"/>
  <c r="Q214"/>
  <c r="G51" i="10"/>
  <c r="F51"/>
  <c r="L87"/>
  <c r="U87" s="1"/>
  <c r="L179"/>
  <c r="L182"/>
  <c r="Q207"/>
  <c r="T207" s="1"/>
  <c r="F231"/>
  <c r="G231"/>
  <c r="L231" s="1"/>
  <c r="L65" i="11"/>
  <c r="L77"/>
  <c r="Q93"/>
  <c r="G95"/>
  <c r="L139"/>
  <c r="L170"/>
  <c r="Q219"/>
  <c r="T225" s="1"/>
  <c r="Q8" i="12"/>
  <c r="T8" s="1"/>
  <c r="V7"/>
  <c r="Q35"/>
  <c r="T42" s="1"/>
  <c r="F95"/>
  <c r="G95" s="1"/>
  <c r="L93" s="1"/>
  <c r="U93" s="1"/>
  <c r="G12" i="13"/>
  <c r="L17"/>
  <c r="U17" s="1"/>
  <c r="G59"/>
  <c r="L59" s="1"/>
  <c r="F59"/>
  <c r="G83"/>
  <c r="L83" s="1"/>
  <c r="F83"/>
  <c r="L149" i="9"/>
  <c r="L167"/>
  <c r="G182"/>
  <c r="Q189"/>
  <c r="G190"/>
  <c r="L230"/>
  <c r="L268"/>
  <c r="L35" i="10"/>
  <c r="U35" s="1"/>
  <c r="L103"/>
  <c r="L108"/>
  <c r="L115"/>
  <c r="L122"/>
  <c r="Q122" s="1"/>
  <c r="L155"/>
  <c r="L173"/>
  <c r="Q198"/>
  <c r="Q223"/>
  <c r="L223"/>
  <c r="L9" i="11"/>
  <c r="U9" s="1"/>
  <c r="L20"/>
  <c r="L54"/>
  <c r="L93"/>
  <c r="U93" s="1"/>
  <c r="L114"/>
  <c r="L144"/>
  <c r="L152"/>
  <c r="L164"/>
  <c r="L176"/>
  <c r="L188"/>
  <c r="T208"/>
  <c r="L201"/>
  <c r="L245"/>
  <c r="G308"/>
  <c r="L308" s="1"/>
  <c r="F308"/>
  <c r="G266" i="12"/>
  <c r="L266" s="1"/>
  <c r="F266"/>
  <c r="F283"/>
  <c r="G283"/>
  <c r="L283" s="1"/>
  <c r="G71" i="13"/>
  <c r="L71" s="1"/>
  <c r="F71"/>
  <c r="L261"/>
  <c r="G268"/>
  <c r="L268" s="1"/>
  <c r="F268"/>
  <c r="G290"/>
  <c r="L290" s="1"/>
  <c r="F290"/>
  <c r="G322"/>
  <c r="L322" s="1"/>
  <c r="F322"/>
  <c r="G102" i="15"/>
  <c r="F102"/>
  <c r="L146" i="9"/>
  <c r="L161"/>
  <c r="Q206"/>
  <c r="G215"/>
  <c r="Q18" i="10"/>
  <c r="G50"/>
  <c r="L49" s="1"/>
  <c r="G104"/>
  <c r="L152"/>
  <c r="L167"/>
  <c r="G206"/>
  <c r="Q17" i="11"/>
  <c r="Q30"/>
  <c r="L43"/>
  <c r="G50"/>
  <c r="L109"/>
  <c r="Q234"/>
  <c r="F247"/>
  <c r="G254"/>
  <c r="G276"/>
  <c r="L276" s="1"/>
  <c r="G36" i="12"/>
  <c r="L35" s="1"/>
  <c r="U35" s="1"/>
  <c r="L54"/>
  <c r="G56"/>
  <c r="F56"/>
  <c r="L128"/>
  <c r="Q128" s="1"/>
  <c r="L158"/>
  <c r="L161"/>
  <c r="L176"/>
  <c r="L188"/>
  <c r="L192"/>
  <c r="T226"/>
  <c r="G247"/>
  <c r="F255"/>
  <c r="G255"/>
  <c r="L251" s="1"/>
  <c r="F277"/>
  <c r="G277"/>
  <c r="L277" s="1"/>
  <c r="G65" i="13"/>
  <c r="L65" s="1"/>
  <c r="F65"/>
  <c r="L89"/>
  <c r="G104"/>
  <c r="L101" s="1"/>
  <c r="U101" s="1"/>
  <c r="F104"/>
  <c r="T236"/>
  <c r="G280"/>
  <c r="F280"/>
  <c r="L318"/>
  <c r="Q228" i="11"/>
  <c r="L296"/>
  <c r="L301"/>
  <c r="L4" i="12"/>
  <c r="U4" s="1"/>
  <c r="Q18"/>
  <c r="G50"/>
  <c r="L136"/>
  <c r="L152"/>
  <c r="L167"/>
  <c r="L182"/>
  <c r="Q227"/>
  <c r="Q253"/>
  <c r="L309"/>
  <c r="L30" i="13"/>
  <c r="U30" s="1"/>
  <c r="L43"/>
  <c r="G50"/>
  <c r="L49" s="1"/>
  <c r="L129"/>
  <c r="L160"/>
  <c r="L169"/>
  <c r="L177"/>
  <c r="L230"/>
  <c r="U230" s="1"/>
  <c r="L211" i="15"/>
  <c r="G305"/>
  <c r="G288"/>
  <c r="G276"/>
  <c r="G259"/>
  <c r="G78"/>
  <c r="G44"/>
  <c r="L44" s="1"/>
  <c r="L49" i="12"/>
  <c r="G55"/>
  <c r="L62"/>
  <c r="L68"/>
  <c r="L74"/>
  <c r="L80"/>
  <c r="L86"/>
  <c r="L99"/>
  <c r="G115"/>
  <c r="L114" s="1"/>
  <c r="L132"/>
  <c r="L149"/>
  <c r="L164"/>
  <c r="L179"/>
  <c r="L219"/>
  <c r="L246"/>
  <c r="L302"/>
  <c r="L305"/>
  <c r="L4" i="13"/>
  <c r="U4" s="1"/>
  <c r="L20"/>
  <c r="L46"/>
  <c r="L62"/>
  <c r="L68"/>
  <c r="L74"/>
  <c r="L80"/>
  <c r="L86"/>
  <c r="L117"/>
  <c r="L122"/>
  <c r="L147"/>
  <c r="L157"/>
  <c r="L186"/>
  <c r="L198"/>
  <c r="L212"/>
  <c r="L256"/>
  <c r="Q261"/>
  <c r="L276"/>
  <c r="L64" i="15"/>
  <c r="G330"/>
  <c r="L330" s="1"/>
  <c r="G242"/>
  <c r="G75"/>
  <c r="G41"/>
  <c r="G150"/>
  <c r="L4"/>
  <c r="U4" s="1"/>
  <c r="L224"/>
  <c r="Q232"/>
  <c r="T238" s="1"/>
  <c r="Q224"/>
  <c r="L72"/>
  <c r="Q281"/>
  <c r="L84"/>
  <c r="G195"/>
  <c r="L193" s="1"/>
  <c r="G187"/>
  <c r="L186" s="1"/>
  <c r="L175"/>
  <c r="L172"/>
  <c r="G156"/>
  <c r="L156" s="1"/>
  <c r="L146"/>
  <c r="L143"/>
  <c r="G113"/>
  <c r="L113" s="1"/>
  <c r="G204"/>
  <c r="L204" s="1"/>
  <c r="G198"/>
  <c r="L198" s="1"/>
  <c r="G190"/>
  <c r="L190" s="1"/>
  <c r="G180"/>
  <c r="L180" s="1"/>
  <c r="G169"/>
  <c r="G165"/>
  <c r="G140"/>
  <c r="L140" s="1"/>
  <c r="G137"/>
  <c r="G136"/>
  <c r="L130"/>
  <c r="G127"/>
  <c r="L125" s="1"/>
  <c r="L120"/>
  <c r="L116"/>
  <c r="L110"/>
  <c r="G107"/>
  <c r="L105" s="1"/>
  <c r="G39"/>
  <c r="G50"/>
  <c r="G52"/>
  <c r="G61"/>
  <c r="L61" s="1"/>
  <c r="L69"/>
  <c r="L75"/>
  <c r="L78"/>
  <c r="G81"/>
  <c r="L81" s="1"/>
  <c r="G221"/>
  <c r="L221" s="1"/>
  <c r="G235"/>
  <c r="L239"/>
  <c r="L242"/>
  <c r="L250"/>
  <c r="G253"/>
  <c r="L253" s="1"/>
  <c r="G256"/>
  <c r="L256" s="1"/>
  <c r="G262"/>
  <c r="L262" s="1"/>
  <c r="G266"/>
  <c r="L266" s="1"/>
  <c r="G284"/>
  <c r="L288"/>
  <c r="G295"/>
  <c r="G303"/>
  <c r="G337"/>
  <c r="L337" s="1"/>
  <c r="L333"/>
  <c r="F334"/>
  <c r="G327"/>
  <c r="L327" s="1"/>
  <c r="G324"/>
  <c r="L320" s="1"/>
  <c r="F288"/>
  <c r="F262"/>
  <c r="F253"/>
  <c r="F250"/>
  <c r="F242"/>
  <c r="F239"/>
  <c r="F61"/>
  <c r="G55"/>
  <c r="L55" s="1"/>
  <c r="G30"/>
  <c r="L30" s="1"/>
  <c r="F69"/>
  <c r="F81"/>
  <c r="L87"/>
  <c r="G89"/>
  <c r="G247"/>
  <c r="L245" s="1"/>
  <c r="F256"/>
  <c r="G270"/>
  <c r="L270" s="1"/>
  <c r="L201"/>
  <c r="L24"/>
  <c r="Q273"/>
  <c r="T280" s="1"/>
  <c r="G285"/>
  <c r="L259"/>
  <c r="G278"/>
  <c r="L273" s="1"/>
  <c r="T299"/>
  <c r="Q300"/>
  <c r="T307"/>
  <c r="L207"/>
  <c r="Q207" s="1"/>
  <c r="T171"/>
  <c r="Q47"/>
  <c r="F18"/>
  <c r="G18" s="1"/>
  <c r="L13" s="1"/>
  <c r="R6"/>
  <c r="V7"/>
  <c r="Q23"/>
  <c r="L21"/>
  <c r="U21" s="1"/>
  <c r="Q54"/>
  <c r="Q99"/>
  <c r="T104" s="1"/>
  <c r="T23"/>
  <c r="G92"/>
  <c r="L92" s="1"/>
  <c r="G101"/>
  <c r="L99" s="1"/>
  <c r="G310"/>
  <c r="Q309"/>
  <c r="T309" s="1"/>
  <c r="G138" i="14"/>
  <c r="G249"/>
  <c r="L249" s="1"/>
  <c r="G16"/>
  <c r="G38"/>
  <c r="L38" s="1"/>
  <c r="G164"/>
  <c r="G186"/>
  <c r="L186" s="1"/>
  <c r="G158"/>
  <c r="L158" s="1"/>
  <c r="G155"/>
  <c r="L155" s="1"/>
  <c r="T303"/>
  <c r="G301"/>
  <c r="G231"/>
  <c r="G266"/>
  <c r="L266" s="1"/>
  <c r="G320"/>
  <c r="G280"/>
  <c r="G68"/>
  <c r="L66" s="1"/>
  <c r="G63"/>
  <c r="L63" s="1"/>
  <c r="G86"/>
  <c r="G80"/>
  <c r="G291"/>
  <c r="L197"/>
  <c r="V7"/>
  <c r="G49"/>
  <c r="L49" s="1"/>
  <c r="G74"/>
  <c r="L74" s="1"/>
  <c r="G46"/>
  <c r="G194"/>
  <c r="L194" s="1"/>
  <c r="G171"/>
  <c r="L171" s="1"/>
  <c r="G293"/>
  <c r="G281"/>
  <c r="L4"/>
  <c r="U4" s="1"/>
  <c r="G18"/>
  <c r="G104"/>
  <c r="G55"/>
  <c r="L86"/>
  <c r="L80"/>
  <c r="G262"/>
  <c r="L262" s="1"/>
  <c r="G235"/>
  <c r="L235" s="1"/>
  <c r="L30"/>
  <c r="U30" s="1"/>
  <c r="G94"/>
  <c r="L94" s="1"/>
  <c r="G83"/>
  <c r="L83" s="1"/>
  <c r="G124"/>
  <c r="L122" s="1"/>
  <c r="L203"/>
  <c r="Q203" s="1"/>
  <c r="G183"/>
  <c r="L182" s="1"/>
  <c r="G112"/>
  <c r="L112" s="1"/>
  <c r="G142"/>
  <c r="L142" s="1"/>
  <c r="G115"/>
  <c r="L115" s="1"/>
  <c r="G118"/>
  <c r="L118" s="1"/>
  <c r="G299"/>
  <c r="Q269"/>
  <c r="T276" s="1"/>
  <c r="G243"/>
  <c r="L241" s="1"/>
  <c r="G258"/>
  <c r="L258" s="1"/>
  <c r="G109"/>
  <c r="L107" s="1"/>
  <c r="G232"/>
  <c r="G333"/>
  <c r="L333" s="1"/>
  <c r="Q21"/>
  <c r="Q30"/>
  <c r="T34" s="1"/>
  <c r="G91"/>
  <c r="G139"/>
  <c r="L135" s="1"/>
  <c r="G152"/>
  <c r="G304"/>
  <c r="L305" s="1"/>
  <c r="G274"/>
  <c r="Q220"/>
  <c r="G246"/>
  <c r="L246" s="1"/>
  <c r="Q277"/>
  <c r="G306"/>
  <c r="G217"/>
  <c r="L217" s="1"/>
  <c r="G255"/>
  <c r="L255" s="1"/>
  <c r="G323"/>
  <c r="L323" s="1"/>
  <c r="L127"/>
  <c r="Q296"/>
  <c r="G238"/>
  <c r="L238" s="1"/>
  <c r="L24"/>
  <c r="G10"/>
  <c r="G90"/>
  <c r="G77"/>
  <c r="L77" s="1"/>
  <c r="G44"/>
  <c r="G179"/>
  <c r="L179" s="1"/>
  <c r="G145"/>
  <c r="L145" s="1"/>
  <c r="Q228"/>
  <c r="T234" s="1"/>
  <c r="L21"/>
  <c r="U21" s="1"/>
  <c r="Q161"/>
  <c r="T170" s="1"/>
  <c r="G151"/>
  <c r="G176"/>
  <c r="L174" s="1"/>
  <c r="G191"/>
  <c r="L189" s="1"/>
  <c r="G132"/>
  <c r="L132" s="1"/>
  <c r="G200"/>
  <c r="L200" s="1"/>
  <c r="L207"/>
  <c r="G272"/>
  <c r="L220"/>
  <c r="G284"/>
  <c r="L284" s="1"/>
  <c r="G252"/>
  <c r="L252" s="1"/>
  <c r="Q101"/>
  <c r="T106" s="1"/>
  <c r="T295"/>
  <c r="Q305"/>
  <c r="T305" s="1"/>
  <c r="R6"/>
  <c r="H330"/>
  <c r="J330" s="1"/>
  <c r="Q22"/>
  <c r="Q52"/>
  <c r="T59" s="1"/>
  <c r="G57"/>
  <c r="G71"/>
  <c r="L71" s="1"/>
  <c r="G35"/>
  <c r="L35" s="1"/>
  <c r="G60"/>
  <c r="L60" s="1"/>
  <c r="G103"/>
  <c r="G168"/>
  <c r="G326"/>
  <c r="L326" s="1"/>
  <c r="G330"/>
  <c r="J316"/>
  <c r="T116" i="13"/>
  <c r="L237"/>
  <c r="T244"/>
  <c r="L220"/>
  <c r="V7"/>
  <c r="F14"/>
  <c r="G14" s="1"/>
  <c r="L9" s="1"/>
  <c r="U9" s="1"/>
  <c r="L35"/>
  <c r="U35" s="1"/>
  <c r="F43"/>
  <c r="F46"/>
  <c r="F56"/>
  <c r="L107"/>
  <c r="F225"/>
  <c r="F242"/>
  <c r="F315"/>
  <c r="Q17"/>
  <c r="T19" s="1"/>
  <c r="L20" i="12"/>
  <c r="L109"/>
  <c r="T108"/>
  <c r="L139"/>
  <c r="L30"/>
  <c r="U30" s="1"/>
  <c r="L9"/>
  <c r="U9" s="1"/>
  <c r="L121"/>
  <c r="Q17"/>
  <c r="T19" s="1"/>
  <c r="G215"/>
  <c r="L210" s="1"/>
  <c r="G232"/>
  <c r="L227" s="1"/>
  <c r="G240"/>
  <c r="L235" s="1"/>
  <c r="G243"/>
  <c r="L243" s="1"/>
  <c r="G43"/>
  <c r="L43" s="1"/>
  <c r="G46"/>
  <c r="L46" s="1"/>
  <c r="G96"/>
  <c r="G207"/>
  <c r="L202" s="1"/>
  <c r="Q212"/>
  <c r="T217" s="1"/>
  <c r="G224"/>
  <c r="L220" s="1"/>
  <c r="U220" s="1"/>
  <c r="Q229"/>
  <c r="T234" s="1"/>
  <c r="G299"/>
  <c r="L295" s="1"/>
  <c r="T98" i="11"/>
  <c r="L99"/>
  <c r="T233"/>
  <c r="L234"/>
  <c r="T19"/>
  <c r="T34"/>
  <c r="L35"/>
  <c r="U35" s="1"/>
  <c r="L209"/>
  <c r="L226"/>
  <c r="F6"/>
  <c r="Q8"/>
  <c r="T8" s="1"/>
  <c r="L17"/>
  <c r="U17" s="1"/>
  <c r="F43"/>
  <c r="F46"/>
  <c r="F239"/>
  <c r="F242"/>
  <c r="Q218"/>
  <c r="T218" s="1"/>
  <c r="R6"/>
  <c r="Q35"/>
  <c r="T42" s="1"/>
  <c r="Q99"/>
  <c r="T108" s="1"/>
  <c r="L250"/>
  <c r="L20" i="10"/>
  <c r="L133"/>
  <c r="L234"/>
  <c r="L54"/>
  <c r="L30"/>
  <c r="U30" s="1"/>
  <c r="L9"/>
  <c r="U9" s="1"/>
  <c r="L208"/>
  <c r="U208" s="1"/>
  <c r="G6"/>
  <c r="L4" s="1"/>
  <c r="U4" s="1"/>
  <c r="Q17"/>
  <c r="G43"/>
  <c r="L43" s="1"/>
  <c r="G46"/>
  <c r="L46" s="1"/>
  <c r="Q93"/>
  <c r="T102" s="1"/>
  <c r="Q190"/>
  <c r="T197" s="1"/>
  <c r="G195"/>
  <c r="L190" s="1"/>
  <c r="G203"/>
  <c r="L198" s="1"/>
  <c r="G279"/>
  <c r="L275" s="1"/>
  <c r="G56"/>
  <c r="G100"/>
  <c r="L93" s="1"/>
  <c r="G250"/>
  <c r="L250" s="1"/>
  <c r="G254"/>
  <c r="L254" s="1"/>
  <c r="G258"/>
  <c r="L258" s="1"/>
  <c r="G262"/>
  <c r="L262" s="1"/>
  <c r="G272"/>
  <c r="L272" s="1"/>
  <c r="L277"/>
  <c r="G282"/>
  <c r="L282" s="1"/>
  <c r="T42" i="9"/>
  <c r="L132"/>
  <c r="T205"/>
  <c r="L206"/>
  <c r="L266"/>
  <c r="L127"/>
  <c r="T213"/>
  <c r="L9"/>
  <c r="U9" s="1"/>
  <c r="L20"/>
  <c r="T34"/>
  <c r="Q17"/>
  <c r="T19" s="1"/>
  <c r="U35"/>
  <c r="G71"/>
  <c r="L71" s="1"/>
  <c r="G74"/>
  <c r="L74" s="1"/>
  <c r="G83"/>
  <c r="G84"/>
  <c r="G219"/>
  <c r="L214" s="1"/>
  <c r="G222"/>
  <c r="L222" s="1"/>
  <c r="F227"/>
  <c r="F234"/>
  <c r="F237"/>
  <c r="F273"/>
  <c r="G94"/>
  <c r="L87" s="1"/>
  <c r="G186"/>
  <c r="L181" s="1"/>
  <c r="G194"/>
  <c r="L189" s="1"/>
  <c r="G270"/>
  <c r="Q198"/>
  <c r="T198" s="1"/>
  <c r="Q86" i="8"/>
  <c r="T93"/>
  <c r="L30"/>
  <c r="U30" s="1"/>
  <c r="T199"/>
  <c r="T34"/>
  <c r="L175"/>
  <c r="L193"/>
  <c r="U193" s="1"/>
  <c r="L219"/>
  <c r="L192"/>
  <c r="Q175"/>
  <c r="Q17"/>
  <c r="T19" s="1"/>
  <c r="G40"/>
  <c r="G51"/>
  <c r="L49" s="1"/>
  <c r="G59"/>
  <c r="L59" s="1"/>
  <c r="G62"/>
  <c r="L62" s="1"/>
  <c r="G65"/>
  <c r="L65" s="1"/>
  <c r="G68"/>
  <c r="L68" s="1"/>
  <c r="G71"/>
  <c r="L71" s="1"/>
  <c r="G80"/>
  <c r="G81"/>
  <c r="G91"/>
  <c r="L84" s="1"/>
  <c r="G235"/>
  <c r="L235" s="1"/>
  <c r="G239"/>
  <c r="L239" s="1"/>
  <c r="G243"/>
  <c r="L243" s="1"/>
  <c r="G247"/>
  <c r="L247" s="1"/>
  <c r="G257"/>
  <c r="L257" s="1"/>
  <c r="G271"/>
  <c r="L270" s="1"/>
  <c r="L30" i="7"/>
  <c r="U30" s="1"/>
  <c r="T42"/>
  <c r="L129"/>
  <c r="L183"/>
  <c r="T190"/>
  <c r="L184"/>
  <c r="Q19"/>
  <c r="T19" s="1"/>
  <c r="L17"/>
  <c r="U17" s="1"/>
  <c r="L54"/>
  <c r="L20"/>
  <c r="T80"/>
  <c r="L124"/>
  <c r="G14"/>
  <c r="L9" s="1"/>
  <c r="U9" s="1"/>
  <c r="Q81"/>
  <c r="T90" s="1"/>
  <c r="G171"/>
  <c r="L166" s="1"/>
  <c r="U166" s="1"/>
  <c r="G179"/>
  <c r="L174" s="1"/>
  <c r="G204"/>
  <c r="L199" s="1"/>
  <c r="G207"/>
  <c r="L207" s="1"/>
  <c r="F212"/>
  <c r="F219"/>
  <c r="F222"/>
  <c r="G43"/>
  <c r="L43" s="1"/>
  <c r="G46"/>
  <c r="L46" s="1"/>
  <c r="G88"/>
  <c r="L81" s="1"/>
  <c r="Q183"/>
  <c r="T183" s="1"/>
  <c r="G251"/>
  <c r="L247" s="1"/>
  <c r="L4" i="6"/>
  <c r="U4" s="1"/>
  <c r="T19"/>
  <c r="T39"/>
  <c r="L75"/>
  <c r="L85"/>
  <c r="T74"/>
  <c r="T175"/>
  <c r="L97"/>
  <c r="T183"/>
  <c r="F40"/>
  <c r="F43"/>
  <c r="F82"/>
  <c r="L168"/>
  <c r="F242"/>
  <c r="Q75"/>
  <c r="T84" s="1"/>
  <c r="T169" i="5"/>
  <c r="L178"/>
  <c r="L82"/>
  <c r="L145"/>
  <c r="U145" s="1"/>
  <c r="L66"/>
  <c r="U66" s="1"/>
  <c r="T152"/>
  <c r="T177"/>
  <c r="G6"/>
  <c r="L4" s="1"/>
  <c r="U4" s="1"/>
  <c r="Q17"/>
  <c r="T19" s="1"/>
  <c r="U27"/>
  <c r="G53"/>
  <c r="L51" s="1"/>
  <c r="F79"/>
  <c r="F150"/>
  <c r="F158"/>
  <c r="F183"/>
  <c r="F186"/>
  <c r="G37"/>
  <c r="L32" s="1"/>
  <c r="U32" s="1"/>
  <c r="G48"/>
  <c r="G56"/>
  <c r="L56" s="1"/>
  <c r="G59"/>
  <c r="L59" s="1"/>
  <c r="G209"/>
  <c r="L209" s="1"/>
  <c r="G213"/>
  <c r="L213" s="1"/>
  <c r="G223"/>
  <c r="L223" s="1"/>
  <c r="G230"/>
  <c r="L226" s="1"/>
  <c r="T31" i="4"/>
  <c r="T39"/>
  <c r="T19"/>
  <c r="L81"/>
  <c r="L150"/>
  <c r="T157"/>
  <c r="L151"/>
  <c r="L158"/>
  <c r="L27"/>
  <c r="U27" s="1"/>
  <c r="T75"/>
  <c r="L17"/>
  <c r="U17" s="1"/>
  <c r="G37"/>
  <c r="G48"/>
  <c r="L46" s="1"/>
  <c r="G62"/>
  <c r="L60" s="1"/>
  <c r="U60" s="1"/>
  <c r="G63"/>
  <c r="G138"/>
  <c r="L133" s="1"/>
  <c r="U133" s="1"/>
  <c r="G146"/>
  <c r="L141" s="1"/>
  <c r="G171"/>
  <c r="L166" s="1"/>
  <c r="G174"/>
  <c r="L174" s="1"/>
  <c r="F179"/>
  <c r="F186"/>
  <c r="F189"/>
  <c r="Q150"/>
  <c r="T150" s="1"/>
  <c r="Q144" i="3"/>
  <c r="T144" s="1"/>
  <c r="L145"/>
  <c r="L152"/>
  <c r="L27"/>
  <c r="U27" s="1"/>
  <c r="T75"/>
  <c r="T151"/>
  <c r="L176"/>
  <c r="T134"/>
  <c r="G6"/>
  <c r="L4" s="1"/>
  <c r="U4" s="1"/>
  <c r="Q17"/>
  <c r="T19" s="1"/>
  <c r="G37"/>
  <c r="L32" s="1"/>
  <c r="U32" s="1"/>
  <c r="G48"/>
  <c r="L46" s="1"/>
  <c r="G62"/>
  <c r="L60" s="1"/>
  <c r="U60" s="1"/>
  <c r="G63"/>
  <c r="L127"/>
  <c r="U127" s="1"/>
  <c r="Q137"/>
  <c r="T142" s="1"/>
  <c r="L144"/>
  <c r="G187"/>
  <c r="L187" s="1"/>
  <c r="G215"/>
  <c r="L215" s="1"/>
  <c r="L46" i="2"/>
  <c r="L79"/>
  <c r="L91"/>
  <c r="L112"/>
  <c r="Q144"/>
  <c r="T144" s="1"/>
  <c r="U9"/>
  <c r="L9"/>
  <c r="L84"/>
  <c r="T151"/>
  <c r="T68"/>
  <c r="T134"/>
  <c r="L176"/>
  <c r="L32"/>
  <c r="U32" s="1"/>
  <c r="L4"/>
  <c r="U4" s="1"/>
  <c r="U27"/>
  <c r="G53"/>
  <c r="L51" s="1"/>
  <c r="G149"/>
  <c r="L145" s="1"/>
  <c r="G157"/>
  <c r="L152" s="1"/>
  <c r="G165"/>
  <c r="L160" s="1"/>
  <c r="G168"/>
  <c r="L168" s="1"/>
  <c r="F173"/>
  <c r="F180"/>
  <c r="F183"/>
  <c r="G6"/>
  <c r="Q18"/>
  <c r="T19" s="1"/>
  <c r="G37"/>
  <c r="G48"/>
  <c r="G56"/>
  <c r="L56" s="1"/>
  <c r="G65"/>
  <c r="L63" s="1"/>
  <c r="U63" s="1"/>
  <c r="G66"/>
  <c r="G132"/>
  <c r="L127" s="1"/>
  <c r="U127" s="1"/>
  <c r="G140"/>
  <c r="L135" s="1"/>
  <c r="L9" i="1"/>
  <c r="U9" s="1"/>
  <c r="L46"/>
  <c r="L51"/>
  <c r="L123"/>
  <c r="U123" s="1"/>
  <c r="T155"/>
  <c r="T39"/>
  <c r="L79"/>
  <c r="L131"/>
  <c r="T147"/>
  <c r="Q69"/>
  <c r="T78" s="1"/>
  <c r="L140"/>
  <c r="G6"/>
  <c r="L4" s="1"/>
  <c r="U4" s="1"/>
  <c r="Q18"/>
  <c r="G37"/>
  <c r="L32" s="1"/>
  <c r="U32" s="1"/>
  <c r="G76"/>
  <c r="L69" s="1"/>
  <c r="G145"/>
  <c r="L141" s="1"/>
  <c r="G153"/>
  <c r="L148" s="1"/>
  <c r="G161"/>
  <c r="L156" s="1"/>
  <c r="G164"/>
  <c r="L164" s="1"/>
  <c r="T158" i="6" l="1"/>
  <c r="T165" i="4"/>
  <c r="L84" i="1"/>
  <c r="L78" i="8"/>
  <c r="U78" s="1"/>
  <c r="L46" i="5"/>
  <c r="L81" i="9"/>
  <c r="U81" s="1"/>
  <c r="T19" i="10"/>
  <c r="L36" i="15"/>
  <c r="T182" i="8"/>
  <c r="T198" i="7"/>
  <c r="L47" i="15"/>
  <c r="U99"/>
  <c r="L300"/>
  <c r="L281"/>
  <c r="L232"/>
  <c r="U232" s="1"/>
  <c r="L133"/>
  <c r="L162"/>
  <c r="L292"/>
  <c r="U13"/>
  <c r="U47"/>
  <c r="T54"/>
  <c r="U9"/>
  <c r="L161" i="14"/>
  <c r="T23"/>
  <c r="L296"/>
  <c r="L228"/>
  <c r="U228" s="1"/>
  <c r="L288"/>
  <c r="L277"/>
  <c r="L41"/>
  <c r="L316"/>
  <c r="L13"/>
  <c r="U13" s="1"/>
  <c r="L52"/>
  <c r="U52" s="1"/>
  <c r="L269"/>
  <c r="L89"/>
  <c r="L101"/>
  <c r="U101" s="1"/>
  <c r="L9"/>
  <c r="U9" s="1"/>
  <c r="L148"/>
  <c r="L329"/>
</calcChain>
</file>

<file path=xl/comments1.xml><?xml version="1.0" encoding="utf-8"?>
<comments xmlns="http://schemas.openxmlformats.org/spreadsheetml/2006/main">
  <authors>
    <author>Mikle</author>
  </authors>
  <commentList>
    <comment ref="C264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Mikle</author>
  </authors>
  <commentList>
    <comment ref="C268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Mikle</author>
  </authors>
  <commentList>
    <comment ref="C268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Mikle</author>
  </authors>
  <commentList>
    <comment ref="C268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Mikle</author>
  </authors>
  <commentList>
    <comment ref="C283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Mikle</author>
  </authors>
  <commentList>
    <comment ref="C301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Mikle</author>
  </authors>
  <commentList>
    <comment ref="C306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Mikle</author>
  </authors>
  <commentList>
    <comment ref="C309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Mikle</author>
  </authors>
  <commentList>
    <comment ref="C315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Mikle</author>
  </authors>
  <commentList>
    <comment ref="C329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Mikle</author>
  </authors>
  <commentList>
    <comment ref="C350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Mikle</author>
  </authors>
  <commentList>
    <comment ref="C362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Mikle</author>
  </authors>
  <commentList>
    <comment ref="C368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Mikle</author>
  </authors>
  <commentList>
    <comment ref="C377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Mikle</author>
  </authors>
  <commentList>
    <comment ref="C389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Mikle</author>
  </authors>
  <commentList>
    <comment ref="C370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Mikle</author>
  </authors>
  <commentList>
    <comment ref="C370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C373" authorId="0">
      <text>
        <r>
          <rPr>
            <b/>
            <sz val="8"/>
            <color indexed="81"/>
            <rFont val="Tahoma"/>
            <family val="2"/>
            <charset val="204"/>
          </rPr>
          <t>Mikle: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<sst xmlns="http://schemas.openxmlformats.org/spreadsheetml/2006/main" count="18224" uniqueCount="467">
  <si>
    <t>Наука</t>
  </si>
  <si>
    <t>№ отд.</t>
  </si>
  <si>
    <t>принципал</t>
  </si>
  <si>
    <t>долг на начало мес.</t>
  </si>
  <si>
    <t>начислено за мес.</t>
  </si>
  <si>
    <t>превышение ПДК по общесплавной канализации</t>
  </si>
  <si>
    <t>Всего</t>
  </si>
  <si>
    <t>выставлено за мес.</t>
  </si>
  <si>
    <t>получено от принципала</t>
  </si>
  <si>
    <t>долг. на</t>
  </si>
  <si>
    <t>нач. мес.</t>
  </si>
  <si>
    <t>расход</t>
  </si>
  <si>
    <t>Регулир. тариф с НДС</t>
  </si>
  <si>
    <t>Нерегулир. тариф</t>
  </si>
  <si>
    <t>сумма</t>
  </si>
  <si>
    <t>тариф</t>
  </si>
  <si>
    <t>месяц превышен</t>
  </si>
  <si>
    <t>л.+тр.</t>
  </si>
  <si>
    <t>получатель</t>
  </si>
  <si>
    <t xml:space="preserve"> конец. мес.</t>
  </si>
  <si>
    <t>оплачено</t>
  </si>
  <si>
    <t>ост.долга</t>
  </si>
  <si>
    <t>1П (дог.30)</t>
  </si>
  <si>
    <r>
      <rPr>
        <b/>
        <sz val="10"/>
        <color indexed="12"/>
        <rFont val="Arial Cyr"/>
        <charset val="204"/>
      </rPr>
      <t xml:space="preserve">7Я </t>
    </r>
    <r>
      <rPr>
        <sz val="10"/>
        <color indexed="12"/>
        <rFont val="Arial Cyr"/>
        <charset val="204"/>
      </rPr>
      <t>Хол. Вода</t>
    </r>
  </si>
  <si>
    <t>РЦ</t>
  </si>
  <si>
    <t>с 09 сент.09г.</t>
  </si>
  <si>
    <t>перерасч</t>
  </si>
  <si>
    <t>перерасч.дек</t>
  </si>
  <si>
    <t>янв потери</t>
  </si>
  <si>
    <t>эл-во</t>
  </si>
  <si>
    <t>311 (дог.31)</t>
  </si>
  <si>
    <r>
      <rPr>
        <b/>
        <sz val="10"/>
        <color indexed="60"/>
        <rFont val="Arial Cyr"/>
        <charset val="204"/>
      </rPr>
      <t xml:space="preserve">Кафе Сянхэ </t>
    </r>
    <r>
      <rPr>
        <sz val="10"/>
        <color indexed="60"/>
        <rFont val="Arial Cyr"/>
        <charset val="204"/>
      </rPr>
      <t>(Хол. вода)</t>
    </r>
  </si>
  <si>
    <t>Гор.вода)</t>
  </si>
  <si>
    <t>ГВС</t>
  </si>
  <si>
    <t>ГВС Перерасчет</t>
  </si>
  <si>
    <t>Сал.крас.Плотникова (Хол. вода)</t>
  </si>
  <si>
    <t>Сал.крас.Плотникова (Гор. вода)</t>
  </si>
  <si>
    <t>Сал.крас.Плотникова (эл-во)</t>
  </si>
  <si>
    <t>ИП Зименкова</t>
  </si>
  <si>
    <t>авг потери</t>
  </si>
  <si>
    <t>( по среднему расходу - 15квт.ч в день)</t>
  </si>
  <si>
    <t>авг</t>
  </si>
  <si>
    <t>(10 дней)</t>
  </si>
  <si>
    <t>Одоевского</t>
  </si>
  <si>
    <t>тр.</t>
  </si>
  <si>
    <t>1П (дог.29)</t>
  </si>
  <si>
    <r>
      <rPr>
        <b/>
        <sz val="10"/>
        <color indexed="12"/>
        <rFont val="Arial Cyr"/>
        <charset val="204"/>
      </rPr>
      <t xml:space="preserve">7Я </t>
    </r>
    <r>
      <rPr>
        <sz val="10"/>
        <color indexed="12"/>
        <rFont val="Arial Cyr"/>
        <charset val="204"/>
      </rPr>
      <t>вода дог.№29</t>
    </r>
  </si>
  <si>
    <t>Р.Ц.</t>
  </si>
  <si>
    <t>с 08 авг.08г.</t>
  </si>
  <si>
    <t>эл.-во дог.№29</t>
  </si>
  <si>
    <t>с 15 авг.08г.</t>
  </si>
  <si>
    <t>314(дог.33)</t>
  </si>
  <si>
    <r>
      <rPr>
        <b/>
        <sz val="10"/>
        <color indexed="53"/>
        <rFont val="Arial Cyr"/>
        <charset val="204"/>
      </rPr>
      <t xml:space="preserve">Кафе Сянхэ </t>
    </r>
    <r>
      <rPr>
        <sz val="10"/>
        <color indexed="53"/>
        <rFont val="Arial Cyr"/>
        <charset val="204"/>
      </rPr>
      <t>(Хол. вода)</t>
    </r>
  </si>
  <si>
    <t>с 08 авг.09г.</t>
  </si>
  <si>
    <t>с 15 авг.09г.</t>
  </si>
  <si>
    <t>Ростелеком (эл-во)</t>
  </si>
  <si>
    <t>ИП Агишева</t>
  </si>
  <si>
    <r>
      <rPr>
        <b/>
        <sz val="10"/>
        <color indexed="12"/>
        <rFont val="Arial Cyr"/>
        <charset val="204"/>
      </rPr>
      <t>Шахматная школа</t>
    </r>
    <r>
      <rPr>
        <sz val="10"/>
        <color indexed="12"/>
        <rFont val="Arial Cyr"/>
        <charset val="204"/>
      </rPr>
      <t xml:space="preserve"> вода</t>
    </r>
  </si>
  <si>
    <t xml:space="preserve">ИП Блинкова </t>
  </si>
  <si>
    <t>х. вода</t>
  </si>
  <si>
    <t>Транспортный</t>
  </si>
  <si>
    <t>получено</t>
  </si>
  <si>
    <t>Ц.К.</t>
  </si>
  <si>
    <t>1П (дог.28)</t>
  </si>
  <si>
    <r>
      <rPr>
        <b/>
        <sz val="10"/>
        <color indexed="12"/>
        <rFont val="Arial Cyr"/>
        <charset val="204"/>
      </rPr>
      <t xml:space="preserve">7Я </t>
    </r>
    <r>
      <rPr>
        <sz val="10"/>
        <color indexed="12"/>
        <rFont val="Arial Cyr"/>
        <charset val="204"/>
      </rPr>
      <t>вода дог.№28</t>
    </r>
  </si>
  <si>
    <t>с 09.09.08</t>
  </si>
  <si>
    <t>эл.-во дог.№28</t>
  </si>
  <si>
    <r>
      <rPr>
        <b/>
        <sz val="10"/>
        <color indexed="60"/>
        <rFont val="Arial Cyr"/>
        <charset val="204"/>
      </rPr>
      <t xml:space="preserve">АлексФитнес </t>
    </r>
    <r>
      <rPr>
        <sz val="10"/>
        <color indexed="60"/>
        <rFont val="Arial Cyr"/>
        <charset val="204"/>
      </rPr>
      <t>(Хол.вода)</t>
    </r>
  </si>
  <si>
    <t>Платф.</t>
  </si>
  <si>
    <t>с 01.02.10</t>
  </si>
  <si>
    <t>Перерасчет э/э за прошлый год</t>
  </si>
  <si>
    <t>январь</t>
  </si>
  <si>
    <t>Бургер Рус</t>
  </si>
  <si>
    <t>ХВ</t>
  </si>
  <si>
    <t>Водопад</t>
  </si>
  <si>
    <t>(с 14.11.16)</t>
  </si>
  <si>
    <t>перерасчет ГВС</t>
  </si>
  <si>
    <t>Салон красоты Курило</t>
  </si>
  <si>
    <t>перерасч ГВС нояб</t>
  </si>
  <si>
    <t>Ценошок Круглов</t>
  </si>
  <si>
    <t>Эльдорадо</t>
  </si>
  <si>
    <t>ПОЗДНЕЕ</t>
  </si>
  <si>
    <t>ООО «Пи Джей СПБ»</t>
  </si>
  <si>
    <t>Первый Трест</t>
  </si>
  <si>
    <t>Ладожская</t>
  </si>
  <si>
    <t>дата заключ. договора</t>
  </si>
  <si>
    <r>
      <rPr>
        <b/>
        <sz val="10"/>
        <color indexed="12"/>
        <rFont val="Arial Cyr"/>
        <charset val="204"/>
      </rPr>
      <t xml:space="preserve">Киллфиш  </t>
    </r>
    <r>
      <rPr>
        <sz val="10"/>
        <color indexed="12"/>
        <rFont val="Arial Cyr"/>
        <charset val="204"/>
      </rPr>
      <t>Хол. Вода</t>
    </r>
  </si>
  <si>
    <t>Платформа</t>
  </si>
  <si>
    <t>с 05.09.11</t>
  </si>
  <si>
    <t xml:space="preserve">Гор.вода </t>
  </si>
  <si>
    <t>ГВ</t>
  </si>
  <si>
    <t>Перерасчет ГВС</t>
  </si>
  <si>
    <t>Эл-во</t>
  </si>
  <si>
    <t>502(дог.?)</t>
  </si>
  <si>
    <r>
      <rPr>
        <b/>
        <sz val="10"/>
        <color indexed="53"/>
        <rFont val="Arial Cyr"/>
        <charset val="204"/>
      </rPr>
      <t xml:space="preserve">Сян Лун </t>
    </r>
    <r>
      <rPr>
        <sz val="10"/>
        <color indexed="53"/>
        <rFont val="Arial Cyr"/>
        <charset val="204"/>
      </rPr>
      <t>(Хол. вода)</t>
    </r>
  </si>
  <si>
    <t>с 20.09.11</t>
  </si>
  <si>
    <t>перерасчет</t>
  </si>
  <si>
    <t>перерасч. ГВ</t>
  </si>
  <si>
    <t xml:space="preserve"> Аллегриас (эл-во)</t>
  </si>
  <si>
    <t>перерасчет авг</t>
  </si>
  <si>
    <t>1П</t>
  </si>
  <si>
    <t>с 11.07.11</t>
  </si>
  <si>
    <t>ИП Габидуллин хол. Вода</t>
  </si>
  <si>
    <t>Гор.. Вода</t>
  </si>
  <si>
    <r>
      <rPr>
        <b/>
        <sz val="10"/>
        <color indexed="12"/>
        <rFont val="Arial Cyr"/>
        <charset val="204"/>
      </rPr>
      <t xml:space="preserve">МЦ Эко-без. </t>
    </r>
    <r>
      <rPr>
        <sz val="10"/>
        <color indexed="12"/>
        <rFont val="Arial Cyr"/>
        <charset val="204"/>
      </rPr>
      <t>хол. Вода</t>
    </r>
  </si>
  <si>
    <r>
      <rPr>
        <b/>
        <sz val="10"/>
        <color indexed="12"/>
        <rFont val="Arial Cyr"/>
        <charset val="204"/>
      </rPr>
      <t>Автолекс</t>
    </r>
    <r>
      <rPr>
        <sz val="10"/>
        <color indexed="12"/>
        <rFont val="Arial Cyr"/>
        <charset val="204"/>
      </rPr>
      <t xml:space="preserve"> хол.вода</t>
    </r>
  </si>
  <si>
    <t>ооо "Страта" - эл/эн</t>
  </si>
  <si>
    <t>ИП Единов</t>
  </si>
  <si>
    <r>
      <rPr>
        <b/>
        <sz val="10"/>
        <color indexed="12"/>
        <rFont val="Arial Cyr"/>
        <charset val="204"/>
      </rPr>
      <t xml:space="preserve">Д. Зубик . </t>
    </r>
    <r>
      <rPr>
        <sz val="10"/>
        <color indexed="12"/>
        <rFont val="Arial Cyr"/>
        <charset val="204"/>
      </rPr>
      <t>хол. Вода</t>
    </r>
  </si>
  <si>
    <t xml:space="preserve"> Гор.вода </t>
  </si>
  <si>
    <t>ооо "Граццио" - эл/эн</t>
  </si>
  <si>
    <t>По среднему за пред. период</t>
  </si>
  <si>
    <t>ПИК-АП</t>
  </si>
  <si>
    <t>Мебельная</t>
  </si>
  <si>
    <t>дек потери</t>
  </si>
  <si>
    <t>перерасч.нояб</t>
  </si>
  <si>
    <t xml:space="preserve">Лига Ставок </t>
  </si>
  <si>
    <t>Пик-АП</t>
  </si>
  <si>
    <t>перерасч.янв</t>
  </si>
  <si>
    <t>фев потери</t>
  </si>
  <si>
    <t>потери потери</t>
  </si>
  <si>
    <t>февраль</t>
  </si>
  <si>
    <t>ИП Данилов</t>
  </si>
  <si>
    <t>Новое значение</t>
  </si>
  <si>
    <t>перерасч.фев</t>
  </si>
  <si>
    <t>март потери</t>
  </si>
  <si>
    <t>Первый Трест-офис</t>
  </si>
  <si>
    <t>Персона ЛидерГрупп</t>
  </si>
  <si>
    <t>РемСтройСервис</t>
  </si>
  <si>
    <t>перерасч.март</t>
  </si>
  <si>
    <t>апрель потери</t>
  </si>
  <si>
    <t>апр потери</t>
  </si>
  <si>
    <t>апрель</t>
  </si>
  <si>
    <t>ИП Полупанов</t>
  </si>
  <si>
    <t>ИП Варнашова-Белогородская</t>
  </si>
  <si>
    <t>перерасч.апр</t>
  </si>
  <si>
    <t>май потери</t>
  </si>
  <si>
    <t>ИП Колосова</t>
  </si>
  <si>
    <t>ИП Ергина</t>
  </si>
  <si>
    <t>май</t>
  </si>
  <si>
    <t>Пауль Хартманн</t>
  </si>
  <si>
    <t>ТЛ-Недвижимость</t>
  </si>
  <si>
    <t>Тонус</t>
  </si>
  <si>
    <t>перерасч.май</t>
  </si>
  <si>
    <t>июнь потери</t>
  </si>
  <si>
    <t>ЗАО "Тур"</t>
  </si>
  <si>
    <t>июнь</t>
  </si>
  <si>
    <t>Лабиринт.Ру</t>
  </si>
  <si>
    <t>ИП Родичева</t>
  </si>
  <si>
    <t>перерасч.июнь</t>
  </si>
  <si>
    <t>июль потери</t>
  </si>
  <si>
    <t>Паркалаба</t>
  </si>
  <si>
    <t>ООО "Ладога"</t>
  </si>
  <si>
    <t>июль</t>
  </si>
  <si>
    <t>ИП Аварханова</t>
  </si>
  <si>
    <t>Стройгрупп</t>
  </si>
  <si>
    <t>ИП Лекомцева</t>
  </si>
  <si>
    <t>Без переменной</t>
  </si>
  <si>
    <t>перерасч.июль</t>
  </si>
  <si>
    <t>ИП Гагарина</t>
  </si>
  <si>
    <t>Вираж</t>
  </si>
  <si>
    <t>Стелька</t>
  </si>
  <si>
    <t>Шикара</t>
  </si>
  <si>
    <t>Ладога</t>
  </si>
  <si>
    <t>перерасч.авг</t>
  </si>
  <si>
    <t>сент потери</t>
  </si>
  <si>
    <t>Алина Тур</t>
  </si>
  <si>
    <t>Амирамова</t>
  </si>
  <si>
    <t>Рыжакова</t>
  </si>
  <si>
    <t>ИП Черников</t>
  </si>
  <si>
    <t>перерасч.сен</t>
  </si>
  <si>
    <t>окт потери</t>
  </si>
  <si>
    <t>Выставлено за 4 мес. - 6755,43</t>
  </si>
  <si>
    <t>ООО "Тайм"</t>
  </si>
  <si>
    <t>ИП Котова</t>
  </si>
  <si>
    <t>ООО Нептун</t>
  </si>
  <si>
    <t>перерасч.окт</t>
  </si>
  <si>
    <t>нояб потери</t>
  </si>
  <si>
    <t>ИП Гарифуллин</t>
  </si>
  <si>
    <t>ИП Будник</t>
  </si>
  <si>
    <t>август</t>
  </si>
  <si>
    <t>сентябрь</t>
  </si>
  <si>
    <t>Вуокса</t>
  </si>
  <si>
    <t>Восход</t>
  </si>
  <si>
    <t>Конфуцин</t>
  </si>
  <si>
    <t>Будет удержано в след. месяце</t>
  </si>
  <si>
    <t>ИП Бижев</t>
  </si>
  <si>
    <t>окт.</t>
  </si>
  <si>
    <t>7,07 - Будет удержано в след. месяце</t>
  </si>
  <si>
    <t>ООО "НИМ"</t>
  </si>
  <si>
    <t>перерасч ГВС</t>
  </si>
  <si>
    <t>ТЛ-Консалтинг</t>
  </si>
  <si>
    <r>
      <rPr>
        <b/>
        <sz val="10"/>
        <color indexed="53"/>
        <rFont val="Arial Cyr"/>
        <charset val="204"/>
      </rPr>
      <t xml:space="preserve">Сянхэ </t>
    </r>
    <r>
      <rPr>
        <sz val="10"/>
        <color indexed="53"/>
        <rFont val="Arial Cyr"/>
        <charset val="204"/>
      </rPr>
      <t>(Хол. вода)</t>
    </r>
  </si>
  <si>
    <r>
      <rPr>
        <b/>
        <sz val="10"/>
        <color indexed="12"/>
        <rFont val="Arial Cyr"/>
        <charset val="204"/>
      </rPr>
      <t>Автоприма</t>
    </r>
    <r>
      <rPr>
        <sz val="10"/>
        <color indexed="12"/>
        <rFont val="Arial Cyr"/>
        <charset val="204"/>
      </rPr>
      <t xml:space="preserve"> хол.вода</t>
    </r>
  </si>
  <si>
    <t>Прим* По факту - как 7Я</t>
  </si>
  <si>
    <t>ООО "Гравис"</t>
  </si>
  <si>
    <t xml:space="preserve">1П </t>
  </si>
  <si>
    <t>№201/2013</t>
  </si>
  <si>
    <t>Расторнуты 09.01</t>
  </si>
  <si>
    <t xml:space="preserve">404+ </t>
  </si>
  <si>
    <r>
      <t xml:space="preserve">Вуокса </t>
    </r>
    <r>
      <rPr>
        <b/>
        <sz val="11"/>
        <color rgb="FFFF0000"/>
        <rFont val="Calibri"/>
        <family val="2"/>
        <charset val="204"/>
        <scheme val="minor"/>
      </rPr>
      <t>по 07.02</t>
    </r>
  </si>
  <si>
    <r>
      <t xml:space="preserve">Декар </t>
    </r>
    <r>
      <rPr>
        <b/>
        <sz val="11"/>
        <color rgb="FFFF0000"/>
        <rFont val="Calibri"/>
        <family val="2"/>
        <charset val="204"/>
        <scheme val="minor"/>
      </rPr>
      <t>с 08.02</t>
    </r>
  </si>
  <si>
    <r>
      <rPr>
        <b/>
        <sz val="10"/>
        <color indexed="12"/>
        <rFont val="Arial Cyr"/>
        <charset val="204"/>
      </rPr>
      <t xml:space="preserve">НГБ Ваян  </t>
    </r>
    <r>
      <rPr>
        <sz val="10"/>
        <color indexed="12"/>
        <rFont val="Arial Cyr"/>
        <charset val="204"/>
      </rPr>
      <t>Хол. Вода</t>
    </r>
  </si>
  <si>
    <t>405+</t>
  </si>
  <si>
    <t>ИП Черников - эл/эн</t>
  </si>
  <si>
    <t>303+</t>
  </si>
  <si>
    <t>304+</t>
  </si>
  <si>
    <t>006</t>
  </si>
  <si>
    <t>200А</t>
  </si>
  <si>
    <t>ООО "Кронар"</t>
  </si>
  <si>
    <t>ООО "ЧАЗ Отдел кадров"</t>
  </si>
  <si>
    <t>№140/2013</t>
  </si>
  <si>
    <t>004</t>
  </si>
  <si>
    <t>ООО "Ситилинк"</t>
  </si>
  <si>
    <t>Ист Трейд</t>
  </si>
  <si>
    <t xml:space="preserve">Декар </t>
  </si>
  <si>
    <t>на 07.03 по тарифу</t>
  </si>
  <si>
    <t>февраля</t>
  </si>
  <si>
    <t>Беллинда</t>
  </si>
  <si>
    <t>по 21.03</t>
  </si>
  <si>
    <t>Комус-Петербург</t>
  </si>
  <si>
    <t>*по факт.тарифу</t>
  </si>
  <si>
    <t>на 06.03 по тарифу</t>
  </si>
  <si>
    <t>февраля / опл М</t>
  </si>
  <si>
    <t>14,04 - Будет удержано в след. месяце</t>
  </si>
  <si>
    <t>0,76 - будет учтено в след. Мес</t>
  </si>
  <si>
    <t>по 16.04.18</t>
  </si>
  <si>
    <t>Селезнева</t>
  </si>
  <si>
    <t>005</t>
  </si>
  <si>
    <t>Шэнли-тур</t>
  </si>
  <si>
    <t>Манукян</t>
  </si>
  <si>
    <t>Лю Ши</t>
  </si>
  <si>
    <t>перерасчет будет учтен в след.мес</t>
  </si>
  <si>
    <t>*закрыт, расход=0</t>
  </si>
  <si>
    <t>0,76 - учтено</t>
  </si>
  <si>
    <t>ООО "ТестЭксперт"</t>
  </si>
  <si>
    <t>перерасчет -4,10</t>
  </si>
  <si>
    <t>3,70 будет учтено в след мес</t>
  </si>
  <si>
    <t>Красота и здоровье</t>
  </si>
  <si>
    <t>Здесенко</t>
  </si>
  <si>
    <t>ИП Кайтамба</t>
  </si>
  <si>
    <t>2П</t>
  </si>
  <si>
    <t>ИП Белозеров</t>
  </si>
  <si>
    <t>ХВС</t>
  </si>
  <si>
    <t xml:space="preserve">3,70  учтено </t>
  </si>
  <si>
    <t>ИП Максимков</t>
  </si>
  <si>
    <t>с 01.06.18 вместо ЧАЗ</t>
  </si>
  <si>
    <t>СПБ-Рентген</t>
  </si>
  <si>
    <t>Лакизо</t>
  </si>
  <si>
    <t>отдельно не выставила, учла в 310</t>
  </si>
  <si>
    <t xml:space="preserve">ИП Габидуллин </t>
  </si>
  <si>
    <t>ИП Коваленко</t>
  </si>
  <si>
    <t>с 01.07 вместо Ладоги</t>
  </si>
  <si>
    <t>Единица</t>
  </si>
  <si>
    <t>310+</t>
  </si>
  <si>
    <t>ИП Агаркова</t>
  </si>
  <si>
    <t>Зеленова</t>
  </si>
  <si>
    <t>Харитонов</t>
  </si>
  <si>
    <t>ЗУ</t>
  </si>
  <si>
    <t>Зименкова</t>
  </si>
  <si>
    <t>перерасч.</t>
  </si>
  <si>
    <t>14,05 будет учтено в след. Месяце</t>
  </si>
  <si>
    <t>Полукеева</t>
  </si>
  <si>
    <t>потери</t>
  </si>
  <si>
    <t>перерасч.ХВ</t>
  </si>
  <si>
    <t>Синдикат</t>
  </si>
  <si>
    <t>вместо Зименковой</t>
  </si>
  <si>
    <t>Гусейнов</t>
  </si>
  <si>
    <t>13,85 будет удержано в след. Месяце</t>
  </si>
  <si>
    <t>Лабиринт.ру</t>
  </si>
  <si>
    <t>24,13 будет учтено в след.месяце</t>
  </si>
  <si>
    <t>35,41 будет учтено</t>
  </si>
  <si>
    <t>14,05 и 74,94 будет учтено</t>
  </si>
  <si>
    <t>* офиц. По 31.07.18</t>
  </si>
  <si>
    <t>оплата М.???</t>
  </si>
  <si>
    <t>по 13.09.18</t>
  </si>
  <si>
    <t>21,01 - Будет удержано в след. месяце</t>
  </si>
  <si>
    <t>20,95 - Будет удержано в след. месяце</t>
  </si>
  <si>
    <t>ООО "Панда"</t>
  </si>
  <si>
    <t>ИП Луканина</t>
  </si>
  <si>
    <t>24,13 учтено</t>
  </si>
  <si>
    <t>14,05 и 74,94  учтено</t>
  </si>
  <si>
    <t>будет учтено в следующем месяце</t>
  </si>
  <si>
    <t>13,85 удержано</t>
  </si>
  <si>
    <t>ИП Логинова О.Н.</t>
  </si>
  <si>
    <t>68,76 будет учтено в след.месяце</t>
  </si>
  <si>
    <t>68,76 учтено</t>
  </si>
  <si>
    <t>будет учтено в следующем месяце 35,57-6,40</t>
  </si>
  <si>
    <t>ИП Михайлова</t>
  </si>
  <si>
    <t>ИП Лакизо</t>
  </si>
  <si>
    <t>ИП Штейнпрейс</t>
  </si>
  <si>
    <t>оплата М</t>
  </si>
  <si>
    <t>ИП Зайцев</t>
  </si>
  <si>
    <t>будет учтено в след.месяце</t>
  </si>
  <si>
    <t>490,58 окт + 265,90 ноя в декабре!</t>
  </si>
  <si>
    <t>Регион-Экспресс</t>
  </si>
  <si>
    <t>будет учтено в следующем месяце 35,57-6,40+0,36</t>
  </si>
  <si>
    <t>58,53 будет учтено в дек</t>
  </si>
  <si>
    <t>Петровский арсенал</t>
  </si>
  <si>
    <t>"Евроника"</t>
  </si>
  <si>
    <t>ПАО "МТС"</t>
  </si>
  <si>
    <t>ИП Шустова</t>
  </si>
  <si>
    <t>по 12.12.2018</t>
  </si>
  <si>
    <t>Теорема Авто</t>
  </si>
  <si>
    <t>с 13.12.18</t>
  </si>
  <si>
    <t>14,09 учтено</t>
  </si>
  <si>
    <t>ИП Саксаев</t>
  </si>
  <si>
    <t>Уно Моменто</t>
  </si>
  <si>
    <t>58,53 учтено в дек</t>
  </si>
  <si>
    <t>3П</t>
  </si>
  <si>
    <t>ИП Мазориева</t>
  </si>
  <si>
    <t>10/12П</t>
  </si>
  <si>
    <t>ООО "Арнот"</t>
  </si>
  <si>
    <t>по факт.тарифу</t>
  </si>
  <si>
    <t>Комус</t>
  </si>
  <si>
    <t>будет учтено в следующем месяце 35,57-6,40+0,36+34,99</t>
  </si>
  <si>
    <t>Колосова</t>
  </si>
  <si>
    <t>Шулико А.А.</t>
  </si>
  <si>
    <t>ИП Солодская</t>
  </si>
  <si>
    <t>будет учтено в следующем месяце 35,57-6,40+0,36+34,99+1,93</t>
  </si>
  <si>
    <t>расчет по 09.03.2019</t>
  </si>
  <si>
    <t>Крит</t>
  </si>
  <si>
    <t>с 01.03.19</t>
  </si>
  <si>
    <t>???</t>
  </si>
  <si>
    <t>Яндекс.еда</t>
  </si>
  <si>
    <t>ВМ</t>
  </si>
  <si>
    <t>"Пэрис нэйл"</t>
  </si>
  <si>
    <t>будет выст. Потом 1377,86</t>
  </si>
  <si>
    <t>по 10.04.2019 стар тариф</t>
  </si>
  <si>
    <t>Макаров</t>
  </si>
  <si>
    <t>будет выст. Потом 1377,86+10034,92</t>
  </si>
  <si>
    <t>ИП Чайкин И.А.</t>
  </si>
  <si>
    <t>ТД Детский Скороход</t>
  </si>
  <si>
    <t>ИП Бижев Д.К.</t>
  </si>
  <si>
    <t>Яндекс.Еда</t>
  </si>
  <si>
    <t>по 15.05.19</t>
  </si>
  <si>
    <t>ОнЛайн Трейд</t>
  </si>
  <si>
    <t>учтено 1377,86+10034,92</t>
  </si>
  <si>
    <t>ИП Жидкова Е.В.</t>
  </si>
  <si>
    <t>ООО "Алина"</t>
  </si>
  <si>
    <t>по 24.06.19</t>
  </si>
  <si>
    <t>Комплект Трест</t>
  </si>
  <si>
    <t>Копмлект Трест</t>
  </si>
  <si>
    <t>пропорц. площади</t>
  </si>
  <si>
    <t>20,95 + 67,11 - Будет удержано в след. месяце</t>
  </si>
  <si>
    <t>ТЕПМ</t>
  </si>
  <si>
    <t>МЕБЕЛЬНАЯ</t>
  </si>
  <si>
    <t>прошлый</t>
  </si>
  <si>
    <t>текущий</t>
  </si>
  <si>
    <t>факт</t>
  </si>
  <si>
    <t>В/о</t>
  </si>
  <si>
    <t>ЭЭ</t>
  </si>
  <si>
    <t>Арендатор</t>
  </si>
  <si>
    <t>показатель</t>
  </si>
  <si>
    <t>расход прошлого месяца</t>
  </si>
  <si>
    <t>текущий месяц</t>
  </si>
  <si>
    <t>затраты текущего месяца</t>
  </si>
  <si>
    <t>Перерасчет</t>
  </si>
  <si>
    <t>ШТРАФЫ ПДК/Нег. Возд.</t>
  </si>
  <si>
    <t>Начислено</t>
  </si>
  <si>
    <t>Выставлено</t>
  </si>
  <si>
    <t>показания начальные</t>
  </si>
  <si>
    <t>показания конечные</t>
  </si>
  <si>
    <t>месяц</t>
  </si>
  <si>
    <t>ООО "ПМБК"</t>
  </si>
  <si>
    <t>ООО "Пик-ап"</t>
  </si>
  <si>
    <t xml:space="preserve">ИП Жидкова </t>
  </si>
  <si>
    <t>АО "Теле2"</t>
  </si>
  <si>
    <t>ОДОЕВСКОГО</t>
  </si>
  <si>
    <t>ХВС 1</t>
  </si>
  <si>
    <t>ХВС 2</t>
  </si>
  <si>
    <t>12-10П</t>
  </si>
  <si>
    <t>ЭЭ 1</t>
  </si>
  <si>
    <t>ЭЭ 2</t>
  </si>
  <si>
    <t>ЭЭ 3</t>
  </si>
  <si>
    <t>ООО "ТД Детский Скор."</t>
  </si>
  <si>
    <t>112</t>
  </si>
  <si>
    <t>ООО "Уно Моменто"</t>
  </si>
  <si>
    <t>215</t>
  </si>
  <si>
    <t>ООО "Лабиринт.ру"</t>
  </si>
  <si>
    <t>314</t>
  </si>
  <si>
    <t>ООО "Сянхэ"</t>
  </si>
  <si>
    <t>ИП Чайкин</t>
  </si>
  <si>
    <t>АНОПО "Беллинда"</t>
  </si>
  <si>
    <t>412</t>
  </si>
  <si>
    <t>ИП Блинкова</t>
  </si>
  <si>
    <t>ООО "Регион-Экспресс"</t>
  </si>
  <si>
    <t>420</t>
  </si>
  <si>
    <t>ТРАНСПОРТНЫЙ</t>
  </si>
  <si>
    <t>100</t>
  </si>
  <si>
    <t>ООО "ТД Интерторг"</t>
  </si>
  <si>
    <t>101</t>
  </si>
  <si>
    <t>ООО "Пи Джей СПб"</t>
  </si>
  <si>
    <t>ИП Зеленова</t>
  </si>
  <si>
    <t>ООО "ВМ"</t>
  </si>
  <si>
    <t>ИП Рыжакова</t>
  </si>
  <si>
    <t>109</t>
  </si>
  <si>
    <t>ООО "Нептун"</t>
  </si>
  <si>
    <t>117</t>
  </si>
  <si>
    <t>ООО "Бургер Рус"</t>
  </si>
  <si>
    <t>118</t>
  </si>
  <si>
    <t>ООО "Крит"</t>
  </si>
  <si>
    <t>202</t>
  </si>
  <si>
    <t>ООО "Водопад"</t>
  </si>
  <si>
    <t>ООО "ОнЛайн Трейд"</t>
  </si>
  <si>
    <t>210</t>
  </si>
  <si>
    <t>ИП Курило</t>
  </si>
  <si>
    <t>ИП Лю Ши</t>
  </si>
  <si>
    <t>ООО "Пауль Хартманн"</t>
  </si>
  <si>
    <t>ООО "Комус"</t>
  </si>
  <si>
    <t>ИП Макаров</t>
  </si>
  <si>
    <t>301</t>
  </si>
  <si>
    <t>ООО "Алекс Фитнес"</t>
  </si>
  <si>
    <t>ГВС 1</t>
  </si>
  <si>
    <t>ГВС 2</t>
  </si>
  <si>
    <t>ООО "Петровский арсенал"</t>
  </si>
  <si>
    <t>304</t>
  </si>
  <si>
    <t>ООО "Первый трест"</t>
  </si>
  <si>
    <t>305</t>
  </si>
  <si>
    <t>400</t>
  </si>
  <si>
    <t>ООО "Красота и здоровье"</t>
  </si>
  <si>
    <t>ООО "Комплект трест"</t>
  </si>
  <si>
    <t>ООО "ТЛ-Консалтинг"</t>
  </si>
  <si>
    <t>ИП Шулико</t>
  </si>
  <si>
    <t>ООО "Вираж"</t>
  </si>
  <si>
    <t>58,3 будет выставлено в след.периоде</t>
  </si>
  <si>
    <t>408</t>
  </si>
  <si>
    <t>ООО "Единица"</t>
  </si>
  <si>
    <t>ООО "Синдикат"</t>
  </si>
  <si>
    <t>ИП Гусейнов</t>
  </si>
  <si>
    <t>НАУКА</t>
  </si>
  <si>
    <t>311</t>
  </si>
  <si>
    <t>ЗАНЕВСКИЙ</t>
  </si>
  <si>
    <t>ООО "Конфуцин МРК"</t>
  </si>
  <si>
    <t>88,06 + 7,84 будет учтено в след периоде</t>
  </si>
  <si>
    <t>ООО "Теорема авто"</t>
  </si>
  <si>
    <t>113</t>
  </si>
  <si>
    <t>ИП Габидуллин</t>
  </si>
  <si>
    <t>200</t>
  </si>
  <si>
    <t>ООО "Страта"</t>
  </si>
  <si>
    <t>207</t>
  </si>
  <si>
    <t>ООО "Темп"</t>
  </si>
  <si>
    <t>212</t>
  </si>
  <si>
    <t>300</t>
  </si>
  <si>
    <t>ООО "Пэрис Нэйл"</t>
  </si>
  <si>
    <t>303</t>
  </si>
  <si>
    <t>307</t>
  </si>
  <si>
    <t>308</t>
  </si>
  <si>
    <t>ООО "СПб Рентген"</t>
  </si>
  <si>
    <t>316</t>
  </si>
  <si>
    <t>403</t>
  </si>
  <si>
    <t>405 +</t>
  </si>
  <si>
    <t>ООО "МЦ Эко-без"</t>
  </si>
  <si>
    <t>413 +</t>
  </si>
  <si>
    <t>407</t>
  </si>
  <si>
    <t>ООО "Доктор Зубик"</t>
  </si>
  <si>
    <t>411</t>
  </si>
  <si>
    <t>ООО "Персона Лид. Гр."</t>
  </si>
  <si>
    <t>500</t>
  </si>
  <si>
    <t>ООО "Яндекс.Еда"</t>
  </si>
  <si>
    <t>502</t>
  </si>
  <si>
    <t>ИП Павлова</t>
  </si>
  <si>
    <t>06/05</t>
  </si>
  <si>
    <t>??</t>
  </si>
  <si>
    <t>ООО "Северная мудрость"</t>
  </si>
  <si>
    <t>1227,3 будет выставлено в след.периоде</t>
  </si>
  <si>
    <t>ОБЩИЙ РАСХОД</t>
  </si>
</sst>
</file>

<file path=xl/styles.xml><?xml version="1.0" encoding="utf-8"?>
<styleSheet xmlns="http://schemas.openxmlformats.org/spreadsheetml/2006/main">
  <numFmts count="6">
    <numFmt numFmtId="164" formatCode="#,##0.00&quot;р.&quot;"/>
    <numFmt numFmtId="165" formatCode="#,##0.000_р_."/>
    <numFmt numFmtId="166" formatCode="#,##0.000&quot;р.&quot;"/>
    <numFmt numFmtId="167" formatCode="#,##0.00_р_."/>
    <numFmt numFmtId="168" formatCode="#,##0.000"/>
    <numFmt numFmtId="169" formatCode="[$-419]mmmm\ yyyy;@"/>
  </numFmts>
  <fonts count="58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sz val="8"/>
      <name val="Arial Cyr"/>
      <charset val="204"/>
    </font>
    <font>
      <sz val="10"/>
      <color rgb="FFFF0000"/>
      <name val="Arial Cyr"/>
      <charset val="204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Arial Cyr"/>
      <charset val="204"/>
    </font>
    <font>
      <b/>
      <sz val="9"/>
      <name val="Arial Cyr"/>
      <charset val="204"/>
    </font>
    <font>
      <sz val="8"/>
      <color rgb="FFFF0000"/>
      <name val="Arial Cyr"/>
      <charset val="204"/>
    </font>
    <font>
      <sz val="10"/>
      <color indexed="12"/>
      <name val="Arial Cyr"/>
      <charset val="204"/>
    </font>
    <font>
      <b/>
      <sz val="10"/>
      <color indexed="12"/>
      <name val="Arial Cyr"/>
      <charset val="204"/>
    </font>
    <font>
      <sz val="10"/>
      <color rgb="FF0000FF"/>
      <name val="Arial Cyr"/>
      <charset val="204"/>
    </font>
    <font>
      <sz val="10"/>
      <color theme="5" tint="-0.249977111117893"/>
      <name val="Arial Cyr"/>
      <charset val="204"/>
    </font>
    <font>
      <sz val="10"/>
      <color indexed="60"/>
      <name val="Arial Cyr"/>
      <charset val="204"/>
    </font>
    <font>
      <sz val="10"/>
      <color theme="9" tint="-0.499984740745262"/>
      <name val="Arial Cyr"/>
      <charset val="204"/>
    </font>
    <font>
      <b/>
      <i/>
      <sz val="10"/>
      <color rgb="FFFF0000"/>
      <name val="Arial Cyr"/>
      <charset val="204"/>
    </font>
    <font>
      <sz val="10"/>
      <color indexed="17"/>
      <name val="Arial Cyr"/>
      <charset val="204"/>
    </font>
    <font>
      <sz val="8"/>
      <color indexed="12"/>
      <name val="Arial Cyr"/>
      <charset val="204"/>
    </font>
    <font>
      <sz val="10"/>
      <color rgb="FF993300"/>
      <name val="Arial Cyr"/>
      <charset val="204"/>
    </font>
    <font>
      <b/>
      <sz val="10"/>
      <color rgb="FFFF0000"/>
      <name val="Arial Cyr"/>
      <charset val="204"/>
    </font>
    <font>
      <b/>
      <sz val="10"/>
      <color indexed="60"/>
      <name val="Arial Cyr"/>
      <charset val="204"/>
    </font>
    <font>
      <sz val="8"/>
      <color indexed="60"/>
      <name val="Arial Cyr"/>
      <charset val="204"/>
    </font>
    <font>
      <b/>
      <i/>
      <sz val="11"/>
      <color rgb="FFFF000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0"/>
      <name val="Arial Cyr"/>
      <charset val="204"/>
    </font>
    <font>
      <sz val="10"/>
      <color theme="9" tint="-0.249977111117893"/>
      <name val="Arial Cyr"/>
      <charset val="204"/>
    </font>
    <font>
      <sz val="10"/>
      <color indexed="53"/>
      <name val="Arial Cyr"/>
      <charset val="204"/>
    </font>
    <font>
      <b/>
      <sz val="10"/>
      <color indexed="53"/>
      <name val="Arial Cyr"/>
      <charset val="204"/>
    </font>
    <font>
      <sz val="8"/>
      <color indexed="53"/>
      <name val="Arial Cyr"/>
      <charset val="204"/>
    </font>
    <font>
      <sz val="10"/>
      <color rgb="FFFF6600"/>
      <name val="Arial Cyr"/>
      <charset val="204"/>
    </font>
    <font>
      <sz val="12"/>
      <color theme="1"/>
      <name val="Calibri"/>
      <family val="2"/>
      <charset val="204"/>
      <scheme val="minor"/>
    </font>
    <font>
      <sz val="10"/>
      <color rgb="FFC00000"/>
      <name val="Arial Cyr"/>
      <charset val="204"/>
    </font>
    <font>
      <sz val="8"/>
      <color theme="9" tint="-0.249977111117893"/>
      <name val="Arial Cyr"/>
      <charset val="204"/>
    </font>
    <font>
      <b/>
      <sz val="8"/>
      <color rgb="FFFF0000"/>
      <name val="Arial Cyr"/>
      <charset val="204"/>
    </font>
    <font>
      <b/>
      <sz val="10"/>
      <color rgb="FF002060"/>
      <name val="Arial Cyr"/>
      <charset val="204"/>
    </font>
    <font>
      <sz val="12"/>
      <color theme="9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sz val="10"/>
      <color rgb="FF00B050"/>
      <name val="Arial Cyr"/>
      <charset val="204"/>
    </font>
    <font>
      <sz val="11"/>
      <color rgb="FF00B050"/>
      <name val="Calibri"/>
      <family val="2"/>
      <charset val="204"/>
      <scheme val="minor"/>
    </font>
    <font>
      <sz val="10"/>
      <color theme="1" tint="4.9989318521683403E-2"/>
      <name val="Arial Cyr"/>
      <charset val="204"/>
    </font>
    <font>
      <b/>
      <i/>
      <u/>
      <sz val="11"/>
      <color theme="1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8"/>
      <color rgb="FF0000FF"/>
      <name val="Arial Cyr"/>
      <charset val="204"/>
    </font>
    <font>
      <sz val="10"/>
      <color rgb="FF0000FF"/>
      <name val="Calibri"/>
      <family val="2"/>
      <charset val="204"/>
      <scheme val="minor"/>
    </font>
    <font>
      <b/>
      <sz val="10"/>
      <color rgb="FF0000FF"/>
      <name val="Arial Cyr"/>
      <charset val="204"/>
    </font>
    <font>
      <sz val="11"/>
      <color theme="1"/>
      <name val="Times New Roman"/>
      <family val="1"/>
      <charset val="204"/>
    </font>
    <font>
      <b/>
      <i/>
      <sz val="11"/>
      <color rgb="FFFF0000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b/>
      <i/>
      <sz val="11"/>
      <color rgb="FF00B050"/>
      <name val="Times New Roman"/>
      <family val="1"/>
      <charset val="204"/>
    </font>
    <font>
      <sz val="11"/>
      <color theme="9" tint="-0.249977111117893"/>
      <name val="Calibri"/>
      <family val="2"/>
      <charset val="204"/>
      <scheme val="minor"/>
    </font>
    <font>
      <sz val="11"/>
      <color theme="9" tint="-0.249977111117893"/>
      <name val="Times New Roman"/>
      <family val="1"/>
      <charset val="204"/>
    </font>
    <font>
      <b/>
      <sz val="11"/>
      <color theme="9" tint="-0.249977111117893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0EEF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3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Up="1"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Up="1">
      <left style="medium">
        <color indexed="64"/>
      </left>
      <right style="thin">
        <color indexed="64"/>
      </right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 diagonalUp="1">
      <left style="medium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ck">
        <color auto="1"/>
      </bottom>
      <diagonal/>
    </border>
    <border>
      <left style="medium">
        <color indexed="64"/>
      </left>
      <right/>
      <top style="thick">
        <color auto="1"/>
      </top>
      <bottom style="thick">
        <color auto="1"/>
      </bottom>
      <diagonal/>
    </border>
    <border>
      <left style="medium">
        <color indexed="64"/>
      </left>
      <right style="thin">
        <color indexed="64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ck">
        <color auto="1"/>
      </top>
      <bottom style="thick">
        <color auto="1"/>
      </bottom>
      <diagonal/>
    </border>
    <border>
      <left/>
      <right style="medium">
        <color indexed="64"/>
      </right>
      <top style="thick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thick">
        <color auto="1"/>
      </top>
      <bottom style="thick">
        <color auto="1"/>
      </bottom>
      <diagonal/>
    </border>
    <border diagonalUp="1">
      <left style="medium">
        <color indexed="64"/>
      </left>
      <right style="thin">
        <color indexed="64"/>
      </right>
      <top style="thick">
        <color auto="1"/>
      </top>
      <bottom style="thick">
        <color auto="1"/>
      </bottom>
      <diagonal style="thin">
        <color indexed="64"/>
      </diagonal>
    </border>
    <border>
      <left/>
      <right/>
      <top style="thick">
        <color auto="1"/>
      </top>
      <bottom style="thick">
        <color auto="1"/>
      </bottom>
      <diagonal/>
    </border>
    <border diagonalUp="1">
      <left style="thin">
        <color indexed="64"/>
      </left>
      <right style="thin">
        <color indexed="64"/>
      </right>
      <top style="thick">
        <color auto="1"/>
      </top>
      <bottom style="thick">
        <color auto="1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ck">
        <color auto="1"/>
      </top>
      <bottom style="thick">
        <color auto="1"/>
      </bottom>
      <diagonal style="thin">
        <color indexed="64"/>
      </diagonal>
    </border>
    <border>
      <left/>
      <right/>
      <top style="thick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 style="thick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92">
    <xf numFmtId="0" fontId="0" fillId="0" borderId="0" xfId="0"/>
    <xf numFmtId="0" fontId="3" fillId="0" borderId="0" xfId="0" applyFont="1" applyFill="1"/>
    <xf numFmtId="0" fontId="0" fillId="0" borderId="1" xfId="0" applyBorder="1"/>
    <xf numFmtId="0" fontId="1" fillId="0" borderId="1" xfId="0" applyFont="1" applyBorder="1"/>
    <xf numFmtId="0" fontId="6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shrinkToFit="1"/>
    </xf>
    <xf numFmtId="0" fontId="9" fillId="0" borderId="0" xfId="0" applyFont="1" applyFill="1" applyBorder="1" applyAlignment="1">
      <alignment horizontal="center"/>
    </xf>
    <xf numFmtId="0" fontId="9" fillId="0" borderId="0" xfId="0" applyFont="1"/>
    <xf numFmtId="0" fontId="10" fillId="2" borderId="16" xfId="0" applyFont="1" applyFill="1" applyBorder="1" applyAlignment="1">
      <alignment horizontal="center" shrinkToFit="1"/>
    </xf>
    <xf numFmtId="0" fontId="11" fillId="0" borderId="16" xfId="0" applyFont="1" applyBorder="1" applyAlignment="1">
      <alignment shrinkToFit="1"/>
    </xf>
    <xf numFmtId="164" fontId="13" fillId="0" borderId="17" xfId="0" applyNumberFormat="1" applyFont="1" applyBorder="1"/>
    <xf numFmtId="165" fontId="11" fillId="0" borderId="18" xfId="0" applyNumberFormat="1" applyFont="1" applyBorder="1"/>
    <xf numFmtId="164" fontId="14" fillId="0" borderId="19" xfId="0" applyNumberFormat="1" applyFont="1" applyBorder="1"/>
    <xf numFmtId="164" fontId="15" fillId="0" borderId="20" xfId="0" applyNumberFormat="1" applyFont="1" applyBorder="1"/>
    <xf numFmtId="164" fontId="11" fillId="0" borderId="19" xfId="0" applyNumberFormat="1" applyFont="1" applyBorder="1"/>
    <xf numFmtId="17" fontId="16" fillId="0" borderId="20" xfId="0" applyNumberFormat="1" applyFont="1" applyBorder="1" applyAlignment="1">
      <alignment shrinkToFit="1"/>
    </xf>
    <xf numFmtId="164" fontId="11" fillId="0" borderId="21" xfId="0" applyNumberFormat="1" applyFont="1" applyBorder="1" applyAlignment="1">
      <alignment shrinkToFit="1"/>
    </xf>
    <xf numFmtId="164" fontId="17" fillId="0" borderId="17" xfId="0" applyNumberFormat="1" applyFont="1" applyBorder="1" applyAlignment="1">
      <alignment shrinkToFit="1"/>
    </xf>
    <xf numFmtId="164" fontId="18" fillId="0" borderId="22" xfId="0" applyNumberFormat="1" applyFont="1" applyBorder="1" applyAlignment="1">
      <alignment shrinkToFit="1"/>
    </xf>
    <xf numFmtId="166" fontId="11" fillId="0" borderId="19" xfId="0" applyNumberFormat="1" applyFont="1" applyBorder="1" applyAlignment="1">
      <alignment shrinkToFit="1"/>
    </xf>
    <xf numFmtId="0" fontId="11" fillId="0" borderId="23" xfId="0" applyFont="1" applyBorder="1"/>
    <xf numFmtId="164" fontId="19" fillId="0" borderId="5" xfId="0" applyNumberFormat="1" applyFont="1" applyBorder="1"/>
    <xf numFmtId="167" fontId="11" fillId="0" borderId="0" xfId="0" applyNumberFormat="1" applyFont="1" applyBorder="1" applyAlignment="1">
      <alignment shrinkToFit="1"/>
    </xf>
    <xf numFmtId="0" fontId="0" fillId="0" borderId="0" xfId="0" applyAlignment="1">
      <alignment horizontal="left" shrinkToFit="1"/>
    </xf>
    <xf numFmtId="164" fontId="0" fillId="0" borderId="0" xfId="0" applyNumberFormat="1"/>
    <xf numFmtId="0" fontId="10" fillId="2" borderId="5" xfId="0" applyFont="1" applyFill="1" applyBorder="1" applyAlignment="1">
      <alignment horizontal="center" shrinkToFit="1"/>
    </xf>
    <xf numFmtId="0" fontId="11" fillId="0" borderId="5" xfId="0" applyFont="1" applyBorder="1" applyAlignment="1">
      <alignment shrinkToFit="1"/>
    </xf>
    <xf numFmtId="164" fontId="20" fillId="0" borderId="7" xfId="0" applyNumberFormat="1" applyFont="1" applyBorder="1" applyAlignment="1">
      <alignment shrinkToFit="1"/>
    </xf>
    <xf numFmtId="4" fontId="15" fillId="0" borderId="24" xfId="0" applyNumberFormat="1" applyFont="1" applyBorder="1"/>
    <xf numFmtId="164" fontId="14" fillId="0" borderId="23" xfId="0" applyNumberFormat="1" applyFont="1" applyBorder="1"/>
    <xf numFmtId="164" fontId="15" fillId="0" borderId="25" xfId="0" applyNumberFormat="1" applyFont="1" applyBorder="1"/>
    <xf numFmtId="165" fontId="11" fillId="0" borderId="24" xfId="0" applyNumberFormat="1" applyFont="1" applyBorder="1"/>
    <xf numFmtId="164" fontId="11" fillId="0" borderId="23" xfId="0" applyNumberFormat="1" applyFont="1" applyBorder="1"/>
    <xf numFmtId="17" fontId="16" fillId="0" borderId="25" xfId="0" applyNumberFormat="1" applyFont="1" applyBorder="1" applyAlignment="1">
      <alignment shrinkToFit="1"/>
    </xf>
    <xf numFmtId="17" fontId="11" fillId="0" borderId="6" xfId="0" applyNumberFormat="1" applyFont="1" applyBorder="1" applyAlignment="1">
      <alignment shrinkToFit="1"/>
    </xf>
    <xf numFmtId="164" fontId="17" fillId="0" borderId="7" xfId="0" applyNumberFormat="1" applyFont="1" applyBorder="1" applyAlignment="1">
      <alignment shrinkToFit="1"/>
    </xf>
    <xf numFmtId="164" fontId="18" fillId="0" borderId="26" xfId="0" applyNumberFormat="1" applyFont="1" applyBorder="1" applyAlignment="1">
      <alignment shrinkToFit="1"/>
    </xf>
    <xf numFmtId="166" fontId="11" fillId="0" borderId="27" xfId="0" applyNumberFormat="1" applyFont="1" applyBorder="1" applyAlignment="1">
      <alignment shrinkToFit="1"/>
    </xf>
    <xf numFmtId="0" fontId="11" fillId="0" borderId="28" xfId="0" applyFont="1" applyBorder="1"/>
    <xf numFmtId="164" fontId="13" fillId="0" borderId="29" xfId="0" applyNumberFormat="1" applyFont="1" applyBorder="1" applyAlignment="1">
      <alignment shrinkToFit="1"/>
    </xf>
    <xf numFmtId="4" fontId="11" fillId="0" borderId="24" xfId="0" applyNumberFormat="1" applyFont="1" applyBorder="1"/>
    <xf numFmtId="164" fontId="11" fillId="0" borderId="25" xfId="0" applyNumberFormat="1" applyFont="1" applyBorder="1"/>
    <xf numFmtId="165" fontId="21" fillId="0" borderId="24" xfId="0" applyNumberFormat="1" applyFont="1" applyBorder="1"/>
    <xf numFmtId="0" fontId="10" fillId="2" borderId="30" xfId="0" applyFont="1" applyFill="1" applyBorder="1" applyAlignment="1">
      <alignment horizontal="center" shrinkToFit="1"/>
    </xf>
    <xf numFmtId="0" fontId="11" fillId="0" borderId="30" xfId="0" applyFont="1" applyBorder="1" applyAlignment="1">
      <alignment shrinkToFit="1"/>
    </xf>
    <xf numFmtId="164" fontId="5" fillId="0" borderId="31" xfId="0" applyNumberFormat="1" applyFont="1" applyBorder="1" applyAlignment="1">
      <alignment shrinkToFit="1"/>
    </xf>
    <xf numFmtId="4" fontId="11" fillId="0" borderId="13" xfId="0" applyNumberFormat="1" applyFont="1" applyBorder="1"/>
    <xf numFmtId="164" fontId="5" fillId="0" borderId="11" xfId="0" applyNumberFormat="1" applyFont="1" applyBorder="1"/>
    <xf numFmtId="0" fontId="0" fillId="0" borderId="11" xfId="0" applyBorder="1"/>
    <xf numFmtId="164" fontId="11" fillId="0" borderId="12" xfId="0" applyNumberFormat="1" applyFont="1" applyBorder="1"/>
    <xf numFmtId="165" fontId="11" fillId="0" borderId="32" xfId="0" applyNumberFormat="1" applyFont="1" applyBorder="1"/>
    <xf numFmtId="164" fontId="11" fillId="0" borderId="33" xfId="0" applyNumberFormat="1" applyFont="1" applyBorder="1"/>
    <xf numFmtId="164" fontId="11" fillId="0" borderId="34" xfId="0" applyNumberFormat="1" applyFont="1" applyBorder="1"/>
    <xf numFmtId="164" fontId="11" fillId="0" borderId="35" xfId="0" applyNumberFormat="1" applyFont="1" applyBorder="1"/>
    <xf numFmtId="164" fontId="17" fillId="0" borderId="36" xfId="0" applyNumberFormat="1" applyFont="1" applyBorder="1" applyAlignment="1">
      <alignment shrinkToFit="1"/>
    </xf>
    <xf numFmtId="164" fontId="18" fillId="0" borderId="37" xfId="0" applyNumberFormat="1" applyFont="1" applyBorder="1" applyAlignment="1">
      <alignment shrinkToFit="1"/>
    </xf>
    <xf numFmtId="166" fontId="11" fillId="0" borderId="28" xfId="0" applyNumberFormat="1" applyFont="1" applyBorder="1" applyAlignment="1">
      <alignment shrinkToFit="1"/>
    </xf>
    <xf numFmtId="164" fontId="19" fillId="0" borderId="38" xfId="0" applyNumberFormat="1" applyFont="1" applyBorder="1"/>
    <xf numFmtId="167" fontId="11" fillId="0" borderId="39" xfId="0" applyNumberFormat="1" applyFont="1" applyBorder="1" applyAlignment="1">
      <alignment horizontal="left" shrinkToFit="1"/>
    </xf>
    <xf numFmtId="166" fontId="13" fillId="0" borderId="39" xfId="0" applyNumberFormat="1" applyFont="1" applyBorder="1" applyAlignment="1">
      <alignment horizontal="left" shrinkToFit="1"/>
    </xf>
    <xf numFmtId="0" fontId="10" fillId="2" borderId="2" xfId="0" applyFont="1" applyFill="1" applyBorder="1" applyAlignment="1">
      <alignment horizontal="center" shrinkToFit="1"/>
    </xf>
    <xf numFmtId="0" fontId="15" fillId="0" borderId="16" xfId="0" applyFont="1" applyBorder="1" applyAlignment="1">
      <alignment shrinkToFit="1"/>
    </xf>
    <xf numFmtId="164" fontId="20" fillId="0" borderId="17" xfId="0" applyNumberFormat="1" applyFont="1" applyBorder="1"/>
    <xf numFmtId="165" fontId="15" fillId="0" borderId="18" xfId="0" applyNumberFormat="1" applyFont="1" applyBorder="1"/>
    <xf numFmtId="164" fontId="15" fillId="0" borderId="19" xfId="0" applyNumberFormat="1" applyFont="1" applyBorder="1"/>
    <xf numFmtId="164" fontId="16" fillId="0" borderId="21" xfId="0" applyNumberFormat="1" applyFont="1" applyBorder="1" applyAlignment="1">
      <alignment shrinkToFit="1"/>
    </xf>
    <xf numFmtId="166" fontId="15" fillId="0" borderId="19" xfId="0" applyNumberFormat="1" applyFont="1" applyBorder="1" applyAlignment="1">
      <alignment shrinkToFit="1"/>
    </xf>
    <xf numFmtId="0" fontId="15" fillId="0" borderId="40" xfId="0" applyFont="1" applyBorder="1"/>
    <xf numFmtId="164" fontId="15" fillId="0" borderId="19" xfId="0" applyNumberFormat="1" applyFont="1" applyBorder="1" applyAlignment="1">
      <alignment shrinkToFit="1"/>
    </xf>
    <xf numFmtId="164" fontId="23" fillId="0" borderId="41" xfId="0" applyNumberFormat="1" applyFont="1" applyBorder="1"/>
    <xf numFmtId="167" fontId="15" fillId="0" borderId="42" xfId="0" applyNumberFormat="1" applyFont="1" applyBorder="1" applyAlignment="1">
      <alignment horizontal="left" shrinkToFit="1"/>
    </xf>
    <xf numFmtId="166" fontId="15" fillId="0" borderId="42" xfId="0" applyNumberFormat="1" applyFont="1" applyBorder="1" applyAlignment="1">
      <alignment horizontal="left" shrinkToFit="1"/>
    </xf>
    <xf numFmtId="0" fontId="15" fillId="0" borderId="0" xfId="0" applyFont="1"/>
    <xf numFmtId="0" fontId="10" fillId="2" borderId="7" xfId="0" applyFont="1" applyFill="1" applyBorder="1" applyAlignment="1">
      <alignment horizontal="center" shrinkToFit="1"/>
    </xf>
    <xf numFmtId="0" fontId="15" fillId="0" borderId="5" xfId="0" applyFont="1" applyBorder="1" applyAlignment="1">
      <alignment shrinkToFit="1"/>
    </xf>
    <xf numFmtId="164" fontId="20" fillId="0" borderId="29" xfId="0" applyNumberFormat="1" applyFont="1" applyBorder="1" applyAlignment="1">
      <alignment shrinkToFit="1"/>
    </xf>
    <xf numFmtId="164" fontId="15" fillId="0" borderId="24" xfId="0" applyNumberFormat="1" applyFont="1" applyBorder="1"/>
    <xf numFmtId="164" fontId="14" fillId="0" borderId="43" xfId="0" applyNumberFormat="1" applyFont="1" applyBorder="1"/>
    <xf numFmtId="164" fontId="14" fillId="0" borderId="28" xfId="0" applyNumberFormat="1" applyFont="1" applyBorder="1"/>
    <xf numFmtId="164" fontId="16" fillId="0" borderId="44" xfId="0" applyNumberFormat="1" applyFont="1" applyBorder="1" applyAlignment="1">
      <alignment shrinkToFit="1"/>
    </xf>
    <xf numFmtId="164" fontId="16" fillId="0" borderId="35" xfId="0" applyNumberFormat="1" applyFont="1" applyBorder="1" applyAlignment="1">
      <alignment shrinkToFit="1"/>
    </xf>
    <xf numFmtId="164" fontId="17" fillId="0" borderId="4" xfId="0" applyNumberFormat="1" applyFont="1" applyBorder="1" applyAlignment="1">
      <alignment shrinkToFit="1"/>
    </xf>
    <xf numFmtId="164" fontId="18" fillId="0" borderId="45" xfId="0" applyNumberFormat="1" applyFont="1" applyBorder="1" applyAlignment="1">
      <alignment shrinkToFit="1"/>
    </xf>
    <xf numFmtId="166" fontId="15" fillId="0" borderId="43" xfId="0" applyNumberFormat="1" applyFont="1" applyBorder="1" applyAlignment="1">
      <alignment shrinkToFit="1"/>
    </xf>
    <xf numFmtId="0" fontId="15" fillId="0" borderId="46" xfId="0" applyFont="1" applyBorder="1"/>
    <xf numFmtId="164" fontId="15" fillId="0" borderId="43" xfId="0" applyNumberFormat="1" applyFont="1" applyBorder="1" applyAlignment="1">
      <alignment shrinkToFit="1"/>
    </xf>
    <xf numFmtId="164" fontId="23" fillId="0" borderId="5" xfId="0" applyNumberFormat="1" applyFont="1" applyBorder="1"/>
    <xf numFmtId="167" fontId="15" fillId="0" borderId="0" xfId="0" applyNumberFormat="1" applyFont="1" applyBorder="1" applyAlignment="1">
      <alignment horizontal="left" shrinkToFit="1"/>
    </xf>
    <xf numFmtId="166" fontId="15" fillId="0" borderId="0" xfId="0" applyNumberFormat="1" applyFont="1" applyBorder="1" applyAlignment="1">
      <alignment horizontal="left" shrinkToFit="1"/>
    </xf>
    <xf numFmtId="0" fontId="5" fillId="0" borderId="5" xfId="0" applyFont="1" applyBorder="1" applyAlignment="1">
      <alignment shrinkToFit="1"/>
    </xf>
    <xf numFmtId="164" fontId="5" fillId="0" borderId="29" xfId="0" applyNumberFormat="1" applyFont="1" applyBorder="1" applyAlignment="1">
      <alignment shrinkToFit="1"/>
    </xf>
    <xf numFmtId="165" fontId="15" fillId="0" borderId="24" xfId="0" applyNumberFormat="1" applyFont="1" applyBorder="1"/>
    <xf numFmtId="164" fontId="5" fillId="0" borderId="23" xfId="0" applyNumberFormat="1" applyFont="1" applyBorder="1"/>
    <xf numFmtId="164" fontId="17" fillId="0" borderId="29" xfId="0" applyNumberFormat="1" applyFont="1" applyBorder="1" applyAlignment="1">
      <alignment shrinkToFit="1"/>
    </xf>
    <xf numFmtId="164" fontId="18" fillId="0" borderId="47" xfId="0" applyNumberFormat="1" applyFont="1" applyBorder="1" applyAlignment="1">
      <alignment shrinkToFit="1"/>
    </xf>
    <xf numFmtId="166" fontId="15" fillId="0" borderId="23" xfId="0" applyNumberFormat="1" applyFont="1" applyBorder="1" applyAlignment="1">
      <alignment shrinkToFit="1"/>
    </xf>
    <xf numFmtId="0" fontId="10" fillId="2" borderId="48" xfId="0" applyFont="1" applyFill="1" applyBorder="1" applyAlignment="1">
      <alignment horizontal="center" shrinkToFit="1"/>
    </xf>
    <xf numFmtId="0" fontId="15" fillId="0" borderId="49" xfId="0" applyFont="1" applyBorder="1" applyAlignment="1">
      <alignment shrinkToFit="1"/>
    </xf>
    <xf numFmtId="164" fontId="5" fillId="0" borderId="50" xfId="0" applyNumberFormat="1" applyFont="1" applyBorder="1" applyAlignment="1">
      <alignment shrinkToFit="1"/>
    </xf>
    <xf numFmtId="165" fontId="15" fillId="0" borderId="51" xfId="0" applyNumberFormat="1" applyFont="1" applyBorder="1"/>
    <xf numFmtId="0" fontId="0" fillId="0" borderId="52" xfId="0" applyBorder="1"/>
    <xf numFmtId="164" fontId="15" fillId="0" borderId="53" xfId="0" applyNumberFormat="1" applyFont="1" applyBorder="1"/>
    <xf numFmtId="165" fontId="11" fillId="0" borderId="54" xfId="0" applyNumberFormat="1" applyFont="1" applyBorder="1"/>
    <xf numFmtId="164" fontId="11" fillId="0" borderId="55" xfId="0" applyNumberFormat="1" applyFont="1" applyBorder="1"/>
    <xf numFmtId="164" fontId="11" fillId="0" borderId="56" xfId="0" applyNumberFormat="1" applyFont="1" applyBorder="1"/>
    <xf numFmtId="164" fontId="11" fillId="0" borderId="57" xfId="0" applyNumberFormat="1" applyFont="1" applyBorder="1"/>
    <xf numFmtId="164" fontId="17" fillId="0" borderId="50" xfId="0" applyNumberFormat="1" applyFont="1" applyBorder="1" applyAlignment="1">
      <alignment shrinkToFit="1"/>
    </xf>
    <xf numFmtId="164" fontId="18" fillId="0" borderId="54" xfId="0" applyNumberFormat="1" applyFont="1" applyBorder="1" applyAlignment="1">
      <alignment shrinkToFit="1"/>
    </xf>
    <xf numFmtId="166" fontId="15" fillId="0" borderId="52" xfId="0" applyNumberFormat="1" applyFont="1" applyBorder="1" applyAlignment="1">
      <alignment shrinkToFit="1"/>
    </xf>
    <xf numFmtId="0" fontId="15" fillId="0" borderId="58" xfId="0" applyFont="1" applyBorder="1"/>
    <xf numFmtId="164" fontId="23" fillId="0" borderId="49" xfId="0" applyNumberFormat="1" applyFont="1" applyBorder="1"/>
    <xf numFmtId="167" fontId="15" fillId="0" borderId="1" xfId="0" applyNumberFormat="1" applyFont="1" applyBorder="1" applyAlignment="1">
      <alignment horizontal="left" shrinkToFit="1"/>
    </xf>
    <xf numFmtId="166" fontId="15" fillId="0" borderId="1" xfId="0" applyNumberFormat="1" applyFont="1" applyBorder="1" applyAlignment="1">
      <alignment horizontal="left" shrinkToFit="1"/>
    </xf>
    <xf numFmtId="0" fontId="10" fillId="0" borderId="59" xfId="0" applyFont="1" applyFill="1" applyBorder="1" applyAlignment="1">
      <alignment horizontal="center" shrinkToFit="1"/>
    </xf>
    <xf numFmtId="0" fontId="0" fillId="0" borderId="60" xfId="0" applyBorder="1" applyAlignment="1">
      <alignment shrinkToFit="1"/>
    </xf>
    <xf numFmtId="164" fontId="0" fillId="0" borderId="61" xfId="0" applyNumberFormat="1" applyBorder="1"/>
    <xf numFmtId="165" fontId="8" fillId="0" borderId="62" xfId="0" applyNumberFormat="1" applyFont="1" applyBorder="1"/>
    <xf numFmtId="164" fontId="0" fillId="0" borderId="62" xfId="0" applyNumberFormat="1" applyFont="1" applyBorder="1"/>
    <xf numFmtId="164" fontId="8" fillId="0" borderId="61" xfId="0" applyNumberFormat="1" applyFont="1" applyBorder="1"/>
    <xf numFmtId="165" fontId="8" fillId="0" borderId="60" xfId="0" applyNumberFormat="1" applyFont="1" applyBorder="1"/>
    <xf numFmtId="164" fontId="14" fillId="0" borderId="62" xfId="0" applyNumberFormat="1" applyFont="1" applyBorder="1"/>
    <xf numFmtId="164" fontId="15" fillId="0" borderId="62" xfId="0" applyNumberFormat="1" applyFont="1" applyBorder="1"/>
    <xf numFmtId="17" fontId="16" fillId="0" borderId="61" xfId="0" applyNumberFormat="1" applyFont="1" applyBorder="1" applyAlignment="1">
      <alignment shrinkToFit="1"/>
    </xf>
    <xf numFmtId="164" fontId="8" fillId="0" borderId="63" xfId="0" applyNumberFormat="1" applyFont="1" applyBorder="1" applyAlignment="1">
      <alignment shrinkToFit="1"/>
    </xf>
    <xf numFmtId="164" fontId="5" fillId="0" borderId="64" xfId="0" applyNumberFormat="1" applyFont="1" applyBorder="1" applyAlignment="1">
      <alignment shrinkToFit="1"/>
    </xf>
    <xf numFmtId="164" fontId="18" fillId="0" borderId="65" xfId="0" applyNumberFormat="1" applyFont="1" applyBorder="1" applyAlignment="1">
      <alignment shrinkToFit="1"/>
    </xf>
    <xf numFmtId="166" fontId="8" fillId="0" borderId="62" xfId="0" applyNumberFormat="1" applyFont="1" applyBorder="1" applyAlignment="1">
      <alignment shrinkToFit="1"/>
    </xf>
    <xf numFmtId="0" fontId="0" fillId="0" borderId="62" xfId="0" applyFont="1" applyBorder="1"/>
    <xf numFmtId="164" fontId="4" fillId="0" borderId="59" xfId="0" applyNumberFormat="1" applyFont="1" applyBorder="1"/>
    <xf numFmtId="167" fontId="8" fillId="0" borderId="66" xfId="0" applyNumberFormat="1" applyFont="1" applyBorder="1" applyAlignment="1">
      <alignment horizontal="left" shrinkToFit="1"/>
    </xf>
    <xf numFmtId="166" fontId="8" fillId="0" borderId="66" xfId="0" applyNumberFormat="1" applyFont="1" applyBorder="1" applyAlignment="1">
      <alignment horizontal="left" shrinkToFit="1"/>
    </xf>
    <xf numFmtId="0" fontId="8" fillId="0" borderId="0" xfId="0" applyFont="1"/>
    <xf numFmtId="164" fontId="8" fillId="0" borderId="62" xfId="0" applyNumberFormat="1" applyFont="1" applyBorder="1"/>
    <xf numFmtId="164" fontId="8" fillId="0" borderId="61" xfId="0" applyNumberFormat="1" applyFont="1" applyBorder="1" applyAlignment="1">
      <alignment shrinkToFit="1"/>
    </xf>
    <xf numFmtId="165" fontId="11" fillId="0" borderId="65" xfId="0" applyNumberFormat="1" applyFont="1" applyBorder="1"/>
    <xf numFmtId="164" fontId="11" fillId="0" borderId="67" xfId="0" applyNumberFormat="1" applyFont="1" applyBorder="1"/>
    <xf numFmtId="164" fontId="11" fillId="0" borderId="68" xfId="0" applyNumberFormat="1" applyFont="1" applyBorder="1"/>
    <xf numFmtId="164" fontId="11" fillId="0" borderId="63" xfId="0" applyNumberFormat="1" applyFont="1" applyBorder="1"/>
    <xf numFmtId="0" fontId="10" fillId="0" borderId="66" xfId="0" applyFont="1" applyFill="1" applyBorder="1" applyAlignment="1">
      <alignment horizontal="center" shrinkToFit="1"/>
    </xf>
    <xf numFmtId="0" fontId="0" fillId="0" borderId="62" xfId="0" applyBorder="1" applyAlignment="1">
      <alignment shrinkToFit="1"/>
    </xf>
    <xf numFmtId="164" fontId="13" fillId="0" borderId="62" xfId="0" applyNumberFormat="1" applyFont="1" applyBorder="1" applyAlignment="1">
      <alignment shrinkToFit="1"/>
    </xf>
    <xf numFmtId="164" fontId="11" fillId="0" borderId="62" xfId="0" applyNumberFormat="1" applyFont="1" applyBorder="1"/>
    <xf numFmtId="165" fontId="11" fillId="0" borderId="62" xfId="0" applyNumberFormat="1" applyFont="1" applyBorder="1"/>
    <xf numFmtId="164" fontId="5" fillId="0" borderId="62" xfId="0" applyNumberFormat="1" applyFont="1" applyBorder="1" applyAlignment="1">
      <alignment shrinkToFit="1"/>
    </xf>
    <xf numFmtId="164" fontId="18" fillId="0" borderId="62" xfId="0" applyNumberFormat="1" applyFont="1" applyBorder="1" applyAlignment="1">
      <alignment shrinkToFit="1"/>
    </xf>
    <xf numFmtId="164" fontId="4" fillId="0" borderId="66" xfId="0" applyNumberFormat="1" applyFont="1" applyBorder="1"/>
    <xf numFmtId="164" fontId="0" fillId="0" borderId="62" xfId="0" applyNumberFormat="1" applyBorder="1"/>
    <xf numFmtId="0" fontId="0" fillId="0" borderId="62" xfId="0" applyBorder="1"/>
    <xf numFmtId="0" fontId="10" fillId="0" borderId="69" xfId="0" applyFont="1" applyFill="1" applyBorder="1" applyAlignment="1">
      <alignment horizontal="center" shrinkToFit="1"/>
    </xf>
    <xf numFmtId="0" fontId="0" fillId="0" borderId="69" xfId="0" applyBorder="1" applyAlignment="1">
      <alignment shrinkToFit="1"/>
    </xf>
    <xf numFmtId="164" fontId="0" fillId="0" borderId="69" xfId="0" applyNumberFormat="1" applyBorder="1"/>
    <xf numFmtId="165" fontId="8" fillId="0" borderId="69" xfId="0" applyNumberFormat="1" applyFont="1" applyBorder="1"/>
    <xf numFmtId="164" fontId="8" fillId="0" borderId="69" xfId="0" applyNumberFormat="1" applyFont="1" applyBorder="1"/>
    <xf numFmtId="165" fontId="11" fillId="0" borderId="69" xfId="0" applyNumberFormat="1" applyFont="1" applyBorder="1"/>
    <xf numFmtId="164" fontId="11" fillId="0" borderId="69" xfId="0" applyNumberFormat="1" applyFont="1" applyBorder="1"/>
    <xf numFmtId="164" fontId="5" fillId="0" borderId="69" xfId="0" applyNumberFormat="1" applyFont="1" applyBorder="1" applyAlignment="1">
      <alignment shrinkToFit="1"/>
    </xf>
    <xf numFmtId="164" fontId="18" fillId="0" borderId="69" xfId="0" applyNumberFormat="1" applyFont="1" applyBorder="1" applyAlignment="1">
      <alignment shrinkToFit="1"/>
    </xf>
    <xf numFmtId="166" fontId="8" fillId="0" borderId="69" xfId="0" applyNumberFormat="1" applyFont="1" applyBorder="1" applyAlignment="1">
      <alignment shrinkToFit="1"/>
    </xf>
    <xf numFmtId="0" fontId="0" fillId="0" borderId="69" xfId="0" applyFont="1" applyBorder="1"/>
    <xf numFmtId="164" fontId="4" fillId="0" borderId="69" xfId="0" applyNumberFormat="1" applyFont="1" applyBorder="1"/>
    <xf numFmtId="167" fontId="8" fillId="0" borderId="69" xfId="0" applyNumberFormat="1" applyFont="1" applyBorder="1" applyAlignment="1">
      <alignment horizontal="left" shrinkToFit="1"/>
    </xf>
    <xf numFmtId="166" fontId="8" fillId="0" borderId="69" xfId="0" applyNumberFormat="1" applyFont="1" applyBorder="1" applyAlignment="1">
      <alignment horizontal="left" shrinkToFit="1"/>
    </xf>
    <xf numFmtId="0" fontId="3" fillId="0" borderId="1" xfId="0" applyFont="1" applyFill="1" applyBorder="1"/>
    <xf numFmtId="0" fontId="24" fillId="0" borderId="1" xfId="0" applyFont="1" applyBorder="1"/>
    <xf numFmtId="0" fontId="25" fillId="0" borderId="1" xfId="0" applyFont="1" applyBorder="1"/>
    <xf numFmtId="0" fontId="6" fillId="0" borderId="75" xfId="0" applyFont="1" applyBorder="1" applyAlignment="1">
      <alignment horizontal="center" shrinkToFi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 shrinkToFit="1"/>
    </xf>
    <xf numFmtId="164" fontId="0" fillId="0" borderId="0" xfId="0" applyNumberFormat="1" applyBorder="1"/>
    <xf numFmtId="0" fontId="26" fillId="0" borderId="0" xfId="0" applyFont="1" applyAlignment="1">
      <alignment horizontal="center"/>
    </xf>
    <xf numFmtId="0" fontId="10" fillId="2" borderId="76" xfId="0" applyFont="1" applyFill="1" applyBorder="1" applyAlignment="1">
      <alignment horizontal="center" shrinkToFit="1"/>
    </xf>
    <xf numFmtId="0" fontId="11" fillId="0" borderId="77" xfId="0" applyFont="1" applyBorder="1" applyAlignment="1">
      <alignment shrinkToFit="1"/>
    </xf>
    <xf numFmtId="4" fontId="11" fillId="0" borderId="18" xfId="0" applyNumberFormat="1" applyFont="1" applyBorder="1"/>
    <xf numFmtId="164" fontId="11" fillId="0" borderId="20" xfId="0" applyNumberFormat="1" applyFont="1" applyBorder="1"/>
    <xf numFmtId="164" fontId="27" fillId="0" borderId="19" xfId="0" applyNumberFormat="1" applyFont="1" applyBorder="1"/>
    <xf numFmtId="164" fontId="17" fillId="0" borderId="17" xfId="0" applyNumberFormat="1" applyFont="1" applyBorder="1"/>
    <xf numFmtId="164" fontId="18" fillId="0" borderId="22" xfId="0" applyNumberFormat="1" applyFont="1" applyBorder="1"/>
    <xf numFmtId="0" fontId="11" fillId="0" borderId="18" xfId="0" applyFont="1" applyBorder="1" applyAlignment="1">
      <alignment shrinkToFit="1"/>
    </xf>
    <xf numFmtId="164" fontId="19" fillId="0" borderId="0" xfId="0" applyNumberFormat="1" applyFont="1" applyBorder="1"/>
    <xf numFmtId="0" fontId="10" fillId="2" borderId="78" xfId="0" applyFont="1" applyFill="1" applyBorder="1" applyAlignment="1">
      <alignment horizontal="center" shrinkToFit="1"/>
    </xf>
    <xf numFmtId="0" fontId="11" fillId="0" borderId="0" xfId="0" applyFont="1" applyBorder="1" applyAlignment="1">
      <alignment shrinkToFit="1"/>
    </xf>
    <xf numFmtId="164" fontId="28" fillId="0" borderId="8" xfId="0" applyNumberFormat="1" applyFont="1" applyBorder="1"/>
    <xf numFmtId="164" fontId="28" fillId="0" borderId="43" xfId="0" applyNumberFormat="1" applyFont="1" applyBorder="1"/>
    <xf numFmtId="164" fontId="28" fillId="0" borderId="79" xfId="0" applyNumberFormat="1" applyFont="1" applyBorder="1"/>
    <xf numFmtId="164" fontId="28" fillId="0" borderId="80" xfId="0" applyNumberFormat="1" applyFont="1" applyBorder="1"/>
    <xf numFmtId="164" fontId="17" fillId="0" borderId="7" xfId="0" applyNumberFormat="1" applyFont="1" applyBorder="1"/>
    <xf numFmtId="164" fontId="18" fillId="0" borderId="26" xfId="0" applyNumberFormat="1" applyFont="1" applyBorder="1"/>
    <xf numFmtId="164" fontId="11" fillId="0" borderId="27" xfId="0" applyNumberFormat="1" applyFont="1" applyBorder="1"/>
    <xf numFmtId="0" fontId="11" fillId="0" borderId="78" xfId="0" applyFont="1" applyBorder="1" applyAlignment="1">
      <alignment shrinkToFit="1"/>
    </xf>
    <xf numFmtId="0" fontId="10" fillId="2" borderId="81" xfId="0" applyFont="1" applyFill="1" applyBorder="1" applyAlignment="1">
      <alignment horizontal="center" shrinkToFit="1"/>
    </xf>
    <xf numFmtId="0" fontId="11" fillId="0" borderId="82" xfId="0" applyFont="1" applyBorder="1" applyAlignment="1">
      <alignment shrinkToFit="1"/>
    </xf>
    <xf numFmtId="164" fontId="11" fillId="0" borderId="83" xfId="0" applyNumberFormat="1" applyFont="1" applyBorder="1"/>
    <xf numFmtId="164" fontId="11" fillId="0" borderId="31" xfId="0" applyNumberFormat="1" applyFont="1" applyBorder="1"/>
    <xf numFmtId="164" fontId="17" fillId="0" borderId="36" xfId="0" applyNumberFormat="1" applyFont="1" applyBorder="1"/>
    <xf numFmtId="164" fontId="18" fillId="0" borderId="37" xfId="0" applyNumberFormat="1" applyFont="1" applyBorder="1"/>
    <xf numFmtId="164" fontId="11" fillId="0" borderId="28" xfId="0" applyNumberFormat="1" applyFont="1" applyBorder="1"/>
    <xf numFmtId="0" fontId="11" fillId="0" borderId="84" xfId="0" applyFont="1" applyBorder="1" applyAlignment="1">
      <alignment shrinkToFit="1"/>
    </xf>
    <xf numFmtId="164" fontId="19" fillId="0" borderId="39" xfId="0" applyNumberFormat="1" applyFont="1" applyBorder="1"/>
    <xf numFmtId="164" fontId="11" fillId="0" borderId="39" xfId="0" applyNumberFormat="1" applyFont="1" applyBorder="1" applyAlignment="1">
      <alignment shrinkToFit="1"/>
    </xf>
    <xf numFmtId="0" fontId="5" fillId="2" borderId="76" xfId="0" applyFont="1" applyFill="1" applyBorder="1" applyAlignment="1">
      <alignment horizontal="center" shrinkToFit="1"/>
    </xf>
    <xf numFmtId="0" fontId="28" fillId="0" borderId="77" xfId="0" applyFont="1" applyBorder="1" applyAlignment="1">
      <alignment shrinkToFit="1"/>
    </xf>
    <xf numFmtId="4" fontId="28" fillId="0" borderId="18" xfId="0" applyNumberFormat="1" applyFont="1" applyBorder="1"/>
    <xf numFmtId="164" fontId="28" fillId="0" borderId="20" xfId="0" applyNumberFormat="1" applyFont="1" applyBorder="1"/>
    <xf numFmtId="164" fontId="28" fillId="0" borderId="19" xfId="0" applyNumberFormat="1" applyFont="1" applyBorder="1"/>
    <xf numFmtId="164" fontId="28" fillId="0" borderId="21" xfId="0" applyNumberFormat="1" applyFont="1" applyBorder="1"/>
    <xf numFmtId="166" fontId="27" fillId="0" borderId="19" xfId="0" applyNumberFormat="1" applyFont="1" applyBorder="1"/>
    <xf numFmtId="164" fontId="28" fillId="0" borderId="18" xfId="0" applyNumberFormat="1" applyFont="1" applyBorder="1" applyAlignment="1">
      <alignment shrinkToFit="1"/>
    </xf>
    <xf numFmtId="166" fontId="27" fillId="0" borderId="20" xfId="0" applyNumberFormat="1" applyFont="1" applyBorder="1"/>
    <xf numFmtId="164" fontId="30" fillId="0" borderId="85" xfId="0" applyNumberFormat="1" applyFont="1" applyBorder="1"/>
    <xf numFmtId="0" fontId="28" fillId="0" borderId="42" xfId="0" applyFont="1" applyBorder="1" applyAlignment="1">
      <alignment horizontal="right"/>
    </xf>
    <xf numFmtId="0" fontId="28" fillId="0" borderId="42" xfId="0" applyFont="1" applyBorder="1" applyAlignment="1">
      <alignment shrinkToFit="1"/>
    </xf>
    <xf numFmtId="0" fontId="5" fillId="2" borderId="78" xfId="0" applyFont="1" applyFill="1" applyBorder="1" applyAlignment="1">
      <alignment horizontal="center" shrinkToFit="1"/>
    </xf>
    <xf numFmtId="0" fontId="28" fillId="0" borderId="0" xfId="0" applyFont="1" applyBorder="1" applyAlignment="1">
      <alignment shrinkToFit="1"/>
    </xf>
    <xf numFmtId="4" fontId="28" fillId="0" borderId="8" xfId="0" applyNumberFormat="1" applyFont="1" applyBorder="1"/>
    <xf numFmtId="17" fontId="16" fillId="0" borderId="79" xfId="0" applyNumberFormat="1" applyFont="1" applyBorder="1" applyAlignment="1">
      <alignment shrinkToFit="1"/>
    </xf>
    <xf numFmtId="164" fontId="17" fillId="0" borderId="4" xfId="0" applyNumberFormat="1" applyFont="1" applyBorder="1"/>
    <xf numFmtId="164" fontId="18" fillId="0" borderId="45" xfId="0" applyNumberFormat="1" applyFont="1" applyBorder="1"/>
    <xf numFmtId="166" fontId="27" fillId="0" borderId="43" xfId="0" applyNumberFormat="1" applyFont="1" applyBorder="1"/>
    <xf numFmtId="164" fontId="28" fillId="0" borderId="8" xfId="0" applyNumberFormat="1" applyFont="1" applyBorder="1" applyAlignment="1">
      <alignment shrinkToFit="1"/>
    </xf>
    <xf numFmtId="166" fontId="27" fillId="0" borderId="79" xfId="0" applyNumberFormat="1" applyFont="1" applyBorder="1"/>
    <xf numFmtId="164" fontId="30" fillId="0" borderId="86" xfId="0" applyNumberFormat="1" applyFont="1" applyBorder="1"/>
    <xf numFmtId="0" fontId="28" fillId="0" borderId="0" xfId="0" applyFont="1" applyBorder="1" applyAlignment="1">
      <alignment horizontal="right"/>
    </xf>
    <xf numFmtId="4" fontId="28" fillId="0" borderId="24" xfId="0" applyNumberFormat="1" applyFont="1" applyBorder="1"/>
    <xf numFmtId="164" fontId="28" fillId="0" borderId="25" xfId="0" applyNumberFormat="1" applyFont="1" applyBorder="1"/>
    <xf numFmtId="164" fontId="18" fillId="0" borderId="47" xfId="0" applyNumberFormat="1" applyFont="1" applyBorder="1"/>
    <xf numFmtId="166" fontId="27" fillId="0" borderId="23" xfId="0" applyNumberFormat="1" applyFont="1" applyBorder="1"/>
    <xf numFmtId="166" fontId="27" fillId="0" borderId="25" xfId="0" applyNumberFormat="1" applyFont="1" applyBorder="1"/>
    <xf numFmtId="164" fontId="31" fillId="0" borderId="29" xfId="0" applyNumberFormat="1" applyFont="1" applyBorder="1" applyAlignment="1">
      <alignment shrinkToFit="1"/>
    </xf>
    <xf numFmtId="164" fontId="28" fillId="0" borderId="23" xfId="0" applyNumberFormat="1" applyFont="1" applyBorder="1"/>
    <xf numFmtId="4" fontId="28" fillId="0" borderId="84" xfId="0" applyNumberFormat="1" applyFont="1" applyBorder="1"/>
    <xf numFmtId="164" fontId="30" fillId="0" borderId="0" xfId="0" applyNumberFormat="1" applyFont="1" applyBorder="1"/>
    <xf numFmtId="164" fontId="28" fillId="0" borderId="27" xfId="0" applyNumberFormat="1" applyFont="1" applyBorder="1"/>
    <xf numFmtId="0" fontId="5" fillId="2" borderId="81" xfId="0" applyFont="1" applyFill="1" applyBorder="1" applyAlignment="1">
      <alignment horizontal="center" shrinkToFit="1"/>
    </xf>
    <xf numFmtId="0" fontId="28" fillId="0" borderId="82" xfId="0" applyFont="1" applyBorder="1" applyAlignment="1">
      <alignment shrinkToFit="1"/>
    </xf>
    <xf numFmtId="4" fontId="28" fillId="0" borderId="13" xfId="0" applyNumberFormat="1" applyFont="1" applyBorder="1"/>
    <xf numFmtId="164" fontId="28" fillId="0" borderId="12" xfId="0" applyNumberFormat="1" applyFont="1" applyBorder="1"/>
    <xf numFmtId="164" fontId="11" fillId="0" borderId="32" xfId="0" applyNumberFormat="1" applyFont="1" applyBorder="1"/>
    <xf numFmtId="164" fontId="11" fillId="0" borderId="87" xfId="0" applyNumberFormat="1" applyFont="1" applyBorder="1"/>
    <xf numFmtId="164" fontId="17" fillId="0" borderId="31" xfId="0" applyNumberFormat="1" applyFont="1" applyBorder="1"/>
    <xf numFmtId="164" fontId="18" fillId="0" borderId="32" xfId="0" applyNumberFormat="1" applyFont="1" applyBorder="1"/>
    <xf numFmtId="166" fontId="27" fillId="0" borderId="11" xfId="0" applyNumberFormat="1" applyFont="1" applyBorder="1"/>
    <xf numFmtId="164" fontId="28" fillId="0" borderId="81" xfId="0" applyNumberFormat="1" applyFont="1" applyBorder="1" applyAlignment="1">
      <alignment shrinkToFit="1"/>
    </xf>
    <xf numFmtId="166" fontId="27" fillId="0" borderId="12" xfId="0" applyNumberFormat="1" applyFont="1" applyBorder="1"/>
    <xf numFmtId="164" fontId="30" fillId="0" borderId="39" xfId="0" applyNumberFormat="1" applyFont="1" applyBorder="1"/>
    <xf numFmtId="164" fontId="0" fillId="0" borderId="39" xfId="0" applyNumberFormat="1" applyFont="1" applyBorder="1" applyAlignment="1">
      <alignment shrinkToFit="1"/>
    </xf>
    <xf numFmtId="0" fontId="5" fillId="2" borderId="88" xfId="0" applyFont="1" applyFill="1" applyBorder="1" applyAlignment="1">
      <alignment horizontal="center" shrinkToFit="1"/>
    </xf>
    <xf numFmtId="0" fontId="12" fillId="0" borderId="89" xfId="0" applyFont="1" applyBorder="1" applyAlignment="1">
      <alignment shrinkToFit="1"/>
    </xf>
    <xf numFmtId="0" fontId="32" fillId="0" borderId="18" xfId="0" applyFont="1" applyBorder="1"/>
    <xf numFmtId="164" fontId="11" fillId="0" borderId="8" xfId="0" applyNumberFormat="1" applyFont="1" applyBorder="1"/>
    <xf numFmtId="164" fontId="11" fillId="0" borderId="43" xfId="0" applyNumberFormat="1" applyFont="1" applyBorder="1"/>
    <xf numFmtId="164" fontId="11" fillId="0" borderId="90" xfId="0" applyNumberFormat="1" applyFont="1" applyBorder="1"/>
    <xf numFmtId="164" fontId="11" fillId="0" borderId="17" xfId="0" applyNumberFormat="1" applyFont="1" applyBorder="1"/>
    <xf numFmtId="164" fontId="18" fillId="0" borderId="46" xfId="0" applyNumberFormat="1" applyFont="1" applyBorder="1"/>
    <xf numFmtId="164" fontId="28" fillId="0" borderId="43" xfId="0" applyNumberFormat="1" applyFont="1" applyBorder="1" applyAlignment="1">
      <alignment shrinkToFit="1"/>
    </xf>
    <xf numFmtId="164" fontId="0" fillId="0" borderId="0" xfId="0" applyNumberFormat="1" applyFont="1" applyBorder="1" applyAlignment="1">
      <alignment shrinkToFit="1"/>
    </xf>
    <xf numFmtId="0" fontId="5" fillId="2" borderId="27" xfId="0" applyFont="1" applyFill="1" applyBorder="1" applyAlignment="1">
      <alignment horizontal="center" shrinkToFit="1"/>
    </xf>
    <xf numFmtId="0" fontId="11" fillId="0" borderId="91" xfId="0" applyFont="1" applyBorder="1" applyAlignment="1">
      <alignment shrinkToFit="1"/>
    </xf>
    <xf numFmtId="0" fontId="32" fillId="0" borderId="24" xfId="0" applyFont="1" applyBorder="1"/>
    <xf numFmtId="164" fontId="11" fillId="0" borderId="24" xfId="0" applyNumberFormat="1" applyFont="1" applyBorder="1"/>
    <xf numFmtId="164" fontId="11" fillId="0" borderId="92" xfId="0" applyNumberFormat="1" applyFont="1" applyBorder="1"/>
    <xf numFmtId="164" fontId="11" fillId="0" borderId="29" xfId="0" applyNumberFormat="1" applyFont="1" applyBorder="1"/>
    <xf numFmtId="164" fontId="17" fillId="0" borderId="29" xfId="0" applyNumberFormat="1" applyFont="1" applyBorder="1"/>
    <xf numFmtId="164" fontId="18" fillId="0" borderId="93" xfId="0" applyNumberFormat="1" applyFont="1" applyBorder="1"/>
    <xf numFmtId="164" fontId="28" fillId="0" borderId="23" xfId="0" applyNumberFormat="1" applyFont="1" applyBorder="1" applyAlignment="1">
      <alignment shrinkToFit="1"/>
    </xf>
    <xf numFmtId="0" fontId="5" fillId="2" borderId="94" xfId="0" applyFont="1" applyFill="1" applyBorder="1" applyAlignment="1">
      <alignment horizontal="center" shrinkToFit="1"/>
    </xf>
    <xf numFmtId="0" fontId="11" fillId="0" borderId="95" xfId="0" applyFont="1" applyBorder="1" applyAlignment="1">
      <alignment shrinkToFit="1"/>
    </xf>
    <xf numFmtId="0" fontId="0" fillId="0" borderId="10" xfId="0" applyBorder="1"/>
    <xf numFmtId="0" fontId="32" fillId="0" borderId="13" xfId="0" applyFont="1" applyBorder="1"/>
    <xf numFmtId="164" fontId="11" fillId="0" borderId="13" xfId="0" applyNumberFormat="1" applyFont="1" applyBorder="1"/>
    <xf numFmtId="164" fontId="11" fillId="0" borderId="11" xfId="0" applyNumberFormat="1" applyFont="1" applyBorder="1"/>
    <xf numFmtId="164" fontId="11" fillId="0" borderId="14" xfId="0" applyNumberFormat="1" applyFont="1" applyBorder="1"/>
    <xf numFmtId="164" fontId="18" fillId="0" borderId="96" xfId="0" applyNumberFormat="1" applyFont="1" applyBorder="1"/>
    <xf numFmtId="164" fontId="28" fillId="0" borderId="11" xfId="0" applyNumberFormat="1" applyFont="1" applyBorder="1" applyAlignment="1">
      <alignment shrinkToFit="1"/>
    </xf>
    <xf numFmtId="164" fontId="5" fillId="2" borderId="88" xfId="0" applyNumberFormat="1" applyFont="1" applyFill="1" applyBorder="1"/>
    <xf numFmtId="164" fontId="11" fillId="0" borderId="4" xfId="0" applyNumberFormat="1" applyFont="1" applyBorder="1"/>
    <xf numFmtId="164" fontId="30" fillId="0" borderId="23" xfId="0" applyNumberFormat="1" applyFont="1" applyBorder="1"/>
    <xf numFmtId="164" fontId="0" fillId="0" borderId="23" xfId="0" applyNumberFormat="1" applyFont="1" applyBorder="1" applyAlignment="1">
      <alignment shrinkToFit="1"/>
    </xf>
    <xf numFmtId="164" fontId="5" fillId="2" borderId="27" xfId="0" applyNumberFormat="1" applyFont="1" applyFill="1" applyBorder="1"/>
    <xf numFmtId="164" fontId="5" fillId="2" borderId="94" xfId="0" applyNumberFormat="1" applyFont="1" applyFill="1" applyBorder="1"/>
    <xf numFmtId="0" fontId="11" fillId="0" borderId="89" xfId="0" applyFont="1" applyBorder="1" applyAlignment="1">
      <alignment shrinkToFit="1"/>
    </xf>
    <xf numFmtId="0" fontId="0" fillId="0" borderId="4" xfId="0" applyBorder="1"/>
    <xf numFmtId="17" fontId="16" fillId="0" borderId="97" xfId="0" applyNumberFormat="1" applyFont="1" applyBorder="1" applyAlignment="1">
      <alignment shrinkToFit="1"/>
    </xf>
    <xf numFmtId="164" fontId="11" fillId="0" borderId="4" xfId="0" applyNumberFormat="1" applyFont="1" applyBorder="1" applyAlignment="1">
      <alignment shrinkToFit="1"/>
    </xf>
    <xf numFmtId="17" fontId="16" fillId="0" borderId="90" xfId="0" applyNumberFormat="1" applyFont="1" applyBorder="1" applyAlignment="1">
      <alignment shrinkToFit="1"/>
    </xf>
    <xf numFmtId="0" fontId="0" fillId="0" borderId="24" xfId="0" applyBorder="1"/>
    <xf numFmtId="164" fontId="0" fillId="0" borderId="23" xfId="0" applyNumberFormat="1" applyBorder="1"/>
    <xf numFmtId="0" fontId="0" fillId="0" borderId="23" xfId="0" applyBorder="1"/>
    <xf numFmtId="164" fontId="5" fillId="2" borderId="98" xfId="0" applyNumberFormat="1" applyFont="1" applyFill="1" applyBorder="1"/>
    <xf numFmtId="164" fontId="5" fillId="2" borderId="86" xfId="0" applyNumberFormat="1" applyFont="1" applyFill="1" applyBorder="1"/>
    <xf numFmtId="164" fontId="5" fillId="2" borderId="99" xfId="0" applyNumberFormat="1" applyFont="1" applyFill="1" applyBorder="1"/>
    <xf numFmtId="0" fontId="5" fillId="0" borderId="88" xfId="0" applyFont="1" applyFill="1" applyBorder="1" applyAlignment="1">
      <alignment horizontal="center" shrinkToFit="1"/>
    </xf>
    <xf numFmtId="164" fontId="11" fillId="0" borderId="18" xfId="0" applyNumberFormat="1" applyFont="1" applyBorder="1"/>
    <xf numFmtId="164" fontId="11" fillId="0" borderId="97" xfId="0" applyNumberFormat="1" applyFont="1" applyBorder="1"/>
    <xf numFmtId="0" fontId="5" fillId="0" borderId="27" xfId="0" applyFont="1" applyFill="1" applyBorder="1" applyAlignment="1">
      <alignment horizontal="center" shrinkToFit="1"/>
    </xf>
    <xf numFmtId="0" fontId="5" fillId="0" borderId="100" xfId="0" applyFont="1" applyFill="1" applyBorder="1" applyAlignment="1">
      <alignment horizontal="center" shrinkToFit="1"/>
    </xf>
    <xf numFmtId="0" fontId="11" fillId="0" borderId="101" xfId="0" applyFont="1" applyBorder="1" applyAlignment="1">
      <alignment shrinkToFit="1"/>
    </xf>
    <xf numFmtId="0" fontId="32" fillId="0" borderId="51" xfId="0" applyFont="1" applyBorder="1"/>
    <xf numFmtId="164" fontId="28" fillId="0" borderId="53" xfId="0" applyNumberFormat="1" applyFont="1" applyBorder="1"/>
    <xf numFmtId="164" fontId="11" fillId="0" borderId="51" xfId="0" applyNumberFormat="1" applyFont="1" applyBorder="1"/>
    <xf numFmtId="164" fontId="11" fillId="0" borderId="52" xfId="0" applyNumberFormat="1" applyFont="1" applyBorder="1"/>
    <xf numFmtId="164" fontId="11" fillId="0" borderId="102" xfId="0" applyNumberFormat="1" applyFont="1" applyBorder="1"/>
    <xf numFmtId="164" fontId="11" fillId="0" borderId="50" xfId="0" applyNumberFormat="1" applyFont="1" applyBorder="1"/>
    <xf numFmtId="164" fontId="17" fillId="0" borderId="50" xfId="0" applyNumberFormat="1" applyFont="1" applyBorder="1"/>
    <xf numFmtId="164" fontId="18" fillId="0" borderId="103" xfId="0" applyNumberFormat="1" applyFont="1" applyBorder="1"/>
    <xf numFmtId="166" fontId="27" fillId="0" borderId="52" xfId="0" applyNumberFormat="1" applyFont="1" applyBorder="1"/>
    <xf numFmtId="164" fontId="28" fillId="0" borderId="52" xfId="0" applyNumberFormat="1" applyFont="1" applyBorder="1" applyAlignment="1">
      <alignment shrinkToFit="1"/>
    </xf>
    <xf numFmtId="164" fontId="30" fillId="0" borderId="1" xfId="0" applyNumberFormat="1" applyFont="1" applyBorder="1"/>
    <xf numFmtId="164" fontId="0" fillId="0" borderId="1" xfId="0" applyNumberFormat="1" applyFont="1" applyBorder="1" applyAlignment="1">
      <alignment shrinkToFit="1"/>
    </xf>
    <xf numFmtId="164" fontId="5" fillId="0" borderId="69" xfId="0" applyNumberFormat="1" applyFont="1" applyFill="1" applyBorder="1"/>
    <xf numFmtId="0" fontId="11" fillId="0" borderId="69" xfId="0" applyFont="1" applyBorder="1" applyAlignment="1">
      <alignment shrinkToFit="1"/>
    </xf>
    <xf numFmtId="164" fontId="13" fillId="0" borderId="69" xfId="0" applyNumberFormat="1" applyFont="1" applyBorder="1" applyAlignment="1">
      <alignment shrinkToFit="1"/>
    </xf>
    <xf numFmtId="0" fontId="32" fillId="0" borderId="69" xfId="0" applyFont="1" applyBorder="1"/>
    <xf numFmtId="0" fontId="0" fillId="0" borderId="69" xfId="0" applyBorder="1"/>
    <xf numFmtId="164" fontId="28" fillId="0" borderId="69" xfId="0" applyNumberFormat="1" applyFont="1" applyBorder="1"/>
    <xf numFmtId="164" fontId="17" fillId="0" borderId="69" xfId="0" applyNumberFormat="1" applyFont="1" applyBorder="1"/>
    <xf numFmtId="164" fontId="18" fillId="0" borderId="69" xfId="0" applyNumberFormat="1" applyFont="1" applyBorder="1"/>
    <xf numFmtId="166" fontId="27" fillId="0" borderId="69" xfId="0" applyNumberFormat="1" applyFont="1" applyBorder="1"/>
    <xf numFmtId="164" fontId="28" fillId="0" borderId="69" xfId="0" applyNumberFormat="1" applyFont="1" applyBorder="1" applyAlignment="1">
      <alignment shrinkToFit="1"/>
    </xf>
    <xf numFmtId="164" fontId="30" fillId="0" borderId="69" xfId="0" applyNumberFormat="1" applyFont="1" applyBorder="1"/>
    <xf numFmtId="164" fontId="0" fillId="0" borderId="69" xfId="0" applyNumberFormat="1" applyFont="1" applyBorder="1" applyAlignment="1">
      <alignment shrinkToFit="1"/>
    </xf>
    <xf numFmtId="164" fontId="0" fillId="0" borderId="1" xfId="0" applyNumberFormat="1" applyBorder="1"/>
    <xf numFmtId="0" fontId="1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0" fontId="0" fillId="0" borderId="94" xfId="0" applyBorder="1" applyAlignment="1">
      <alignment horizontal="center" vertical="center"/>
    </xf>
    <xf numFmtId="0" fontId="5" fillId="2" borderId="16" xfId="0" applyFont="1" applyFill="1" applyBorder="1" applyAlignment="1">
      <alignment horizontal="center" shrinkToFit="1"/>
    </xf>
    <xf numFmtId="4" fontId="0" fillId="0" borderId="18" xfId="0" applyNumberFormat="1" applyBorder="1" applyAlignment="1">
      <alignment horizontal="center" vertical="center"/>
    </xf>
    <xf numFmtId="164" fontId="5" fillId="0" borderId="19" xfId="0" applyNumberFormat="1" applyFont="1" applyBorder="1"/>
    <xf numFmtId="17" fontId="11" fillId="0" borderId="97" xfId="0" applyNumberFormat="1" applyFont="1" applyBorder="1" applyAlignment="1">
      <alignment shrinkToFit="1"/>
    </xf>
    <xf numFmtId="164" fontId="11" fillId="0" borderId="17" xfId="0" applyNumberFormat="1" applyFont="1" applyBorder="1" applyAlignment="1">
      <alignment shrinkToFit="1"/>
    </xf>
    <xf numFmtId="4" fontId="17" fillId="0" borderId="17" xfId="0" applyNumberFormat="1" applyFont="1" applyBorder="1" applyAlignment="1">
      <alignment shrinkToFit="1"/>
    </xf>
    <xf numFmtId="164" fontId="0" fillId="0" borderId="104" xfId="0" applyNumberFormat="1" applyBorder="1" applyAlignment="1">
      <alignment shrinkToFit="1"/>
    </xf>
    <xf numFmtId="4" fontId="11" fillId="0" borderId="19" xfId="0" applyNumberFormat="1" applyFont="1" applyBorder="1" applyAlignment="1">
      <alignment shrinkToFit="1"/>
    </xf>
    <xf numFmtId="164" fontId="11" fillId="0" borderId="19" xfId="0" applyNumberFormat="1" applyFont="1" applyBorder="1" applyAlignment="1">
      <alignment shrinkToFit="1"/>
    </xf>
    <xf numFmtId="4" fontId="11" fillId="0" borderId="43" xfId="0" applyNumberFormat="1" applyFont="1" applyBorder="1" applyAlignment="1">
      <alignment shrinkToFit="1"/>
    </xf>
    <xf numFmtId="0" fontId="4" fillId="0" borderId="0" xfId="0" applyFont="1" applyAlignment="1">
      <alignment shrinkToFit="1"/>
    </xf>
    <xf numFmtId="0" fontId="26" fillId="0" borderId="0" xfId="0" applyFont="1" applyAlignment="1">
      <alignment horizontal="center" shrinkToFit="1"/>
    </xf>
    <xf numFmtId="167" fontId="26" fillId="0" borderId="0" xfId="0" applyNumberFormat="1" applyFont="1" applyAlignment="1">
      <alignment horizontal="center" vertical="center" shrinkToFit="1"/>
    </xf>
    <xf numFmtId="4" fontId="0" fillId="0" borderId="0" xfId="0" applyNumberFormat="1"/>
    <xf numFmtId="0" fontId="5" fillId="2" borderId="5" xfId="0" applyFont="1" applyFill="1" applyBorder="1" applyAlignment="1">
      <alignment horizontal="center" shrinkToFit="1"/>
    </xf>
    <xf numFmtId="17" fontId="11" fillId="0" borderId="92" xfId="0" applyNumberFormat="1" applyFont="1" applyBorder="1" applyAlignment="1">
      <alignment shrinkToFit="1"/>
    </xf>
    <xf numFmtId="164" fontId="11" fillId="0" borderId="29" xfId="0" applyNumberFormat="1" applyFont="1" applyBorder="1" applyAlignment="1">
      <alignment shrinkToFit="1"/>
    </xf>
    <xf numFmtId="4" fontId="17" fillId="0" borderId="29" xfId="0" applyNumberFormat="1" applyFont="1" applyBorder="1" applyAlignment="1">
      <alignment shrinkToFit="1"/>
    </xf>
    <xf numFmtId="164" fontId="0" fillId="0" borderId="105" xfId="0" applyNumberFormat="1" applyBorder="1" applyAlignment="1">
      <alignment shrinkToFit="1"/>
    </xf>
    <xf numFmtId="4" fontId="11" fillId="0" borderId="23" xfId="0" applyNumberFormat="1" applyFont="1" applyBorder="1" applyAlignment="1">
      <alignment shrinkToFit="1"/>
    </xf>
    <xf numFmtId="164" fontId="11" fillId="0" borderId="23" xfId="0" applyNumberFormat="1" applyFont="1" applyBorder="1" applyAlignment="1">
      <alignment shrinkToFit="1"/>
    </xf>
    <xf numFmtId="4" fontId="11" fillId="0" borderId="27" xfId="0" applyNumberFormat="1" applyFont="1" applyBorder="1" applyAlignment="1">
      <alignment shrinkToFit="1"/>
    </xf>
    <xf numFmtId="4" fontId="11" fillId="0" borderId="84" xfId="0" applyNumberFormat="1" applyFont="1" applyBorder="1"/>
    <xf numFmtId="164" fontId="11" fillId="0" borderId="106" xfId="0" applyNumberFormat="1" applyFont="1" applyBorder="1"/>
    <xf numFmtId="17" fontId="11" fillId="0" borderId="106" xfId="0" applyNumberFormat="1" applyFont="1" applyBorder="1" applyAlignment="1">
      <alignment shrinkToFit="1"/>
    </xf>
    <xf numFmtId="164" fontId="11" fillId="0" borderId="36" xfId="0" applyNumberFormat="1" applyFont="1" applyBorder="1" applyAlignment="1">
      <alignment shrinkToFit="1"/>
    </xf>
    <xf numFmtId="4" fontId="17" fillId="0" borderId="36" xfId="0" applyNumberFormat="1" applyFont="1" applyBorder="1" applyAlignment="1">
      <alignment shrinkToFit="1"/>
    </xf>
    <xf numFmtId="164" fontId="0" fillId="0" borderId="107" xfId="0" applyNumberFormat="1" applyBorder="1" applyAlignment="1">
      <alignment shrinkToFit="1"/>
    </xf>
    <xf numFmtId="4" fontId="11" fillId="0" borderId="28" xfId="0" applyNumberFormat="1" applyFont="1" applyBorder="1" applyAlignment="1">
      <alignment shrinkToFit="1"/>
    </xf>
    <xf numFmtId="164" fontId="11" fillId="0" borderId="28" xfId="0" applyNumberFormat="1" applyFont="1" applyBorder="1" applyAlignment="1">
      <alignment shrinkToFit="1"/>
    </xf>
    <xf numFmtId="0" fontId="5" fillId="2" borderId="30" xfId="0" applyFont="1" applyFill="1" applyBorder="1" applyAlignment="1">
      <alignment horizontal="center" shrinkToFit="1"/>
    </xf>
    <xf numFmtId="168" fontId="15" fillId="0" borderId="11" xfId="0" applyNumberFormat="1" applyFont="1" applyBorder="1"/>
    <xf numFmtId="164" fontId="17" fillId="0" borderId="31" xfId="0" applyNumberFormat="1" applyFont="1" applyBorder="1" applyAlignment="1">
      <alignment shrinkToFit="1"/>
    </xf>
    <xf numFmtId="164" fontId="0" fillId="0" borderId="108" xfId="0" applyNumberFormat="1" applyBorder="1" applyAlignment="1">
      <alignment shrinkToFit="1"/>
    </xf>
    <xf numFmtId="4" fontId="11" fillId="0" borderId="11" xfId="0" applyNumberFormat="1" applyFont="1" applyBorder="1" applyAlignment="1">
      <alignment shrinkToFit="1"/>
    </xf>
    <xf numFmtId="164" fontId="11" fillId="0" borderId="11" xfId="0" applyNumberFormat="1" applyFont="1" applyBorder="1" applyAlignment="1">
      <alignment shrinkToFit="1"/>
    </xf>
    <xf numFmtId="167" fontId="0" fillId="0" borderId="0" xfId="0" applyNumberFormat="1" applyBorder="1" applyAlignment="1">
      <alignment horizontal="right" vertical="center" shrinkToFit="1"/>
    </xf>
    <xf numFmtId="0" fontId="5" fillId="2" borderId="16" xfId="0" applyFont="1" applyFill="1" applyBorder="1" applyAlignment="1">
      <alignment horizontal="center"/>
    </xf>
    <xf numFmtId="164" fontId="20" fillId="0" borderId="17" xfId="0" applyNumberFormat="1" applyFont="1" applyBorder="1" applyAlignment="1">
      <alignment shrinkToFit="1"/>
    </xf>
    <xf numFmtId="4" fontId="15" fillId="0" borderId="18" xfId="0" applyNumberFormat="1" applyFont="1" applyBorder="1"/>
    <xf numFmtId="164" fontId="15" fillId="0" borderId="20" xfId="0" applyNumberFormat="1" applyFont="1" applyFill="1" applyBorder="1"/>
    <xf numFmtId="4" fontId="15" fillId="0" borderId="18" xfId="0" applyNumberFormat="1" applyFont="1" applyFill="1" applyBorder="1"/>
    <xf numFmtId="164" fontId="15" fillId="0" borderId="19" xfId="0" applyNumberFormat="1" applyFont="1" applyFill="1" applyBorder="1"/>
    <xf numFmtId="164" fontId="16" fillId="0" borderId="17" xfId="0" applyNumberFormat="1" applyFont="1" applyBorder="1" applyAlignment="1">
      <alignment shrinkToFit="1"/>
    </xf>
    <xf numFmtId="164" fontId="15" fillId="0" borderId="104" xfId="0" applyNumberFormat="1" applyFont="1" applyBorder="1" applyAlignment="1">
      <alignment shrinkToFit="1"/>
    </xf>
    <xf numFmtId="164" fontId="15" fillId="0" borderId="20" xfId="0" applyNumberFormat="1" applyFont="1" applyBorder="1" applyAlignment="1">
      <alignment shrinkToFit="1"/>
    </xf>
    <xf numFmtId="164" fontId="23" fillId="0" borderId="98" xfId="0" applyNumberFormat="1" applyFont="1" applyBorder="1" applyAlignment="1">
      <alignment shrinkToFit="1"/>
    </xf>
    <xf numFmtId="167" fontId="15" fillId="0" borderId="77" xfId="0" applyNumberFormat="1" applyFont="1" applyBorder="1" applyAlignment="1">
      <alignment horizontal="right" shrinkToFit="1"/>
    </xf>
    <xf numFmtId="164" fontId="15" fillId="0" borderId="77" xfId="0" applyNumberFormat="1" applyFont="1" applyBorder="1" applyAlignment="1">
      <alignment shrinkToFit="1"/>
    </xf>
    <xf numFmtId="164" fontId="15" fillId="0" borderId="0" xfId="0" applyNumberFormat="1" applyFont="1"/>
    <xf numFmtId="0" fontId="5" fillId="2" borderId="5" xfId="0" applyFont="1" applyFill="1" applyBorder="1" applyAlignment="1">
      <alignment horizontal="center"/>
    </xf>
    <xf numFmtId="164" fontId="20" fillId="0" borderId="4" xfId="0" applyNumberFormat="1" applyFont="1" applyBorder="1" applyAlignment="1">
      <alignment shrinkToFit="1"/>
    </xf>
    <xf numFmtId="4" fontId="15" fillId="0" borderId="8" xfId="0" applyNumberFormat="1" applyFont="1" applyFill="1" applyBorder="1"/>
    <xf numFmtId="164" fontId="15" fillId="0" borderId="43" xfId="0" applyNumberFormat="1" applyFont="1" applyFill="1" applyBorder="1"/>
    <xf numFmtId="17" fontId="19" fillId="0" borderId="90" xfId="0" applyNumberFormat="1" applyFont="1" applyBorder="1" applyAlignment="1">
      <alignment wrapText="1" shrinkToFit="1"/>
    </xf>
    <xf numFmtId="164" fontId="16" fillId="0" borderId="4" xfId="0" applyNumberFormat="1" applyFont="1" applyBorder="1" applyAlignment="1">
      <alignment shrinkToFit="1"/>
    </xf>
    <xf numFmtId="164" fontId="15" fillId="0" borderId="109" xfId="0" applyNumberFormat="1" applyFont="1" applyBorder="1" applyAlignment="1">
      <alignment shrinkToFit="1"/>
    </xf>
    <xf numFmtId="164" fontId="15" fillId="0" borderId="79" xfId="0" applyNumberFormat="1" applyFont="1" applyBorder="1" applyAlignment="1">
      <alignment shrinkToFit="1"/>
    </xf>
    <xf numFmtId="164" fontId="23" fillId="0" borderId="86" xfId="0" applyNumberFormat="1" applyFont="1" applyBorder="1" applyAlignment="1">
      <alignment shrinkToFit="1"/>
    </xf>
    <xf numFmtId="167" fontId="15" fillId="0" borderId="0" xfId="0" applyNumberFormat="1" applyFont="1" applyBorder="1" applyAlignment="1">
      <alignment horizontal="right" shrinkToFit="1"/>
    </xf>
    <xf numFmtId="164" fontId="15" fillId="0" borderId="0" xfId="0" applyNumberFormat="1" applyFont="1" applyBorder="1" applyAlignment="1">
      <alignment shrinkToFit="1"/>
    </xf>
    <xf numFmtId="164" fontId="15" fillId="0" borderId="25" xfId="0" applyNumberFormat="1" applyFont="1" applyFill="1" applyBorder="1"/>
    <xf numFmtId="4" fontId="15" fillId="0" borderId="24" xfId="0" applyNumberFormat="1" applyFont="1" applyFill="1" applyBorder="1"/>
    <xf numFmtId="164" fontId="15" fillId="0" borderId="23" xfId="0" applyNumberFormat="1" applyFont="1" applyFill="1" applyBorder="1"/>
    <xf numFmtId="17" fontId="19" fillId="0" borderId="92" xfId="0" applyNumberFormat="1" applyFont="1" applyBorder="1" applyAlignment="1">
      <alignment wrapText="1" shrinkToFit="1"/>
    </xf>
    <xf numFmtId="17" fontId="16" fillId="0" borderId="29" xfId="0" applyNumberFormat="1" applyFont="1" applyBorder="1" applyAlignment="1">
      <alignment shrinkToFit="1"/>
    </xf>
    <xf numFmtId="164" fontId="15" fillId="0" borderId="105" xfId="0" applyNumberFormat="1" applyFont="1" applyBorder="1" applyAlignment="1">
      <alignment shrinkToFit="1"/>
    </xf>
    <xf numFmtId="164" fontId="15" fillId="0" borderId="23" xfId="0" applyNumberFormat="1" applyFont="1" applyBorder="1" applyAlignment="1">
      <alignment shrinkToFit="1"/>
    </xf>
    <xf numFmtId="164" fontId="15" fillId="0" borderId="25" xfId="0" applyNumberFormat="1" applyFont="1" applyBorder="1" applyAlignment="1">
      <alignment shrinkToFit="1"/>
    </xf>
    <xf numFmtId="17" fontId="16" fillId="0" borderId="92" xfId="0" applyNumberFormat="1" applyFont="1" applyBorder="1" applyAlignment="1">
      <alignment shrinkToFit="1"/>
    </xf>
    <xf numFmtId="164" fontId="15" fillId="0" borderId="23" xfId="0" applyNumberFormat="1" applyFont="1" applyBorder="1"/>
    <xf numFmtId="164" fontId="16" fillId="0" borderId="92" xfId="0" applyNumberFormat="1" applyFont="1" applyBorder="1" applyAlignment="1">
      <alignment shrinkToFit="1"/>
    </xf>
    <xf numFmtId="0" fontId="5" fillId="2" borderId="30" xfId="0" applyFont="1" applyFill="1" applyBorder="1" applyAlignment="1">
      <alignment horizontal="center"/>
    </xf>
    <xf numFmtId="0" fontId="15" fillId="0" borderId="30" xfId="0" applyFont="1" applyBorder="1" applyAlignment="1">
      <alignment shrinkToFit="1"/>
    </xf>
    <xf numFmtId="4" fontId="15" fillId="0" borderId="13" xfId="0" applyNumberFormat="1" applyFont="1" applyBorder="1"/>
    <xf numFmtId="164" fontId="15" fillId="0" borderId="12" xfId="0" applyNumberFormat="1" applyFont="1" applyBorder="1"/>
    <xf numFmtId="164" fontId="15" fillId="0" borderId="108" xfId="0" applyNumberFormat="1" applyFont="1" applyBorder="1" applyAlignment="1">
      <alignment shrinkToFit="1"/>
    </xf>
    <xf numFmtId="164" fontId="15" fillId="0" borderId="11" xfId="0" applyNumberFormat="1" applyFont="1" applyBorder="1" applyAlignment="1">
      <alignment shrinkToFit="1"/>
    </xf>
    <xf numFmtId="164" fontId="15" fillId="0" borderId="12" xfId="0" applyNumberFormat="1" applyFont="1" applyBorder="1" applyAlignment="1">
      <alignment shrinkToFit="1"/>
    </xf>
    <xf numFmtId="164" fontId="23" fillId="0" borderId="99" xfId="0" applyNumberFormat="1" applyFont="1" applyBorder="1" applyAlignment="1">
      <alignment shrinkToFit="1"/>
    </xf>
    <xf numFmtId="164" fontId="15" fillId="0" borderId="82" xfId="0" applyNumberFormat="1" applyFont="1" applyBorder="1" applyAlignment="1">
      <alignment shrinkToFit="1"/>
    </xf>
    <xf numFmtId="0" fontId="22" fillId="0" borderId="16" xfId="0" applyFont="1" applyBorder="1" applyAlignment="1">
      <alignment shrinkToFit="1"/>
    </xf>
    <xf numFmtId="164" fontId="15" fillId="0" borderId="40" xfId="0" applyNumberFormat="1" applyFont="1" applyBorder="1" applyAlignment="1">
      <alignment shrinkToFit="1"/>
    </xf>
    <xf numFmtId="164" fontId="23" fillId="0" borderId="0" xfId="0" applyNumberFormat="1" applyFont="1" applyBorder="1" applyAlignment="1">
      <alignment shrinkToFit="1"/>
    </xf>
    <xf numFmtId="164" fontId="15" fillId="0" borderId="93" xfId="0" applyNumberFormat="1" applyFont="1" applyBorder="1" applyAlignment="1">
      <alignment shrinkToFit="1"/>
    </xf>
    <xf numFmtId="164" fontId="15" fillId="0" borderId="9" xfId="0" applyNumberFormat="1" applyFont="1" applyBorder="1" applyAlignment="1">
      <alignment shrinkToFit="1"/>
    </xf>
    <xf numFmtId="164" fontId="15" fillId="0" borderId="44" xfId="0" applyNumberFormat="1" applyFont="1" applyBorder="1" applyAlignment="1">
      <alignment shrinkToFit="1"/>
    </xf>
    <xf numFmtId="164" fontId="15" fillId="0" borderId="96" xfId="0" applyNumberFormat="1" applyFont="1" applyBorder="1" applyAlignment="1">
      <alignment shrinkToFit="1"/>
    </xf>
    <xf numFmtId="0" fontId="21" fillId="0" borderId="16" xfId="0" applyFont="1" applyBorder="1" applyAlignment="1">
      <alignment shrinkToFit="1"/>
    </xf>
    <xf numFmtId="4" fontId="27" fillId="0" borderId="24" xfId="0" applyNumberFormat="1" applyFont="1" applyBorder="1"/>
    <xf numFmtId="164" fontId="16" fillId="0" borderId="29" xfId="0" applyNumberFormat="1" applyFont="1" applyBorder="1" applyAlignment="1">
      <alignment shrinkToFit="1"/>
    </xf>
    <xf numFmtId="164" fontId="15" fillId="0" borderId="86" xfId="0" applyNumberFormat="1" applyFont="1" applyBorder="1" applyAlignment="1">
      <alignment shrinkToFit="1"/>
    </xf>
    <xf numFmtId="164" fontId="15" fillId="0" borderId="27" xfId="0" applyNumberFormat="1" applyFont="1" applyBorder="1" applyAlignment="1">
      <alignment shrinkToFit="1"/>
    </xf>
    <xf numFmtId="164" fontId="11" fillId="0" borderId="84" xfId="0" applyNumberFormat="1" applyFont="1" applyBorder="1"/>
    <xf numFmtId="164" fontId="11" fillId="0" borderId="36" xfId="0" applyNumberFormat="1" applyFont="1" applyBorder="1"/>
    <xf numFmtId="164" fontId="15" fillId="0" borderId="85" xfId="0" applyNumberFormat="1" applyFont="1" applyBorder="1" applyAlignment="1">
      <alignment shrinkToFit="1"/>
    </xf>
    <xf numFmtId="164" fontId="15" fillId="0" borderId="28" xfId="0" applyNumberFormat="1" applyFont="1" applyBorder="1" applyAlignment="1">
      <alignment shrinkToFit="1"/>
    </xf>
    <xf numFmtId="164" fontId="23" fillId="0" borderId="110" xfId="0" applyNumberFormat="1" applyFont="1" applyBorder="1" applyAlignment="1">
      <alignment shrinkToFit="1"/>
    </xf>
    <xf numFmtId="0" fontId="5" fillId="2" borderId="111" xfId="0" applyFont="1" applyFill="1" applyBorder="1" applyAlignment="1">
      <alignment horizontal="center"/>
    </xf>
    <xf numFmtId="0" fontId="2" fillId="0" borderId="16" xfId="0" applyFont="1" applyBorder="1" applyAlignment="1">
      <alignment shrinkToFit="1"/>
    </xf>
    <xf numFmtId="164" fontId="13" fillId="0" borderId="17" xfId="0" applyNumberFormat="1" applyFont="1" applyBorder="1" applyAlignment="1">
      <alignment shrinkToFit="1"/>
    </xf>
    <xf numFmtId="164" fontId="23" fillId="0" borderId="112" xfId="0" applyNumberFormat="1" applyFont="1" applyBorder="1" applyAlignment="1">
      <alignment shrinkToFit="1"/>
    </xf>
    <xf numFmtId="0" fontId="5" fillId="2" borderId="6" xfId="0" applyFont="1" applyFill="1" applyBorder="1" applyAlignment="1">
      <alignment horizontal="center"/>
    </xf>
    <xf numFmtId="0" fontId="0" fillId="0" borderId="5" xfId="0" applyBorder="1" applyAlignment="1">
      <alignment shrinkToFit="1"/>
    </xf>
    <xf numFmtId="164" fontId="15" fillId="0" borderId="46" xfId="0" applyNumberFormat="1" applyFont="1" applyBorder="1" applyAlignment="1">
      <alignment shrinkToFit="1"/>
    </xf>
    <xf numFmtId="0" fontId="0" fillId="0" borderId="5" xfId="0" applyBorder="1" applyAlignment="1">
      <alignment wrapText="1" shrinkToFit="1"/>
    </xf>
    <xf numFmtId="0" fontId="5" fillId="2" borderId="113" xfId="0" applyFont="1" applyFill="1" applyBorder="1" applyAlignment="1">
      <alignment horizontal="center"/>
    </xf>
    <xf numFmtId="0" fontId="0" fillId="0" borderId="30" xfId="0" applyBorder="1" applyAlignment="1">
      <alignment shrinkToFit="1"/>
    </xf>
    <xf numFmtId="0" fontId="5" fillId="2" borderId="2" xfId="0" applyFont="1" applyFill="1" applyBorder="1" applyAlignment="1">
      <alignment horizontal="center"/>
    </xf>
    <xf numFmtId="4" fontId="15" fillId="0" borderId="46" xfId="0" applyNumberFormat="1" applyFont="1" applyBorder="1"/>
    <xf numFmtId="164" fontId="15" fillId="0" borderId="79" xfId="0" applyNumberFormat="1" applyFont="1" applyBorder="1"/>
    <xf numFmtId="0" fontId="5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4" fontId="15" fillId="0" borderId="85" xfId="0" applyNumberFormat="1" applyFont="1" applyBorder="1"/>
    <xf numFmtId="164" fontId="15" fillId="0" borderId="44" xfId="0" applyNumberFormat="1" applyFont="1" applyBorder="1"/>
    <xf numFmtId="0" fontId="1" fillId="0" borderId="19" xfId="0" applyFont="1" applyBorder="1"/>
    <xf numFmtId="0" fontId="1" fillId="0" borderId="23" xfId="0" applyFont="1" applyBorder="1"/>
    <xf numFmtId="164" fontId="13" fillId="0" borderId="31" xfId="0" applyNumberFormat="1" applyFont="1" applyBorder="1" applyAlignment="1">
      <alignment shrinkToFit="1"/>
    </xf>
    <xf numFmtId="164" fontId="11" fillId="0" borderId="78" xfId="0" applyNumberFormat="1" applyFont="1" applyBorder="1"/>
    <xf numFmtId="164" fontId="11" fillId="0" borderId="91" xfId="0" applyNumberFormat="1" applyFont="1" applyBorder="1"/>
    <xf numFmtId="164" fontId="11" fillId="0" borderId="7" xfId="0" applyNumberFormat="1" applyFont="1" applyBorder="1"/>
    <xf numFmtId="0" fontId="5" fillId="2" borderId="114" xfId="0" applyFont="1" applyFill="1" applyBorder="1" applyAlignment="1">
      <alignment horizontal="center"/>
    </xf>
    <xf numFmtId="0" fontId="0" fillId="0" borderId="49" xfId="0" applyBorder="1" applyAlignment="1">
      <alignment shrinkToFit="1"/>
    </xf>
    <xf numFmtId="4" fontId="15" fillId="0" borderId="51" xfId="0" applyNumberFormat="1" applyFont="1" applyBorder="1"/>
    <xf numFmtId="164" fontId="15" fillId="0" borderId="103" xfId="0" applyNumberFormat="1" applyFont="1" applyBorder="1" applyAlignment="1">
      <alignment shrinkToFit="1"/>
    </xf>
    <xf numFmtId="164" fontId="15" fillId="0" borderId="52" xfId="0" applyNumberFormat="1" applyFont="1" applyBorder="1" applyAlignment="1">
      <alignment shrinkToFit="1"/>
    </xf>
    <xf numFmtId="164" fontId="15" fillId="0" borderId="53" xfId="0" applyNumberFormat="1" applyFont="1" applyBorder="1" applyAlignment="1">
      <alignment shrinkToFit="1"/>
    </xf>
    <xf numFmtId="164" fontId="23" fillId="0" borderId="1" xfId="0" applyNumberFormat="1" applyFont="1" applyBorder="1" applyAlignment="1">
      <alignment shrinkToFit="1"/>
    </xf>
    <xf numFmtId="164" fontId="15" fillId="0" borderId="1" xfId="0" applyNumberFormat="1" applyFont="1" applyBorder="1" applyAlignment="1">
      <alignment shrinkToFit="1"/>
    </xf>
    <xf numFmtId="0" fontId="5" fillId="2" borderId="0" xfId="0" applyFont="1" applyFill="1" applyBorder="1" applyAlignment="1">
      <alignment horizontal="center"/>
    </xf>
    <xf numFmtId="0" fontId="0" fillId="0" borderId="0" xfId="0" applyBorder="1" applyAlignment="1">
      <alignment shrinkToFit="1"/>
    </xf>
    <xf numFmtId="164" fontId="5" fillId="0" borderId="0" xfId="0" applyNumberFormat="1" applyFont="1" applyBorder="1" applyAlignment="1">
      <alignment shrinkToFit="1"/>
    </xf>
    <xf numFmtId="4" fontId="15" fillId="0" borderId="0" xfId="0" applyNumberFormat="1" applyFont="1" applyBorder="1"/>
    <xf numFmtId="164" fontId="5" fillId="0" borderId="0" xfId="0" applyNumberFormat="1" applyFont="1" applyBorder="1"/>
    <xf numFmtId="164" fontId="11" fillId="0" borderId="0" xfId="0" applyNumberFormat="1" applyFont="1" applyBorder="1"/>
    <xf numFmtId="164" fontId="15" fillId="0" borderId="0" xfId="0" applyNumberFormat="1" applyFont="1" applyBorder="1"/>
    <xf numFmtId="164" fontId="17" fillId="0" borderId="0" xfId="0" applyNumberFormat="1" applyFont="1" applyBorder="1" applyAlignment="1">
      <alignment shrinkToFit="1"/>
    </xf>
    <xf numFmtId="0" fontId="5" fillId="0" borderId="69" xfId="0" applyFont="1" applyFill="1" applyBorder="1" applyAlignment="1">
      <alignment horizontal="center"/>
    </xf>
    <xf numFmtId="4" fontId="15" fillId="0" borderId="69" xfId="0" applyNumberFormat="1" applyFont="1" applyBorder="1"/>
    <xf numFmtId="164" fontId="15" fillId="0" borderId="69" xfId="0" applyNumberFormat="1" applyFont="1" applyBorder="1"/>
    <xf numFmtId="164" fontId="15" fillId="0" borderId="69" xfId="0" applyNumberFormat="1" applyFont="1" applyBorder="1" applyAlignment="1">
      <alignment shrinkToFit="1"/>
    </xf>
    <xf numFmtId="164" fontId="23" fillId="0" borderId="69" xfId="0" applyNumberFormat="1" applyFont="1" applyBorder="1" applyAlignment="1">
      <alignment shrinkToFit="1"/>
    </xf>
    <xf numFmtId="0" fontId="6" fillId="0" borderId="9" xfId="0" applyFont="1" applyBorder="1" applyAlignment="1">
      <alignment horizontal="center" vertical="center" wrapText="1"/>
    </xf>
    <xf numFmtId="0" fontId="26" fillId="0" borderId="27" xfId="0" applyFont="1" applyFill="1" applyBorder="1" applyAlignment="1">
      <alignment horizontal="center" vertical="center"/>
    </xf>
    <xf numFmtId="0" fontId="7" fillId="0" borderId="117" xfId="0" applyFont="1" applyBorder="1" applyAlignment="1">
      <alignment horizontal="center" vertical="center"/>
    </xf>
    <xf numFmtId="0" fontId="7" fillId="0" borderId="118" xfId="0" applyFont="1" applyBorder="1" applyAlignment="1">
      <alignment horizontal="center" vertical="center" wrapText="1"/>
    </xf>
    <xf numFmtId="0" fontId="6" fillId="0" borderId="118" xfId="0" applyFont="1" applyBorder="1" applyAlignment="1">
      <alignment horizontal="center" vertical="center"/>
    </xf>
    <xf numFmtId="0" fontId="7" fillId="0" borderId="118" xfId="0" applyFont="1" applyBorder="1" applyAlignment="1">
      <alignment horizontal="center" vertical="center"/>
    </xf>
    <xf numFmtId="0" fontId="7" fillId="0" borderId="119" xfId="0" applyFont="1" applyBorder="1" applyAlignment="1">
      <alignment horizontal="center" vertical="center" wrapText="1"/>
    </xf>
    <xf numFmtId="0" fontId="6" fillId="0" borderId="121" xfId="0" applyFont="1" applyBorder="1" applyAlignment="1">
      <alignment horizontal="center" vertical="center"/>
    </xf>
    <xf numFmtId="0" fontId="8" fillId="0" borderId="117" xfId="0" applyFont="1" applyBorder="1" applyAlignment="1">
      <alignment horizontal="center" vertical="center" wrapText="1"/>
    </xf>
    <xf numFmtId="0" fontId="6" fillId="0" borderId="122" xfId="0" applyFont="1" applyBorder="1" applyAlignment="1">
      <alignment horizontal="center" vertical="center" shrinkToFit="1"/>
    </xf>
    <xf numFmtId="0" fontId="6" fillId="0" borderId="15" xfId="0" applyFont="1" applyBorder="1" applyAlignment="1">
      <alignment horizontal="center" vertical="center" wrapText="1"/>
    </xf>
    <xf numFmtId="0" fontId="26" fillId="0" borderId="94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/>
    </xf>
    <xf numFmtId="0" fontId="11" fillId="0" borderId="2" xfId="0" applyFont="1" applyBorder="1" applyAlignment="1">
      <alignment shrinkToFit="1"/>
    </xf>
    <xf numFmtId="168" fontId="11" fillId="0" borderId="18" xfId="0" applyNumberFormat="1" applyFont="1" applyBorder="1"/>
    <xf numFmtId="4" fontId="15" fillId="0" borderId="19" xfId="0" applyNumberFormat="1" applyFont="1" applyBorder="1"/>
    <xf numFmtId="17" fontId="13" fillId="0" borderId="20" xfId="0" applyNumberFormat="1" applyFont="1" applyBorder="1" applyAlignment="1">
      <alignment shrinkToFit="1"/>
    </xf>
    <xf numFmtId="164" fontId="13" fillId="0" borderId="21" xfId="0" applyNumberFormat="1" applyFont="1" applyBorder="1" applyAlignment="1">
      <alignment shrinkToFit="1"/>
    </xf>
    <xf numFmtId="164" fontId="18" fillId="0" borderId="104" xfId="0" applyNumberFormat="1" applyFont="1" applyBorder="1" applyAlignment="1">
      <alignment shrinkToFit="1"/>
    </xf>
    <xf numFmtId="164" fontId="33" fillId="0" borderId="19" xfId="0" applyNumberFormat="1" applyFont="1" applyBorder="1" applyAlignment="1">
      <alignment shrinkToFit="1"/>
    </xf>
    <xf numFmtId="0" fontId="33" fillId="0" borderId="40" xfId="0" applyFont="1" applyBorder="1" applyAlignment="1">
      <alignment shrinkToFit="1"/>
    </xf>
    <xf numFmtId="164" fontId="19" fillId="0" borderId="5" xfId="0" applyNumberFormat="1" applyFont="1" applyBorder="1" applyAlignment="1">
      <alignment shrinkToFit="1"/>
    </xf>
    <xf numFmtId="164" fontId="11" fillId="0" borderId="27" xfId="0" applyNumberFormat="1" applyFont="1" applyBorder="1" applyAlignment="1">
      <alignment shrinkToFit="1"/>
    </xf>
    <xf numFmtId="0" fontId="0" fillId="0" borderId="27" xfId="0" applyBorder="1" applyAlignment="1">
      <alignment horizontal="left" shrinkToFit="1"/>
    </xf>
    <xf numFmtId="0" fontId="10" fillId="2" borderId="5" xfId="0" applyFont="1" applyFill="1" applyBorder="1" applyAlignment="1">
      <alignment horizontal="center"/>
    </xf>
    <xf numFmtId="0" fontId="11" fillId="0" borderId="7" xfId="0" applyFont="1" applyBorder="1" applyAlignment="1">
      <alignment shrinkToFit="1"/>
    </xf>
    <xf numFmtId="164" fontId="20" fillId="0" borderId="4" xfId="0" applyNumberFormat="1" applyFont="1" applyBorder="1"/>
    <xf numFmtId="168" fontId="11" fillId="0" borderId="24" xfId="0" applyNumberFormat="1" applyFont="1" applyBorder="1"/>
    <xf numFmtId="164" fontId="15" fillId="0" borderId="43" xfId="0" applyNumberFormat="1" applyFont="1" applyBorder="1"/>
    <xf numFmtId="17" fontId="13" fillId="0" borderId="25" xfId="0" applyNumberFormat="1" applyFont="1" applyBorder="1" applyAlignment="1">
      <alignment shrinkToFit="1"/>
    </xf>
    <xf numFmtId="164" fontId="13" fillId="0" borderId="80" xfId="0" applyNumberFormat="1" applyFont="1" applyBorder="1" applyAlignment="1">
      <alignment shrinkToFit="1"/>
    </xf>
    <xf numFmtId="164" fontId="5" fillId="0" borderId="4" xfId="0" applyNumberFormat="1" applyFont="1" applyBorder="1" applyAlignment="1">
      <alignment shrinkToFit="1"/>
    </xf>
    <xf numFmtId="164" fontId="18" fillId="0" borderId="109" xfId="0" applyNumberFormat="1" applyFont="1" applyBorder="1" applyAlignment="1">
      <alignment shrinkToFit="1"/>
    </xf>
    <xf numFmtId="164" fontId="33" fillId="0" borderId="43" xfId="0" applyNumberFormat="1" applyFont="1" applyBorder="1" applyAlignment="1">
      <alignment shrinkToFit="1"/>
    </xf>
    <xf numFmtId="0" fontId="33" fillId="0" borderId="46" xfId="0" applyFont="1" applyBorder="1" applyAlignment="1">
      <alignment shrinkToFit="1"/>
    </xf>
    <xf numFmtId="0" fontId="5" fillId="0" borderId="7" xfId="0" applyFont="1" applyBorder="1" applyAlignment="1">
      <alignment shrinkToFit="1"/>
    </xf>
    <xf numFmtId="17" fontId="13" fillId="0" borderId="80" xfId="0" applyNumberFormat="1" applyFont="1" applyBorder="1" applyAlignment="1">
      <alignment shrinkToFit="1"/>
    </xf>
    <xf numFmtId="164" fontId="18" fillId="0" borderId="105" xfId="0" applyNumberFormat="1" applyFont="1" applyBorder="1" applyAlignment="1">
      <alignment shrinkToFit="1"/>
    </xf>
    <xf numFmtId="164" fontId="33" fillId="0" borderId="23" xfId="0" applyNumberFormat="1" applyFont="1" applyBorder="1" applyAlignment="1">
      <alignment shrinkToFit="1"/>
    </xf>
    <xf numFmtId="164" fontId="5" fillId="0" borderId="36" xfId="0" applyNumberFormat="1" applyFont="1" applyBorder="1" applyAlignment="1">
      <alignment shrinkToFit="1"/>
    </xf>
    <xf numFmtId="164" fontId="18" fillId="0" borderId="107" xfId="0" applyNumberFormat="1" applyFont="1" applyBorder="1" applyAlignment="1">
      <alignment shrinkToFit="1"/>
    </xf>
    <xf numFmtId="164" fontId="33" fillId="0" borderId="28" xfId="0" applyNumberFormat="1" applyFont="1" applyBorder="1" applyAlignment="1">
      <alignment shrinkToFit="1"/>
    </xf>
    <xf numFmtId="0" fontId="33" fillId="0" borderId="86" xfId="0" applyFont="1" applyBorder="1" applyAlignment="1">
      <alignment shrinkToFit="1"/>
    </xf>
    <xf numFmtId="17" fontId="13" fillId="0" borderId="44" xfId="0" applyNumberFormat="1" applyFont="1" applyBorder="1" applyAlignment="1">
      <alignment shrinkToFit="1"/>
    </xf>
    <xf numFmtId="0" fontId="10" fillId="2" borderId="30" xfId="0" applyFont="1" applyFill="1" applyBorder="1" applyAlignment="1">
      <alignment horizontal="center"/>
    </xf>
    <xf numFmtId="0" fontId="11" fillId="0" borderId="10" xfId="0" applyFont="1" applyBorder="1" applyAlignment="1">
      <alignment shrinkToFit="1"/>
    </xf>
    <xf numFmtId="164" fontId="18" fillId="0" borderId="108" xfId="0" applyNumberFormat="1" applyFont="1" applyBorder="1" applyAlignment="1">
      <alignment shrinkToFit="1"/>
    </xf>
    <xf numFmtId="164" fontId="33" fillId="0" borderId="11" xfId="0" applyNumberFormat="1" applyFont="1" applyBorder="1" applyAlignment="1">
      <alignment shrinkToFit="1"/>
    </xf>
    <xf numFmtId="0" fontId="33" fillId="0" borderId="96" xfId="0" applyFont="1" applyBorder="1" applyAlignment="1">
      <alignment shrinkToFit="1"/>
    </xf>
    <xf numFmtId="164" fontId="19" fillId="0" borderId="13" xfId="0" applyNumberFormat="1" applyFont="1" applyBorder="1" applyAlignment="1">
      <alignment shrinkToFit="1"/>
    </xf>
    <xf numFmtId="164" fontId="33" fillId="0" borderId="100" xfId="0" applyNumberFormat="1" applyFont="1" applyBorder="1" applyAlignment="1">
      <alignment shrinkToFit="1"/>
    </xf>
    <xf numFmtId="0" fontId="28" fillId="0" borderId="2" xfId="0" applyFont="1" applyBorder="1" applyAlignment="1">
      <alignment shrinkToFit="1"/>
    </xf>
    <xf numFmtId="164" fontId="27" fillId="0" borderId="21" xfId="0" applyNumberFormat="1" applyFont="1" applyBorder="1"/>
    <xf numFmtId="164" fontId="27" fillId="0" borderId="104" xfId="0" applyNumberFormat="1" applyFont="1" applyBorder="1" applyAlignment="1">
      <alignment shrinkToFit="1"/>
    </xf>
    <xf numFmtId="164" fontId="27" fillId="0" borderId="19" xfId="0" applyNumberFormat="1" applyFont="1" applyBorder="1" applyAlignment="1">
      <alignment shrinkToFit="1"/>
    </xf>
    <xf numFmtId="0" fontId="27" fillId="0" borderId="40" xfId="0" applyFont="1" applyBorder="1" applyAlignment="1">
      <alignment shrinkToFit="1"/>
    </xf>
    <xf numFmtId="164" fontId="28" fillId="0" borderId="97" xfId="0" applyNumberFormat="1" applyFont="1" applyBorder="1"/>
    <xf numFmtId="164" fontId="34" fillId="0" borderId="18" xfId="0" applyNumberFormat="1" applyFont="1" applyBorder="1" applyAlignment="1">
      <alignment shrinkToFit="1"/>
    </xf>
    <xf numFmtId="164" fontId="27" fillId="0" borderId="123" xfId="0" applyNumberFormat="1" applyFont="1" applyBorder="1" applyAlignment="1">
      <alignment shrinkToFit="1"/>
    </xf>
    <xf numFmtId="164" fontId="27" fillId="0" borderId="123" xfId="0" applyNumberFormat="1" applyFont="1" applyBorder="1" applyAlignment="1">
      <alignment horizontal="right" shrinkToFit="1"/>
    </xf>
    <xf numFmtId="0" fontId="28" fillId="0" borderId="7" xfId="0" applyFont="1" applyBorder="1" applyAlignment="1">
      <alignment shrinkToFit="1"/>
    </xf>
    <xf numFmtId="164" fontId="20" fillId="0" borderId="29" xfId="0" applyNumberFormat="1" applyFont="1" applyBorder="1"/>
    <xf numFmtId="17" fontId="13" fillId="0" borderId="79" xfId="0" applyNumberFormat="1" applyFont="1" applyBorder="1" applyAlignment="1">
      <alignment shrinkToFit="1"/>
    </xf>
    <xf numFmtId="164" fontId="27" fillId="0" borderId="80" xfId="0" applyNumberFormat="1" applyFont="1" applyBorder="1"/>
    <xf numFmtId="4" fontId="5" fillId="0" borderId="4" xfId="0" applyNumberFormat="1" applyFont="1" applyBorder="1"/>
    <xf numFmtId="164" fontId="27" fillId="0" borderId="109" xfId="0" applyNumberFormat="1" applyFont="1" applyBorder="1" applyAlignment="1">
      <alignment shrinkToFit="1"/>
    </xf>
    <xf numFmtId="164" fontId="27" fillId="0" borderId="43" xfId="0" applyNumberFormat="1" applyFont="1" applyBorder="1" applyAlignment="1">
      <alignment shrinkToFit="1"/>
    </xf>
    <xf numFmtId="0" fontId="27" fillId="0" borderId="46" xfId="0" applyFont="1" applyBorder="1" applyAlignment="1">
      <alignment shrinkToFit="1"/>
    </xf>
    <xf numFmtId="164" fontId="28" fillId="0" borderId="90" xfId="0" applyNumberFormat="1" applyFont="1" applyBorder="1"/>
    <xf numFmtId="164" fontId="34" fillId="0" borderId="5" xfId="0" applyNumberFormat="1" applyFont="1" applyBorder="1" applyAlignment="1">
      <alignment shrinkToFit="1"/>
    </xf>
    <xf numFmtId="164" fontId="27" fillId="0" borderId="27" xfId="0" applyNumberFormat="1" applyFont="1" applyBorder="1" applyAlignment="1">
      <alignment shrinkToFit="1"/>
    </xf>
    <xf numFmtId="164" fontId="27" fillId="0" borderId="27" xfId="0" applyNumberFormat="1" applyFont="1" applyBorder="1" applyAlignment="1">
      <alignment horizontal="right" shrinkToFit="1"/>
    </xf>
    <xf numFmtId="17" fontId="27" fillId="0" borderId="29" xfId="0" applyNumberFormat="1" applyFont="1" applyBorder="1"/>
    <xf numFmtId="4" fontId="5" fillId="0" borderId="29" xfId="0" applyNumberFormat="1" applyFont="1" applyBorder="1"/>
    <xf numFmtId="164" fontId="27" fillId="0" borderId="105" xfId="0" applyNumberFormat="1" applyFont="1" applyBorder="1" applyAlignment="1">
      <alignment shrinkToFit="1"/>
    </xf>
    <xf numFmtId="164" fontId="27" fillId="0" borderId="23" xfId="0" applyNumberFormat="1" applyFont="1" applyBorder="1" applyAlignment="1">
      <alignment shrinkToFit="1"/>
    </xf>
    <xf numFmtId="0" fontId="27" fillId="0" borderId="93" xfId="0" applyFont="1" applyBorder="1" applyAlignment="1">
      <alignment shrinkToFit="1"/>
    </xf>
    <xf numFmtId="164" fontId="28" fillId="0" borderId="92" xfId="0" applyNumberFormat="1" applyFont="1" applyBorder="1"/>
    <xf numFmtId="17" fontId="27" fillId="0" borderId="36" xfId="0" applyNumberFormat="1" applyFont="1" applyBorder="1"/>
    <xf numFmtId="4" fontId="5" fillId="0" borderId="36" xfId="0" applyNumberFormat="1" applyFont="1" applyBorder="1"/>
    <xf numFmtId="164" fontId="27" fillId="0" borderId="107" xfId="0" applyNumberFormat="1" applyFont="1" applyBorder="1" applyAlignment="1">
      <alignment shrinkToFit="1"/>
    </xf>
    <xf numFmtId="164" fontId="27" fillId="0" borderId="28" xfId="0" applyNumberFormat="1" applyFont="1" applyBorder="1" applyAlignment="1">
      <alignment shrinkToFit="1"/>
    </xf>
    <xf numFmtId="0" fontId="27" fillId="0" borderId="85" xfId="0" applyFont="1" applyBorder="1" applyAlignment="1">
      <alignment shrinkToFit="1"/>
    </xf>
    <xf numFmtId="164" fontId="28" fillId="0" borderId="106" xfId="0" applyNumberFormat="1" applyFont="1" applyBorder="1"/>
    <xf numFmtId="164" fontId="28" fillId="0" borderId="84" xfId="0" applyNumberFormat="1" applyFont="1" applyBorder="1"/>
    <xf numFmtId="4" fontId="28" fillId="0" borderId="23" xfId="0" applyNumberFormat="1" applyFont="1" applyBorder="1"/>
    <xf numFmtId="17" fontId="27" fillId="0" borderId="25" xfId="0" applyNumberFormat="1" applyFont="1" applyBorder="1"/>
    <xf numFmtId="0" fontId="28" fillId="0" borderId="10" xfId="0" applyFont="1" applyBorder="1" applyAlignment="1">
      <alignment shrinkToFit="1"/>
    </xf>
    <xf numFmtId="164" fontId="16" fillId="0" borderId="27" xfId="0" applyNumberFormat="1" applyFont="1" applyBorder="1" applyAlignment="1">
      <alignment shrinkToFit="1"/>
    </xf>
    <xf numFmtId="164" fontId="16" fillId="0" borderId="27" xfId="0" applyNumberFormat="1" applyFont="1" applyBorder="1" applyAlignment="1">
      <alignment horizontal="right" shrinkToFit="1"/>
    </xf>
    <xf numFmtId="0" fontId="5" fillId="0" borderId="5" xfId="0" applyFont="1" applyFill="1" applyBorder="1" applyAlignment="1">
      <alignment horizontal="center" shrinkToFit="1"/>
    </xf>
    <xf numFmtId="0" fontId="33" fillId="0" borderId="10" xfId="0" applyFont="1" applyBorder="1" applyAlignment="1">
      <alignment shrinkToFit="1"/>
    </xf>
    <xf numFmtId="164" fontId="13" fillId="0" borderId="120" xfId="0" applyNumberFormat="1" applyFont="1" applyBorder="1" applyAlignment="1">
      <alignment shrinkToFit="1"/>
    </xf>
    <xf numFmtId="4" fontId="28" fillId="0" borderId="121" xfId="0" applyNumberFormat="1" applyFont="1" applyBorder="1"/>
    <xf numFmtId="0" fontId="0" fillId="0" borderId="124" xfId="0" applyBorder="1"/>
    <xf numFmtId="164" fontId="33" fillId="0" borderId="118" xfId="0" applyNumberFormat="1" applyFont="1" applyBorder="1"/>
    <xf numFmtId="164" fontId="11" fillId="0" borderId="121" xfId="0" applyNumberFormat="1" applyFont="1" applyBorder="1"/>
    <xf numFmtId="164" fontId="11" fillId="0" borderId="119" xfId="0" applyNumberFormat="1" applyFont="1" applyBorder="1"/>
    <xf numFmtId="164" fontId="11" fillId="0" borderId="118" xfId="0" applyNumberFormat="1" applyFont="1" applyBorder="1"/>
    <xf numFmtId="164" fontId="11" fillId="0" borderId="124" xfId="0" applyNumberFormat="1" applyFont="1" applyBorder="1"/>
    <xf numFmtId="4" fontId="5" fillId="0" borderId="0" xfId="0" applyNumberFormat="1" applyFont="1" applyBorder="1"/>
    <xf numFmtId="164" fontId="27" fillId="0" borderId="86" xfId="0" applyNumberFormat="1" applyFont="1" applyBorder="1" applyAlignment="1">
      <alignment shrinkToFit="1"/>
    </xf>
    <xf numFmtId="164" fontId="28" fillId="0" borderId="91" xfId="0" applyNumberFormat="1" applyFont="1" applyBorder="1"/>
    <xf numFmtId="164" fontId="34" fillId="0" borderId="0" xfId="0" applyNumberFormat="1" applyFont="1" applyBorder="1" applyAlignment="1">
      <alignment shrinkToFit="1"/>
    </xf>
    <xf numFmtId="164" fontId="16" fillId="0" borderId="91" xfId="0" applyNumberFormat="1" applyFont="1" applyBorder="1" applyAlignment="1">
      <alignment horizontal="right" shrinkToFit="1"/>
    </xf>
    <xf numFmtId="0" fontId="10" fillId="0" borderId="125" xfId="0" applyFont="1" applyFill="1" applyBorder="1" applyAlignment="1">
      <alignment horizontal="center"/>
    </xf>
    <xf numFmtId="0" fontId="33" fillId="0" borderId="120" xfId="0" applyFont="1" applyBorder="1" applyAlignment="1">
      <alignment shrinkToFit="1"/>
    </xf>
    <xf numFmtId="164" fontId="33" fillId="0" borderId="120" xfId="0" applyNumberFormat="1" applyFont="1" applyBorder="1" applyAlignment="1">
      <alignment shrinkToFit="1"/>
    </xf>
    <xf numFmtId="4" fontId="0" fillId="0" borderId="121" xfId="0" applyNumberFormat="1" applyBorder="1" applyAlignment="1">
      <alignment horizontal="center"/>
    </xf>
    <xf numFmtId="164" fontId="5" fillId="0" borderId="88" xfId="0" applyNumberFormat="1" applyFont="1" applyBorder="1" applyAlignment="1">
      <alignment shrinkToFit="1"/>
    </xf>
    <xf numFmtId="164" fontId="33" fillId="0" borderId="19" xfId="0" applyNumberFormat="1" applyFont="1" applyBorder="1"/>
    <xf numFmtId="164" fontId="23" fillId="0" borderId="19" xfId="0" applyNumberFormat="1" applyFont="1" applyBorder="1" applyAlignment="1">
      <alignment shrinkToFit="1"/>
    </xf>
    <xf numFmtId="164" fontId="15" fillId="0" borderId="20" xfId="0" applyNumberFormat="1" applyFont="1" applyBorder="1" applyAlignment="1">
      <alignment horizontal="right" shrinkToFit="1"/>
    </xf>
    <xf numFmtId="164" fontId="18" fillId="0" borderId="126" xfId="0" applyNumberFormat="1" applyFont="1" applyBorder="1" applyAlignment="1">
      <alignment shrinkToFit="1"/>
    </xf>
    <xf numFmtId="164" fontId="11" fillId="0" borderId="127" xfId="0" applyNumberFormat="1" applyFont="1" applyBorder="1"/>
    <xf numFmtId="4" fontId="15" fillId="0" borderId="93" xfId="0" applyNumberFormat="1" applyFont="1" applyBorder="1"/>
    <xf numFmtId="17" fontId="13" fillId="0" borderId="128" xfId="0" applyNumberFormat="1" applyFont="1" applyBorder="1" applyAlignment="1">
      <alignment shrinkToFit="1"/>
    </xf>
    <xf numFmtId="164" fontId="33" fillId="0" borderId="27" xfId="0" applyNumberFormat="1" applyFont="1" applyBorder="1" applyAlignment="1">
      <alignment shrinkToFit="1"/>
    </xf>
    <xf numFmtId="164" fontId="27" fillId="0" borderId="4" xfId="0" applyNumberFormat="1" applyFont="1" applyBorder="1"/>
    <xf numFmtId="17" fontId="13" fillId="0" borderId="29" xfId="0" applyNumberFormat="1" applyFont="1" applyBorder="1" applyAlignment="1">
      <alignment shrinkToFit="1"/>
    </xf>
    <xf numFmtId="17" fontId="13" fillId="0" borderId="21" xfId="0" applyNumberFormat="1" applyFont="1" applyBorder="1" applyAlignment="1">
      <alignment shrinkToFit="1"/>
    </xf>
    <xf numFmtId="0" fontId="12" fillId="0" borderId="2" xfId="0" applyFont="1" applyBorder="1" applyAlignment="1">
      <alignment shrinkToFit="1"/>
    </xf>
    <xf numFmtId="164" fontId="0" fillId="0" borderId="17" xfId="0" applyNumberFormat="1" applyBorder="1"/>
    <xf numFmtId="164" fontId="18" fillId="0" borderId="77" xfId="0" applyNumberFormat="1" applyFont="1" applyBorder="1" applyAlignment="1">
      <alignment shrinkToFit="1"/>
    </xf>
    <xf numFmtId="164" fontId="11" fillId="0" borderId="111" xfId="0" applyNumberFormat="1" applyFont="1" applyBorder="1"/>
    <xf numFmtId="0" fontId="0" fillId="0" borderId="29" xfId="0" applyBorder="1"/>
    <xf numFmtId="164" fontId="18" fillId="0" borderId="0" xfId="0" applyNumberFormat="1" applyFont="1" applyBorder="1" applyAlignment="1">
      <alignment shrinkToFit="1"/>
    </xf>
    <xf numFmtId="164" fontId="33" fillId="0" borderId="0" xfId="0" applyNumberFormat="1" applyFont="1" applyBorder="1" applyAlignment="1">
      <alignment shrinkToFit="1"/>
    </xf>
    <xf numFmtId="0" fontId="33" fillId="0" borderId="0" xfId="0" applyFont="1" applyBorder="1" applyAlignment="1">
      <alignment shrinkToFit="1"/>
    </xf>
    <xf numFmtId="164" fontId="11" fillId="0" borderId="6" xfId="0" applyNumberFormat="1" applyFont="1" applyBorder="1"/>
    <xf numFmtId="0" fontId="1" fillId="2" borderId="5" xfId="0" applyFont="1" applyFill="1" applyBorder="1"/>
    <xf numFmtId="0" fontId="0" fillId="0" borderId="7" xfId="0" applyBorder="1"/>
    <xf numFmtId="0" fontId="0" fillId="0" borderId="13" xfId="0" applyBorder="1"/>
    <xf numFmtId="164" fontId="0" fillId="0" borderId="29" xfId="0" applyNumberFormat="1" applyBorder="1"/>
    <xf numFmtId="0" fontId="0" fillId="0" borderId="0" xfId="0" applyBorder="1"/>
    <xf numFmtId="0" fontId="0" fillId="0" borderId="6" xfId="0" applyBorder="1"/>
    <xf numFmtId="0" fontId="1" fillId="2" borderId="16" xfId="0" applyFont="1" applyFill="1" applyBorder="1"/>
    <xf numFmtId="164" fontId="33" fillId="0" borderId="17" xfId="0" applyNumberFormat="1" applyFont="1" applyBorder="1" applyAlignment="1">
      <alignment shrinkToFit="1"/>
    </xf>
    <xf numFmtId="4" fontId="11" fillId="0" borderId="18" xfId="0" applyNumberFormat="1" applyFont="1" applyFill="1" applyBorder="1"/>
    <xf numFmtId="0" fontId="0" fillId="0" borderId="19" xfId="0" applyBorder="1"/>
    <xf numFmtId="0" fontId="0" fillId="0" borderId="77" xfId="0" applyBorder="1"/>
    <xf numFmtId="0" fontId="0" fillId="0" borderId="111" xfId="0" applyBorder="1"/>
    <xf numFmtId="4" fontId="11" fillId="0" borderId="24" xfId="0" applyNumberFormat="1" applyFont="1" applyFill="1" applyBorder="1"/>
    <xf numFmtId="0" fontId="1" fillId="2" borderId="30" xfId="0" applyFont="1" applyFill="1" applyBorder="1"/>
    <xf numFmtId="0" fontId="0" fillId="0" borderId="13" xfId="0" applyFill="1" applyBorder="1"/>
    <xf numFmtId="0" fontId="0" fillId="0" borderId="82" xfId="0" applyBorder="1"/>
    <xf numFmtId="0" fontId="0" fillId="0" borderId="113" xfId="0" applyBorder="1"/>
    <xf numFmtId="17" fontId="13" fillId="0" borderId="75" xfId="0" applyNumberFormat="1" applyFont="1" applyBorder="1" applyAlignment="1">
      <alignment shrinkToFit="1"/>
    </xf>
    <xf numFmtId="164" fontId="13" fillId="0" borderId="74" xfId="0" applyNumberFormat="1" applyFont="1" applyBorder="1" applyAlignment="1">
      <alignment shrinkToFit="1"/>
    </xf>
    <xf numFmtId="164" fontId="17" fillId="0" borderId="71" xfId="0" applyNumberFormat="1" applyFont="1" applyBorder="1" applyAlignment="1">
      <alignment shrinkToFit="1"/>
    </xf>
    <xf numFmtId="164" fontId="33" fillId="0" borderId="129" xfId="0" applyNumberFormat="1" applyFont="1" applyBorder="1" applyAlignment="1">
      <alignment shrinkToFit="1"/>
    </xf>
    <xf numFmtId="164" fontId="13" fillId="0" borderId="128" xfId="0" applyNumberFormat="1" applyFont="1" applyBorder="1" applyAlignment="1">
      <alignment shrinkToFit="1"/>
    </xf>
    <xf numFmtId="164" fontId="33" fillId="0" borderId="29" xfId="0" applyNumberFormat="1" applyFont="1" applyBorder="1" applyAlignment="1">
      <alignment shrinkToFit="1"/>
    </xf>
    <xf numFmtId="0" fontId="0" fillId="0" borderId="97" xfId="0" applyBorder="1"/>
    <xf numFmtId="164" fontId="33" fillId="0" borderId="77" xfId="0" applyNumberFormat="1" applyFont="1" applyBorder="1" applyAlignment="1">
      <alignment shrinkToFit="1"/>
    </xf>
    <xf numFmtId="0" fontId="33" fillId="0" borderId="77" xfId="0" applyFont="1" applyBorder="1" applyAlignment="1">
      <alignment shrinkToFit="1"/>
    </xf>
    <xf numFmtId="0" fontId="0" fillId="0" borderId="92" xfId="0" applyBorder="1"/>
    <xf numFmtId="0" fontId="1" fillId="2" borderId="49" xfId="0" applyFont="1" applyFill="1" applyBorder="1"/>
    <xf numFmtId="0" fontId="0" fillId="0" borderId="48" xfId="0" applyBorder="1"/>
    <xf numFmtId="0" fontId="0" fillId="0" borderId="50" xfId="0" applyBorder="1"/>
    <xf numFmtId="4" fontId="11" fillId="0" borderId="51" xfId="0" applyNumberFormat="1" applyFont="1" applyFill="1" applyBorder="1"/>
    <xf numFmtId="164" fontId="11" fillId="0" borderId="53" xfId="0" applyNumberFormat="1" applyFont="1" applyBorder="1"/>
    <xf numFmtId="0" fontId="0" fillId="0" borderId="51" xfId="0" applyBorder="1"/>
    <xf numFmtId="0" fontId="0" fillId="0" borderId="102" xfId="0" applyBorder="1"/>
    <xf numFmtId="0" fontId="1" fillId="2" borderId="0" xfId="0" applyFont="1" applyFill="1" applyBorder="1"/>
    <xf numFmtId="0" fontId="0" fillId="0" borderId="130" xfId="0" applyBorder="1"/>
    <xf numFmtId="4" fontId="11" fillId="0" borderId="130" xfId="0" applyNumberFormat="1" applyFont="1" applyFill="1" applyBorder="1"/>
    <xf numFmtId="164" fontId="11" fillId="0" borderId="130" xfId="0" applyNumberFormat="1" applyFont="1" applyBorder="1"/>
    <xf numFmtId="0" fontId="7" fillId="0" borderId="88" xfId="0" applyFont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/>
    </xf>
    <xf numFmtId="0" fontId="7" fillId="0" borderId="76" xfId="0" applyFont="1" applyBorder="1" applyAlignment="1">
      <alignment horizontal="center" vertical="center"/>
    </xf>
    <xf numFmtId="0" fontId="7" fillId="0" borderId="88" xfId="0" applyFont="1" applyBorder="1" applyAlignment="1">
      <alignment horizontal="center" vertical="center"/>
    </xf>
    <xf numFmtId="0" fontId="6" fillId="0" borderId="8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 wrapText="1"/>
    </xf>
    <xf numFmtId="0" fontId="6" fillId="0" borderId="98" xfId="0" applyFont="1" applyBorder="1" applyAlignment="1">
      <alignment horizontal="center" vertical="center"/>
    </xf>
    <xf numFmtId="0" fontId="8" fillId="0" borderId="76" xfId="0" applyFont="1" applyBorder="1" applyAlignment="1">
      <alignment horizontal="center" vertical="center" wrapText="1"/>
    </xf>
    <xf numFmtId="0" fontId="6" fillId="0" borderId="131" xfId="0" applyFont="1" applyBorder="1" applyAlignment="1">
      <alignment horizontal="center" vertical="center" shrinkToFit="1"/>
    </xf>
    <xf numFmtId="0" fontId="5" fillId="2" borderId="2" xfId="0" applyFont="1" applyFill="1" applyBorder="1" applyAlignment="1">
      <alignment horizontal="center" shrinkToFit="1"/>
    </xf>
    <xf numFmtId="0" fontId="12" fillId="0" borderId="16" xfId="0" applyFont="1" applyBorder="1" applyAlignment="1">
      <alignment shrinkToFit="1"/>
    </xf>
    <xf numFmtId="164" fontId="18" fillId="0" borderId="19" xfId="0" applyNumberFormat="1" applyFont="1" applyBorder="1"/>
    <xf numFmtId="164" fontId="28" fillId="0" borderId="19" xfId="0" applyNumberFormat="1" applyFont="1" applyBorder="1" applyAlignment="1">
      <alignment shrinkToFit="1"/>
    </xf>
    <xf numFmtId="0" fontId="5" fillId="2" borderId="7" xfId="0" applyFont="1" applyFill="1" applyBorder="1" applyAlignment="1">
      <alignment horizontal="center" shrinkToFit="1"/>
    </xf>
    <xf numFmtId="164" fontId="18" fillId="0" borderId="23" xfId="0" applyNumberFormat="1" applyFont="1" applyBorder="1"/>
    <xf numFmtId="0" fontId="1" fillId="2" borderId="10" xfId="0" applyFont="1" applyFill="1" applyBorder="1"/>
    <xf numFmtId="0" fontId="0" fillId="0" borderId="30" xfId="0" applyBorder="1"/>
    <xf numFmtId="0" fontId="0" fillId="0" borderId="12" xfId="0" applyBorder="1"/>
    <xf numFmtId="0" fontId="1" fillId="2" borderId="131" xfId="0" applyFont="1" applyFill="1" applyBorder="1"/>
    <xf numFmtId="164" fontId="13" fillId="0" borderId="2" xfId="0" applyNumberFormat="1" applyFont="1" applyBorder="1" applyAlignment="1">
      <alignment shrinkToFit="1"/>
    </xf>
    <xf numFmtId="0" fontId="0" fillId="0" borderId="18" xfId="0" applyBorder="1"/>
    <xf numFmtId="0" fontId="0" fillId="0" borderId="43" xfId="0" applyBorder="1"/>
    <xf numFmtId="0" fontId="1" fillId="2" borderId="9" xfId="0" applyFont="1" applyFill="1" applyBorder="1"/>
    <xf numFmtId="0" fontId="0" fillId="0" borderId="5" xfId="0" applyBorder="1"/>
    <xf numFmtId="0" fontId="0" fillId="0" borderId="24" xfId="0" applyFill="1" applyBorder="1"/>
    <xf numFmtId="0" fontId="1" fillId="2" borderId="6" xfId="0" applyFont="1" applyFill="1" applyBorder="1"/>
    <xf numFmtId="0" fontId="1" fillId="2" borderId="114" xfId="0" applyFont="1" applyFill="1" applyBorder="1"/>
    <xf numFmtId="0" fontId="0" fillId="0" borderId="49" xfId="0" applyBorder="1"/>
    <xf numFmtId="164" fontId="0" fillId="0" borderId="50" xfId="0" applyNumberFormat="1" applyBorder="1"/>
    <xf numFmtId="0" fontId="1" fillId="0" borderId="0" xfId="0" applyFont="1" applyFill="1"/>
    <xf numFmtId="17" fontId="5" fillId="0" borderId="20" xfId="0" applyNumberFormat="1" applyFont="1" applyBorder="1" applyAlignment="1">
      <alignment shrinkToFit="1"/>
    </xf>
    <xf numFmtId="164" fontId="5" fillId="0" borderId="79" xfId="0" applyNumberFormat="1" applyFont="1" applyBorder="1"/>
    <xf numFmtId="164" fontId="5" fillId="0" borderId="83" xfId="0" applyNumberFormat="1" applyFont="1" applyBorder="1"/>
    <xf numFmtId="164" fontId="5" fillId="0" borderId="14" xfId="0" applyNumberFormat="1" applyFont="1" applyBorder="1"/>
    <xf numFmtId="17" fontId="5" fillId="0" borderId="90" xfId="0" applyNumberFormat="1" applyFont="1" applyBorder="1" applyAlignment="1">
      <alignment shrinkToFit="1"/>
    </xf>
    <xf numFmtId="164" fontId="5" fillId="0" borderId="92" xfId="0" applyNumberFormat="1" applyFont="1" applyBorder="1"/>
    <xf numFmtId="164" fontId="23" fillId="0" borderId="0" xfId="0" applyNumberFormat="1" applyFont="1" applyBorder="1" applyAlignment="1"/>
    <xf numFmtId="0" fontId="5" fillId="0" borderId="0" xfId="0" applyFont="1" applyFill="1" applyBorder="1" applyAlignment="1">
      <alignment horizontal="center"/>
    </xf>
    <xf numFmtId="164" fontId="8" fillId="0" borderId="24" xfId="0" applyNumberFormat="1" applyFont="1" applyBorder="1"/>
    <xf numFmtId="164" fontId="8" fillId="0" borderId="23" xfId="0" applyNumberFormat="1" applyFont="1" applyBorder="1"/>
    <xf numFmtId="17" fontId="1" fillId="0" borderId="43" xfId="0" applyNumberFormat="1" applyFont="1" applyBorder="1"/>
    <xf numFmtId="164" fontId="13" fillId="0" borderId="71" xfId="0" applyNumberFormat="1" applyFont="1" applyBorder="1" applyAlignment="1">
      <alignment shrinkToFit="1"/>
    </xf>
    <xf numFmtId="164" fontId="0" fillId="0" borderId="19" xfId="0" applyNumberFormat="1" applyBorder="1"/>
    <xf numFmtId="0" fontId="5" fillId="3" borderId="2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1" fillId="4" borderId="0" xfId="0" applyFont="1" applyFill="1" applyBorder="1"/>
    <xf numFmtId="4" fontId="11" fillId="0" borderId="0" xfId="0" applyNumberFormat="1" applyFont="1" applyFill="1" applyBorder="1"/>
    <xf numFmtId="0" fontId="5" fillId="2" borderId="4" xfId="0" applyFont="1" applyFill="1" applyBorder="1" applyAlignment="1">
      <alignment horizontal="center"/>
    </xf>
    <xf numFmtId="0" fontId="0" fillId="0" borderId="38" xfId="0" applyBorder="1" applyAlignment="1">
      <alignment shrinkToFit="1"/>
    </xf>
    <xf numFmtId="0" fontId="2" fillId="0" borderId="0" xfId="0" applyFont="1" applyBorder="1" applyAlignment="1">
      <alignment shrinkToFit="1"/>
    </xf>
    <xf numFmtId="164" fontId="13" fillId="0" borderId="4" xfId="0" applyNumberFormat="1" applyFont="1" applyBorder="1" applyAlignment="1">
      <alignment shrinkToFit="1"/>
    </xf>
    <xf numFmtId="0" fontId="5" fillId="2" borderId="39" xfId="0" applyFont="1" applyFill="1" applyBorder="1" applyAlignment="1">
      <alignment horizontal="center"/>
    </xf>
    <xf numFmtId="0" fontId="0" fillId="0" borderId="39" xfId="0" applyBorder="1" applyAlignment="1">
      <alignment shrinkToFit="1"/>
    </xf>
    <xf numFmtId="4" fontId="15" fillId="0" borderId="39" xfId="0" applyNumberFormat="1" applyFont="1" applyBorder="1"/>
    <xf numFmtId="164" fontId="11" fillId="0" borderId="39" xfId="0" applyNumberFormat="1" applyFont="1" applyBorder="1"/>
    <xf numFmtId="0" fontId="1" fillId="0" borderId="0" xfId="0" applyFont="1" applyFill="1" applyBorder="1"/>
    <xf numFmtId="164" fontId="5" fillId="2" borderId="0" xfId="0" applyNumberFormat="1" applyFont="1" applyFill="1" applyBorder="1"/>
    <xf numFmtId="0" fontId="5" fillId="5" borderId="2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10" fillId="6" borderId="16" xfId="0" applyFont="1" applyFill="1" applyBorder="1" applyAlignment="1">
      <alignment horizontal="center" shrinkToFit="1"/>
    </xf>
    <xf numFmtId="0" fontId="10" fillId="6" borderId="5" xfId="0" applyFont="1" applyFill="1" applyBorder="1" applyAlignment="1">
      <alignment horizontal="center" shrinkToFit="1"/>
    </xf>
    <xf numFmtId="0" fontId="10" fillId="6" borderId="30" xfId="0" applyFont="1" applyFill="1" applyBorder="1" applyAlignment="1">
      <alignment horizontal="center" shrinkToFit="1"/>
    </xf>
    <xf numFmtId="0" fontId="10" fillId="6" borderId="2" xfId="0" applyFont="1" applyFill="1" applyBorder="1" applyAlignment="1">
      <alignment horizontal="center" shrinkToFit="1"/>
    </xf>
    <xf numFmtId="0" fontId="10" fillId="6" borderId="7" xfId="0" applyFont="1" applyFill="1" applyBorder="1" applyAlignment="1">
      <alignment horizontal="center" shrinkToFit="1"/>
    </xf>
    <xf numFmtId="0" fontId="10" fillId="6" borderId="48" xfId="0" applyFont="1" applyFill="1" applyBorder="1" applyAlignment="1">
      <alignment horizontal="center" shrinkToFit="1"/>
    </xf>
    <xf numFmtId="0" fontId="10" fillId="6" borderId="76" xfId="0" applyFont="1" applyFill="1" applyBorder="1" applyAlignment="1">
      <alignment horizontal="center" shrinkToFit="1"/>
    </xf>
    <xf numFmtId="0" fontId="10" fillId="6" borderId="78" xfId="0" applyFont="1" applyFill="1" applyBorder="1" applyAlignment="1">
      <alignment horizontal="center" shrinkToFit="1"/>
    </xf>
    <xf numFmtId="0" fontId="10" fillId="6" borderId="81" xfId="0" applyFont="1" applyFill="1" applyBorder="1" applyAlignment="1">
      <alignment horizontal="center" shrinkToFit="1"/>
    </xf>
    <xf numFmtId="0" fontId="5" fillId="6" borderId="76" xfId="0" applyFont="1" applyFill="1" applyBorder="1" applyAlignment="1">
      <alignment horizontal="center" shrinkToFit="1"/>
    </xf>
    <xf numFmtId="0" fontId="5" fillId="6" borderId="78" xfId="0" applyFont="1" applyFill="1" applyBorder="1" applyAlignment="1">
      <alignment horizontal="center" shrinkToFit="1"/>
    </xf>
    <xf numFmtId="0" fontId="5" fillId="6" borderId="81" xfId="0" applyFont="1" applyFill="1" applyBorder="1" applyAlignment="1">
      <alignment horizontal="center" shrinkToFit="1"/>
    </xf>
    <xf numFmtId="0" fontId="5" fillId="6" borderId="88" xfId="0" applyFont="1" applyFill="1" applyBorder="1" applyAlignment="1">
      <alignment horizontal="center" shrinkToFit="1"/>
    </xf>
    <xf numFmtId="0" fontId="5" fillId="6" borderId="27" xfId="0" applyFont="1" applyFill="1" applyBorder="1" applyAlignment="1">
      <alignment horizontal="center" shrinkToFit="1"/>
    </xf>
    <xf numFmtId="0" fontId="5" fillId="6" borderId="94" xfId="0" applyFont="1" applyFill="1" applyBorder="1" applyAlignment="1">
      <alignment horizontal="center" shrinkToFit="1"/>
    </xf>
    <xf numFmtId="164" fontId="5" fillId="6" borderId="88" xfId="0" applyNumberFormat="1" applyFont="1" applyFill="1" applyBorder="1"/>
    <xf numFmtId="164" fontId="5" fillId="6" borderId="27" xfId="0" applyNumberFormat="1" applyFont="1" applyFill="1" applyBorder="1"/>
    <xf numFmtId="164" fontId="5" fillId="6" borderId="94" xfId="0" applyNumberFormat="1" applyFont="1" applyFill="1" applyBorder="1"/>
    <xf numFmtId="164" fontId="5" fillId="6" borderId="98" xfId="0" applyNumberFormat="1" applyFont="1" applyFill="1" applyBorder="1"/>
    <xf numFmtId="164" fontId="5" fillId="6" borderId="86" xfId="0" applyNumberFormat="1" applyFont="1" applyFill="1" applyBorder="1"/>
    <xf numFmtId="164" fontId="5" fillId="6" borderId="99" xfId="0" applyNumberFormat="1" applyFont="1" applyFill="1" applyBorder="1"/>
    <xf numFmtId="164" fontId="5" fillId="6" borderId="0" xfId="0" applyNumberFormat="1" applyFont="1" applyFill="1" applyBorder="1"/>
    <xf numFmtId="0" fontId="5" fillId="6" borderId="16" xfId="0" applyFont="1" applyFill="1" applyBorder="1" applyAlignment="1">
      <alignment horizontal="center" shrinkToFit="1"/>
    </xf>
    <xf numFmtId="0" fontId="5" fillId="6" borderId="5" xfId="0" applyFont="1" applyFill="1" applyBorder="1" applyAlignment="1">
      <alignment horizontal="center" shrinkToFit="1"/>
    </xf>
    <xf numFmtId="0" fontId="5" fillId="6" borderId="30" xfId="0" applyFont="1" applyFill="1" applyBorder="1" applyAlignment="1">
      <alignment horizontal="center" shrinkToFit="1"/>
    </xf>
    <xf numFmtId="0" fontId="5" fillId="6" borderId="16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6" borderId="30" xfId="0" applyFont="1" applyFill="1" applyBorder="1" applyAlignment="1">
      <alignment horizontal="center"/>
    </xf>
    <xf numFmtId="0" fontId="5" fillId="6" borderId="111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5" fillId="6" borderId="113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10" xfId="0" applyFont="1" applyFill="1" applyBorder="1" applyAlignment="1">
      <alignment horizontal="center"/>
    </xf>
    <xf numFmtId="0" fontId="5" fillId="6" borderId="114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5" fillId="6" borderId="39" xfId="0" applyFont="1" applyFill="1" applyBorder="1" applyAlignment="1">
      <alignment horizontal="center"/>
    </xf>
    <xf numFmtId="0" fontId="10" fillId="6" borderId="16" xfId="0" applyFont="1" applyFill="1" applyBorder="1" applyAlignment="1">
      <alignment horizontal="center"/>
    </xf>
    <xf numFmtId="0" fontId="10" fillId="6" borderId="5" xfId="0" applyFont="1" applyFill="1" applyBorder="1" applyAlignment="1">
      <alignment horizontal="center"/>
    </xf>
    <xf numFmtId="0" fontId="10" fillId="6" borderId="30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center" shrinkToFit="1"/>
    </xf>
    <xf numFmtId="0" fontId="5" fillId="7" borderId="5" xfId="0" applyFont="1" applyFill="1" applyBorder="1" applyAlignment="1">
      <alignment horizontal="center" shrinkToFit="1"/>
    </xf>
    <xf numFmtId="0" fontId="5" fillId="7" borderId="30" xfId="0" applyFont="1" applyFill="1" applyBorder="1" applyAlignment="1">
      <alignment horizontal="center" shrinkToFit="1"/>
    </xf>
    <xf numFmtId="0" fontId="1" fillId="7" borderId="0" xfId="0" applyFont="1" applyFill="1" applyBorder="1"/>
    <xf numFmtId="0" fontId="1" fillId="6" borderId="5" xfId="0" applyFont="1" applyFill="1" applyBorder="1"/>
    <xf numFmtId="0" fontId="1" fillId="6" borderId="16" xfId="0" applyFont="1" applyFill="1" applyBorder="1"/>
    <xf numFmtId="0" fontId="1" fillId="6" borderId="30" xfId="0" applyFont="1" applyFill="1" applyBorder="1"/>
    <xf numFmtId="0" fontId="1" fillId="6" borderId="49" xfId="0" applyFont="1" applyFill="1" applyBorder="1"/>
    <xf numFmtId="0" fontId="5" fillId="6" borderId="2" xfId="0" applyFont="1" applyFill="1" applyBorder="1" applyAlignment="1">
      <alignment horizontal="center" shrinkToFit="1"/>
    </xf>
    <xf numFmtId="0" fontId="5" fillId="6" borderId="7" xfId="0" applyFont="1" applyFill="1" applyBorder="1" applyAlignment="1">
      <alignment horizontal="center" shrinkToFit="1"/>
    </xf>
    <xf numFmtId="0" fontId="1" fillId="6" borderId="10" xfId="0" applyFont="1" applyFill="1" applyBorder="1"/>
    <xf numFmtId="0" fontId="1" fillId="6" borderId="131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14" xfId="0" applyFont="1" applyFill="1" applyBorder="1"/>
    <xf numFmtId="0" fontId="10" fillId="2" borderId="38" xfId="0" applyFont="1" applyFill="1" applyBorder="1" applyAlignment="1">
      <alignment horizontal="center" shrinkToFit="1"/>
    </xf>
    <xf numFmtId="0" fontId="11" fillId="0" borderId="38" xfId="0" applyFont="1" applyBorder="1" applyAlignment="1">
      <alignment shrinkToFit="1"/>
    </xf>
    <xf numFmtId="17" fontId="11" fillId="0" borderId="80" xfId="0" applyNumberFormat="1" applyFont="1" applyBorder="1" applyAlignment="1">
      <alignment shrinkToFit="1"/>
    </xf>
    <xf numFmtId="166" fontId="11" fillId="0" borderId="43" xfId="0" applyNumberFormat="1" applyFont="1" applyBorder="1" applyAlignment="1">
      <alignment shrinkToFit="1"/>
    </xf>
    <xf numFmtId="166" fontId="11" fillId="0" borderId="79" xfId="0" applyNumberFormat="1" applyFont="1" applyBorder="1" applyAlignment="1">
      <alignment shrinkToFit="1"/>
    </xf>
    <xf numFmtId="164" fontId="23" fillId="0" borderId="0" xfId="0" applyNumberFormat="1" applyFont="1" applyBorder="1" applyAlignment="1">
      <alignment horizontal="center"/>
    </xf>
    <xf numFmtId="164" fontId="13" fillId="0" borderId="36" xfId="0" applyNumberFormat="1" applyFont="1" applyBorder="1" applyAlignment="1">
      <alignment shrinkToFit="1"/>
    </xf>
    <xf numFmtId="0" fontId="32" fillId="0" borderId="84" xfId="0" applyFont="1" applyBorder="1"/>
    <xf numFmtId="0" fontId="0" fillId="0" borderId="28" xfId="0" applyBorder="1"/>
    <xf numFmtId="164" fontId="28" fillId="0" borderId="44" xfId="0" applyNumberFormat="1" applyFont="1" applyBorder="1"/>
    <xf numFmtId="0" fontId="0" fillId="0" borderId="36" xfId="0" applyBorder="1"/>
    <xf numFmtId="164" fontId="18" fillId="0" borderId="28" xfId="0" applyNumberFormat="1" applyFont="1" applyBorder="1"/>
    <xf numFmtId="166" fontId="27" fillId="0" borderId="28" xfId="0" applyNumberFormat="1" applyFont="1" applyBorder="1"/>
    <xf numFmtId="164" fontId="28" fillId="0" borderId="28" xfId="0" applyNumberFormat="1" applyFont="1" applyBorder="1" applyAlignment="1">
      <alignment shrinkToFit="1"/>
    </xf>
    <xf numFmtId="166" fontId="27" fillId="0" borderId="44" xfId="0" applyNumberFormat="1" applyFont="1" applyBorder="1"/>
    <xf numFmtId="0" fontId="1" fillId="2" borderId="31" xfId="0" applyFont="1" applyFill="1" applyBorder="1"/>
    <xf numFmtId="0" fontId="0" fillId="0" borderId="132" xfId="0" applyBorder="1"/>
    <xf numFmtId="164" fontId="0" fillId="0" borderId="31" xfId="0" applyNumberFormat="1" applyBorder="1"/>
    <xf numFmtId="0" fontId="0" fillId="0" borderId="31" xfId="0" applyBorder="1"/>
    <xf numFmtId="0" fontId="12" fillId="0" borderId="5" xfId="0" applyFont="1" applyBorder="1" applyAlignment="1">
      <alignment shrinkToFit="1"/>
    </xf>
    <xf numFmtId="164" fontId="13" fillId="0" borderId="7" xfId="0" applyNumberFormat="1" applyFont="1" applyBorder="1" applyAlignment="1">
      <alignment shrinkToFit="1"/>
    </xf>
    <xf numFmtId="0" fontId="32" fillId="0" borderId="78" xfId="0" applyFont="1" applyBorder="1"/>
    <xf numFmtId="164" fontId="18" fillId="0" borderId="27" xfId="0" applyNumberFormat="1" applyFont="1" applyBorder="1"/>
    <xf numFmtId="166" fontId="27" fillId="0" borderId="27" xfId="0" applyNumberFormat="1" applyFont="1" applyBorder="1"/>
    <xf numFmtId="164" fontId="28" fillId="0" borderId="27" xfId="0" applyNumberFormat="1" applyFont="1" applyBorder="1" applyAlignment="1">
      <alignment shrinkToFit="1"/>
    </xf>
    <xf numFmtId="166" fontId="27" fillId="0" borderId="9" xfId="0" applyNumberFormat="1" applyFont="1" applyBorder="1"/>
    <xf numFmtId="0" fontId="5" fillId="2" borderId="36" xfId="0" applyFont="1" applyFill="1" applyBorder="1" applyAlignment="1">
      <alignment horizontal="center" shrinkToFit="1"/>
    </xf>
    <xf numFmtId="0" fontId="12" fillId="0" borderId="41" xfId="0" applyFont="1" applyBorder="1" applyAlignment="1">
      <alignment shrinkToFit="1"/>
    </xf>
    <xf numFmtId="0" fontId="5" fillId="2" borderId="4" xfId="0" applyFont="1" applyFill="1" applyBorder="1" applyAlignment="1">
      <alignment horizontal="center" shrinkToFit="1"/>
    </xf>
    <xf numFmtId="0" fontId="0" fillId="0" borderId="81" xfId="0" applyBorder="1"/>
    <xf numFmtId="164" fontId="5" fillId="0" borderId="94" xfId="0" applyNumberFormat="1" applyFont="1" applyBorder="1"/>
    <xf numFmtId="0" fontId="0" fillId="0" borderId="94" xfId="0" applyBorder="1"/>
    <xf numFmtId="164" fontId="28" fillId="0" borderId="15" xfId="0" applyNumberFormat="1" applyFont="1" applyBorder="1"/>
    <xf numFmtId="164" fontId="0" fillId="0" borderId="4" xfId="0" applyNumberFormat="1" applyBorder="1"/>
    <xf numFmtId="0" fontId="0" fillId="0" borderId="15" xfId="0" applyBorder="1"/>
    <xf numFmtId="164" fontId="5" fillId="0" borderId="0" xfId="0" applyNumberFormat="1" applyFont="1" applyFill="1" applyBorder="1"/>
    <xf numFmtId="164" fontId="5" fillId="0" borderId="94" xfId="0" applyNumberFormat="1" applyFont="1" applyFill="1" applyBorder="1"/>
    <xf numFmtId="164" fontId="5" fillId="2" borderId="110" xfId="0" applyNumberFormat="1" applyFont="1" applyFill="1" applyBorder="1"/>
    <xf numFmtId="0" fontId="11" fillId="0" borderId="110" xfId="0" applyFont="1" applyBorder="1" applyAlignment="1">
      <alignment shrinkToFit="1"/>
    </xf>
    <xf numFmtId="0" fontId="5" fillId="0" borderId="2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164" fontId="5" fillId="0" borderId="88" xfId="0" applyNumberFormat="1" applyFont="1" applyFill="1" applyBorder="1"/>
    <xf numFmtId="164" fontId="5" fillId="0" borderId="27" xfId="0" applyNumberFormat="1" applyFont="1" applyFill="1" applyBorder="1"/>
    <xf numFmtId="0" fontId="10" fillId="0" borderId="2" xfId="0" applyFont="1" applyFill="1" applyBorder="1" applyAlignment="1">
      <alignment horizontal="center" shrinkToFit="1"/>
    </xf>
    <xf numFmtId="0" fontId="10" fillId="0" borderId="7" xfId="0" applyFont="1" applyFill="1" applyBorder="1" applyAlignment="1">
      <alignment horizontal="center" shrinkToFit="1"/>
    </xf>
    <xf numFmtId="0" fontId="10" fillId="0" borderId="48" xfId="0" applyFont="1" applyFill="1" applyBorder="1" applyAlignment="1">
      <alignment horizontal="center" shrinkToFit="1"/>
    </xf>
    <xf numFmtId="0" fontId="10" fillId="0" borderId="16" xfId="0" applyFont="1" applyFill="1" applyBorder="1" applyAlignment="1">
      <alignment horizontal="center" shrinkToFit="1"/>
    </xf>
    <xf numFmtId="0" fontId="10" fillId="0" borderId="5" xfId="0" applyFont="1" applyFill="1" applyBorder="1" applyAlignment="1">
      <alignment horizontal="center" shrinkToFit="1"/>
    </xf>
    <xf numFmtId="164" fontId="35" fillId="0" borderId="5" xfId="0" applyNumberFormat="1" applyFont="1" applyBorder="1"/>
    <xf numFmtId="0" fontId="10" fillId="0" borderId="38" xfId="0" applyFont="1" applyFill="1" applyBorder="1" applyAlignment="1">
      <alignment horizontal="center" shrinkToFit="1"/>
    </xf>
    <xf numFmtId="0" fontId="5" fillId="0" borderId="76" xfId="0" applyFont="1" applyFill="1" applyBorder="1" applyAlignment="1">
      <alignment horizontal="center" shrinkToFit="1"/>
    </xf>
    <xf numFmtId="0" fontId="5" fillId="0" borderId="78" xfId="0" applyFont="1" applyFill="1" applyBorder="1" applyAlignment="1">
      <alignment horizontal="center" shrinkToFit="1"/>
    </xf>
    <xf numFmtId="0" fontId="5" fillId="0" borderId="81" xfId="0" applyFont="1" applyFill="1" applyBorder="1" applyAlignment="1">
      <alignment horizontal="center" shrinkToFit="1"/>
    </xf>
    <xf numFmtId="0" fontId="5" fillId="0" borderId="94" xfId="0" applyFont="1" applyFill="1" applyBorder="1" applyAlignment="1">
      <alignment horizontal="center" shrinkToFit="1"/>
    </xf>
    <xf numFmtId="164" fontId="5" fillId="0" borderId="98" xfId="0" applyNumberFormat="1" applyFont="1" applyFill="1" applyBorder="1"/>
    <xf numFmtId="0" fontId="32" fillId="0" borderId="0" xfId="0" applyFont="1"/>
    <xf numFmtId="164" fontId="5" fillId="0" borderId="86" xfId="0" applyNumberFormat="1" applyFont="1" applyFill="1" applyBorder="1"/>
    <xf numFmtId="164" fontId="5" fillId="0" borderId="99" xfId="0" applyNumberFormat="1" applyFont="1" applyFill="1" applyBorder="1"/>
    <xf numFmtId="164" fontId="5" fillId="0" borderId="110" xfId="0" applyNumberFormat="1" applyFont="1" applyFill="1" applyBorder="1"/>
    <xf numFmtId="0" fontId="5" fillId="0" borderId="16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11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113" xfId="0" applyFont="1" applyFill="1" applyBorder="1" applyAlignment="1">
      <alignment horizontal="center"/>
    </xf>
    <xf numFmtId="0" fontId="5" fillId="0" borderId="114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10" fillId="0" borderId="16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/>
    </xf>
    <xf numFmtId="0" fontId="10" fillId="0" borderId="30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shrinkToFit="1"/>
    </xf>
    <xf numFmtId="0" fontId="5" fillId="0" borderId="30" xfId="0" applyFont="1" applyFill="1" applyBorder="1" applyAlignment="1">
      <alignment horizontal="center" shrinkToFit="1"/>
    </xf>
    <xf numFmtId="0" fontId="1" fillId="0" borderId="5" xfId="0" applyFont="1" applyFill="1" applyBorder="1"/>
    <xf numFmtId="0" fontId="1" fillId="0" borderId="16" xfId="0" applyFont="1" applyFill="1" applyBorder="1"/>
    <xf numFmtId="0" fontId="1" fillId="0" borderId="30" xfId="0" applyFont="1" applyFill="1" applyBorder="1"/>
    <xf numFmtId="0" fontId="1" fillId="0" borderId="49" xfId="0" applyFont="1" applyFill="1" applyBorder="1"/>
    <xf numFmtId="0" fontId="5" fillId="0" borderId="2" xfId="0" applyFont="1" applyFill="1" applyBorder="1" applyAlignment="1">
      <alignment horizontal="center" shrinkToFit="1"/>
    </xf>
    <xf numFmtId="0" fontId="5" fillId="0" borderId="7" xfId="0" applyFont="1" applyFill="1" applyBorder="1" applyAlignment="1">
      <alignment horizontal="center" shrinkToFit="1"/>
    </xf>
    <xf numFmtId="0" fontId="1" fillId="0" borderId="10" xfId="0" applyFont="1" applyFill="1" applyBorder="1"/>
    <xf numFmtId="0" fontId="1" fillId="0" borderId="131" xfId="0" applyFont="1" applyFill="1" applyBorder="1"/>
    <xf numFmtId="0" fontId="1" fillId="0" borderId="9" xfId="0" applyFont="1" applyFill="1" applyBorder="1"/>
    <xf numFmtId="0" fontId="1" fillId="0" borderId="6" xfId="0" applyFont="1" applyFill="1" applyBorder="1"/>
    <xf numFmtId="17" fontId="0" fillId="0" borderId="43" xfId="0" applyNumberFormat="1" applyBorder="1"/>
    <xf numFmtId="0" fontId="1" fillId="0" borderId="114" xfId="0" applyFont="1" applyFill="1" applyBorder="1"/>
    <xf numFmtId="0" fontId="1" fillId="0" borderId="31" xfId="0" applyFont="1" applyFill="1" applyBorder="1"/>
    <xf numFmtId="0" fontId="5" fillId="0" borderId="36" xfId="0" applyFont="1" applyFill="1" applyBorder="1" applyAlignment="1">
      <alignment horizontal="center" shrinkToFit="1"/>
    </xf>
    <xf numFmtId="0" fontId="5" fillId="0" borderId="4" xfId="0" applyFont="1" applyFill="1" applyBorder="1" applyAlignment="1">
      <alignment horizontal="center" shrinkToFit="1"/>
    </xf>
    <xf numFmtId="164" fontId="5" fillId="2" borderId="39" xfId="0" applyNumberFormat="1" applyFont="1" applyFill="1" applyBorder="1"/>
    <xf numFmtId="0" fontId="11" fillId="0" borderId="39" xfId="0" applyFont="1" applyBorder="1" applyAlignment="1">
      <alignment shrinkToFit="1"/>
    </xf>
    <xf numFmtId="0" fontId="11" fillId="0" borderId="80" xfId="0" applyFont="1" applyBorder="1" applyAlignment="1">
      <alignment shrinkToFit="1"/>
    </xf>
    <xf numFmtId="0" fontId="5" fillId="2" borderId="82" xfId="0" applyFont="1" applyFill="1" applyBorder="1" applyAlignment="1">
      <alignment horizontal="center"/>
    </xf>
    <xf numFmtId="0" fontId="0" fillId="0" borderId="82" xfId="0" applyBorder="1" applyAlignment="1">
      <alignment shrinkToFit="1"/>
    </xf>
    <xf numFmtId="4" fontId="15" fillId="0" borderId="82" xfId="0" applyNumberFormat="1" applyFont="1" applyBorder="1"/>
    <xf numFmtId="164" fontId="11" fillId="0" borderId="82" xfId="0" applyNumberFormat="1" applyFont="1" applyBorder="1"/>
    <xf numFmtId="164" fontId="15" fillId="0" borderId="90" xfId="0" applyNumberFormat="1" applyFont="1" applyBorder="1"/>
    <xf numFmtId="164" fontId="17" fillId="0" borderId="43" xfId="0" applyNumberFormat="1" applyFont="1" applyBorder="1" applyAlignment="1">
      <alignment shrinkToFit="1"/>
    </xf>
    <xf numFmtId="164" fontId="15" fillId="0" borderId="91" xfId="0" applyNumberFormat="1" applyFont="1" applyBorder="1"/>
    <xf numFmtId="164" fontId="17" fillId="0" borderId="27" xfId="0" applyNumberFormat="1" applyFont="1" applyBorder="1" applyAlignment="1">
      <alignment shrinkToFit="1"/>
    </xf>
    <xf numFmtId="164" fontId="15" fillId="0" borderId="14" xfId="0" applyNumberFormat="1" applyFont="1" applyBorder="1"/>
    <xf numFmtId="164" fontId="17" fillId="0" borderId="11" xfId="0" applyNumberFormat="1" applyFont="1" applyBorder="1" applyAlignment="1">
      <alignment shrinkToFit="1"/>
    </xf>
    <xf numFmtId="0" fontId="2" fillId="0" borderId="5" xfId="0" applyFont="1" applyBorder="1" applyAlignment="1">
      <alignment shrinkToFit="1"/>
    </xf>
    <xf numFmtId="4" fontId="15" fillId="0" borderId="8" xfId="0" applyNumberFormat="1" applyFont="1" applyBorder="1"/>
    <xf numFmtId="17" fontId="11" fillId="0" borderId="90" xfId="0" applyNumberFormat="1" applyFont="1" applyBorder="1" applyAlignment="1">
      <alignment shrinkToFit="1"/>
    </xf>
    <xf numFmtId="0" fontId="36" fillId="0" borderId="111" xfId="0" applyFont="1" applyBorder="1" applyAlignment="1">
      <alignment shrinkToFit="1"/>
    </xf>
    <xf numFmtId="0" fontId="28" fillId="0" borderId="6" xfId="0" applyFont="1" applyBorder="1" applyAlignment="1">
      <alignment shrinkToFit="1"/>
    </xf>
    <xf numFmtId="0" fontId="5" fillId="0" borderId="6" xfId="0" applyFont="1" applyBorder="1" applyAlignment="1">
      <alignment shrinkToFit="1"/>
    </xf>
    <xf numFmtId="0" fontId="5" fillId="2" borderId="49" xfId="0" applyFont="1" applyFill="1" applyBorder="1" applyAlignment="1">
      <alignment horizontal="center" shrinkToFit="1"/>
    </xf>
    <xf numFmtId="0" fontId="28" fillId="0" borderId="114" xfId="0" applyFont="1" applyBorder="1" applyAlignment="1">
      <alignment shrinkToFit="1"/>
    </xf>
    <xf numFmtId="164" fontId="5" fillId="0" borderId="28" xfId="0" applyNumberFormat="1" applyFont="1" applyBorder="1"/>
    <xf numFmtId="164" fontId="17" fillId="0" borderId="21" xfId="0" applyNumberFormat="1" applyFont="1" applyBorder="1" applyAlignment="1">
      <alignment shrinkToFit="1"/>
    </xf>
    <xf numFmtId="164" fontId="17" fillId="0" borderId="128" xfId="0" applyNumberFormat="1" applyFont="1" applyBorder="1" applyAlignment="1">
      <alignment shrinkToFit="1"/>
    </xf>
    <xf numFmtId="164" fontId="15" fillId="0" borderId="92" xfId="0" applyNumberFormat="1" applyFont="1" applyBorder="1"/>
    <xf numFmtId="164" fontId="17" fillId="0" borderId="87" xfId="0" applyNumberFormat="1" applyFont="1" applyBorder="1" applyAlignment="1">
      <alignment shrinkToFit="1"/>
    </xf>
    <xf numFmtId="164" fontId="27" fillId="0" borderId="23" xfId="0" applyNumberFormat="1" applyFont="1" applyBorder="1"/>
    <xf numFmtId="1" fontId="10" fillId="2" borderId="16" xfId="0" applyNumberFormat="1" applyFont="1" applyFill="1" applyBorder="1" applyAlignment="1">
      <alignment horizontal="center" shrinkToFit="1"/>
    </xf>
    <xf numFmtId="0" fontId="11" fillId="0" borderId="111" xfId="0" applyFont="1" applyBorder="1" applyAlignment="1">
      <alignment shrinkToFit="1"/>
    </xf>
    <xf numFmtId="1" fontId="10" fillId="2" borderId="5" xfId="0" applyNumberFormat="1" applyFont="1" applyFill="1" applyBorder="1" applyAlignment="1">
      <alignment horizontal="center" shrinkToFit="1"/>
    </xf>
    <xf numFmtId="0" fontId="11" fillId="0" borderId="6" xfId="0" applyFont="1" applyBorder="1" applyAlignment="1">
      <alignment shrinkToFit="1"/>
    </xf>
    <xf numFmtId="1" fontId="10" fillId="2" borderId="30" xfId="0" applyNumberFormat="1" applyFont="1" applyFill="1" applyBorder="1" applyAlignment="1">
      <alignment horizontal="center" shrinkToFit="1"/>
    </xf>
    <xf numFmtId="0" fontId="11" fillId="0" borderId="113" xfId="0" applyFont="1" applyBorder="1" applyAlignment="1">
      <alignment shrinkToFit="1"/>
    </xf>
    <xf numFmtId="1" fontId="5" fillId="2" borderId="16" xfId="0" applyNumberFormat="1" applyFont="1" applyFill="1" applyBorder="1" applyAlignment="1">
      <alignment horizontal="center" shrinkToFit="1"/>
    </xf>
    <xf numFmtId="0" fontId="28" fillId="0" borderId="111" xfId="0" applyFont="1" applyBorder="1" applyAlignment="1">
      <alignment shrinkToFit="1"/>
    </xf>
    <xf numFmtId="1" fontId="5" fillId="2" borderId="5" xfId="0" applyNumberFormat="1" applyFont="1" applyFill="1" applyBorder="1" applyAlignment="1">
      <alignment horizontal="center" shrinkToFit="1"/>
    </xf>
    <xf numFmtId="1" fontId="5" fillId="2" borderId="82" xfId="0" applyNumberFormat="1" applyFont="1" applyFill="1" applyBorder="1" applyAlignment="1">
      <alignment horizontal="center" shrinkToFit="1"/>
    </xf>
    <xf numFmtId="1" fontId="5" fillId="2" borderId="77" xfId="0" applyNumberFormat="1" applyFont="1" applyFill="1" applyBorder="1" applyAlignment="1">
      <alignment horizontal="center" shrinkToFit="1"/>
    </xf>
    <xf numFmtId="1" fontId="5" fillId="2" borderId="91" xfId="0" applyNumberFormat="1" applyFont="1" applyFill="1" applyBorder="1" applyAlignment="1">
      <alignment horizontal="center" shrinkToFit="1"/>
    </xf>
    <xf numFmtId="0" fontId="37" fillId="0" borderId="18" xfId="0" applyFont="1" applyBorder="1"/>
    <xf numFmtId="0" fontId="37" fillId="0" borderId="24" xfId="0" applyFont="1" applyBorder="1"/>
    <xf numFmtId="1" fontId="5" fillId="2" borderId="0" xfId="0" applyNumberFormat="1" applyFont="1" applyFill="1" applyBorder="1" applyAlignment="1">
      <alignment horizontal="center" shrinkToFit="1"/>
    </xf>
    <xf numFmtId="1" fontId="5" fillId="2" borderId="49" xfId="0" applyNumberFormat="1" applyFont="1" applyFill="1" applyBorder="1" applyAlignment="1">
      <alignment horizontal="center" shrinkToFit="1"/>
    </xf>
    <xf numFmtId="1" fontId="5" fillId="0" borderId="69" xfId="0" applyNumberFormat="1" applyFont="1" applyFill="1" applyBorder="1" applyAlignment="1">
      <alignment shrinkToFit="1"/>
    </xf>
    <xf numFmtId="164" fontId="23" fillId="0" borderId="5" xfId="0" applyNumberFormat="1" applyFont="1" applyBorder="1" applyAlignment="1">
      <alignment shrinkToFit="1"/>
    </xf>
    <xf numFmtId="4" fontId="15" fillId="0" borderId="40" xfId="0" applyNumberFormat="1" applyFont="1" applyBorder="1"/>
    <xf numFmtId="4" fontId="15" fillId="0" borderId="96" xfId="0" applyNumberFormat="1" applyFont="1" applyBorder="1"/>
    <xf numFmtId="0" fontId="5" fillId="2" borderId="77" xfId="0" applyFont="1" applyFill="1" applyBorder="1" applyAlignment="1">
      <alignment horizontal="center"/>
    </xf>
    <xf numFmtId="0" fontId="2" fillId="0" borderId="77" xfId="0" applyFont="1" applyBorder="1" applyAlignment="1">
      <alignment shrinkToFit="1"/>
    </xf>
    <xf numFmtId="4" fontId="15" fillId="0" borderId="77" xfId="0" applyNumberFormat="1" applyFont="1" applyBorder="1"/>
    <xf numFmtId="164" fontId="11" fillId="0" borderId="77" xfId="0" applyNumberFormat="1" applyFont="1" applyBorder="1"/>
    <xf numFmtId="0" fontId="5" fillId="2" borderId="77" xfId="0" applyFont="1" applyFill="1" applyBorder="1" applyAlignment="1">
      <alignment horizontal="left" wrapText="1"/>
    </xf>
    <xf numFmtId="164" fontId="5" fillId="0" borderId="88" xfId="0" applyNumberFormat="1" applyFont="1" applyBorder="1"/>
    <xf numFmtId="164" fontId="15" fillId="0" borderId="97" xfId="0" applyNumberFormat="1" applyFont="1" applyBorder="1"/>
    <xf numFmtId="0" fontId="5" fillId="2" borderId="0" xfId="0" applyFont="1" applyFill="1" applyBorder="1" applyAlignment="1">
      <alignment horizontal="left"/>
    </xf>
    <xf numFmtId="0" fontId="5" fillId="0" borderId="124" xfId="0" applyFont="1" applyFill="1" applyBorder="1" applyAlignment="1">
      <alignment horizontal="center"/>
    </xf>
    <xf numFmtId="0" fontId="2" fillId="0" borderId="124" xfId="0" applyFont="1" applyBorder="1" applyAlignment="1">
      <alignment shrinkToFit="1"/>
    </xf>
    <xf numFmtId="4" fontId="15" fillId="0" borderId="124" xfId="0" applyNumberFormat="1" applyFont="1" applyBorder="1"/>
    <xf numFmtId="164" fontId="15" fillId="0" borderId="122" xfId="0" applyNumberFormat="1" applyFont="1" applyBorder="1"/>
    <xf numFmtId="164" fontId="11" fillId="0" borderId="117" xfId="0" applyNumberFormat="1" applyFont="1" applyBorder="1"/>
    <xf numFmtId="0" fontId="0" fillId="0" borderId="124" xfId="0" applyBorder="1" applyAlignment="1">
      <alignment shrinkToFit="1"/>
    </xf>
    <xf numFmtId="164" fontId="5" fillId="0" borderId="120" xfId="0" applyNumberFormat="1" applyFont="1" applyBorder="1" applyAlignment="1">
      <alignment shrinkToFit="1"/>
    </xf>
    <xf numFmtId="164" fontId="5" fillId="0" borderId="118" xfId="0" applyNumberFormat="1" applyFont="1" applyBorder="1"/>
    <xf numFmtId="4" fontId="15" fillId="0" borderId="112" xfId="0" applyNumberFormat="1" applyFont="1" applyBorder="1"/>
    <xf numFmtId="4" fontId="15" fillId="0" borderId="133" xfId="0" applyNumberFormat="1" applyFont="1" applyBorder="1"/>
    <xf numFmtId="0" fontId="0" fillId="0" borderId="6" xfId="0" applyBorder="1" applyAlignment="1">
      <alignment shrinkToFit="1"/>
    </xf>
    <xf numFmtId="0" fontId="0" fillId="0" borderId="113" xfId="0" applyBorder="1" applyAlignment="1">
      <alignment shrinkToFit="1"/>
    </xf>
    <xf numFmtId="4" fontId="15" fillId="0" borderId="110" xfId="0" applyNumberFormat="1" applyFont="1" applyBorder="1"/>
    <xf numFmtId="164" fontId="15" fillId="0" borderId="11" xfId="0" applyNumberFormat="1" applyFont="1" applyBorder="1"/>
    <xf numFmtId="0" fontId="2" fillId="0" borderId="111" xfId="0" applyFont="1" applyBorder="1" applyAlignment="1">
      <alignment shrinkToFit="1"/>
    </xf>
    <xf numFmtId="4" fontId="15" fillId="0" borderId="84" xfId="0" applyNumberFormat="1" applyFont="1" applyBorder="1"/>
    <xf numFmtId="0" fontId="5" fillId="0" borderId="77" xfId="0" applyFont="1" applyFill="1" applyBorder="1" applyAlignment="1">
      <alignment horizontal="center"/>
    </xf>
    <xf numFmtId="0" fontId="0" fillId="0" borderId="77" xfId="0" applyBorder="1" applyAlignment="1">
      <alignment shrinkToFit="1"/>
    </xf>
    <xf numFmtId="164" fontId="5" fillId="0" borderId="77" xfId="0" applyNumberFormat="1" applyFont="1" applyBorder="1" applyAlignment="1">
      <alignment shrinkToFit="1"/>
    </xf>
    <xf numFmtId="164" fontId="5" fillId="0" borderId="77" xfId="0" applyNumberFormat="1" applyFont="1" applyBorder="1"/>
    <xf numFmtId="164" fontId="15" fillId="0" borderId="77" xfId="0" applyNumberFormat="1" applyFont="1" applyBorder="1"/>
    <xf numFmtId="164" fontId="17" fillId="0" borderId="77" xfId="0" applyNumberFormat="1" applyFont="1" applyBorder="1" applyAlignment="1">
      <alignment shrinkToFit="1"/>
    </xf>
    <xf numFmtId="164" fontId="13" fillId="0" borderId="0" xfId="0" applyNumberFormat="1" applyFont="1" applyBorder="1" applyAlignment="1">
      <alignment shrinkToFit="1"/>
    </xf>
    <xf numFmtId="0" fontId="5" fillId="0" borderId="125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center"/>
    </xf>
    <xf numFmtId="0" fontId="1" fillId="0" borderId="29" xfId="0" applyFont="1" applyBorder="1"/>
    <xf numFmtId="0" fontId="7" fillId="2" borderId="5" xfId="0" applyFont="1" applyFill="1" applyBorder="1" applyAlignment="1">
      <alignment horizontal="center"/>
    </xf>
    <xf numFmtId="0" fontId="7" fillId="2" borderId="30" xfId="0" applyFont="1" applyFill="1" applyBorder="1" applyAlignment="1">
      <alignment horizontal="center"/>
    </xf>
    <xf numFmtId="0" fontId="1" fillId="0" borderId="31" xfId="0" applyFont="1" applyBorder="1"/>
    <xf numFmtId="0" fontId="12" fillId="0" borderId="7" xfId="0" applyFont="1" applyBorder="1" applyAlignment="1">
      <alignment shrinkToFit="1"/>
    </xf>
    <xf numFmtId="0" fontId="0" fillId="0" borderId="25" xfId="0" applyBorder="1"/>
    <xf numFmtId="4" fontId="11" fillId="0" borderId="13" xfId="0" applyNumberFormat="1" applyFont="1" applyFill="1" applyBorder="1"/>
    <xf numFmtId="0" fontId="7" fillId="2" borderId="82" xfId="0" applyFont="1" applyFill="1" applyBorder="1" applyAlignment="1">
      <alignment horizontal="center"/>
    </xf>
    <xf numFmtId="0" fontId="0" fillId="0" borderId="14" xfId="0" applyBorder="1"/>
    <xf numFmtId="0" fontId="5" fillId="2" borderId="115" xfId="0" applyFont="1" applyFill="1" applyBorder="1" applyAlignment="1">
      <alignment horizontal="center"/>
    </xf>
    <xf numFmtId="0" fontId="12" fillId="0" borderId="120" xfId="0" applyFont="1" applyBorder="1" applyAlignment="1">
      <alignment shrinkToFit="1"/>
    </xf>
    <xf numFmtId="4" fontId="11" fillId="0" borderId="117" xfId="0" applyNumberFormat="1" applyFont="1" applyBorder="1"/>
    <xf numFmtId="164" fontId="11" fillId="0" borderId="122" xfId="0" applyNumberFormat="1" applyFont="1" applyBorder="1"/>
    <xf numFmtId="0" fontId="0" fillId="0" borderId="117" xfId="0" applyBorder="1"/>
    <xf numFmtId="0" fontId="0" fillId="0" borderId="118" xfId="0" applyBorder="1"/>
    <xf numFmtId="0" fontId="0" fillId="0" borderId="119" xfId="0" applyBorder="1"/>
    <xf numFmtId="164" fontId="0" fillId="0" borderId="120" xfId="0" applyNumberFormat="1" applyBorder="1"/>
    <xf numFmtId="164" fontId="17" fillId="0" borderId="120" xfId="0" applyNumberFormat="1" applyFont="1" applyBorder="1"/>
    <xf numFmtId="0" fontId="7" fillId="2" borderId="124" xfId="0" applyFont="1" applyFill="1" applyBorder="1" applyAlignment="1">
      <alignment horizontal="center"/>
    </xf>
    <xf numFmtId="0" fontId="11" fillId="0" borderId="120" xfId="0" applyFont="1" applyBorder="1" applyAlignment="1">
      <alignment shrinkToFit="1"/>
    </xf>
    <xf numFmtId="0" fontId="0" fillId="0" borderId="120" xfId="0" applyBorder="1"/>
    <xf numFmtId="0" fontId="1" fillId="0" borderId="120" xfId="0" applyFont="1" applyBorder="1"/>
    <xf numFmtId="4" fontId="11" fillId="0" borderId="124" xfId="0" applyNumberFormat="1" applyFont="1" applyFill="1" applyBorder="1"/>
    <xf numFmtId="164" fontId="11" fillId="0" borderId="134" xfId="0" applyNumberFormat="1" applyFont="1" applyBorder="1"/>
    <xf numFmtId="0" fontId="0" fillId="0" borderId="115" xfId="0" applyBorder="1"/>
    <xf numFmtId="0" fontId="7" fillId="2" borderId="113" xfId="0" applyFont="1" applyFill="1" applyBorder="1" applyAlignment="1">
      <alignment horizontal="center"/>
    </xf>
    <xf numFmtId="49" fontId="5" fillId="2" borderId="16" xfId="0" applyNumberFormat="1" applyFont="1" applyFill="1" applyBorder="1" applyAlignment="1">
      <alignment horizontal="center"/>
    </xf>
    <xf numFmtId="0" fontId="38" fillId="0" borderId="0" xfId="0" applyFont="1" applyBorder="1"/>
    <xf numFmtId="0" fontId="7" fillId="0" borderId="77" xfId="0" applyFont="1" applyFill="1" applyBorder="1" applyAlignment="1">
      <alignment horizontal="center"/>
    </xf>
    <xf numFmtId="4" fontId="11" fillId="0" borderId="77" xfId="0" applyNumberFormat="1" applyFont="1" applyFill="1" applyBorder="1"/>
    <xf numFmtId="0" fontId="1" fillId="0" borderId="77" xfId="0" applyFont="1" applyBorder="1"/>
    <xf numFmtId="0" fontId="7" fillId="0" borderId="0" xfId="0" applyFont="1" applyFill="1" applyBorder="1" applyAlignment="1">
      <alignment horizontal="center"/>
    </xf>
    <xf numFmtId="0" fontId="1" fillId="0" borderId="0" xfId="0" applyFont="1" applyBorder="1"/>
    <xf numFmtId="0" fontId="39" fillId="0" borderId="1" xfId="0" applyFont="1" applyFill="1" applyBorder="1" applyAlignment="1">
      <alignment horizontal="left"/>
    </xf>
    <xf numFmtId="0" fontId="7" fillId="2" borderId="10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6" xfId="0" applyFont="1" applyFill="1" applyBorder="1"/>
    <xf numFmtId="0" fontId="7" fillId="2" borderId="113" xfId="0" applyFont="1" applyFill="1" applyBorder="1"/>
    <xf numFmtId="0" fontId="1" fillId="0" borderId="36" xfId="0" applyFont="1" applyBorder="1"/>
    <xf numFmtId="0" fontId="7" fillId="2" borderId="10" xfId="0" applyFont="1" applyFill="1" applyBorder="1"/>
    <xf numFmtId="0" fontId="1" fillId="0" borderId="4" xfId="0" applyFont="1" applyBorder="1"/>
    <xf numFmtId="0" fontId="7" fillId="0" borderId="0" xfId="0" applyFont="1" applyFill="1"/>
    <xf numFmtId="164" fontId="5" fillId="0" borderId="19" xfId="0" applyNumberFormat="1" applyFont="1" applyBorder="1" applyAlignment="1">
      <alignment shrinkToFit="1"/>
    </xf>
    <xf numFmtId="0" fontId="1" fillId="0" borderId="5" xfId="0" applyFont="1" applyBorder="1" applyAlignment="1">
      <alignment shrinkToFit="1"/>
    </xf>
    <xf numFmtId="0" fontId="1" fillId="0" borderId="30" xfId="0" applyFont="1" applyBorder="1" applyAlignment="1">
      <alignment shrinkToFit="1"/>
    </xf>
    <xf numFmtId="0" fontId="1" fillId="0" borderId="0" xfId="0" applyFont="1" applyBorder="1" applyAlignment="1">
      <alignment shrinkToFit="1"/>
    </xf>
    <xf numFmtId="0" fontId="5" fillId="0" borderId="10" xfId="0" applyFont="1" applyBorder="1" applyAlignment="1">
      <alignment shrinkToFit="1"/>
    </xf>
    <xf numFmtId="166" fontId="5" fillId="0" borderId="23" xfId="0" applyNumberFormat="1" applyFont="1" applyBorder="1"/>
    <xf numFmtId="0" fontId="15" fillId="2" borderId="7" xfId="0" applyFont="1" applyFill="1" applyBorder="1"/>
    <xf numFmtId="0" fontId="0" fillId="0" borderId="8" xfId="0" applyBorder="1"/>
    <xf numFmtId="1" fontId="5" fillId="2" borderId="30" xfId="0" applyNumberFormat="1" applyFont="1" applyFill="1" applyBorder="1" applyAlignment="1">
      <alignment horizontal="center" shrinkToFit="1"/>
    </xf>
    <xf numFmtId="164" fontId="13" fillId="0" borderId="10" xfId="0" applyNumberFormat="1" applyFont="1" applyBorder="1" applyAlignment="1">
      <alignment shrinkToFit="1"/>
    </xf>
    <xf numFmtId="164" fontId="11" fillId="0" borderId="10" xfId="0" applyNumberFormat="1" applyFont="1" applyBorder="1" applyAlignment="1">
      <alignment shrinkToFit="1"/>
    </xf>
    <xf numFmtId="164" fontId="17" fillId="0" borderId="10" xfId="0" applyNumberFormat="1" applyFont="1" applyBorder="1"/>
    <xf numFmtId="164" fontId="17" fillId="0" borderId="80" xfId="0" applyNumberFormat="1" applyFont="1" applyBorder="1" applyAlignment="1">
      <alignment shrinkToFit="1"/>
    </xf>
    <xf numFmtId="0" fontId="5" fillId="0" borderId="0" xfId="0" applyFont="1" applyBorder="1" applyAlignment="1">
      <alignment shrinkToFit="1"/>
    </xf>
    <xf numFmtId="164" fontId="17" fillId="8" borderId="4" xfId="0" applyNumberFormat="1" applyFont="1" applyFill="1" applyBorder="1"/>
    <xf numFmtId="164" fontId="18" fillId="8" borderId="93" xfId="0" applyNumberFormat="1" applyFont="1" applyFill="1" applyBorder="1"/>
    <xf numFmtId="166" fontId="21" fillId="8" borderId="23" xfId="0" applyNumberFormat="1" applyFont="1" applyFill="1" applyBorder="1"/>
    <xf numFmtId="4" fontId="0" fillId="0" borderId="13" xfId="0" applyNumberFormat="1" applyFill="1" applyBorder="1"/>
    <xf numFmtId="164" fontId="17" fillId="0" borderId="4" xfId="0" applyNumberFormat="1" applyFont="1" applyFill="1" applyBorder="1"/>
    <xf numFmtId="164" fontId="18" fillId="0" borderId="93" xfId="0" applyNumberFormat="1" applyFont="1" applyFill="1" applyBorder="1"/>
    <xf numFmtId="166" fontId="21" fillId="0" borderId="23" xfId="0" applyNumberFormat="1" applyFont="1" applyFill="1" applyBorder="1"/>
    <xf numFmtId="0" fontId="21" fillId="0" borderId="7" xfId="0" applyFont="1" applyBorder="1" applyAlignment="1">
      <alignment shrinkToFit="1"/>
    </xf>
    <xf numFmtId="0" fontId="28" fillId="0" borderId="1" xfId="0" applyFont="1" applyBorder="1" applyAlignment="1">
      <alignment shrinkToFit="1"/>
    </xf>
    <xf numFmtId="164" fontId="11" fillId="0" borderId="40" xfId="0" applyNumberFormat="1" applyFont="1" applyBorder="1"/>
    <xf numFmtId="164" fontId="11" fillId="0" borderId="96" xfId="0" applyNumberFormat="1" applyFont="1" applyBorder="1"/>
    <xf numFmtId="4" fontId="28" fillId="0" borderId="85" xfId="0" applyNumberFormat="1" applyFont="1" applyBorder="1"/>
    <xf numFmtId="164" fontId="11" fillId="0" borderId="108" xfId="0" applyNumberFormat="1" applyFont="1" applyBorder="1"/>
    <xf numFmtId="0" fontId="7" fillId="0" borderId="28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6" fillId="0" borderId="44" xfId="0" applyFont="1" applyBorder="1" applyAlignment="1">
      <alignment horizontal="center" vertical="center"/>
    </xf>
    <xf numFmtId="0" fontId="0" fillId="0" borderId="40" xfId="0" applyBorder="1"/>
    <xf numFmtId="0" fontId="0" fillId="0" borderId="93" xfId="0" applyBorder="1"/>
    <xf numFmtId="4" fontId="11" fillId="0" borderId="93" xfId="0" applyNumberFormat="1" applyFont="1" applyBorder="1"/>
    <xf numFmtId="4" fontId="28" fillId="0" borderId="96" xfId="0" applyNumberFormat="1" applyFont="1" applyBorder="1"/>
    <xf numFmtId="164" fontId="42" fillId="0" borderId="11" xfId="0" applyNumberFormat="1" applyFont="1" applyBorder="1"/>
    <xf numFmtId="164" fontId="15" fillId="0" borderId="19" xfId="0" applyNumberFormat="1" applyFont="1" applyBorder="1" applyAlignment="1"/>
    <xf numFmtId="0" fontId="7" fillId="0" borderId="122" xfId="0" applyFont="1" applyBorder="1" applyAlignment="1">
      <alignment horizontal="center" vertical="center" wrapText="1"/>
    </xf>
    <xf numFmtId="164" fontId="8" fillId="0" borderId="18" xfId="0" applyNumberFormat="1" applyFont="1" applyBorder="1"/>
    <xf numFmtId="164" fontId="8" fillId="0" borderId="19" xfId="0" applyNumberFormat="1" applyFont="1" applyBorder="1"/>
    <xf numFmtId="17" fontId="1" fillId="0" borderId="20" xfId="0" applyNumberFormat="1" applyFont="1" applyBorder="1"/>
    <xf numFmtId="0" fontId="1" fillId="0" borderId="11" xfId="0" applyFont="1" applyBorder="1"/>
    <xf numFmtId="0" fontId="1" fillId="0" borderId="94" xfId="0" applyFont="1" applyBorder="1"/>
    <xf numFmtId="0" fontId="1" fillId="0" borderId="97" xfId="0" applyFont="1" applyBorder="1"/>
    <xf numFmtId="0" fontId="1" fillId="0" borderId="92" xfId="0" applyFont="1" applyBorder="1"/>
    <xf numFmtId="17" fontId="5" fillId="0" borderId="21" xfId="0" applyNumberFormat="1" applyFont="1" applyBorder="1" applyAlignment="1">
      <alignment shrinkToFit="1"/>
    </xf>
    <xf numFmtId="17" fontId="5" fillId="0" borderId="80" xfId="0" applyNumberFormat="1" applyFont="1" applyBorder="1" applyAlignment="1">
      <alignment shrinkToFit="1"/>
    </xf>
    <xf numFmtId="164" fontId="5" fillId="0" borderId="34" xfId="0" applyNumberFormat="1" applyFont="1" applyBorder="1"/>
    <xf numFmtId="17" fontId="5" fillId="0" borderId="79" xfId="0" applyNumberFormat="1" applyFont="1" applyBorder="1" applyAlignment="1">
      <alignment shrinkToFit="1"/>
    </xf>
    <xf numFmtId="17" fontId="5" fillId="0" borderId="25" xfId="0" applyNumberFormat="1" applyFont="1" applyBorder="1" applyAlignment="1">
      <alignment shrinkToFit="1"/>
    </xf>
    <xf numFmtId="0" fontId="1" fillId="0" borderId="25" xfId="0" applyFont="1" applyBorder="1"/>
    <xf numFmtId="0" fontId="1" fillId="0" borderId="12" xfId="0" applyFont="1" applyBorder="1"/>
    <xf numFmtId="0" fontId="1" fillId="0" borderId="14" xfId="0" applyFont="1" applyBorder="1"/>
    <xf numFmtId="17" fontId="5" fillId="0" borderId="44" xfId="0" applyNumberFormat="1" applyFont="1" applyBorder="1" applyAlignment="1">
      <alignment shrinkToFit="1"/>
    </xf>
    <xf numFmtId="17" fontId="5" fillId="0" borderId="25" xfId="0" applyNumberFormat="1" applyFont="1" applyBorder="1"/>
    <xf numFmtId="0" fontId="43" fillId="0" borderId="0" xfId="0" applyFont="1" applyBorder="1" applyAlignment="1">
      <alignment shrinkToFit="1"/>
    </xf>
    <xf numFmtId="0" fontId="42" fillId="0" borderId="7" xfId="0" applyFont="1" applyBorder="1" applyAlignment="1">
      <alignment shrinkToFit="1"/>
    </xf>
    <xf numFmtId="0" fontId="1" fillId="2" borderId="0" xfId="0" applyFont="1" applyFill="1"/>
    <xf numFmtId="0" fontId="0" fillId="2" borderId="13" xfId="0" applyFill="1" applyBorder="1"/>
    <xf numFmtId="166" fontId="44" fillId="2" borderId="19" xfId="0" applyNumberFormat="1" applyFont="1" applyFill="1" applyBorder="1"/>
    <xf numFmtId="0" fontId="2" fillId="9" borderId="77" xfId="0" applyFont="1" applyFill="1" applyBorder="1" applyAlignment="1">
      <alignment shrinkToFit="1"/>
    </xf>
    <xf numFmtId="164" fontId="13" fillId="9" borderId="17" xfId="0" applyNumberFormat="1" applyFont="1" applyFill="1" applyBorder="1" applyAlignment="1">
      <alignment shrinkToFit="1"/>
    </xf>
    <xf numFmtId="4" fontId="15" fillId="9" borderId="77" xfId="0" applyNumberFormat="1" applyFont="1" applyFill="1" applyBorder="1"/>
    <xf numFmtId="164" fontId="11" fillId="9" borderId="19" xfId="0" applyNumberFormat="1" applyFont="1" applyFill="1" applyBorder="1"/>
    <xf numFmtId="164" fontId="11" fillId="9" borderId="77" xfId="0" applyNumberFormat="1" applyFont="1" applyFill="1" applyBorder="1"/>
    <xf numFmtId="164" fontId="15" fillId="9" borderId="20" xfId="0" applyNumberFormat="1" applyFont="1" applyFill="1" applyBorder="1"/>
    <xf numFmtId="164" fontId="11" fillId="9" borderId="18" xfId="0" applyNumberFormat="1" applyFont="1" applyFill="1" applyBorder="1"/>
    <xf numFmtId="164" fontId="11" fillId="9" borderId="97" xfId="0" applyNumberFormat="1" applyFont="1" applyFill="1" applyBorder="1"/>
    <xf numFmtId="164" fontId="11" fillId="9" borderId="17" xfId="0" applyNumberFormat="1" applyFont="1" applyFill="1" applyBorder="1"/>
    <xf numFmtId="164" fontId="17" fillId="9" borderId="17" xfId="0" applyNumberFormat="1" applyFont="1" applyFill="1" applyBorder="1" applyAlignment="1">
      <alignment shrinkToFit="1"/>
    </xf>
    <xf numFmtId="0" fontId="43" fillId="9" borderId="0" xfId="0" applyFont="1" applyFill="1" applyBorder="1" applyAlignment="1">
      <alignment shrinkToFit="1"/>
    </xf>
    <xf numFmtId="164" fontId="13" fillId="9" borderId="29" xfId="0" applyNumberFormat="1" applyFont="1" applyFill="1" applyBorder="1" applyAlignment="1">
      <alignment shrinkToFit="1"/>
    </xf>
    <xf numFmtId="4" fontId="15" fillId="9" borderId="0" xfId="0" applyNumberFormat="1" applyFont="1" applyFill="1" applyBorder="1"/>
    <xf numFmtId="164" fontId="11" fillId="9" borderId="23" xfId="0" applyNumberFormat="1" applyFont="1" applyFill="1" applyBorder="1"/>
    <xf numFmtId="164" fontId="11" fillId="9" borderId="0" xfId="0" applyNumberFormat="1" applyFont="1" applyFill="1" applyBorder="1"/>
    <xf numFmtId="164" fontId="15" fillId="9" borderId="79" xfId="0" applyNumberFormat="1" applyFont="1" applyFill="1" applyBorder="1"/>
    <xf numFmtId="164" fontId="11" fillId="9" borderId="8" xfId="0" applyNumberFormat="1" applyFont="1" applyFill="1" applyBorder="1"/>
    <xf numFmtId="164" fontId="11" fillId="9" borderId="43" xfId="0" applyNumberFormat="1" applyFont="1" applyFill="1" applyBorder="1"/>
    <xf numFmtId="164" fontId="11" fillId="9" borderId="90" xfId="0" applyNumberFormat="1" applyFont="1" applyFill="1" applyBorder="1"/>
    <xf numFmtId="164" fontId="11" fillId="9" borderId="4" xfId="0" applyNumberFormat="1" applyFont="1" applyFill="1" applyBorder="1"/>
    <xf numFmtId="164" fontId="17" fillId="9" borderId="4" xfId="0" applyNumberFormat="1" applyFont="1" applyFill="1" applyBorder="1" applyAlignment="1">
      <alignment shrinkToFit="1"/>
    </xf>
    <xf numFmtId="0" fontId="0" fillId="9" borderId="82" xfId="0" applyFill="1" applyBorder="1" applyAlignment="1">
      <alignment shrinkToFit="1"/>
    </xf>
    <xf numFmtId="164" fontId="5" fillId="9" borderId="31" xfId="0" applyNumberFormat="1" applyFont="1" applyFill="1" applyBorder="1" applyAlignment="1">
      <alignment shrinkToFit="1"/>
    </xf>
    <xf numFmtId="4" fontId="15" fillId="9" borderId="82" xfId="0" applyNumberFormat="1" applyFont="1" applyFill="1" applyBorder="1"/>
    <xf numFmtId="164" fontId="42" fillId="9" borderId="11" xfId="0" applyNumberFormat="1" applyFont="1" applyFill="1" applyBorder="1"/>
    <xf numFmtId="164" fontId="11" fillId="9" borderId="82" xfId="0" applyNumberFormat="1" applyFont="1" applyFill="1" applyBorder="1"/>
    <xf numFmtId="164" fontId="15" fillId="9" borderId="12" xfId="0" applyNumberFormat="1" applyFont="1" applyFill="1" applyBorder="1"/>
    <xf numFmtId="164" fontId="11" fillId="9" borderId="13" xfId="0" applyNumberFormat="1" applyFont="1" applyFill="1" applyBorder="1"/>
    <xf numFmtId="164" fontId="11" fillId="9" borderId="11" xfId="0" applyNumberFormat="1" applyFont="1" applyFill="1" applyBorder="1"/>
    <xf numFmtId="164" fontId="11" fillId="9" borderId="14" xfId="0" applyNumberFormat="1" applyFont="1" applyFill="1" applyBorder="1"/>
    <xf numFmtId="164" fontId="11" fillId="9" borderId="31" xfId="0" applyNumberFormat="1" applyFont="1" applyFill="1" applyBorder="1"/>
    <xf numFmtId="164" fontId="17" fillId="9" borderId="31" xfId="0" applyNumberFormat="1" applyFont="1" applyFill="1" applyBorder="1" applyAlignment="1">
      <alignment shrinkToFit="1"/>
    </xf>
    <xf numFmtId="0" fontId="11" fillId="9" borderId="16" xfId="0" applyFont="1" applyFill="1" applyBorder="1" applyAlignment="1">
      <alignment shrinkToFit="1"/>
    </xf>
    <xf numFmtId="164" fontId="20" fillId="9" borderId="17" xfId="0" applyNumberFormat="1" applyFont="1" applyFill="1" applyBorder="1"/>
    <xf numFmtId="4" fontId="0" fillId="9" borderId="18" xfId="0" applyNumberFormat="1" applyFill="1" applyBorder="1" applyAlignment="1">
      <alignment horizontal="center" vertical="center"/>
    </xf>
    <xf numFmtId="164" fontId="14" fillId="9" borderId="19" xfId="0" applyNumberFormat="1" applyFont="1" applyFill="1" applyBorder="1"/>
    <xf numFmtId="164" fontId="11" fillId="9" borderId="20" xfId="0" applyNumberFormat="1" applyFont="1" applyFill="1" applyBorder="1"/>
    <xf numFmtId="4" fontId="11" fillId="9" borderId="18" xfId="0" applyNumberFormat="1" applyFont="1" applyFill="1" applyBorder="1"/>
    <xf numFmtId="164" fontId="5" fillId="9" borderId="19" xfId="0" applyNumberFormat="1" applyFont="1" applyFill="1" applyBorder="1"/>
    <xf numFmtId="17" fontId="11" fillId="9" borderId="97" xfId="0" applyNumberFormat="1" applyFont="1" applyFill="1" applyBorder="1" applyAlignment="1">
      <alignment shrinkToFit="1"/>
    </xf>
    <xf numFmtId="164" fontId="11" fillId="9" borderId="17" xfId="0" applyNumberFormat="1" applyFont="1" applyFill="1" applyBorder="1" applyAlignment="1">
      <alignment shrinkToFit="1"/>
    </xf>
    <xf numFmtId="4" fontId="17" fillId="9" borderId="17" xfId="0" applyNumberFormat="1" applyFont="1" applyFill="1" applyBorder="1" applyAlignment="1">
      <alignment shrinkToFit="1"/>
    </xf>
    <xf numFmtId="164" fontId="20" fillId="9" borderId="29" xfId="0" applyNumberFormat="1" applyFont="1" applyFill="1" applyBorder="1" applyAlignment="1">
      <alignment shrinkToFit="1"/>
    </xf>
    <xf numFmtId="4" fontId="15" fillId="9" borderId="24" xfId="0" applyNumberFormat="1" applyFont="1" applyFill="1" applyBorder="1"/>
    <xf numFmtId="164" fontId="14" fillId="9" borderId="23" xfId="0" applyNumberFormat="1" applyFont="1" applyFill="1" applyBorder="1"/>
    <xf numFmtId="164" fontId="15" fillId="9" borderId="25" xfId="0" applyNumberFormat="1" applyFont="1" applyFill="1" applyBorder="1"/>
    <xf numFmtId="4" fontId="11" fillId="9" borderId="24" xfId="0" applyNumberFormat="1" applyFont="1" applyFill="1" applyBorder="1"/>
    <xf numFmtId="164" fontId="11" fillId="9" borderId="92" xfId="0" applyNumberFormat="1" applyFont="1" applyFill="1" applyBorder="1"/>
    <xf numFmtId="164" fontId="5" fillId="9" borderId="23" xfId="0" applyNumberFormat="1" applyFont="1" applyFill="1" applyBorder="1"/>
    <xf numFmtId="17" fontId="11" fillId="9" borderId="92" xfId="0" applyNumberFormat="1" applyFont="1" applyFill="1" applyBorder="1" applyAlignment="1">
      <alignment shrinkToFit="1"/>
    </xf>
    <xf numFmtId="164" fontId="11" fillId="9" borderId="29" xfId="0" applyNumberFormat="1" applyFont="1" applyFill="1" applyBorder="1" applyAlignment="1">
      <alignment shrinkToFit="1"/>
    </xf>
    <xf numFmtId="4" fontId="17" fillId="9" borderId="29" xfId="0" applyNumberFormat="1" applyFont="1" applyFill="1" applyBorder="1" applyAlignment="1">
      <alignment shrinkToFit="1"/>
    </xf>
    <xf numFmtId="0" fontId="11" fillId="9" borderId="5" xfId="0" applyFont="1" applyFill="1" applyBorder="1" applyAlignment="1">
      <alignment shrinkToFit="1"/>
    </xf>
    <xf numFmtId="164" fontId="11" fillId="9" borderId="25" xfId="0" applyNumberFormat="1" applyFont="1" applyFill="1" applyBorder="1"/>
    <xf numFmtId="4" fontId="11" fillId="9" borderId="84" xfId="0" applyNumberFormat="1" applyFont="1" applyFill="1" applyBorder="1"/>
    <xf numFmtId="164" fontId="11" fillId="9" borderId="106" xfId="0" applyNumberFormat="1" applyFont="1" applyFill="1" applyBorder="1"/>
    <xf numFmtId="164" fontId="11" fillId="9" borderId="28" xfId="0" applyNumberFormat="1" applyFont="1" applyFill="1" applyBorder="1"/>
    <xf numFmtId="17" fontId="11" fillId="9" borderId="106" xfId="0" applyNumberFormat="1" applyFont="1" applyFill="1" applyBorder="1" applyAlignment="1">
      <alignment shrinkToFit="1"/>
    </xf>
    <xf numFmtId="164" fontId="11" fillId="9" borderId="36" xfId="0" applyNumberFormat="1" applyFont="1" applyFill="1" applyBorder="1" applyAlignment="1">
      <alignment shrinkToFit="1"/>
    </xf>
    <xf numFmtId="4" fontId="17" fillId="9" borderId="36" xfId="0" applyNumberFormat="1" applyFont="1" applyFill="1" applyBorder="1" applyAlignment="1">
      <alignment shrinkToFit="1"/>
    </xf>
    <xf numFmtId="0" fontId="11" fillId="9" borderId="30" xfId="0" applyFont="1" applyFill="1" applyBorder="1" applyAlignment="1">
      <alignment shrinkToFit="1"/>
    </xf>
    <xf numFmtId="164" fontId="5" fillId="9" borderId="29" xfId="0" applyNumberFormat="1" applyFont="1" applyFill="1" applyBorder="1" applyAlignment="1">
      <alignment shrinkToFit="1"/>
    </xf>
    <xf numFmtId="4" fontId="11" fillId="9" borderId="13" xfId="0" applyNumberFormat="1" applyFont="1" applyFill="1" applyBorder="1"/>
    <xf numFmtId="168" fontId="15" fillId="9" borderId="11" xfId="0" applyNumberFormat="1" applyFont="1" applyFill="1" applyBorder="1"/>
    <xf numFmtId="164" fontId="11" fillId="9" borderId="12" xfId="0" applyNumberFormat="1" applyFont="1" applyFill="1" applyBorder="1"/>
    <xf numFmtId="164" fontId="11" fillId="9" borderId="32" xfId="0" applyNumberFormat="1" applyFont="1" applyFill="1" applyBorder="1"/>
    <xf numFmtId="164" fontId="11" fillId="9" borderId="83" xfId="0" applyNumberFormat="1" applyFont="1" applyFill="1" applyBorder="1"/>
    <xf numFmtId="164" fontId="11" fillId="9" borderId="33" xfId="0" applyNumberFormat="1" applyFont="1" applyFill="1" applyBorder="1"/>
    <xf numFmtId="0" fontId="11" fillId="9" borderId="113" xfId="0" applyFont="1" applyFill="1" applyBorder="1" applyAlignment="1">
      <alignment shrinkToFit="1"/>
    </xf>
    <xf numFmtId="0" fontId="32" fillId="9" borderId="0" xfId="0" applyFont="1" applyFill="1"/>
    <xf numFmtId="164" fontId="28" fillId="9" borderId="20" xfId="0" applyNumberFormat="1" applyFont="1" applyFill="1" applyBorder="1"/>
    <xf numFmtId="4" fontId="28" fillId="9" borderId="18" xfId="0" applyNumberFormat="1" applyFont="1" applyFill="1" applyBorder="1"/>
    <xf numFmtId="164" fontId="28" fillId="9" borderId="19" xfId="0" applyNumberFormat="1" applyFont="1" applyFill="1" applyBorder="1"/>
    <xf numFmtId="17" fontId="5" fillId="9" borderId="20" xfId="0" applyNumberFormat="1" applyFont="1" applyFill="1" applyBorder="1" applyAlignment="1">
      <alignment shrinkToFit="1"/>
    </xf>
    <xf numFmtId="164" fontId="11" fillId="9" borderId="4" xfId="0" applyNumberFormat="1" applyFont="1" applyFill="1" applyBorder="1" applyAlignment="1">
      <alignment shrinkToFit="1"/>
    </xf>
    <xf numFmtId="164" fontId="17" fillId="9" borderId="4" xfId="0" applyNumberFormat="1" applyFont="1" applyFill="1" applyBorder="1"/>
    <xf numFmtId="0" fontId="11" fillId="9" borderId="6" xfId="0" applyFont="1" applyFill="1" applyBorder="1" applyAlignment="1">
      <alignment shrinkToFit="1"/>
    </xf>
    <xf numFmtId="0" fontId="0" fillId="9" borderId="4" xfId="0" applyFill="1" applyBorder="1"/>
    <xf numFmtId="0" fontId="32" fillId="9" borderId="24" xfId="0" applyFont="1" applyFill="1" applyBorder="1"/>
    <xf numFmtId="164" fontId="28" fillId="9" borderId="25" xfId="0" applyNumberFormat="1" applyFont="1" applyFill="1" applyBorder="1"/>
    <xf numFmtId="4" fontId="28" fillId="9" borderId="8" xfId="0" applyNumberFormat="1" applyFont="1" applyFill="1" applyBorder="1"/>
    <xf numFmtId="164" fontId="28" fillId="9" borderId="43" xfId="0" applyNumberFormat="1" applyFont="1" applyFill="1" applyBorder="1"/>
    <xf numFmtId="17" fontId="16" fillId="9" borderId="90" xfId="0" applyNumberFormat="1" applyFont="1" applyFill="1" applyBorder="1" applyAlignment="1">
      <alignment shrinkToFit="1"/>
    </xf>
    <xf numFmtId="0" fontId="0" fillId="9" borderId="24" xfId="0" applyFill="1" applyBorder="1"/>
    <xf numFmtId="164" fontId="11" fillId="9" borderId="24" xfId="0" applyNumberFormat="1" applyFont="1" applyFill="1" applyBorder="1"/>
    <xf numFmtId="164" fontId="11" fillId="9" borderId="29" xfId="0" applyNumberFormat="1" applyFont="1" applyFill="1" applyBorder="1"/>
    <xf numFmtId="164" fontId="17" fillId="9" borderId="29" xfId="0" applyNumberFormat="1" applyFont="1" applyFill="1" applyBorder="1"/>
    <xf numFmtId="0" fontId="32" fillId="9" borderId="13" xfId="0" applyFont="1" applyFill="1" applyBorder="1"/>
    <xf numFmtId="164" fontId="5" fillId="9" borderId="11" xfId="0" applyNumberFormat="1" applyFont="1" applyFill="1" applyBorder="1"/>
    <xf numFmtId="0" fontId="0" fillId="9" borderId="11" xfId="0" applyFill="1" applyBorder="1"/>
    <xf numFmtId="164" fontId="28" fillId="9" borderId="12" xfId="0" applyNumberFormat="1" applyFont="1" applyFill="1" applyBorder="1"/>
    <xf numFmtId="164" fontId="17" fillId="9" borderId="31" xfId="0" applyNumberFormat="1" applyFont="1" applyFill="1" applyBorder="1"/>
    <xf numFmtId="164" fontId="13" fillId="9" borderId="17" xfId="0" applyNumberFormat="1" applyFont="1" applyFill="1" applyBorder="1"/>
    <xf numFmtId="165" fontId="11" fillId="9" borderId="18" xfId="0" applyNumberFormat="1" applyFont="1" applyFill="1" applyBorder="1"/>
    <xf numFmtId="17" fontId="16" fillId="9" borderId="20" xfId="0" applyNumberFormat="1" applyFont="1" applyFill="1" applyBorder="1" applyAlignment="1">
      <alignment shrinkToFit="1"/>
    </xf>
    <xf numFmtId="164" fontId="11" fillId="9" borderId="21" xfId="0" applyNumberFormat="1" applyFont="1" applyFill="1" applyBorder="1" applyAlignment="1">
      <alignment shrinkToFit="1"/>
    </xf>
    <xf numFmtId="164" fontId="20" fillId="9" borderId="7" xfId="0" applyNumberFormat="1" applyFont="1" applyFill="1" applyBorder="1" applyAlignment="1">
      <alignment shrinkToFit="1"/>
    </xf>
    <xf numFmtId="165" fontId="11" fillId="9" borderId="24" xfId="0" applyNumberFormat="1" applyFont="1" applyFill="1" applyBorder="1"/>
    <xf numFmtId="17" fontId="16" fillId="9" borderId="25" xfId="0" applyNumberFormat="1" applyFont="1" applyFill="1" applyBorder="1" applyAlignment="1">
      <alignment shrinkToFit="1"/>
    </xf>
    <xf numFmtId="17" fontId="11" fillId="9" borderId="6" xfId="0" applyNumberFormat="1" applyFont="1" applyFill="1" applyBorder="1" applyAlignment="1">
      <alignment shrinkToFit="1"/>
    </xf>
    <xf numFmtId="164" fontId="17" fillId="9" borderId="7" xfId="0" applyNumberFormat="1" applyFont="1" applyFill="1" applyBorder="1" applyAlignment="1">
      <alignment shrinkToFit="1"/>
    </xf>
    <xf numFmtId="165" fontId="21" fillId="9" borderId="24" xfId="0" applyNumberFormat="1" applyFont="1" applyFill="1" applyBorder="1"/>
    <xf numFmtId="165" fontId="11" fillId="9" borderId="32" xfId="0" applyNumberFormat="1" applyFont="1" applyFill="1" applyBorder="1"/>
    <xf numFmtId="164" fontId="11" fillId="9" borderId="34" xfId="0" applyNumberFormat="1" applyFont="1" applyFill="1" applyBorder="1"/>
    <xf numFmtId="164" fontId="11" fillId="9" borderId="35" xfId="0" applyNumberFormat="1" applyFont="1" applyFill="1" applyBorder="1"/>
    <xf numFmtId="164" fontId="17" fillId="9" borderId="36" xfId="0" applyNumberFormat="1" applyFont="1" applyFill="1" applyBorder="1" applyAlignment="1">
      <alignment shrinkToFit="1"/>
    </xf>
    <xf numFmtId="0" fontId="11" fillId="0" borderId="16" xfId="0" applyFont="1" applyFill="1" applyBorder="1" applyAlignment="1">
      <alignment shrinkToFit="1"/>
    </xf>
    <xf numFmtId="164" fontId="13" fillId="0" borderId="17" xfId="0" applyNumberFormat="1" applyFont="1" applyFill="1" applyBorder="1"/>
    <xf numFmtId="165" fontId="11" fillId="0" borderId="18" xfId="0" applyNumberFormat="1" applyFont="1" applyFill="1" applyBorder="1"/>
    <xf numFmtId="164" fontId="14" fillId="0" borderId="19" xfId="0" applyNumberFormat="1" applyFont="1" applyFill="1" applyBorder="1"/>
    <xf numFmtId="164" fontId="11" fillId="0" borderId="19" xfId="0" applyNumberFormat="1" applyFont="1" applyFill="1" applyBorder="1"/>
    <xf numFmtId="17" fontId="16" fillId="0" borderId="20" xfId="0" applyNumberFormat="1" applyFont="1" applyFill="1" applyBorder="1" applyAlignment="1">
      <alignment shrinkToFit="1"/>
    </xf>
    <xf numFmtId="164" fontId="11" fillId="0" borderId="21" xfId="0" applyNumberFormat="1" applyFont="1" applyFill="1" applyBorder="1" applyAlignment="1">
      <alignment shrinkToFit="1"/>
    </xf>
    <xf numFmtId="164" fontId="17" fillId="0" borderId="17" xfId="0" applyNumberFormat="1" applyFont="1" applyFill="1" applyBorder="1" applyAlignment="1">
      <alignment shrinkToFit="1"/>
    </xf>
    <xf numFmtId="0" fontId="43" fillId="0" borderId="0" xfId="0" applyFont="1" applyFill="1" applyBorder="1" applyAlignment="1">
      <alignment shrinkToFit="1"/>
    </xf>
    <xf numFmtId="164" fontId="20" fillId="0" borderId="7" xfId="0" applyNumberFormat="1" applyFont="1" applyFill="1" applyBorder="1" applyAlignment="1">
      <alignment shrinkToFit="1"/>
    </xf>
    <xf numFmtId="164" fontId="14" fillId="0" borderId="23" xfId="0" applyNumberFormat="1" applyFont="1" applyFill="1" applyBorder="1"/>
    <xf numFmtId="165" fontId="11" fillId="0" borderId="24" xfId="0" applyNumberFormat="1" applyFont="1" applyFill="1" applyBorder="1"/>
    <xf numFmtId="164" fontId="11" fillId="0" borderId="23" xfId="0" applyNumberFormat="1" applyFont="1" applyFill="1" applyBorder="1"/>
    <xf numFmtId="17" fontId="16" fillId="0" borderId="25" xfId="0" applyNumberFormat="1" applyFont="1" applyFill="1" applyBorder="1" applyAlignment="1">
      <alignment shrinkToFit="1"/>
    </xf>
    <xf numFmtId="17" fontId="11" fillId="0" borderId="6" xfId="0" applyNumberFormat="1" applyFont="1" applyFill="1" applyBorder="1" applyAlignment="1">
      <alignment shrinkToFit="1"/>
    </xf>
    <xf numFmtId="164" fontId="17" fillId="0" borderId="7" xfId="0" applyNumberFormat="1" applyFont="1" applyFill="1" applyBorder="1" applyAlignment="1">
      <alignment shrinkToFit="1"/>
    </xf>
    <xf numFmtId="0" fontId="11" fillId="0" borderId="5" xfId="0" applyFont="1" applyFill="1" applyBorder="1" applyAlignment="1">
      <alignment shrinkToFit="1"/>
    </xf>
    <xf numFmtId="164" fontId="13" fillId="0" borderId="29" xfId="0" applyNumberFormat="1" applyFont="1" applyFill="1" applyBorder="1" applyAlignment="1">
      <alignment shrinkToFit="1"/>
    </xf>
    <xf numFmtId="164" fontId="11" fillId="0" borderId="25" xfId="0" applyNumberFormat="1" applyFont="1" applyFill="1" applyBorder="1"/>
    <xf numFmtId="165" fontId="21" fillId="0" borderId="24" xfId="0" applyNumberFormat="1" applyFont="1" applyFill="1" applyBorder="1"/>
    <xf numFmtId="0" fontId="11" fillId="0" borderId="30" xfId="0" applyFont="1" applyFill="1" applyBorder="1" applyAlignment="1">
      <alignment shrinkToFit="1"/>
    </xf>
    <xf numFmtId="164" fontId="5" fillId="0" borderId="29" xfId="0" applyNumberFormat="1" applyFont="1" applyFill="1" applyBorder="1" applyAlignment="1">
      <alignment shrinkToFit="1"/>
    </xf>
    <xf numFmtId="164" fontId="42" fillId="0" borderId="11" xfId="0" applyNumberFormat="1" applyFont="1" applyFill="1" applyBorder="1"/>
    <xf numFmtId="0" fontId="0" fillId="0" borderId="11" xfId="0" applyFill="1" applyBorder="1"/>
    <xf numFmtId="164" fontId="11" fillId="0" borderId="12" xfId="0" applyNumberFormat="1" applyFont="1" applyFill="1" applyBorder="1"/>
    <xf numFmtId="165" fontId="11" fillId="0" borderId="32" xfId="0" applyNumberFormat="1" applyFont="1" applyFill="1" applyBorder="1"/>
    <xf numFmtId="164" fontId="11" fillId="0" borderId="33" xfId="0" applyNumberFormat="1" applyFont="1" applyFill="1" applyBorder="1"/>
    <xf numFmtId="164" fontId="11" fillId="0" borderId="34" xfId="0" applyNumberFormat="1" applyFont="1" applyFill="1" applyBorder="1"/>
    <xf numFmtId="164" fontId="11" fillId="0" borderId="35" xfId="0" applyNumberFormat="1" applyFont="1" applyFill="1" applyBorder="1"/>
    <xf numFmtId="164" fontId="17" fillId="0" borderId="36" xfId="0" applyNumberFormat="1" applyFont="1" applyFill="1" applyBorder="1" applyAlignment="1">
      <alignment shrinkToFit="1"/>
    </xf>
    <xf numFmtId="0" fontId="11" fillId="0" borderId="113" xfId="0" applyFont="1" applyFill="1" applyBorder="1" applyAlignment="1">
      <alignment shrinkToFit="1"/>
    </xf>
    <xf numFmtId="164" fontId="5" fillId="0" borderId="31" xfId="0" applyNumberFormat="1" applyFont="1" applyFill="1" applyBorder="1" applyAlignment="1">
      <alignment shrinkToFit="1"/>
    </xf>
    <xf numFmtId="0" fontId="32" fillId="0" borderId="0" xfId="0" applyFont="1" applyFill="1"/>
    <xf numFmtId="164" fontId="28" fillId="0" borderId="20" xfId="0" applyNumberFormat="1" applyFont="1" applyFill="1" applyBorder="1"/>
    <xf numFmtId="4" fontId="28" fillId="0" borderId="18" xfId="0" applyNumberFormat="1" applyFont="1" applyFill="1" applyBorder="1"/>
    <xf numFmtId="164" fontId="28" fillId="0" borderId="19" xfId="0" applyNumberFormat="1" applyFont="1" applyFill="1" applyBorder="1"/>
    <xf numFmtId="17" fontId="5" fillId="0" borderId="20" xfId="0" applyNumberFormat="1" applyFont="1" applyFill="1" applyBorder="1" applyAlignment="1">
      <alignment shrinkToFit="1"/>
    </xf>
    <xf numFmtId="164" fontId="11" fillId="0" borderId="4" xfId="0" applyNumberFormat="1" applyFont="1" applyFill="1" applyBorder="1" applyAlignment="1">
      <alignment shrinkToFit="1"/>
    </xf>
    <xf numFmtId="0" fontId="11" fillId="0" borderId="6" xfId="0" applyFont="1" applyFill="1" applyBorder="1" applyAlignment="1">
      <alignment shrinkToFit="1"/>
    </xf>
    <xf numFmtId="0" fontId="0" fillId="0" borderId="4" xfId="0" applyFill="1" applyBorder="1"/>
    <xf numFmtId="0" fontId="32" fillId="0" borderId="24" xfId="0" applyFont="1" applyFill="1" applyBorder="1"/>
    <xf numFmtId="164" fontId="28" fillId="0" borderId="25" xfId="0" applyNumberFormat="1" applyFont="1" applyFill="1" applyBorder="1"/>
    <xf numFmtId="4" fontId="28" fillId="0" borderId="8" xfId="0" applyNumberFormat="1" applyFont="1" applyFill="1" applyBorder="1"/>
    <xf numFmtId="164" fontId="28" fillId="0" borderId="43" xfId="0" applyNumberFormat="1" applyFont="1" applyFill="1" applyBorder="1"/>
    <xf numFmtId="17" fontId="16" fillId="0" borderId="90" xfId="0" applyNumberFormat="1" applyFont="1" applyFill="1" applyBorder="1" applyAlignment="1">
      <alignment shrinkToFit="1"/>
    </xf>
    <xf numFmtId="164" fontId="11" fillId="0" borderId="24" xfId="0" applyNumberFormat="1" applyFont="1" applyFill="1" applyBorder="1"/>
    <xf numFmtId="164" fontId="11" fillId="0" borderId="92" xfId="0" applyNumberFormat="1" applyFont="1" applyFill="1" applyBorder="1"/>
    <xf numFmtId="164" fontId="11" fillId="0" borderId="29" xfId="0" applyNumberFormat="1" applyFont="1" applyFill="1" applyBorder="1"/>
    <xf numFmtId="164" fontId="17" fillId="0" borderId="29" xfId="0" applyNumberFormat="1" applyFont="1" applyFill="1" applyBorder="1"/>
    <xf numFmtId="0" fontId="32" fillId="0" borderId="13" xfId="0" applyFont="1" applyFill="1" applyBorder="1"/>
    <xf numFmtId="164" fontId="28" fillId="0" borderId="12" xfId="0" applyNumberFormat="1" applyFont="1" applyFill="1" applyBorder="1"/>
    <xf numFmtId="164" fontId="11" fillId="0" borderId="13" xfId="0" applyNumberFormat="1" applyFont="1" applyFill="1" applyBorder="1"/>
    <xf numFmtId="164" fontId="11" fillId="0" borderId="11" xfId="0" applyNumberFormat="1" applyFont="1" applyFill="1" applyBorder="1"/>
    <xf numFmtId="164" fontId="11" fillId="0" borderId="14" xfId="0" applyNumberFormat="1" applyFont="1" applyFill="1" applyBorder="1"/>
    <xf numFmtId="164" fontId="11" fillId="0" borderId="31" xfId="0" applyNumberFormat="1" applyFont="1" applyFill="1" applyBorder="1"/>
    <xf numFmtId="164" fontId="17" fillId="0" borderId="31" xfId="0" applyNumberFormat="1" applyFont="1" applyFill="1" applyBorder="1"/>
    <xf numFmtId="0" fontId="42" fillId="0" borderId="6" xfId="0" applyFont="1" applyFill="1" applyBorder="1" applyAlignment="1">
      <alignment shrinkToFit="1"/>
    </xf>
    <xf numFmtId="164" fontId="20" fillId="0" borderId="17" xfId="0" applyNumberFormat="1" applyFont="1" applyFill="1" applyBorder="1"/>
    <xf numFmtId="4" fontId="0" fillId="0" borderId="18" xfId="0" applyNumberFormat="1" applyFill="1" applyBorder="1" applyAlignment="1">
      <alignment horizontal="center" vertical="center"/>
    </xf>
    <xf numFmtId="164" fontId="11" fillId="0" borderId="20" xfId="0" applyNumberFormat="1" applyFont="1" applyFill="1" applyBorder="1"/>
    <xf numFmtId="164" fontId="5" fillId="0" borderId="19" xfId="0" applyNumberFormat="1" applyFont="1" applyFill="1" applyBorder="1"/>
    <xf numFmtId="17" fontId="11" fillId="0" borderId="97" xfId="0" applyNumberFormat="1" applyFont="1" applyFill="1" applyBorder="1" applyAlignment="1">
      <alignment shrinkToFit="1"/>
    </xf>
    <xf numFmtId="164" fontId="11" fillId="0" borderId="17" xfId="0" applyNumberFormat="1" applyFont="1" applyFill="1" applyBorder="1" applyAlignment="1">
      <alignment shrinkToFit="1"/>
    </xf>
    <xf numFmtId="4" fontId="17" fillId="0" borderId="17" xfId="0" applyNumberFormat="1" applyFont="1" applyFill="1" applyBorder="1" applyAlignment="1">
      <alignment shrinkToFit="1"/>
    </xf>
    <xf numFmtId="164" fontId="20" fillId="0" borderId="29" xfId="0" applyNumberFormat="1" applyFont="1" applyFill="1" applyBorder="1" applyAlignment="1">
      <alignment shrinkToFit="1"/>
    </xf>
    <xf numFmtId="164" fontId="5" fillId="0" borderId="23" xfId="0" applyNumberFormat="1" applyFont="1" applyFill="1" applyBorder="1"/>
    <xf numFmtId="17" fontId="11" fillId="0" borderId="92" xfId="0" applyNumberFormat="1" applyFont="1" applyFill="1" applyBorder="1" applyAlignment="1">
      <alignment shrinkToFit="1"/>
    </xf>
    <xf numFmtId="164" fontId="11" fillId="0" borderId="29" xfId="0" applyNumberFormat="1" applyFont="1" applyFill="1" applyBorder="1" applyAlignment="1">
      <alignment shrinkToFit="1"/>
    </xf>
    <xf numFmtId="4" fontId="17" fillId="0" borderId="29" xfId="0" applyNumberFormat="1" applyFont="1" applyFill="1" applyBorder="1" applyAlignment="1">
      <alignment shrinkToFit="1"/>
    </xf>
    <xf numFmtId="4" fontId="11" fillId="0" borderId="84" xfId="0" applyNumberFormat="1" applyFont="1" applyFill="1" applyBorder="1"/>
    <xf numFmtId="164" fontId="11" fillId="0" borderId="106" xfId="0" applyNumberFormat="1" applyFont="1" applyFill="1" applyBorder="1"/>
    <xf numFmtId="164" fontId="11" fillId="0" borderId="28" xfId="0" applyNumberFormat="1" applyFont="1" applyFill="1" applyBorder="1"/>
    <xf numFmtId="17" fontId="11" fillId="0" borderId="106" xfId="0" applyNumberFormat="1" applyFont="1" applyFill="1" applyBorder="1" applyAlignment="1">
      <alignment shrinkToFit="1"/>
    </xf>
    <xf numFmtId="164" fontId="11" fillId="0" borderId="36" xfId="0" applyNumberFormat="1" applyFont="1" applyFill="1" applyBorder="1" applyAlignment="1">
      <alignment shrinkToFit="1"/>
    </xf>
    <xf numFmtId="4" fontId="17" fillId="0" borderId="36" xfId="0" applyNumberFormat="1" applyFont="1" applyFill="1" applyBorder="1" applyAlignment="1">
      <alignment shrinkToFit="1"/>
    </xf>
    <xf numFmtId="168" fontId="15" fillId="0" borderId="11" xfId="0" applyNumberFormat="1" applyFont="1" applyFill="1" applyBorder="1"/>
    <xf numFmtId="164" fontId="11" fillId="0" borderId="32" xfId="0" applyNumberFormat="1" applyFont="1" applyFill="1" applyBorder="1"/>
    <xf numFmtId="164" fontId="11" fillId="0" borderId="83" xfId="0" applyNumberFormat="1" applyFont="1" applyFill="1" applyBorder="1"/>
    <xf numFmtId="164" fontId="17" fillId="0" borderId="31" xfId="0" applyNumberFormat="1" applyFont="1" applyFill="1" applyBorder="1" applyAlignment="1">
      <alignment shrinkToFit="1"/>
    </xf>
    <xf numFmtId="0" fontId="2" fillId="0" borderId="77" xfId="0" applyFont="1" applyFill="1" applyBorder="1" applyAlignment="1">
      <alignment shrinkToFit="1"/>
    </xf>
    <xf numFmtId="164" fontId="13" fillId="0" borderId="17" xfId="0" applyNumberFormat="1" applyFont="1" applyFill="1" applyBorder="1" applyAlignment="1">
      <alignment shrinkToFit="1"/>
    </xf>
    <xf numFmtId="4" fontId="15" fillId="0" borderId="77" xfId="0" applyNumberFormat="1" applyFont="1" applyFill="1" applyBorder="1"/>
    <xf numFmtId="164" fontId="11" fillId="0" borderId="77" xfId="0" applyNumberFormat="1" applyFont="1" applyFill="1" applyBorder="1"/>
    <xf numFmtId="164" fontId="11" fillId="0" borderId="18" xfId="0" applyNumberFormat="1" applyFont="1" applyFill="1" applyBorder="1"/>
    <xf numFmtId="164" fontId="11" fillId="0" borderId="97" xfId="0" applyNumberFormat="1" applyFont="1" applyFill="1" applyBorder="1"/>
    <xf numFmtId="164" fontId="11" fillId="0" borderId="17" xfId="0" applyNumberFormat="1" applyFont="1" applyFill="1" applyBorder="1"/>
    <xf numFmtId="4" fontId="15" fillId="0" borderId="0" xfId="0" applyNumberFormat="1" applyFont="1" applyFill="1" applyBorder="1"/>
    <xf numFmtId="164" fontId="11" fillId="0" borderId="0" xfId="0" applyNumberFormat="1" applyFont="1" applyFill="1" applyBorder="1"/>
    <xf numFmtId="164" fontId="15" fillId="0" borderId="79" xfId="0" applyNumberFormat="1" applyFont="1" applyFill="1" applyBorder="1"/>
    <xf numFmtId="164" fontId="11" fillId="0" borderId="8" xfId="0" applyNumberFormat="1" applyFont="1" applyFill="1" applyBorder="1"/>
    <xf numFmtId="164" fontId="11" fillId="0" borderId="43" xfId="0" applyNumberFormat="1" applyFont="1" applyFill="1" applyBorder="1"/>
    <xf numFmtId="164" fontId="11" fillId="0" borderId="90" xfId="0" applyNumberFormat="1" applyFont="1" applyFill="1" applyBorder="1"/>
    <xf numFmtId="164" fontId="11" fillId="0" borderId="4" xfId="0" applyNumberFormat="1" applyFont="1" applyFill="1" applyBorder="1"/>
    <xf numFmtId="164" fontId="17" fillId="0" borderId="4" xfId="0" applyNumberFormat="1" applyFont="1" applyFill="1" applyBorder="1" applyAlignment="1">
      <alignment shrinkToFit="1"/>
    </xf>
    <xf numFmtId="0" fontId="0" fillId="0" borderId="82" xfId="0" applyFill="1" applyBorder="1" applyAlignment="1">
      <alignment shrinkToFit="1"/>
    </xf>
    <xf numFmtId="4" fontId="15" fillId="0" borderId="82" xfId="0" applyNumberFormat="1" applyFont="1" applyFill="1" applyBorder="1"/>
    <xf numFmtId="164" fontId="11" fillId="0" borderId="82" xfId="0" applyNumberFormat="1" applyFont="1" applyFill="1" applyBorder="1"/>
    <xf numFmtId="164" fontId="15" fillId="0" borderId="12" xfId="0" applyNumberFormat="1" applyFont="1" applyFill="1" applyBorder="1"/>
    <xf numFmtId="169" fontId="11" fillId="0" borderId="97" xfId="0" applyNumberFormat="1" applyFont="1" applyBorder="1"/>
    <xf numFmtId="169" fontId="11" fillId="0" borderId="14" xfId="0" applyNumberFormat="1" applyFont="1" applyBorder="1"/>
    <xf numFmtId="164" fontId="11" fillId="0" borderId="79" xfId="0" applyNumberFormat="1" applyFont="1" applyBorder="1"/>
    <xf numFmtId="0" fontId="12" fillId="0" borderId="0" xfId="0" applyFont="1" applyBorder="1" applyAlignment="1">
      <alignment shrinkToFit="1"/>
    </xf>
    <xf numFmtId="0" fontId="0" fillId="0" borderId="84" xfId="0" applyBorder="1"/>
    <xf numFmtId="164" fontId="11" fillId="0" borderId="44" xfId="0" applyNumberFormat="1" applyFont="1" applyBorder="1"/>
    <xf numFmtId="0" fontId="1" fillId="0" borderId="106" xfId="0" applyFont="1" applyBorder="1"/>
    <xf numFmtId="4" fontId="11" fillId="0" borderId="8" xfId="0" applyNumberFormat="1" applyFont="1" applyBorder="1"/>
    <xf numFmtId="164" fontId="5" fillId="0" borderId="43" xfId="0" applyNumberFormat="1" applyFont="1" applyBorder="1"/>
    <xf numFmtId="168" fontId="11" fillId="0" borderId="23" xfId="0" applyNumberFormat="1" applyFont="1" applyBorder="1"/>
    <xf numFmtId="4" fontId="15" fillId="0" borderId="23" xfId="0" applyNumberFormat="1" applyFont="1" applyBorder="1"/>
    <xf numFmtId="4" fontId="11" fillId="0" borderId="23" xfId="0" applyNumberFormat="1" applyFont="1" applyBorder="1"/>
    <xf numFmtId="164" fontId="20" fillId="0" borderId="18" xfId="0" applyNumberFormat="1" applyFont="1" applyBorder="1"/>
    <xf numFmtId="168" fontId="11" fillId="0" borderId="19" xfId="0" applyNumberFormat="1" applyFont="1" applyBorder="1"/>
    <xf numFmtId="164" fontId="20" fillId="0" borderId="24" xfId="0" applyNumberFormat="1" applyFont="1" applyBorder="1"/>
    <xf numFmtId="164" fontId="5" fillId="0" borderId="24" xfId="0" applyNumberFormat="1" applyFont="1" applyBorder="1" applyAlignment="1">
      <alignment shrinkToFit="1"/>
    </xf>
    <xf numFmtId="164" fontId="20" fillId="0" borderId="24" xfId="0" applyNumberFormat="1" applyFont="1" applyBorder="1" applyAlignment="1">
      <alignment shrinkToFit="1"/>
    </xf>
    <xf numFmtId="164" fontId="13" fillId="0" borderId="24" xfId="0" applyNumberFormat="1" applyFont="1" applyBorder="1" applyAlignment="1">
      <alignment shrinkToFit="1"/>
    </xf>
    <xf numFmtId="164" fontId="5" fillId="0" borderId="13" xfId="0" applyNumberFormat="1" applyFont="1" applyBorder="1" applyAlignment="1">
      <alignment shrinkToFit="1"/>
    </xf>
    <xf numFmtId="17" fontId="5" fillId="0" borderId="97" xfId="0" applyNumberFormat="1" applyFont="1" applyBorder="1" applyAlignment="1">
      <alignment shrinkToFit="1"/>
    </xf>
    <xf numFmtId="17" fontId="5" fillId="0" borderId="92" xfId="0" applyNumberFormat="1" applyFont="1" applyBorder="1" applyAlignment="1">
      <alignment shrinkToFit="1"/>
    </xf>
    <xf numFmtId="164" fontId="0" fillId="0" borderId="36" xfId="0" applyNumberFormat="1" applyBorder="1"/>
    <xf numFmtId="0" fontId="29" fillId="0" borderId="2" xfId="0" applyFont="1" applyBorder="1" applyAlignment="1">
      <alignment shrinkToFit="1"/>
    </xf>
    <xf numFmtId="0" fontId="45" fillId="0" borderId="5" xfId="0" applyFont="1" applyBorder="1" applyAlignment="1">
      <alignment shrinkToFit="1"/>
    </xf>
    <xf numFmtId="0" fontId="21" fillId="0" borderId="0" xfId="0" applyFont="1" applyBorder="1" applyAlignment="1">
      <alignment shrinkToFit="1"/>
    </xf>
    <xf numFmtId="0" fontId="46" fillId="0" borderId="30" xfId="0" applyFont="1" applyBorder="1" applyAlignment="1">
      <alignment shrinkToFit="1"/>
    </xf>
    <xf numFmtId="2" fontId="15" fillId="0" borderId="19" xfId="0" applyNumberFormat="1" applyFont="1" applyBorder="1" applyAlignment="1">
      <alignment shrinkToFit="1"/>
    </xf>
    <xf numFmtId="2" fontId="15" fillId="0" borderId="23" xfId="0" applyNumberFormat="1" applyFont="1" applyBorder="1" applyAlignment="1">
      <alignment shrinkToFit="1"/>
    </xf>
    <xf numFmtId="0" fontId="47" fillId="0" borderId="1" xfId="0" applyFont="1" applyBorder="1"/>
    <xf numFmtId="0" fontId="49" fillId="0" borderId="13" xfId="0" applyFont="1" applyBorder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0" borderId="14" xfId="0" applyFont="1" applyBorder="1" applyAlignment="1">
      <alignment horizontal="center" vertical="center"/>
    </xf>
    <xf numFmtId="0" fontId="49" fillId="0" borderId="14" xfId="0" applyFont="1" applyBorder="1" applyAlignment="1">
      <alignment horizontal="center" vertical="center" wrapText="1"/>
    </xf>
    <xf numFmtId="165" fontId="13" fillId="0" borderId="18" xfId="0" applyNumberFormat="1" applyFont="1" applyFill="1" applyBorder="1"/>
    <xf numFmtId="164" fontId="13" fillId="0" borderId="19" xfId="0" applyNumberFormat="1" applyFont="1" applyFill="1" applyBorder="1"/>
    <xf numFmtId="17" fontId="13" fillId="0" borderId="20" xfId="0" applyNumberFormat="1" applyFont="1" applyFill="1" applyBorder="1" applyAlignment="1">
      <alignment shrinkToFit="1"/>
    </xf>
    <xf numFmtId="165" fontId="13" fillId="0" borderId="24" xfId="0" applyNumberFormat="1" applyFont="1" applyFill="1" applyBorder="1"/>
    <xf numFmtId="164" fontId="13" fillId="0" borderId="23" xfId="0" applyNumberFormat="1" applyFont="1" applyFill="1" applyBorder="1"/>
    <xf numFmtId="17" fontId="13" fillId="0" borderId="25" xfId="0" applyNumberFormat="1" applyFont="1" applyFill="1" applyBorder="1" applyAlignment="1">
      <alignment shrinkToFit="1"/>
    </xf>
    <xf numFmtId="165" fontId="50" fillId="0" borderId="24" xfId="0" applyNumberFormat="1" applyFont="1" applyFill="1" applyBorder="1"/>
    <xf numFmtId="165" fontId="13" fillId="0" borderId="32" xfId="0" applyNumberFormat="1" applyFont="1" applyFill="1" applyBorder="1"/>
    <xf numFmtId="164" fontId="13" fillId="0" borderId="33" xfId="0" applyNumberFormat="1" applyFont="1" applyFill="1" applyBorder="1"/>
    <xf numFmtId="164" fontId="13" fillId="0" borderId="34" xfId="0" applyNumberFormat="1" applyFont="1" applyFill="1" applyBorder="1"/>
    <xf numFmtId="165" fontId="13" fillId="0" borderId="18" xfId="0" applyNumberFormat="1" applyFont="1" applyBorder="1"/>
    <xf numFmtId="164" fontId="13" fillId="0" borderId="19" xfId="0" applyNumberFormat="1" applyFont="1" applyBorder="1"/>
    <xf numFmtId="165" fontId="13" fillId="0" borderId="24" xfId="0" applyNumberFormat="1" applyFont="1" applyBorder="1"/>
    <xf numFmtId="164" fontId="13" fillId="0" borderId="23" xfId="0" applyNumberFormat="1" applyFont="1" applyBorder="1"/>
    <xf numFmtId="165" fontId="50" fillId="0" borderId="24" xfId="0" applyNumberFormat="1" applyFont="1" applyBorder="1"/>
    <xf numFmtId="164" fontId="13" fillId="0" borderId="24" xfId="0" applyNumberFormat="1" applyFont="1" applyBorder="1"/>
    <xf numFmtId="164" fontId="13" fillId="0" borderId="43" xfId="0" applyNumberFormat="1" applyFont="1" applyBorder="1"/>
    <xf numFmtId="164" fontId="13" fillId="0" borderId="28" xfId="0" applyNumberFormat="1" applyFont="1" applyBorder="1"/>
    <xf numFmtId="164" fontId="13" fillId="0" borderId="44" xfId="0" applyNumberFormat="1" applyFont="1" applyBorder="1" applyAlignment="1">
      <alignment shrinkToFit="1"/>
    </xf>
    <xf numFmtId="165" fontId="13" fillId="0" borderId="54" xfId="0" applyNumberFormat="1" applyFont="1" applyBorder="1"/>
    <xf numFmtId="164" fontId="13" fillId="0" borderId="55" xfId="0" applyNumberFormat="1" applyFont="1" applyBorder="1"/>
    <xf numFmtId="164" fontId="13" fillId="0" borderId="56" xfId="0" applyNumberFormat="1" applyFont="1" applyBorder="1"/>
    <xf numFmtId="165" fontId="13" fillId="0" borderId="60" xfId="0" applyNumberFormat="1" applyFont="1" applyBorder="1"/>
    <xf numFmtId="164" fontId="13" fillId="0" borderId="62" xfId="0" applyNumberFormat="1" applyFont="1" applyBorder="1"/>
    <xf numFmtId="17" fontId="13" fillId="0" borderId="61" xfId="0" applyNumberFormat="1" applyFont="1" applyBorder="1" applyAlignment="1">
      <alignment shrinkToFit="1"/>
    </xf>
    <xf numFmtId="164" fontId="47" fillId="0" borderId="62" xfId="0" applyNumberFormat="1" applyFont="1" applyBorder="1"/>
    <xf numFmtId="164" fontId="13" fillId="0" borderId="61" xfId="0" applyNumberFormat="1" applyFont="1" applyBorder="1" applyAlignment="1">
      <alignment shrinkToFit="1"/>
    </xf>
    <xf numFmtId="165" fontId="13" fillId="0" borderId="65" xfId="0" applyNumberFormat="1" applyFont="1" applyBorder="1"/>
    <xf numFmtId="164" fontId="13" fillId="0" borderId="67" xfId="0" applyNumberFormat="1" applyFont="1" applyBorder="1"/>
    <xf numFmtId="164" fontId="13" fillId="0" borderId="68" xfId="0" applyNumberFormat="1" applyFont="1" applyBorder="1"/>
    <xf numFmtId="165" fontId="13" fillId="0" borderId="62" xfId="0" applyNumberFormat="1" applyFont="1" applyBorder="1"/>
    <xf numFmtId="164" fontId="13" fillId="0" borderId="18" xfId="0" applyNumberFormat="1" applyFont="1" applyBorder="1"/>
    <xf numFmtId="0" fontId="47" fillId="0" borderId="13" xfId="0" applyFont="1" applyBorder="1"/>
    <xf numFmtId="0" fontId="47" fillId="0" borderId="11" xfId="0" applyFont="1" applyBorder="1"/>
    <xf numFmtId="164" fontId="13" fillId="0" borderId="40" xfId="0" applyNumberFormat="1" applyFont="1" applyBorder="1"/>
    <xf numFmtId="169" fontId="13" fillId="0" borderId="97" xfId="0" applyNumberFormat="1" applyFont="1" applyBorder="1"/>
    <xf numFmtId="164" fontId="13" fillId="0" borderId="96" xfId="0" applyNumberFormat="1" applyFont="1" applyBorder="1"/>
    <xf numFmtId="164" fontId="13" fillId="0" borderId="11" xfId="0" applyNumberFormat="1" applyFont="1" applyBorder="1"/>
    <xf numFmtId="169" fontId="13" fillId="0" borderId="14" xfId="0" applyNumberFormat="1" applyFont="1" applyBorder="1"/>
    <xf numFmtId="4" fontId="13" fillId="0" borderId="85" xfId="0" applyNumberFormat="1" applyFont="1" applyBorder="1"/>
    <xf numFmtId="164" fontId="13" fillId="0" borderId="79" xfId="0" applyNumberFormat="1" applyFont="1" applyBorder="1"/>
    <xf numFmtId="164" fontId="13" fillId="0" borderId="27" xfId="0" applyNumberFormat="1" applyFont="1" applyBorder="1"/>
    <xf numFmtId="164" fontId="13" fillId="0" borderId="108" xfId="0" applyNumberFormat="1" applyFont="1" applyBorder="1"/>
    <xf numFmtId="164" fontId="13" fillId="0" borderId="83" xfId="0" applyNumberFormat="1" applyFont="1" applyBorder="1"/>
    <xf numFmtId="164" fontId="13" fillId="0" borderId="33" xfId="0" applyNumberFormat="1" applyFont="1" applyBorder="1"/>
    <xf numFmtId="164" fontId="13" fillId="0" borderId="34" xfId="0" applyNumberFormat="1" applyFont="1" applyBorder="1"/>
    <xf numFmtId="4" fontId="13" fillId="0" borderId="18" xfId="0" applyNumberFormat="1" applyFont="1" applyBorder="1"/>
    <xf numFmtId="4" fontId="13" fillId="0" borderId="8" xfId="0" applyNumberFormat="1" applyFont="1" applyBorder="1"/>
    <xf numFmtId="17" fontId="13" fillId="0" borderId="90" xfId="0" applyNumberFormat="1" applyFont="1" applyBorder="1" applyAlignment="1">
      <alignment shrinkToFit="1"/>
    </xf>
    <xf numFmtId="164" fontId="13" fillId="0" borderId="92" xfId="0" applyNumberFormat="1" applyFont="1" applyBorder="1"/>
    <xf numFmtId="164" fontId="13" fillId="0" borderId="13" xfId="0" applyNumberFormat="1" applyFont="1" applyBorder="1"/>
    <xf numFmtId="164" fontId="13" fillId="0" borderId="14" xfId="0" applyNumberFormat="1" applyFont="1" applyBorder="1"/>
    <xf numFmtId="4" fontId="13" fillId="0" borderId="18" xfId="0" applyNumberFormat="1" applyFont="1" applyFill="1" applyBorder="1"/>
    <xf numFmtId="4" fontId="13" fillId="0" borderId="8" xfId="0" applyNumberFormat="1" applyFont="1" applyFill="1" applyBorder="1"/>
    <xf numFmtId="164" fontId="13" fillId="0" borderId="24" xfId="0" applyNumberFormat="1" applyFont="1" applyFill="1" applyBorder="1"/>
    <xf numFmtId="164" fontId="13" fillId="0" borderId="92" xfId="0" applyNumberFormat="1" applyFont="1" applyFill="1" applyBorder="1"/>
    <xf numFmtId="164" fontId="13" fillId="0" borderId="13" xfId="0" applyNumberFormat="1" applyFont="1" applyFill="1" applyBorder="1"/>
    <xf numFmtId="164" fontId="13" fillId="0" borderId="11" xfId="0" applyNumberFormat="1" applyFont="1" applyFill="1" applyBorder="1"/>
    <xf numFmtId="164" fontId="13" fillId="0" borderId="14" xfId="0" applyNumberFormat="1" applyFont="1" applyFill="1" applyBorder="1"/>
    <xf numFmtId="164" fontId="13" fillId="0" borderId="8" xfId="0" applyNumberFormat="1" applyFont="1" applyBorder="1"/>
    <xf numFmtId="164" fontId="13" fillId="0" borderId="90" xfId="0" applyNumberFormat="1" applyFont="1" applyBorder="1"/>
    <xf numFmtId="4" fontId="13" fillId="0" borderId="24" xfId="0" applyNumberFormat="1" applyFont="1" applyBorder="1"/>
    <xf numFmtId="4" fontId="13" fillId="0" borderId="84" xfId="0" applyNumberFormat="1" applyFont="1" applyBorder="1"/>
    <xf numFmtId="164" fontId="13" fillId="0" borderId="32" xfId="0" applyNumberFormat="1" applyFont="1" applyBorder="1"/>
    <xf numFmtId="0" fontId="47" fillId="0" borderId="0" xfId="0" applyFont="1"/>
    <xf numFmtId="164" fontId="13" fillId="0" borderId="69" xfId="0" applyNumberFormat="1" applyFont="1" applyBorder="1"/>
    <xf numFmtId="164" fontId="47" fillId="0" borderId="1" xfId="0" applyNumberFormat="1" applyFont="1" applyBorder="1"/>
    <xf numFmtId="0" fontId="47" fillId="0" borderId="13" xfId="0" applyFont="1" applyBorder="1" applyAlignment="1">
      <alignment horizontal="center" vertical="center"/>
    </xf>
    <xf numFmtId="0" fontId="47" fillId="0" borderId="11" xfId="0" applyFont="1" applyBorder="1" applyAlignment="1">
      <alignment horizontal="center" vertical="center"/>
    </xf>
    <xf numFmtId="17" fontId="13" fillId="0" borderId="97" xfId="0" applyNumberFormat="1" applyFont="1" applyFill="1" applyBorder="1" applyAlignment="1">
      <alignment shrinkToFit="1"/>
    </xf>
    <xf numFmtId="4" fontId="13" fillId="0" borderId="24" xfId="0" applyNumberFormat="1" applyFont="1" applyFill="1" applyBorder="1"/>
    <xf numFmtId="17" fontId="13" fillId="0" borderId="92" xfId="0" applyNumberFormat="1" applyFont="1" applyFill="1" applyBorder="1" applyAlignment="1">
      <alignment shrinkToFit="1"/>
    </xf>
    <xf numFmtId="4" fontId="13" fillId="0" borderId="84" xfId="0" applyNumberFormat="1" applyFont="1" applyFill="1" applyBorder="1"/>
    <xf numFmtId="164" fontId="13" fillId="0" borderId="106" xfId="0" applyNumberFormat="1" applyFont="1" applyFill="1" applyBorder="1"/>
    <xf numFmtId="164" fontId="13" fillId="0" borderId="28" xfId="0" applyNumberFormat="1" applyFont="1" applyFill="1" applyBorder="1"/>
    <xf numFmtId="17" fontId="13" fillId="0" borderId="106" xfId="0" applyNumberFormat="1" applyFont="1" applyFill="1" applyBorder="1" applyAlignment="1">
      <alignment shrinkToFit="1"/>
    </xf>
    <xf numFmtId="164" fontId="13" fillId="0" borderId="32" xfId="0" applyNumberFormat="1" applyFont="1" applyFill="1" applyBorder="1"/>
    <xf numFmtId="164" fontId="13" fillId="0" borderId="83" xfId="0" applyNumberFormat="1" applyFont="1" applyFill="1" applyBorder="1"/>
    <xf numFmtId="17" fontId="13" fillId="0" borderId="97" xfId="0" applyNumberFormat="1" applyFont="1" applyBorder="1" applyAlignment="1">
      <alignment shrinkToFit="1"/>
    </xf>
    <xf numFmtId="164" fontId="13" fillId="0" borderId="78" xfId="0" applyNumberFormat="1" applyFont="1" applyBorder="1"/>
    <xf numFmtId="164" fontId="13" fillId="0" borderId="43" xfId="0" applyNumberFormat="1" applyFont="1" applyFill="1" applyBorder="1"/>
    <xf numFmtId="17" fontId="48" fillId="0" borderId="90" xfId="0" applyNumberFormat="1" applyFont="1" applyBorder="1" applyAlignment="1">
      <alignment wrapText="1" shrinkToFit="1"/>
    </xf>
    <xf numFmtId="164" fontId="13" fillId="0" borderId="97" xfId="0" applyNumberFormat="1" applyFont="1" applyBorder="1"/>
    <xf numFmtId="164" fontId="13" fillId="0" borderId="84" xfId="0" applyNumberFormat="1" applyFont="1" applyBorder="1"/>
    <xf numFmtId="164" fontId="13" fillId="0" borderId="106" xfId="0" applyNumberFormat="1" applyFont="1" applyBorder="1"/>
    <xf numFmtId="164" fontId="13" fillId="0" borderId="20" xfId="0" applyNumberFormat="1" applyFont="1" applyBorder="1"/>
    <xf numFmtId="164" fontId="13" fillId="0" borderId="25" xfId="0" applyNumberFormat="1" applyFont="1" applyBorder="1"/>
    <xf numFmtId="164" fontId="13" fillId="0" borderId="12" xfId="0" applyNumberFormat="1" applyFont="1" applyBorder="1"/>
    <xf numFmtId="164" fontId="13" fillId="0" borderId="18" xfId="0" applyNumberFormat="1" applyFont="1" applyFill="1" applyBorder="1"/>
    <xf numFmtId="164" fontId="13" fillId="0" borderId="97" xfId="0" applyNumberFormat="1" applyFont="1" applyFill="1" applyBorder="1"/>
    <xf numFmtId="164" fontId="13" fillId="0" borderId="8" xfId="0" applyNumberFormat="1" applyFont="1" applyFill="1" applyBorder="1"/>
    <xf numFmtId="164" fontId="13" fillId="0" borderId="90" xfId="0" applyNumberFormat="1" applyFont="1" applyFill="1" applyBorder="1"/>
    <xf numFmtId="17" fontId="48" fillId="0" borderId="92" xfId="0" applyNumberFormat="1" applyFont="1" applyBorder="1" applyAlignment="1">
      <alignment wrapText="1" shrinkToFit="1"/>
    </xf>
    <xf numFmtId="17" fontId="13" fillId="0" borderId="92" xfId="0" applyNumberFormat="1" applyFont="1" applyBorder="1" applyAlignment="1">
      <alignment shrinkToFit="1"/>
    </xf>
    <xf numFmtId="164" fontId="13" fillId="0" borderId="92" xfId="0" applyNumberFormat="1" applyFont="1" applyBorder="1" applyAlignment="1">
      <alignment shrinkToFit="1"/>
    </xf>
    <xf numFmtId="164" fontId="13" fillId="0" borderId="117" xfId="0" applyNumberFormat="1" applyFont="1" applyBorder="1"/>
    <xf numFmtId="164" fontId="13" fillId="0" borderId="77" xfId="0" applyNumberFormat="1" applyFont="1" applyBorder="1"/>
    <xf numFmtId="164" fontId="13" fillId="0" borderId="0" xfId="0" applyNumberFormat="1" applyFont="1" applyBorder="1"/>
    <xf numFmtId="0" fontId="49" fillId="0" borderId="117" xfId="0" applyFont="1" applyBorder="1" applyAlignment="1">
      <alignment horizontal="center" vertical="center"/>
    </xf>
    <xf numFmtId="0" fontId="49" fillId="0" borderId="118" xfId="0" applyFont="1" applyBorder="1" applyAlignment="1">
      <alignment horizontal="center" vertical="center"/>
    </xf>
    <xf numFmtId="0" fontId="49" fillId="0" borderId="119" xfId="0" applyFont="1" applyBorder="1" applyAlignment="1">
      <alignment horizontal="center" vertical="center" wrapText="1"/>
    </xf>
    <xf numFmtId="0" fontId="47" fillId="0" borderId="19" xfId="0" applyFont="1" applyBorder="1"/>
    <xf numFmtId="0" fontId="47" fillId="0" borderId="24" xfId="0" applyFont="1" applyBorder="1"/>
    <xf numFmtId="0" fontId="47" fillId="0" borderId="23" xfId="0" applyFont="1" applyBorder="1"/>
    <xf numFmtId="0" fontId="47" fillId="0" borderId="92" xfId="0" applyFont="1" applyBorder="1"/>
    <xf numFmtId="4" fontId="13" fillId="0" borderId="19" xfId="0" applyNumberFormat="1" applyFont="1" applyBorder="1"/>
    <xf numFmtId="4" fontId="13" fillId="0" borderId="46" xfId="0" applyNumberFormat="1" applyFont="1" applyBorder="1"/>
    <xf numFmtId="4" fontId="13" fillId="0" borderId="93" xfId="0" applyNumberFormat="1" applyFont="1" applyBorder="1"/>
    <xf numFmtId="0" fontId="47" fillId="0" borderId="97" xfId="0" applyFont="1" applyBorder="1"/>
    <xf numFmtId="0" fontId="47" fillId="0" borderId="84" xfId="0" applyFont="1" applyBorder="1"/>
    <xf numFmtId="0" fontId="47" fillId="0" borderId="28" xfId="0" applyFont="1" applyBorder="1"/>
    <xf numFmtId="0" fontId="47" fillId="0" borderId="106" xfId="0" applyFont="1" applyBorder="1"/>
    <xf numFmtId="0" fontId="47" fillId="0" borderId="14" xfId="0" applyFont="1" applyBorder="1"/>
    <xf numFmtId="4" fontId="13" fillId="0" borderId="23" xfId="0" applyNumberFormat="1" applyFont="1" applyBorder="1"/>
    <xf numFmtId="0" fontId="47" fillId="0" borderId="18" xfId="0" applyFont="1" applyBorder="1"/>
    <xf numFmtId="0" fontId="47" fillId="0" borderId="25" xfId="0" applyFont="1" applyBorder="1"/>
    <xf numFmtId="0" fontId="47" fillId="0" borderId="12" xfId="0" applyFont="1" applyBorder="1"/>
    <xf numFmtId="17" fontId="13" fillId="0" borderId="25" xfId="0" applyNumberFormat="1" applyFont="1" applyBorder="1"/>
    <xf numFmtId="164" fontId="13" fillId="0" borderId="121" xfId="0" applyNumberFormat="1" applyFont="1" applyBorder="1"/>
    <xf numFmtId="164" fontId="13" fillId="0" borderId="119" xfId="0" applyNumberFormat="1" applyFont="1" applyBorder="1"/>
    <xf numFmtId="164" fontId="13" fillId="0" borderId="118" xfId="0" applyNumberFormat="1" applyFont="1" applyBorder="1"/>
    <xf numFmtId="0" fontId="47" fillId="0" borderId="117" xfId="0" applyFont="1" applyBorder="1"/>
    <xf numFmtId="0" fontId="47" fillId="0" borderId="118" xfId="0" applyFont="1" applyBorder="1"/>
    <xf numFmtId="0" fontId="47" fillId="0" borderId="119" xfId="0" applyFont="1" applyBorder="1"/>
    <xf numFmtId="0" fontId="47" fillId="0" borderId="115" xfId="0" applyFont="1" applyBorder="1"/>
    <xf numFmtId="0" fontId="47" fillId="0" borderId="124" xfId="0" applyFont="1" applyBorder="1"/>
    <xf numFmtId="0" fontId="47" fillId="0" borderId="77" xfId="0" applyFont="1" applyBorder="1"/>
    <xf numFmtId="0" fontId="47" fillId="0" borderId="0" xfId="0" applyFont="1" applyBorder="1"/>
    <xf numFmtId="0" fontId="49" fillId="0" borderId="122" xfId="0" applyFont="1" applyBorder="1" applyAlignment="1">
      <alignment horizontal="center" vertical="center" wrapText="1"/>
    </xf>
    <xf numFmtId="17" fontId="47" fillId="0" borderId="20" xfId="0" applyNumberFormat="1" applyFont="1" applyBorder="1"/>
    <xf numFmtId="17" fontId="47" fillId="0" borderId="43" xfId="0" applyNumberFormat="1" applyFont="1" applyBorder="1"/>
    <xf numFmtId="0" fontId="47" fillId="0" borderId="43" xfId="0" applyFont="1" applyBorder="1"/>
    <xf numFmtId="0" fontId="47" fillId="0" borderId="81" xfId="0" applyFont="1" applyBorder="1"/>
    <xf numFmtId="0" fontId="47" fillId="0" borderId="94" xfId="0" applyFont="1" applyBorder="1"/>
    <xf numFmtId="17" fontId="13" fillId="0" borderId="6" xfId="0" applyNumberFormat="1" applyFont="1" applyFill="1" applyBorder="1" applyAlignment="1">
      <alignment shrinkToFit="1"/>
    </xf>
    <xf numFmtId="164" fontId="13" fillId="0" borderId="35" xfId="0" applyNumberFormat="1" applyFont="1" applyFill="1" applyBorder="1"/>
    <xf numFmtId="17" fontId="13" fillId="0" borderId="6" xfId="0" applyNumberFormat="1" applyFont="1" applyBorder="1" applyAlignment="1">
      <alignment shrinkToFit="1"/>
    </xf>
    <xf numFmtId="164" fontId="13" fillId="0" borderId="35" xfId="0" applyNumberFormat="1" applyFont="1" applyBorder="1" applyAlignment="1">
      <alignment shrinkToFit="1"/>
    </xf>
    <xf numFmtId="164" fontId="13" fillId="0" borderId="57" xfId="0" applyNumberFormat="1" applyFont="1" applyBorder="1"/>
    <xf numFmtId="164" fontId="13" fillId="0" borderId="63" xfId="0" applyNumberFormat="1" applyFont="1" applyBorder="1" applyAlignment="1">
      <alignment shrinkToFit="1"/>
    </xf>
    <xf numFmtId="164" fontId="13" fillId="0" borderId="63" xfId="0" applyNumberFormat="1" applyFont="1" applyBorder="1"/>
    <xf numFmtId="164" fontId="47" fillId="0" borderId="17" xfId="0" applyNumberFormat="1" applyFont="1" applyBorder="1"/>
    <xf numFmtId="0" fontId="47" fillId="0" borderId="29" xfId="0" applyFont="1" applyBorder="1"/>
    <xf numFmtId="164" fontId="47" fillId="0" borderId="29" xfId="0" applyNumberFormat="1" applyFont="1" applyBorder="1"/>
    <xf numFmtId="164" fontId="13" fillId="0" borderId="80" xfId="0" applyNumberFormat="1" applyFont="1" applyBorder="1"/>
    <xf numFmtId="164" fontId="13" fillId="0" borderId="87" xfId="0" applyNumberFormat="1" applyFont="1" applyBorder="1"/>
    <xf numFmtId="164" fontId="13" fillId="0" borderId="29" xfId="0" applyNumberFormat="1" applyFont="1" applyBorder="1"/>
    <xf numFmtId="164" fontId="13" fillId="0" borderId="31" xfId="0" applyNumberFormat="1" applyFont="1" applyBorder="1"/>
    <xf numFmtId="164" fontId="13" fillId="0" borderId="4" xfId="0" applyNumberFormat="1" applyFont="1" applyFill="1" applyBorder="1" applyAlignment="1">
      <alignment shrinkToFit="1"/>
    </xf>
    <xf numFmtId="164" fontId="13" fillId="0" borderId="29" xfId="0" applyNumberFormat="1" applyFont="1" applyFill="1" applyBorder="1"/>
    <xf numFmtId="164" fontId="13" fillId="0" borderId="31" xfId="0" applyNumberFormat="1" applyFont="1" applyFill="1" applyBorder="1"/>
    <xf numFmtId="164" fontId="13" fillId="0" borderId="21" xfId="0" applyNumberFormat="1" applyFont="1" applyBorder="1"/>
    <xf numFmtId="164" fontId="13" fillId="0" borderId="4" xfId="0" applyNumberFormat="1" applyFont="1" applyBorder="1"/>
    <xf numFmtId="164" fontId="13" fillId="0" borderId="36" xfId="0" applyNumberFormat="1" applyFont="1" applyFill="1" applyBorder="1" applyAlignment="1">
      <alignment shrinkToFit="1"/>
    </xf>
    <xf numFmtId="164" fontId="13" fillId="0" borderId="7" xfId="0" applyNumberFormat="1" applyFont="1" applyBorder="1"/>
    <xf numFmtId="164" fontId="13" fillId="0" borderId="36" xfId="0" applyNumberFormat="1" applyFont="1" applyBorder="1"/>
    <xf numFmtId="164" fontId="13" fillId="0" borderId="4" xfId="0" applyNumberFormat="1" applyFont="1" applyFill="1" applyBorder="1"/>
    <xf numFmtId="164" fontId="47" fillId="0" borderId="4" xfId="0" applyNumberFormat="1" applyFont="1" applyBorder="1"/>
    <xf numFmtId="0" fontId="47" fillId="0" borderId="31" xfId="0" applyFont="1" applyBorder="1"/>
    <xf numFmtId="164" fontId="47" fillId="0" borderId="36" xfId="0" applyNumberFormat="1" applyFont="1" applyBorder="1"/>
    <xf numFmtId="164" fontId="47" fillId="0" borderId="31" xfId="0" applyNumberFormat="1" applyFont="1" applyBorder="1"/>
    <xf numFmtId="17" fontId="13" fillId="0" borderId="29" xfId="0" applyNumberFormat="1" applyFont="1" applyBorder="1"/>
    <xf numFmtId="17" fontId="13" fillId="0" borderId="36" xfId="0" applyNumberFormat="1" applyFont="1" applyBorder="1"/>
    <xf numFmtId="164" fontId="13" fillId="0" borderId="124" xfId="0" applyNumberFormat="1" applyFont="1" applyBorder="1"/>
    <xf numFmtId="164" fontId="47" fillId="0" borderId="120" xfId="0" applyNumberFormat="1" applyFont="1" applyBorder="1"/>
    <xf numFmtId="0" fontId="47" fillId="0" borderId="120" xfId="0" applyFont="1" applyBorder="1"/>
    <xf numFmtId="0" fontId="47" fillId="0" borderId="36" xfId="0" applyFont="1" applyBorder="1"/>
    <xf numFmtId="164" fontId="42" fillId="0" borderId="21" xfId="0" applyNumberFormat="1" applyFont="1" applyFill="1" applyBorder="1" applyAlignment="1">
      <alignment shrinkToFit="1"/>
    </xf>
    <xf numFmtId="164" fontId="42" fillId="0" borderId="4" xfId="0" applyNumberFormat="1" applyFont="1" applyFill="1" applyBorder="1" applyAlignment="1">
      <alignment shrinkToFit="1"/>
    </xf>
    <xf numFmtId="164" fontId="42" fillId="0" borderId="17" xfId="0" applyNumberFormat="1" applyFont="1" applyFill="1" applyBorder="1" applyAlignment="1">
      <alignment shrinkToFit="1"/>
    </xf>
    <xf numFmtId="164" fontId="42" fillId="0" borderId="17" xfId="0" applyNumberFormat="1" applyFont="1" applyFill="1" applyBorder="1"/>
    <xf numFmtId="0" fontId="38" fillId="0" borderId="0" xfId="0" applyFont="1" applyAlignment="1">
      <alignment horizontal="left"/>
    </xf>
    <xf numFmtId="0" fontId="51" fillId="0" borderId="0" xfId="0" applyFont="1"/>
    <xf numFmtId="0" fontId="0" fillId="0" borderId="0" xfId="0" applyFont="1"/>
    <xf numFmtId="4" fontId="52" fillId="0" borderId="0" xfId="0" applyNumberFormat="1" applyFont="1"/>
    <xf numFmtId="4" fontId="53" fillId="0" borderId="0" xfId="0" applyNumberFormat="1" applyFont="1"/>
    <xf numFmtId="0" fontId="0" fillId="0" borderId="11" xfId="0" applyBorder="1" applyAlignment="1">
      <alignment wrapText="1"/>
    </xf>
    <xf numFmtId="0" fontId="51" fillId="0" borderId="11" xfId="0" applyFont="1" applyBorder="1" applyAlignment="1">
      <alignment wrapText="1"/>
    </xf>
    <xf numFmtId="49" fontId="0" fillId="2" borderId="18" xfId="0" applyNumberFormat="1" applyFill="1" applyBorder="1" applyAlignment="1">
      <alignment horizontal="left"/>
    </xf>
    <xf numFmtId="0" fontId="0" fillId="0" borderId="19" xfId="0" applyBorder="1" applyAlignment="1">
      <alignment wrapText="1"/>
    </xf>
    <xf numFmtId="0" fontId="51" fillId="0" borderId="19" xfId="0" applyFont="1" applyBorder="1" applyAlignment="1">
      <alignment wrapText="1"/>
    </xf>
    <xf numFmtId="0" fontId="0" fillId="0" borderId="19" xfId="0" applyFont="1" applyBorder="1"/>
    <xf numFmtId="17" fontId="47" fillId="0" borderId="19" xfId="0" applyNumberFormat="1" applyFont="1" applyBorder="1"/>
    <xf numFmtId="4" fontId="52" fillId="0" borderId="19" xfId="0" applyNumberFormat="1" applyFont="1" applyBorder="1"/>
    <xf numFmtId="4" fontId="53" fillId="0" borderId="20" xfId="0" applyNumberFormat="1" applyFont="1" applyBorder="1"/>
    <xf numFmtId="0" fontId="0" fillId="2" borderId="24" xfId="0" applyFill="1" applyBorder="1" applyAlignment="1">
      <alignment horizontal="left"/>
    </xf>
    <xf numFmtId="0" fontId="51" fillId="0" borderId="23" xfId="0" applyFont="1" applyBorder="1" applyAlignment="1">
      <alignment wrapText="1"/>
    </xf>
    <xf numFmtId="0" fontId="0" fillId="0" borderId="23" xfId="0" applyFont="1" applyBorder="1"/>
    <xf numFmtId="4" fontId="52" fillId="0" borderId="23" xfId="0" applyNumberFormat="1" applyFont="1" applyBorder="1"/>
    <xf numFmtId="4" fontId="53" fillId="0" borderId="25" xfId="0" applyNumberFormat="1" applyFont="1" applyBorder="1"/>
    <xf numFmtId="0" fontId="0" fillId="2" borderId="13" xfId="0" applyFill="1" applyBorder="1" applyAlignment="1">
      <alignment horizontal="left"/>
    </xf>
    <xf numFmtId="0" fontId="51" fillId="0" borderId="11" xfId="0" applyFont="1" applyBorder="1"/>
    <xf numFmtId="0" fontId="0" fillId="0" borderId="11" xfId="0" applyFont="1" applyBorder="1"/>
    <xf numFmtId="4" fontId="52" fillId="0" borderId="11" xfId="0" applyNumberFormat="1" applyFont="1" applyBorder="1"/>
    <xf numFmtId="4" fontId="53" fillId="0" borderId="12" xfId="0" applyNumberFormat="1" applyFont="1" applyBorder="1"/>
    <xf numFmtId="0" fontId="0" fillId="2" borderId="18" xfId="0" applyFill="1" applyBorder="1" applyAlignment="1">
      <alignment horizontal="left"/>
    </xf>
    <xf numFmtId="0" fontId="2" fillId="0" borderId="19" xfId="0" applyFont="1" applyBorder="1"/>
    <xf numFmtId="0" fontId="2" fillId="0" borderId="23" xfId="0" applyFont="1" applyBorder="1"/>
    <xf numFmtId="0" fontId="0" fillId="2" borderId="84" xfId="0" applyFill="1" applyBorder="1" applyAlignment="1">
      <alignment horizontal="left"/>
    </xf>
    <xf numFmtId="0" fontId="51" fillId="0" borderId="28" xfId="0" applyFont="1" applyBorder="1"/>
    <xf numFmtId="0" fontId="2" fillId="0" borderId="28" xfId="0" applyFont="1" applyBorder="1"/>
    <xf numFmtId="4" fontId="52" fillId="0" borderId="28" xfId="0" applyNumberFormat="1" applyFont="1" applyBorder="1"/>
    <xf numFmtId="4" fontId="53" fillId="0" borderId="44" xfId="0" applyNumberFormat="1" applyFont="1" applyBorder="1"/>
    <xf numFmtId="49" fontId="0" fillId="2" borderId="8" xfId="0" applyNumberFormat="1" applyFill="1" applyBorder="1" applyAlignment="1">
      <alignment horizontal="left"/>
    </xf>
    <xf numFmtId="0" fontId="0" fillId="0" borderId="43" xfId="0" applyBorder="1" applyAlignment="1">
      <alignment wrapText="1"/>
    </xf>
    <xf numFmtId="4" fontId="52" fillId="0" borderId="43" xfId="0" applyNumberFormat="1" applyFont="1" applyBorder="1"/>
    <xf numFmtId="4" fontId="53" fillId="0" borderId="79" xfId="0" applyNumberFormat="1" applyFont="1" applyBorder="1"/>
    <xf numFmtId="17" fontId="47" fillId="0" borderId="23" xfId="0" applyNumberFormat="1" applyFont="1" applyBorder="1"/>
    <xf numFmtId="0" fontId="2" fillId="0" borderId="11" xfId="0" applyFont="1" applyBorder="1"/>
    <xf numFmtId="0" fontId="43" fillId="0" borderId="19" xfId="0" applyFont="1" applyBorder="1"/>
    <xf numFmtId="0" fontId="2" fillId="0" borderId="97" xfId="0" applyFont="1" applyBorder="1"/>
    <xf numFmtId="0" fontId="47" fillId="0" borderId="40" xfId="0" applyFont="1" applyBorder="1"/>
    <xf numFmtId="0" fontId="2" fillId="0" borderId="92" xfId="0" applyFont="1" applyBorder="1"/>
    <xf numFmtId="0" fontId="47" fillId="0" borderId="46" xfId="0" applyFont="1" applyBorder="1"/>
    <xf numFmtId="0" fontId="47" fillId="0" borderId="93" xfId="0" applyFont="1" applyBorder="1"/>
    <xf numFmtId="0" fontId="2" fillId="0" borderId="106" xfId="0" applyFont="1" applyBorder="1"/>
    <xf numFmtId="0" fontId="47" fillId="0" borderId="85" xfId="0" applyFont="1" applyBorder="1"/>
    <xf numFmtId="0" fontId="51" fillId="0" borderId="97" xfId="0" applyFont="1" applyBorder="1" applyAlignment="1">
      <alignment wrapText="1"/>
    </xf>
    <xf numFmtId="0" fontId="51" fillId="0" borderId="92" xfId="0" applyFont="1" applyBorder="1" applyAlignment="1">
      <alignment wrapText="1"/>
    </xf>
    <xf numFmtId="0" fontId="51" fillId="0" borderId="14" xfId="0" applyFont="1" applyBorder="1"/>
    <xf numFmtId="0" fontId="47" fillId="0" borderId="96" xfId="0" applyFont="1" applyBorder="1"/>
    <xf numFmtId="0" fontId="2" fillId="0" borderId="14" xfId="0" applyFont="1" applyBorder="1"/>
    <xf numFmtId="0" fontId="0" fillId="0" borderId="19" xfId="0" applyBorder="1" applyAlignment="1">
      <alignment horizontal="center"/>
    </xf>
    <xf numFmtId="0" fontId="51" fillId="0" borderId="106" xfId="0" applyFont="1" applyBorder="1"/>
    <xf numFmtId="4" fontId="54" fillId="0" borderId="19" xfId="0" applyNumberFormat="1" applyFont="1" applyBorder="1"/>
    <xf numFmtId="0" fontId="55" fillId="0" borderId="43" xfId="0" applyFont="1" applyBorder="1"/>
    <xf numFmtId="0" fontId="55" fillId="0" borderId="43" xfId="0" applyFont="1" applyBorder="1" applyAlignment="1">
      <alignment wrapText="1"/>
    </xf>
    <xf numFmtId="0" fontId="56" fillId="0" borderId="23" xfId="0" applyFont="1" applyBorder="1" applyAlignment="1">
      <alignment wrapText="1"/>
    </xf>
    <xf numFmtId="0" fontId="57" fillId="0" borderId="23" xfId="0" applyFont="1" applyBorder="1"/>
    <xf numFmtId="0" fontId="56" fillId="0" borderId="43" xfId="0" applyFont="1" applyBorder="1" applyAlignment="1">
      <alignment wrapText="1"/>
    </xf>
    <xf numFmtId="0" fontId="57" fillId="0" borderId="43" xfId="0" applyFont="1" applyBorder="1"/>
    <xf numFmtId="0" fontId="56" fillId="0" borderId="92" xfId="0" applyFont="1" applyBorder="1" applyAlignment="1">
      <alignment wrapText="1"/>
    </xf>
    <xf numFmtId="0" fontId="57" fillId="0" borderId="92" xfId="0" applyFont="1" applyBorder="1"/>
    <xf numFmtId="0" fontId="51" fillId="0" borderId="0" xfId="0" applyFont="1" applyFill="1"/>
    <xf numFmtId="0" fontId="43" fillId="0" borderId="0" xfId="0" applyFont="1" applyFill="1"/>
    <xf numFmtId="0" fontId="43" fillId="0" borderId="0" xfId="0" applyFont="1"/>
    <xf numFmtId="0" fontId="5" fillId="0" borderId="7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1" fillId="0" borderId="70" xfId="0" applyFont="1" applyFill="1" applyBorder="1" applyAlignment="1">
      <alignment horizontal="center" vertical="center" wrapText="1"/>
    </xf>
    <xf numFmtId="0" fontId="1" fillId="0" borderId="1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0" fillId="0" borderId="71" xfId="0" applyBorder="1" applyAlignment="1">
      <alignment horizontal="center"/>
    </xf>
    <xf numFmtId="0" fontId="4" fillId="0" borderId="72" xfId="0" applyFont="1" applyBorder="1" applyAlignment="1">
      <alignment horizontal="center" vertical="center" wrapText="1"/>
    </xf>
    <xf numFmtId="0" fontId="4" fillId="0" borderId="73" xfId="0" applyFont="1" applyBorder="1" applyAlignment="1">
      <alignment horizontal="center" vertical="center" wrapText="1"/>
    </xf>
    <xf numFmtId="0" fontId="4" fillId="0" borderId="7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5" fillId="0" borderId="71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6" fillId="0" borderId="71" xfId="0" applyFont="1" applyBorder="1" applyAlignment="1">
      <alignment horizontal="center"/>
    </xf>
    <xf numFmtId="0" fontId="6" fillId="0" borderId="70" xfId="0" applyFont="1" applyBorder="1" applyAlignment="1">
      <alignment horizont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0" fillId="0" borderId="46" xfId="0" applyBorder="1" applyAlignment="1">
      <alignment horizontal="center"/>
    </xf>
    <xf numFmtId="0" fontId="1" fillId="0" borderId="30" xfId="0" applyFont="1" applyFill="1" applyBorder="1" applyAlignment="1">
      <alignment horizontal="center" vertical="center" wrapText="1"/>
    </xf>
    <xf numFmtId="0" fontId="1" fillId="0" borderId="115" xfId="0" applyFont="1" applyFill="1" applyBorder="1" applyAlignment="1">
      <alignment horizontal="center" vertical="center" wrapText="1"/>
    </xf>
    <xf numFmtId="0" fontId="6" fillId="0" borderId="64" xfId="0" applyFont="1" applyBorder="1" applyAlignment="1">
      <alignment horizontal="center" vertical="center"/>
    </xf>
    <xf numFmtId="0" fontId="6" fillId="0" borderId="116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 wrapText="1"/>
    </xf>
    <xf numFmtId="0" fontId="7" fillId="0" borderId="116" xfId="0" applyFont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4" fillId="0" borderId="30" xfId="0" applyFont="1" applyBorder="1" applyAlignment="1">
      <alignment horizontal="center" vertical="center" wrapText="1"/>
    </xf>
    <xf numFmtId="0" fontId="4" fillId="0" borderId="82" xfId="0" applyFont="1" applyBorder="1" applyAlignment="1">
      <alignment horizontal="center" vertical="center" wrapText="1"/>
    </xf>
    <xf numFmtId="0" fontId="4" fillId="0" borderId="113" xfId="0" applyFont="1" applyBorder="1" applyAlignment="1">
      <alignment horizontal="center" vertical="center" wrapText="1"/>
    </xf>
    <xf numFmtId="0" fontId="5" fillId="0" borderId="120" xfId="0" applyFont="1" applyBorder="1" applyAlignment="1">
      <alignment horizontal="center" vertical="center" wrapText="1"/>
    </xf>
    <xf numFmtId="0" fontId="6" fillId="0" borderId="82" xfId="0" applyFont="1" applyBorder="1" applyAlignment="1">
      <alignment horizontal="center"/>
    </xf>
    <xf numFmtId="0" fontId="6" fillId="0" borderId="99" xfId="0" applyFont="1" applyBorder="1" applyAlignment="1">
      <alignment horizontal="center"/>
    </xf>
    <xf numFmtId="0" fontId="1" fillId="0" borderId="7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" fillId="0" borderId="116" xfId="0" applyFont="1" applyFill="1" applyBorder="1" applyAlignment="1">
      <alignment horizontal="center" vertical="center" wrapText="1"/>
    </xf>
    <xf numFmtId="0" fontId="1" fillId="0" borderId="120" xfId="0" applyFont="1" applyFill="1" applyBorder="1" applyAlignment="1">
      <alignment horizontal="center" vertical="center" wrapText="1"/>
    </xf>
    <xf numFmtId="0" fontId="6" fillId="0" borderId="120" xfId="0" applyFont="1" applyBorder="1" applyAlignment="1">
      <alignment horizontal="center" vertical="center"/>
    </xf>
    <xf numFmtId="0" fontId="7" fillId="0" borderId="120" xfId="0" applyFont="1" applyBorder="1" applyAlignment="1">
      <alignment horizontal="center" vertical="center" wrapText="1"/>
    </xf>
    <xf numFmtId="0" fontId="7" fillId="0" borderId="116" xfId="0" applyFont="1" applyFill="1" applyBorder="1" applyAlignment="1">
      <alignment horizontal="center" vertical="center" wrapText="1"/>
    </xf>
    <xf numFmtId="0" fontId="7" fillId="0" borderId="120" xfId="0" applyFont="1" applyFill="1" applyBorder="1" applyAlignment="1">
      <alignment horizontal="center" vertical="center" wrapText="1"/>
    </xf>
    <xf numFmtId="164" fontId="15" fillId="0" borderId="97" xfId="0" applyNumberFormat="1" applyFont="1" applyBorder="1" applyAlignment="1">
      <alignment horizontal="left" shrinkToFit="1"/>
    </xf>
    <xf numFmtId="164" fontId="15" fillId="0" borderId="112" xfId="0" applyNumberFormat="1" applyFont="1" applyBorder="1" applyAlignment="1">
      <alignment horizontal="left" shrinkToFit="1"/>
    </xf>
    <xf numFmtId="164" fontId="15" fillId="0" borderId="21" xfId="0" applyNumberFormat="1" applyFont="1" applyBorder="1" applyAlignment="1">
      <alignment horizontal="left" shrinkToFit="1"/>
    </xf>
    <xf numFmtId="0" fontId="1" fillId="0" borderId="7" xfId="0" applyFont="1" applyBorder="1" applyAlignment="1">
      <alignment horizontal="center" vertical="center" wrapText="1"/>
    </xf>
    <xf numFmtId="0" fontId="48" fillId="0" borderId="30" xfId="0" applyFont="1" applyBorder="1" applyAlignment="1">
      <alignment horizontal="center" vertical="center" wrapText="1"/>
    </xf>
    <xf numFmtId="0" fontId="48" fillId="0" borderId="82" xfId="0" applyFont="1" applyBorder="1" applyAlignment="1">
      <alignment horizontal="center" vertical="center" wrapText="1"/>
    </xf>
    <xf numFmtId="0" fontId="48" fillId="0" borderId="113" xfId="0" applyFont="1" applyBorder="1" applyAlignment="1">
      <alignment horizontal="center" vertical="center" wrapText="1"/>
    </xf>
    <xf numFmtId="0" fontId="48" fillId="0" borderId="3" xfId="0" applyFont="1" applyBorder="1" applyAlignment="1">
      <alignment horizontal="center" vertical="center" wrapText="1"/>
    </xf>
    <xf numFmtId="0" fontId="48" fillId="0" borderId="10" xfId="0" applyFont="1" applyBorder="1" applyAlignment="1">
      <alignment horizontal="center" vertical="center" wrapText="1"/>
    </xf>
    <xf numFmtId="0" fontId="48" fillId="0" borderId="5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72" xfId="0" applyFont="1" applyBorder="1" applyAlignment="1">
      <alignment horizontal="center" vertical="center" wrapText="1"/>
    </xf>
    <xf numFmtId="0" fontId="48" fillId="0" borderId="73" xfId="0" applyFont="1" applyBorder="1" applyAlignment="1">
      <alignment horizontal="center" vertical="center" wrapText="1"/>
    </xf>
    <xf numFmtId="0" fontId="48" fillId="0" borderId="74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7" xfId="0" applyFont="1" applyBorder="1" applyAlignment="1">
      <alignment horizontal="center" vertical="center" wrapText="1"/>
    </xf>
    <xf numFmtId="0" fontId="0" fillId="0" borderId="18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9" xfId="0" applyFont="1" applyBorder="1" applyAlignment="1">
      <alignment horizontal="center" wrapText="1"/>
    </xf>
    <xf numFmtId="0" fontId="0" fillId="0" borderId="11" xfId="0" applyFont="1" applyBorder="1" applyAlignment="1">
      <alignment horizontal="center" wrapText="1"/>
    </xf>
    <xf numFmtId="0" fontId="0" fillId="0" borderId="19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47" fillId="0" borderId="19" xfId="0" applyFont="1" applyBorder="1" applyAlignment="1">
      <alignment horizontal="center"/>
    </xf>
    <xf numFmtId="4" fontId="52" fillId="0" borderId="19" xfId="0" applyNumberFormat="1" applyFont="1" applyBorder="1" applyAlignment="1">
      <alignment horizontal="center"/>
    </xf>
    <xf numFmtId="4" fontId="52" fillId="0" borderId="11" xfId="0" applyNumberFormat="1" applyFont="1" applyBorder="1" applyAlignment="1">
      <alignment horizontal="center"/>
    </xf>
    <xf numFmtId="4" fontId="53" fillId="0" borderId="20" xfId="0" applyNumberFormat="1" applyFont="1" applyBorder="1" applyAlignment="1">
      <alignment horizontal="center"/>
    </xf>
    <xf numFmtId="4" fontId="53" fillId="0" borderId="12" xfId="0" applyNumberFormat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6;&#1077;&#1089;&#1091;&#1088;&#1089;&#1099;%20&#1092;&#1077;&#1074;&#1088;&#1072;&#1083;&#1100;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6;&#1077;&#1089;&#1091;&#1088;&#1089;&#1099;%20&#1092;&#1077;&#1074;&#1088;&#1072;&#1083;&#1100;%20201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март"/>
      <sheetName val="апр"/>
      <sheetName val="май"/>
      <sheetName val="июнь"/>
      <sheetName val="июль"/>
      <sheetName val="авг"/>
      <sheetName val="сен"/>
      <sheetName val="окт"/>
      <sheetName val="нояб"/>
      <sheetName val="дек"/>
      <sheetName val="янв13"/>
      <sheetName val="фев13"/>
      <sheetName val="МАР13"/>
      <sheetName val="апр13"/>
      <sheetName val="май13"/>
      <sheetName val="июнь13"/>
      <sheetName val="июль13"/>
      <sheetName val="авг13"/>
      <sheetName val="сен13"/>
      <sheetName val="окт13"/>
      <sheetName val="нояб13"/>
      <sheetName val="дек13"/>
      <sheetName val="янв14"/>
      <sheetName val="фев14"/>
      <sheetName val="март14"/>
      <sheetName val="апр14"/>
      <sheetName val="май14"/>
      <sheetName val="июнь14"/>
      <sheetName val="июль14"/>
      <sheetName val="авг14"/>
      <sheetName val="сен14"/>
      <sheetName val="окт14"/>
      <sheetName val="нояб14"/>
      <sheetName val="дек14"/>
      <sheetName val="янв15"/>
      <sheetName val="фев15"/>
      <sheetName val="март15"/>
      <sheetName val="апр15"/>
      <sheetName val="май15"/>
      <sheetName val="июнь15"/>
      <sheetName val="июль15"/>
      <sheetName val="июль15 (2)"/>
      <sheetName val="авг15"/>
      <sheetName val="сент15"/>
      <sheetName val="окт15"/>
      <sheetName val="нояб15"/>
      <sheetName val="дек15"/>
      <sheetName val="янв16"/>
      <sheetName val="фев16"/>
      <sheetName val="март16"/>
      <sheetName val="апр16"/>
      <sheetName val="май16"/>
      <sheetName val="июнь16"/>
      <sheetName val="июль16"/>
      <sheetName val="авг16"/>
      <sheetName val="сен16"/>
      <sheetName val="окт16"/>
      <sheetName val="нояб16"/>
      <sheetName val="дек16"/>
      <sheetName val="янв17"/>
      <sheetName val="фев17"/>
      <sheetName val="март17"/>
      <sheetName val="апр17"/>
      <sheetName val="май17"/>
      <sheetName val="июнь17"/>
      <sheetName val="июль17"/>
      <sheetName val="авг17"/>
      <sheetName val="сен17"/>
      <sheetName val="окт17"/>
      <sheetName val="нояб17"/>
      <sheetName val="дек17"/>
      <sheetName val="янв18"/>
      <sheetName val="фев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2">
          <cell r="C52">
            <v>0</v>
          </cell>
        </row>
      </sheetData>
      <sheetData sheetId="6" refreshError="1"/>
      <sheetData sheetId="7" refreshError="1"/>
      <sheetData sheetId="8" refreshError="1"/>
      <sheetData sheetId="9" refreshError="1">
        <row r="51">
          <cell r="U51">
            <v>-6.0000000303261913E-4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>
        <row r="4">
          <cell r="U4">
            <v>0.89294999993580859</v>
          </cell>
        </row>
        <row r="9">
          <cell r="U9">
            <v>-4.6987999999910244</v>
          </cell>
        </row>
        <row r="27">
          <cell r="U27">
            <v>0.22515799992834218</v>
          </cell>
        </row>
        <row r="32">
          <cell r="U32">
            <v>3.0876039999493514</v>
          </cell>
        </row>
        <row r="63">
          <cell r="U63">
            <v>3.9235000002372544</v>
          </cell>
        </row>
      </sheetData>
      <sheetData sheetId="59" refreshError="1">
        <row r="4">
          <cell r="U4">
            <v>-4.0670500000705943</v>
          </cell>
        </row>
        <row r="9">
          <cell r="U9">
            <v>-0.5187999999980093</v>
          </cell>
        </row>
        <row r="27">
          <cell r="U27">
            <v>-3.3948420000670012</v>
          </cell>
        </row>
        <row r="32">
          <cell r="U32">
            <v>-4.1823960000547231</v>
          </cell>
        </row>
        <row r="63">
          <cell r="U63">
            <v>-3.5364999997837003</v>
          </cell>
        </row>
      </sheetData>
      <sheetData sheetId="60" refreshError="1">
        <row r="4">
          <cell r="U4">
            <v>2.0029499999363907</v>
          </cell>
        </row>
        <row r="9">
          <cell r="U9">
            <v>-3.0987999999924796</v>
          </cell>
        </row>
        <row r="27">
          <cell r="U27">
            <v>-3.5519120000681141</v>
          </cell>
        </row>
        <row r="32">
          <cell r="U32">
            <v>-1.342246000051091</v>
          </cell>
        </row>
        <row r="63">
          <cell r="U63">
            <v>-4.0664999997825362</v>
          </cell>
        </row>
      </sheetData>
      <sheetData sheetId="61" refreshError="1">
        <row r="4">
          <cell r="U4">
            <v>-2.2770500000624452</v>
          </cell>
        </row>
        <row r="9">
          <cell r="U9">
            <v>3.0112000000008265</v>
          </cell>
        </row>
        <row r="27">
          <cell r="U27">
            <v>1.9980879999639001</v>
          </cell>
        </row>
        <row r="32">
          <cell r="U32">
            <v>-2.2460000545834191E-3</v>
          </cell>
        </row>
        <row r="60">
          <cell r="U60">
            <v>-0.80649999977322295</v>
          </cell>
        </row>
      </sheetData>
      <sheetData sheetId="62" refreshError="1">
        <row r="4">
          <cell r="U4">
            <v>2.1029499999276595</v>
          </cell>
        </row>
        <row r="9">
          <cell r="U9">
            <v>1.9712000000035914</v>
          </cell>
        </row>
        <row r="27">
          <cell r="U27">
            <v>0.24808799996390007</v>
          </cell>
        </row>
        <row r="32">
          <cell r="U32">
            <v>-1.6622460000580759</v>
          </cell>
        </row>
        <row r="60">
          <cell r="U60">
            <v>-4.0164999997941777</v>
          </cell>
        </row>
      </sheetData>
      <sheetData sheetId="63" refreshError="1">
        <row r="4">
          <cell r="U4">
            <v>-2.2070500000700122</v>
          </cell>
        </row>
        <row r="9">
          <cell r="U9">
            <v>-0.52880000000004657</v>
          </cell>
        </row>
        <row r="27">
          <cell r="U27">
            <v>-4.3919120000209659</v>
          </cell>
        </row>
        <row r="32">
          <cell r="U32">
            <v>-2.6922460000569117</v>
          </cell>
        </row>
        <row r="66">
          <cell r="U66">
            <v>2.8335000002407469</v>
          </cell>
        </row>
      </sheetData>
      <sheetData sheetId="64" refreshError="1">
        <row r="4">
          <cell r="U4">
            <v>1.7629499999166001</v>
          </cell>
        </row>
        <row r="9">
          <cell r="U9">
            <v>0.15120000000752043</v>
          </cell>
        </row>
        <row r="27">
          <cell r="U27">
            <v>-3.5419120000151452</v>
          </cell>
        </row>
        <row r="32">
          <cell r="U32">
            <v>-2.272246000058658</v>
          </cell>
        </row>
        <row r="69">
          <cell r="U69">
            <v>-0.95649999976740219</v>
          </cell>
        </row>
      </sheetData>
      <sheetData sheetId="65" refreshError="1">
        <row r="4">
          <cell r="U4">
            <v>-1.457050000099116</v>
          </cell>
        </row>
        <row r="9">
          <cell r="U9">
            <v>-3.9587999999930616</v>
          </cell>
        </row>
        <row r="30">
          <cell r="U30">
            <v>7.8087999980198219E-2</v>
          </cell>
        </row>
        <row r="35">
          <cell r="U35">
            <v>1.3077539999358123</v>
          </cell>
        </row>
        <row r="75">
          <cell r="U75">
            <v>4.153500000218628</v>
          </cell>
        </row>
      </sheetData>
      <sheetData sheetId="66" refreshError="1">
        <row r="4">
          <cell r="U4">
            <v>3.2529499999072868</v>
          </cell>
        </row>
        <row r="9">
          <cell r="U9">
            <v>-2.2887999999875319</v>
          </cell>
        </row>
        <row r="30">
          <cell r="U30">
            <v>2.4980879999639001</v>
          </cell>
        </row>
        <row r="35">
          <cell r="U35">
            <v>1.4177539999363944</v>
          </cell>
        </row>
        <row r="78">
          <cell r="U78">
            <v>-1.3864999997604173</v>
          </cell>
        </row>
      </sheetData>
      <sheetData sheetId="67" refreshError="1"/>
      <sheetData sheetId="68" refreshError="1"/>
      <sheetData sheetId="69" refreshError="1">
        <row r="93">
          <cell r="D93">
            <v>63</v>
          </cell>
        </row>
        <row r="99">
          <cell r="D99">
            <v>540</v>
          </cell>
        </row>
        <row r="101">
          <cell r="D101">
            <v>91</v>
          </cell>
        </row>
        <row r="109">
          <cell r="D109">
            <v>144</v>
          </cell>
        </row>
        <row r="114">
          <cell r="D114">
            <v>12</v>
          </cell>
        </row>
        <row r="116">
          <cell r="D116">
            <v>7</v>
          </cell>
        </row>
        <row r="121">
          <cell r="D121">
            <v>3</v>
          </cell>
        </row>
        <row r="123">
          <cell r="D123">
            <v>4</v>
          </cell>
        </row>
        <row r="139">
          <cell r="D139">
            <v>28</v>
          </cell>
        </row>
        <row r="144">
          <cell r="D144">
            <v>1</v>
          </cell>
        </row>
        <row r="294">
          <cell r="D294">
            <v>8</v>
          </cell>
        </row>
        <row r="304">
          <cell r="D304">
            <v>3</v>
          </cell>
        </row>
      </sheetData>
      <sheetData sheetId="70" refreshError="1"/>
      <sheetData sheetId="71" refreshError="1"/>
      <sheetData sheetId="72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янв18"/>
      <sheetName val="фев18"/>
    </sheetNames>
    <sheetDataSet>
      <sheetData sheetId="0">
        <row r="11">
          <cell r="D11">
            <v>44</v>
          </cell>
        </row>
        <row r="15">
          <cell r="D15">
            <v>156.4</v>
          </cell>
        </row>
        <row r="16">
          <cell r="D16">
            <v>5214.7</v>
          </cell>
        </row>
        <row r="25">
          <cell r="D25">
            <v>4.4000000000000004</v>
          </cell>
        </row>
        <row r="26">
          <cell r="D26">
            <v>145</v>
          </cell>
        </row>
        <row r="37">
          <cell r="D37">
            <v>58.46</v>
          </cell>
        </row>
        <row r="41">
          <cell r="D41">
            <v>71.900000000000006</v>
          </cell>
        </row>
        <row r="42">
          <cell r="D42">
            <v>6720.7</v>
          </cell>
        </row>
        <row r="44">
          <cell r="D44">
            <v>29.23</v>
          </cell>
        </row>
        <row r="45">
          <cell r="D45">
            <v>2731.51</v>
          </cell>
        </row>
        <row r="47">
          <cell r="D47">
            <v>3.6</v>
          </cell>
        </row>
        <row r="48">
          <cell r="D48">
            <v>334.6</v>
          </cell>
        </row>
        <row r="57">
          <cell r="D57">
            <v>2.2000000000000002</v>
          </cell>
        </row>
        <row r="58">
          <cell r="D58">
            <v>206</v>
          </cell>
        </row>
        <row r="60">
          <cell r="D60">
            <v>2.04</v>
          </cell>
        </row>
        <row r="61">
          <cell r="D61">
            <v>190.5</v>
          </cell>
        </row>
        <row r="63">
          <cell r="D63">
            <v>2.7</v>
          </cell>
        </row>
        <row r="64">
          <cell r="D64">
            <v>252.2</v>
          </cell>
        </row>
        <row r="69">
          <cell r="D69">
            <v>3.32</v>
          </cell>
        </row>
        <row r="70">
          <cell r="D70">
            <v>310</v>
          </cell>
        </row>
        <row r="72">
          <cell r="D72">
            <v>1.33</v>
          </cell>
        </row>
        <row r="73">
          <cell r="D73">
            <v>124</v>
          </cell>
        </row>
        <row r="75">
          <cell r="D75">
            <v>1.63</v>
          </cell>
        </row>
        <row r="76">
          <cell r="D76">
            <v>152.1</v>
          </cell>
        </row>
        <row r="78">
          <cell r="D78">
            <v>5.03</v>
          </cell>
        </row>
        <row r="79">
          <cell r="D79">
            <v>470</v>
          </cell>
        </row>
        <row r="81">
          <cell r="D81">
            <v>1.64</v>
          </cell>
        </row>
        <row r="82">
          <cell r="D82">
            <v>153.4</v>
          </cell>
        </row>
        <row r="84">
          <cell r="D84">
            <v>1.88</v>
          </cell>
        </row>
        <row r="85">
          <cell r="D85">
            <v>176</v>
          </cell>
        </row>
        <row r="87">
          <cell r="D87">
            <v>0.15</v>
          </cell>
        </row>
        <row r="88">
          <cell r="D88">
            <v>14.2</v>
          </cell>
        </row>
        <row r="91">
          <cell r="D91">
            <v>19.100000000000001</v>
          </cell>
        </row>
        <row r="95">
          <cell r="D95">
            <v>1.8</v>
          </cell>
        </row>
        <row r="96">
          <cell r="D96">
            <v>167.1</v>
          </cell>
        </row>
        <row r="109">
          <cell r="D109">
            <v>111</v>
          </cell>
        </row>
        <row r="115">
          <cell r="D115">
            <v>32</v>
          </cell>
        </row>
        <row r="116">
          <cell r="D116">
            <v>13447</v>
          </cell>
        </row>
        <row r="120">
          <cell r="D120">
            <v>95</v>
          </cell>
        </row>
        <row r="121">
          <cell r="D121">
            <v>39720</v>
          </cell>
        </row>
        <row r="124">
          <cell r="D124">
            <v>6</v>
          </cell>
        </row>
        <row r="127">
          <cell r="D127">
            <v>5.8</v>
          </cell>
        </row>
        <row r="128">
          <cell r="D128">
            <v>2400</v>
          </cell>
        </row>
        <row r="131">
          <cell r="D131">
            <v>4</v>
          </cell>
        </row>
        <row r="134">
          <cell r="D134">
            <v>0.7</v>
          </cell>
        </row>
        <row r="135">
          <cell r="D135">
            <v>292</v>
          </cell>
        </row>
        <row r="142">
          <cell r="D142">
            <v>0.42</v>
          </cell>
        </row>
        <row r="143">
          <cell r="D143">
            <v>177</v>
          </cell>
        </row>
        <row r="145">
          <cell r="D145">
            <v>10</v>
          </cell>
        </row>
        <row r="146">
          <cell r="D146">
            <v>4221</v>
          </cell>
        </row>
        <row r="150">
          <cell r="D150">
            <v>34</v>
          </cell>
        </row>
        <row r="151">
          <cell r="D151">
            <v>14345</v>
          </cell>
        </row>
        <row r="155">
          <cell r="D155">
            <v>0.1</v>
          </cell>
        </row>
        <row r="156">
          <cell r="D156">
            <v>55</v>
          </cell>
        </row>
        <row r="158">
          <cell r="D158">
            <v>0.3</v>
          </cell>
        </row>
        <row r="159">
          <cell r="D159">
            <v>127</v>
          </cell>
        </row>
        <row r="161">
          <cell r="D161">
            <v>1.1000000000000001</v>
          </cell>
        </row>
        <row r="162">
          <cell r="D162">
            <v>468</v>
          </cell>
        </row>
        <row r="164">
          <cell r="D164">
            <v>1.5</v>
          </cell>
        </row>
        <row r="165">
          <cell r="D165">
            <v>641</v>
          </cell>
        </row>
        <row r="167">
          <cell r="D167">
            <v>1.9</v>
          </cell>
        </row>
        <row r="168">
          <cell r="D168">
            <v>785</v>
          </cell>
        </row>
        <row r="172">
          <cell r="D172">
            <v>3.6</v>
          </cell>
        </row>
        <row r="173">
          <cell r="D173">
            <v>1499</v>
          </cell>
        </row>
        <row r="175">
          <cell r="D175">
            <v>0.4</v>
          </cell>
        </row>
        <row r="176">
          <cell r="D176">
            <v>147</v>
          </cell>
        </row>
        <row r="178">
          <cell r="D178">
            <v>0.8</v>
          </cell>
        </row>
        <row r="179">
          <cell r="D179">
            <v>334</v>
          </cell>
        </row>
        <row r="184">
          <cell r="D184">
            <v>0.03</v>
          </cell>
        </row>
        <row r="185">
          <cell r="D185">
            <v>11</v>
          </cell>
        </row>
        <row r="187">
          <cell r="D187">
            <v>2.2000000000000002</v>
          </cell>
        </row>
        <row r="188">
          <cell r="D188">
            <v>909</v>
          </cell>
        </row>
        <row r="190">
          <cell r="D190">
            <v>2.2000000000000002</v>
          </cell>
        </row>
        <row r="191">
          <cell r="D191">
            <v>910</v>
          </cell>
        </row>
        <row r="193">
          <cell r="D193">
            <v>0.1</v>
          </cell>
        </row>
        <row r="194">
          <cell r="D194">
            <v>48</v>
          </cell>
        </row>
        <row r="196">
          <cell r="D196">
            <v>0.3</v>
          </cell>
        </row>
        <row r="197">
          <cell r="D197">
            <v>145</v>
          </cell>
        </row>
        <row r="199">
          <cell r="D199">
            <v>4.4000000000000004</v>
          </cell>
        </row>
        <row r="200">
          <cell r="D200">
            <v>1846</v>
          </cell>
        </row>
        <row r="214">
          <cell r="D214">
            <v>2</v>
          </cell>
        </row>
        <row r="218">
          <cell r="D218">
            <v>337</v>
          </cell>
        </row>
        <row r="219">
          <cell r="D219">
            <v>7608</v>
          </cell>
        </row>
        <row r="222">
          <cell r="D222">
            <v>30</v>
          </cell>
        </row>
        <row r="226">
          <cell r="D226">
            <v>267</v>
          </cell>
        </row>
        <row r="227">
          <cell r="D227">
            <v>6021</v>
          </cell>
        </row>
        <row r="232">
          <cell r="D232">
            <v>12</v>
          </cell>
        </row>
        <row r="235">
          <cell r="D235">
            <v>126</v>
          </cell>
        </row>
        <row r="236">
          <cell r="D236">
            <v>2854</v>
          </cell>
        </row>
        <row r="239">
          <cell r="D239">
            <v>4</v>
          </cell>
        </row>
        <row r="243">
          <cell r="D243">
            <v>115</v>
          </cell>
        </row>
        <row r="244">
          <cell r="D244">
            <v>2590</v>
          </cell>
        </row>
        <row r="254">
          <cell r="D254">
            <v>29.46</v>
          </cell>
        </row>
        <row r="255">
          <cell r="D255">
            <v>665</v>
          </cell>
        </row>
        <row r="259">
          <cell r="D259">
            <v>36</v>
          </cell>
        </row>
        <row r="260">
          <cell r="D260">
            <v>809</v>
          </cell>
        </row>
        <row r="263">
          <cell r="D263">
            <v>0</v>
          </cell>
        </row>
        <row r="266">
          <cell r="D266">
            <v>21</v>
          </cell>
        </row>
        <row r="267">
          <cell r="D267">
            <v>473</v>
          </cell>
        </row>
        <row r="269">
          <cell r="D269">
            <v>12</v>
          </cell>
        </row>
        <row r="270">
          <cell r="D270">
            <v>261</v>
          </cell>
        </row>
        <row r="273">
          <cell r="D273">
            <v>33</v>
          </cell>
        </row>
        <row r="274">
          <cell r="D274">
            <v>737</v>
          </cell>
        </row>
        <row r="277">
          <cell r="D277">
            <v>19.8</v>
          </cell>
        </row>
        <row r="278">
          <cell r="D278">
            <v>446</v>
          </cell>
        </row>
        <row r="285">
          <cell r="D285">
            <v>20</v>
          </cell>
        </row>
        <row r="286">
          <cell r="D286">
            <v>453</v>
          </cell>
        </row>
        <row r="288">
          <cell r="D288">
            <v>18</v>
          </cell>
        </row>
        <row r="289">
          <cell r="D289">
            <v>398</v>
          </cell>
        </row>
        <row r="291">
          <cell r="D291">
            <v>0</v>
          </cell>
        </row>
        <row r="292">
          <cell r="D292">
            <v>0</v>
          </cell>
        </row>
        <row r="294">
          <cell r="D294">
            <v>8</v>
          </cell>
        </row>
        <row r="295">
          <cell r="D295">
            <v>178</v>
          </cell>
        </row>
        <row r="297">
          <cell r="D297">
            <v>1</v>
          </cell>
        </row>
        <row r="298">
          <cell r="D298">
            <v>15</v>
          </cell>
        </row>
        <row r="306">
          <cell r="D306">
            <v>78.87</v>
          </cell>
        </row>
        <row r="307">
          <cell r="D307">
            <v>2279.4299999999998</v>
          </cell>
        </row>
        <row r="313">
          <cell r="D313">
            <v>65.5</v>
          </cell>
        </row>
        <row r="314">
          <cell r="D314">
            <v>1893.1</v>
          </cell>
        </row>
        <row r="316">
          <cell r="D316">
            <v>14.1</v>
          </cell>
        </row>
        <row r="317">
          <cell r="D317">
            <v>408</v>
          </cell>
        </row>
        <row r="320">
          <cell r="D320">
            <v>84.09</v>
          </cell>
        </row>
        <row r="321">
          <cell r="D321">
            <v>2431.5100000000002</v>
          </cell>
        </row>
        <row r="323">
          <cell r="D323">
            <v>7.5</v>
          </cell>
        </row>
        <row r="324">
          <cell r="D324">
            <v>216.7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03"/>
  <sheetViews>
    <sheetView topLeftCell="A81" zoomScale="90" zoomScaleNormal="90" workbookViewId="0">
      <selection activeCell="E116" sqref="E11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1.4257812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+[1]дек16!U4</f>
        <v>0.89294999993580859</v>
      </c>
      <c r="D4" s="20">
        <v>70</v>
      </c>
      <c r="E4" s="21">
        <v>32.332000000000001</v>
      </c>
      <c r="F4" s="21">
        <v>37.889800000000001</v>
      </c>
      <c r="G4" s="22">
        <f>ROUND(D4*(E4+F4),2)</f>
        <v>4915.53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100957</v>
      </c>
      <c r="M4" s="26">
        <v>100961.96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-4.0670500000705943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27</v>
      </c>
      <c r="D6" s="49">
        <v>16237</v>
      </c>
      <c r="E6" s="41">
        <f>5.6669-5.8331</f>
        <v>-0.1661999999999999</v>
      </c>
      <c r="F6" s="41">
        <f>+E6</f>
        <v>-0.1661999999999999</v>
      </c>
      <c r="G6" s="50">
        <f>ROUND(D6*E6,2)</f>
        <v>-2698.59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28</v>
      </c>
      <c r="D7" s="49">
        <v>507.2</v>
      </c>
      <c r="E7" s="41">
        <v>5.6669</v>
      </c>
      <c r="F7" s="41">
        <f>+E7</f>
        <v>5.6669</v>
      </c>
      <c r="G7" s="50">
        <f>ROUND(D7*E7,2)</f>
        <v>2874.25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54" t="s">
        <v>29</v>
      </c>
      <c r="D8" s="55">
        <v>16916.8</v>
      </c>
      <c r="E8" s="56">
        <v>5.6669</v>
      </c>
      <c r="F8" s="57">
        <f>+E8</f>
        <v>5.6669</v>
      </c>
      <c r="G8" s="58">
        <f>ROUND(D8*E8,2)</f>
        <v>95865.81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95865.81</v>
      </c>
      <c r="R8" s="66" t="s">
        <v>25</v>
      </c>
      <c r="S8" s="67">
        <f>SUM(O4:O8)</f>
        <v>0</v>
      </c>
      <c r="T8" s="68">
        <f>SUM(Q4:Q8)</f>
        <v>95865.81</v>
      </c>
    </row>
    <row r="9" spans="1:21" s="81" customFormat="1">
      <c r="A9" s="69" t="s">
        <v>30</v>
      </c>
      <c r="B9" s="70" t="s">
        <v>31</v>
      </c>
      <c r="C9" s="71">
        <f>+[1]дек16!U9</f>
        <v>-4.6987999999910244</v>
      </c>
      <c r="D9" s="72">
        <v>62</v>
      </c>
      <c r="E9" s="21">
        <v>32.332000000000001</v>
      </c>
      <c r="F9" s="21">
        <v>37.889800000000001</v>
      </c>
      <c r="G9" s="22">
        <f>ROUND(D9*(E9+F9),2)</f>
        <v>4353.75</v>
      </c>
      <c r="H9" s="72"/>
      <c r="I9" s="21">
        <v>4.5999999999999996</v>
      </c>
      <c r="J9" s="73">
        <f>+H9*I9</f>
        <v>0</v>
      </c>
      <c r="K9" s="24"/>
      <c r="L9" s="74">
        <f>SUM(G9:G16,J9:J15)</f>
        <v>45243.399999999994</v>
      </c>
      <c r="M9" s="26">
        <v>45239.22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-0.5187999999980093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46</v>
      </c>
      <c r="E11" s="101">
        <v>344.19</v>
      </c>
      <c r="F11" s="38">
        <v>37.889800000000001</v>
      </c>
      <c r="G11" s="39">
        <f>ROUND(D11*(E11+F11),2)</f>
        <v>17575.669999999998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39</v>
      </c>
      <c r="E12" s="41">
        <f>344.19-406.32</f>
        <v>-62.129999999999995</v>
      </c>
      <c r="F12" s="38"/>
      <c r="G12" s="50">
        <f>+D12*(E12+F12)</f>
        <v>-2423.0699999999997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27</v>
      </c>
      <c r="D14" s="49">
        <v>4547</v>
      </c>
      <c r="E14" s="41">
        <f>5.6669-5.8331</f>
        <v>-0.1661999999999999</v>
      </c>
      <c r="F14" s="41">
        <f>+E14</f>
        <v>-0.1661999999999999</v>
      </c>
      <c r="G14" s="50">
        <f>ROUND(D14*E14*70%+D14*F14*30%,2)</f>
        <v>-755.71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28</v>
      </c>
      <c r="D15" s="49">
        <v>136.69999999999999</v>
      </c>
      <c r="E15" s="41">
        <v>5.6669</v>
      </c>
      <c r="F15" s="41">
        <f>+E15</f>
        <v>5.6669</v>
      </c>
      <c r="G15" s="50">
        <f>ROUND(D15*E15*70%+D15*F15*30%,2)</f>
        <v>774.67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107" t="s">
        <v>29</v>
      </c>
      <c r="D16" s="108">
        <v>4538.3</v>
      </c>
      <c r="E16" s="56">
        <v>5.6669</v>
      </c>
      <c r="F16" s="109">
        <f>+E16</f>
        <v>5.6669</v>
      </c>
      <c r="G16" s="110">
        <f>ROUND(D16*E16*70%+D16*F16*30%,2)</f>
        <v>25718.09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/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182" t="s">
        <v>45</v>
      </c>
      <c r="B27" s="183" t="s">
        <v>46</v>
      </c>
      <c r="C27" s="71">
        <f>+[1]дек16!U27</f>
        <v>0.22515799992834218</v>
      </c>
      <c r="D27" s="184">
        <v>39.64</v>
      </c>
      <c r="E27" s="21">
        <v>32.332000000000001</v>
      </c>
      <c r="F27" s="21">
        <v>37.889800000000001</v>
      </c>
      <c r="G27" s="185">
        <f>ROUND(D27*(E27+F27),2)</f>
        <v>2783.59</v>
      </c>
      <c r="H27" s="184"/>
      <c r="I27" s="186">
        <v>165.7664</v>
      </c>
      <c r="J27" s="23">
        <f>H27*I27</f>
        <v>0</v>
      </c>
      <c r="K27" s="24"/>
      <c r="L27" s="25">
        <f>SUM(G27:G31)+J27+J29</f>
        <v>142342.97</v>
      </c>
      <c r="M27" s="187">
        <v>142346.59</v>
      </c>
      <c r="N27" s="188"/>
      <c r="O27" s="23">
        <v>3998.87</v>
      </c>
      <c r="P27" s="189" t="s">
        <v>47</v>
      </c>
      <c r="Q27" s="23">
        <f t="shared" ref="Q27:Q32" si="0">C27+G27+J27-M27-N27-O27</f>
        <v>-143561.64484200007</v>
      </c>
      <c r="R27" s="190" t="s">
        <v>48</v>
      </c>
      <c r="S27" s="176"/>
      <c r="U27" s="33">
        <f>+C27+L27-M27</f>
        <v>-3.3948420000670012</v>
      </c>
    </row>
    <row r="28" spans="1:21">
      <c r="A28" s="191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195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191"/>
      <c r="B29" s="192"/>
      <c r="C29" s="48" t="s">
        <v>27</v>
      </c>
      <c r="D29" s="49">
        <v>24580</v>
      </c>
      <c r="E29" s="41">
        <f>5.6669-5.8331</f>
        <v>-0.1661999999999999</v>
      </c>
      <c r="F29" s="41">
        <f>+E29</f>
        <v>-0.1661999999999999</v>
      </c>
      <c r="G29" s="50">
        <f>ROUND(D29*F29,2)</f>
        <v>-4085.2</v>
      </c>
      <c r="H29" s="193"/>
      <c r="I29" s="194"/>
      <c r="J29" s="194"/>
      <c r="K29" s="195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191"/>
      <c r="B30" s="192"/>
      <c r="C30" s="48" t="s">
        <v>28</v>
      </c>
      <c r="D30" s="49">
        <v>268</v>
      </c>
      <c r="E30" s="41">
        <v>5.6669</v>
      </c>
      <c r="F30" s="41">
        <f>+E30</f>
        <v>5.6669</v>
      </c>
      <c r="G30" s="50">
        <f>ROUND(D30*E30,2)</f>
        <v>1518.73</v>
      </c>
      <c r="H30" s="193"/>
      <c r="I30" s="194"/>
      <c r="J30" s="194"/>
      <c r="K30" s="195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201"/>
      <c r="B31" s="202" t="s">
        <v>49</v>
      </c>
      <c r="C31" s="54" t="s">
        <v>29</v>
      </c>
      <c r="D31" s="55">
        <v>25080</v>
      </c>
      <c r="E31" s="56">
        <v>5.6669</v>
      </c>
      <c r="F31" s="57">
        <f>+E31</f>
        <v>5.6669</v>
      </c>
      <c r="G31" s="58">
        <f>ROUND(D31*E31,2)</f>
        <v>142125.85</v>
      </c>
      <c r="H31" s="59"/>
      <c r="I31" s="60"/>
      <c r="J31" s="60"/>
      <c r="K31" s="203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73415.840000000011</v>
      </c>
      <c r="R31" s="209" t="s">
        <v>50</v>
      </c>
      <c r="S31" s="210">
        <f>SUM(O27:O31)</f>
        <v>72708.87999999999</v>
      </c>
      <c r="T31" s="210">
        <f>SUM(Q27:Q31)</f>
        <v>-70145.804842000056</v>
      </c>
    </row>
    <row r="32" spans="1:21">
      <c r="A32" s="211" t="s">
        <v>51</v>
      </c>
      <c r="B32" s="212" t="s">
        <v>52</v>
      </c>
      <c r="C32" s="71">
        <f>+[1]дек16!U32</f>
        <v>3.0876039999493514</v>
      </c>
      <c r="D32" s="213">
        <v>62.99</v>
      </c>
      <c r="E32" s="21">
        <v>32.332000000000001</v>
      </c>
      <c r="F32" s="21">
        <v>37.889800000000001</v>
      </c>
      <c r="G32" s="214">
        <f>ROUND(D32*(E32+F32),2)</f>
        <v>4423.2700000000004</v>
      </c>
      <c r="H32" s="213"/>
      <c r="I32">
        <f>ROUND(29886.03/180.29,4)</f>
        <v>165.7664</v>
      </c>
      <c r="J32" s="215">
        <f t="shared" ref="J32" si="1">H32*I32</f>
        <v>0</v>
      </c>
      <c r="K32" s="24"/>
      <c r="L32" s="216">
        <f>SUM(G32:G39)+SUM(J32:J39)</f>
        <v>48933.63</v>
      </c>
      <c r="M32" s="187">
        <v>48940.9</v>
      </c>
      <c r="N32" s="188"/>
      <c r="O32" s="217">
        <v>4253.6899999999996</v>
      </c>
      <c r="P32" s="218" t="s">
        <v>47</v>
      </c>
      <c r="Q32" s="219">
        <f t="shared" si="0"/>
        <v>-48768.23239600005</v>
      </c>
      <c r="R32" s="220" t="s">
        <v>53</v>
      </c>
      <c r="S32" s="221"/>
      <c r="T32" s="222"/>
      <c r="U32" s="33">
        <f>+C32+L32-M32</f>
        <v>-4.1823960000547231</v>
      </c>
    </row>
    <row r="33" spans="1:21">
      <c r="A33" s="223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223"/>
      <c r="B34" s="98" t="s">
        <v>32</v>
      </c>
      <c r="C34" s="99" t="s">
        <v>33</v>
      </c>
      <c r="D34" s="234">
        <v>55.71</v>
      </c>
      <c r="E34" s="101">
        <v>177.3</v>
      </c>
      <c r="F34" s="38">
        <v>37.889800000000001</v>
      </c>
      <c r="G34" s="235">
        <f>ROUND(D34*(E34+F34),2)</f>
        <v>11988.22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6531.619999999999</v>
      </c>
      <c r="R34" s="232"/>
      <c r="S34" s="233"/>
      <c r="T34" s="224"/>
    </row>
    <row r="35" spans="1:21">
      <c r="A35" s="223"/>
      <c r="B35" s="224" t="s">
        <v>33</v>
      </c>
      <c r="C35" s="239" t="s">
        <v>26</v>
      </c>
      <c r="D35" s="234">
        <v>60.05</v>
      </c>
      <c r="E35" s="240">
        <f>177.3-155.35</f>
        <v>21.950000000000017</v>
      </c>
      <c r="F35" s="240"/>
      <c r="G35" s="235">
        <f>+ROUND(D35*E35,2)</f>
        <v>1318.1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223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223"/>
      <c r="B37" s="224"/>
      <c r="C37" s="48" t="s">
        <v>27</v>
      </c>
      <c r="D37" s="49">
        <v>5477</v>
      </c>
      <c r="E37" s="41">
        <f>5.6669-5.8331</f>
        <v>-0.1661999999999999</v>
      </c>
      <c r="F37" s="41">
        <f>+E37</f>
        <v>-0.1661999999999999</v>
      </c>
      <c r="G37" s="50">
        <f>ROUND(D37*E37,2)</f>
        <v>-910.28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223"/>
      <c r="B38" s="224"/>
      <c r="C38" s="48" t="s">
        <v>28</v>
      </c>
      <c r="D38" s="49">
        <v>60</v>
      </c>
      <c r="E38" s="41">
        <v>5.6669</v>
      </c>
      <c r="F38" s="41">
        <f>+E38</f>
        <v>5.6669</v>
      </c>
      <c r="G38" s="50">
        <f>ROUND(D38*E38,2)</f>
        <v>340.01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244"/>
      <c r="B39" s="245"/>
      <c r="C39" s="54" t="s">
        <v>29</v>
      </c>
      <c r="D39" s="246">
        <v>5607</v>
      </c>
      <c r="E39" s="56">
        <v>5.6669</v>
      </c>
      <c r="F39" s="57">
        <f>+E39</f>
        <v>5.6669</v>
      </c>
      <c r="G39" s="247">
        <f>ROUND(D39*E39*70%+D39*F39*30%,2)</f>
        <v>31774.31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15996.410000000002</v>
      </c>
      <c r="R39" s="255" t="s">
        <v>54</v>
      </c>
      <c r="S39" s="256">
        <f>SUM(O32:O39)</f>
        <v>25488.190000000002</v>
      </c>
      <c r="T39" s="256">
        <f>SUM(Q32:Q39)</f>
        <v>-26240.202396000052</v>
      </c>
    </row>
    <row r="40" spans="1:21" ht="15.75">
      <c r="A40" s="257"/>
      <c r="B40" s="258" t="s">
        <v>55</v>
      </c>
      <c r="C40" s="48" t="s">
        <v>27</v>
      </c>
      <c r="D40" s="259">
        <v>1696.05</v>
      </c>
      <c r="E40" s="41">
        <f>5.6669-5.8331</f>
        <v>-0.1661999999999999</v>
      </c>
      <c r="F40" s="23">
        <f t="shared" ref="F40:F50" si="2">+E40</f>
        <v>-0.1661999999999999</v>
      </c>
      <c r="G40" s="214">
        <f t="shared" ref="G40:G45" si="3">ROUND(D40*E40,2)</f>
        <v>-281.88</v>
      </c>
      <c r="H40" s="260"/>
      <c r="I40" s="261"/>
      <c r="J40" s="261"/>
      <c r="K40" s="262"/>
      <c r="L40" s="263">
        <f>SUM(G40:G42)</f>
        <v>10497.7</v>
      </c>
      <c r="M40" s="187">
        <v>10497.7</v>
      </c>
      <c r="N40" s="264"/>
      <c r="O40" s="229"/>
      <c r="P40" s="265"/>
      <c r="Q40" s="229"/>
      <c r="R40" s="242"/>
      <c r="S40" s="266"/>
      <c r="T40" s="266"/>
    </row>
    <row r="41" spans="1:21" ht="15.75">
      <c r="A41" s="267"/>
      <c r="B41" s="268"/>
      <c r="C41" s="48" t="s">
        <v>28</v>
      </c>
      <c r="D41" s="269">
        <v>20.14</v>
      </c>
      <c r="E41" s="41">
        <v>5.6669</v>
      </c>
      <c r="F41" s="41">
        <f t="shared" si="2"/>
        <v>5.6669</v>
      </c>
      <c r="G41" s="235">
        <f>ROUND(D41*E41,2)</f>
        <v>114.13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276"/>
      <c r="B42" s="277"/>
      <c r="C42" s="278"/>
      <c r="D42" s="279">
        <v>1882.06</v>
      </c>
      <c r="E42" s="56">
        <v>5.6669</v>
      </c>
      <c r="F42" s="57">
        <f t="shared" si="2"/>
        <v>5.6669</v>
      </c>
      <c r="G42" s="247">
        <f t="shared" si="3"/>
        <v>10665.45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285"/>
      <c r="B43" s="258" t="s">
        <v>56</v>
      </c>
      <c r="C43" s="48" t="s">
        <v>27</v>
      </c>
      <c r="D43" s="259">
        <v>461</v>
      </c>
      <c r="E43" s="41">
        <f>5.6669-5.8331</f>
        <v>-0.1661999999999999</v>
      </c>
      <c r="F43" s="23">
        <f t="shared" si="2"/>
        <v>-0.1661999999999999</v>
      </c>
      <c r="G43" s="214">
        <f>ROUND(D43*E43,2)-0.01</f>
        <v>-76.63000000000001</v>
      </c>
      <c r="H43" s="260"/>
      <c r="I43" s="261"/>
      <c r="J43" s="261"/>
      <c r="K43" s="262"/>
      <c r="L43" s="286">
        <f>SUM(G43:G45)</f>
        <v>1691.4499999999998</v>
      </c>
      <c r="M43" s="227">
        <v>1691.45</v>
      </c>
      <c r="N43" s="264"/>
      <c r="O43" s="229"/>
      <c r="P43" s="265"/>
      <c r="Q43" s="229"/>
      <c r="R43" s="287"/>
      <c r="S43" s="288"/>
      <c r="T43" s="288"/>
    </row>
    <row r="44" spans="1:21" ht="15.75">
      <c r="A44" s="289"/>
      <c r="B44" s="268"/>
      <c r="C44" s="48" t="s">
        <v>28</v>
      </c>
      <c r="D44" s="269">
        <v>3.4</v>
      </c>
      <c r="E44" s="41">
        <v>5.6669</v>
      </c>
      <c r="F44" s="41">
        <f t="shared" si="2"/>
        <v>5.6669</v>
      </c>
      <c r="G44" s="235">
        <f>ROUND(D44*E44,2)</f>
        <v>19.27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290"/>
      <c r="B45" s="277"/>
      <c r="C45" s="54" t="s">
        <v>29</v>
      </c>
      <c r="D45" s="279">
        <v>308.60000000000002</v>
      </c>
      <c r="E45" s="56">
        <v>5.6669</v>
      </c>
      <c r="F45" s="57">
        <f t="shared" si="2"/>
        <v>5.6669</v>
      </c>
      <c r="G45" s="247">
        <f t="shared" si="3"/>
        <v>1748.81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285"/>
      <c r="B46" s="291" t="s">
        <v>57</v>
      </c>
      <c r="C46" s="292"/>
      <c r="D46" s="259">
        <v>0.8</v>
      </c>
      <c r="E46" s="21">
        <v>32.332000000000001</v>
      </c>
      <c r="F46" s="21">
        <v>37.889800000000001</v>
      </c>
      <c r="G46" s="214">
        <f>ROUND(D46*(E46+F46),2)</f>
        <v>56.18</v>
      </c>
      <c r="H46" s="213"/>
      <c r="I46">
        <f>ROUND(29886.03/180.29,4)</f>
        <v>165.7664</v>
      </c>
      <c r="J46" s="215">
        <f t="shared" ref="J46" si="4">H46*I46</f>
        <v>0</v>
      </c>
      <c r="K46" s="293"/>
      <c r="L46" s="294">
        <f>SUM(G46:G50)+J46+J48</f>
        <v>1271.95</v>
      </c>
      <c r="M46" s="227">
        <v>1271.95</v>
      </c>
      <c r="N46" s="264"/>
      <c r="O46" s="229"/>
      <c r="P46" s="265"/>
      <c r="Q46" s="229"/>
      <c r="R46" s="242"/>
      <c r="S46" s="266"/>
      <c r="T46" s="266"/>
    </row>
    <row r="47" spans="1:21" ht="15.75">
      <c r="A47" s="289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295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289"/>
      <c r="B48" s="268"/>
      <c r="C48" s="48" t="s">
        <v>27</v>
      </c>
      <c r="D48" s="296">
        <v>223.7</v>
      </c>
      <c r="E48" s="41">
        <f>5.6669-5.8331</f>
        <v>-0.1661999999999999</v>
      </c>
      <c r="F48" s="297">
        <f t="shared" si="2"/>
        <v>-0.1661999999999999</v>
      </c>
      <c r="G48" s="235">
        <f>ROUND(D48*E48,2)</f>
        <v>-37.18</v>
      </c>
      <c r="H48" s="270"/>
      <c r="I48" s="41"/>
      <c r="J48" s="41"/>
      <c r="K48" s="271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5.75">
      <c r="A49" s="289"/>
      <c r="B49" s="268"/>
      <c r="C49" s="48" t="s">
        <v>28</v>
      </c>
      <c r="D49" s="269">
        <v>2.2999999999999998</v>
      </c>
      <c r="E49" s="41">
        <v>5.6669</v>
      </c>
      <c r="F49" s="298">
        <f t="shared" si="2"/>
        <v>5.6669</v>
      </c>
      <c r="G49" s="235">
        <f>ROUND(D49*E49,2)</f>
        <v>13.03</v>
      </c>
      <c r="H49" s="270"/>
      <c r="I49" s="41"/>
      <c r="J49" s="41"/>
      <c r="K49" s="271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1" ht="16.5" thickBot="1">
      <c r="A50" s="290"/>
      <c r="B50" s="277"/>
      <c r="C50" s="54" t="s">
        <v>29</v>
      </c>
      <c r="D50" s="279">
        <v>218.8</v>
      </c>
      <c r="E50" s="56">
        <v>5.6669</v>
      </c>
      <c r="F50" s="57">
        <f t="shared" si="2"/>
        <v>5.6669</v>
      </c>
      <c r="G50" s="247">
        <f>ROUND(D50*E50,2)</f>
        <v>1239.92</v>
      </c>
      <c r="H50" s="280"/>
      <c r="I50" s="281"/>
      <c r="J50" s="281"/>
      <c r="K50" s="2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1" ht="15.75">
      <c r="A51" s="299"/>
      <c r="B51" s="258" t="s">
        <v>58</v>
      </c>
      <c r="C51" s="48" t="s">
        <v>59</v>
      </c>
      <c r="D51" s="259">
        <v>0.35</v>
      </c>
      <c r="E51" s="21">
        <v>32.332000000000001</v>
      </c>
      <c r="F51" s="21">
        <v>37.889800000000001</v>
      </c>
      <c r="G51" s="214">
        <f>ROUND(D51*(E51+F51),2)</f>
        <v>24.58</v>
      </c>
      <c r="H51" s="213"/>
      <c r="I51">
        <f>ROUND(29886.03/180.29,4)</f>
        <v>165.7664</v>
      </c>
      <c r="J51" s="215">
        <f t="shared" ref="J51" si="5">H51*I51</f>
        <v>0</v>
      </c>
      <c r="K51" s="293"/>
      <c r="L51" s="294">
        <f>SUM(G51:G55)+J51+J53</f>
        <v>1249.08</v>
      </c>
      <c r="M51" s="227">
        <v>1249.08</v>
      </c>
      <c r="N51" s="264"/>
      <c r="O51" s="229"/>
      <c r="P51" s="265"/>
      <c r="Q51" s="229"/>
      <c r="R51" s="242"/>
      <c r="S51" s="266"/>
      <c r="T51" s="266"/>
    </row>
    <row r="52" spans="1:21" ht="15.75">
      <c r="A52" s="300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1">
      <c r="A53" s="300"/>
      <c r="B53" s="268"/>
      <c r="C53" s="48" t="s">
        <v>27</v>
      </c>
      <c r="D53" s="296">
        <v>283.7</v>
      </c>
      <c r="E53" s="41">
        <f>5.6669-5.8331</f>
        <v>-0.1661999999999999</v>
      </c>
      <c r="F53" s="41">
        <f>+E53</f>
        <v>-0.1661999999999999</v>
      </c>
      <c r="G53" s="235">
        <f>ROUND(D53*E53,2)</f>
        <v>-47.15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5.75">
      <c r="A54" s="300"/>
      <c r="B54" s="268"/>
      <c r="C54" s="48" t="s">
        <v>28</v>
      </c>
      <c r="D54" s="269">
        <v>2.4</v>
      </c>
      <c r="E54" s="41">
        <v>5.6669</v>
      </c>
      <c r="F54" s="41">
        <f>+E54</f>
        <v>5.6669</v>
      </c>
      <c r="G54" s="235">
        <f>ROUND(D54*E54,2)</f>
        <v>13.6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1" ht="16.5" thickBot="1">
      <c r="A55" s="301"/>
      <c r="B55" s="277"/>
      <c r="C55" s="54" t="s">
        <v>29</v>
      </c>
      <c r="D55" s="279">
        <v>222</v>
      </c>
      <c r="E55" s="56">
        <v>5.6669</v>
      </c>
      <c r="F55" s="57">
        <f>+E55</f>
        <v>5.6669</v>
      </c>
      <c r="G55" s="247">
        <f>ROUND(D55*E55,2)</f>
        <v>1258.05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1" ht="15.75">
      <c r="A56" s="302"/>
      <c r="B56" s="258" t="s">
        <v>38</v>
      </c>
      <c r="C56" s="48" t="s">
        <v>27</v>
      </c>
      <c r="D56" s="259"/>
      <c r="E56" s="41">
        <f>5.6669-5.8331</f>
        <v>-0.1661999999999999</v>
      </c>
      <c r="F56" s="23">
        <f t="shared" ref="F56:F58" si="6">+E56</f>
        <v>-0.1661999999999999</v>
      </c>
      <c r="G56" s="214">
        <f t="shared" ref="G56" si="7">ROUND(D56*E56,2)</f>
        <v>0</v>
      </c>
      <c r="H56" s="303"/>
      <c r="I56" s="23"/>
      <c r="J56" s="23"/>
      <c r="K56" s="304"/>
      <c r="L56" s="263">
        <f>SUM(G56:G58)</f>
        <v>0</v>
      </c>
      <c r="M56" s="187"/>
      <c r="N56" s="264"/>
      <c r="O56" s="229"/>
      <c r="P56" s="265"/>
      <c r="Q56" s="229"/>
      <c r="R56" s="242"/>
      <c r="S56" s="266"/>
      <c r="T56" s="266"/>
    </row>
    <row r="57" spans="1:21" ht="15.75">
      <c r="A57" s="305"/>
      <c r="B57" s="268"/>
      <c r="C57" s="48" t="s">
        <v>28</v>
      </c>
      <c r="D57" s="269"/>
      <c r="E57" s="41">
        <v>5.6669</v>
      </c>
      <c r="F57" s="41">
        <f t="shared" si="6"/>
        <v>5.6669</v>
      </c>
      <c r="G57" s="235">
        <f>ROUND(D57*E57,2)</f>
        <v>0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1" ht="16.5" thickBot="1">
      <c r="A58" s="306"/>
      <c r="B58" s="307"/>
      <c r="C58" s="107" t="s">
        <v>29</v>
      </c>
      <c r="D58" s="308"/>
      <c r="E58" s="56">
        <v>5.6669</v>
      </c>
      <c r="F58" s="109">
        <f t="shared" si="6"/>
        <v>5.6669</v>
      </c>
      <c r="G58" s="309">
        <f>ROUND(D58*E58,2)</f>
        <v>0</v>
      </c>
      <c r="H58" s="310"/>
      <c r="I58" s="311"/>
      <c r="J58" s="311"/>
      <c r="K58" s="312"/>
      <c r="L58" s="313"/>
      <c r="M58" s="314"/>
      <c r="N58" s="315"/>
      <c r="O58" s="316"/>
      <c r="P58" s="317"/>
      <c r="Q58" s="316"/>
      <c r="R58" s="318"/>
      <c r="S58" s="319"/>
      <c r="T58" s="266"/>
    </row>
    <row r="59" spans="1:21" ht="16.5" thickTop="1">
      <c r="A59" s="320"/>
      <c r="B59" s="321"/>
      <c r="C59" s="322"/>
      <c r="D59" s="323"/>
      <c r="E59" s="163"/>
      <c r="F59" s="324"/>
      <c r="G59" s="325"/>
      <c r="H59" s="163"/>
      <c r="I59" s="163"/>
      <c r="J59" s="163"/>
      <c r="K59" s="163"/>
      <c r="L59" s="163"/>
      <c r="M59" s="326"/>
      <c r="N59" s="327"/>
      <c r="O59" s="328"/>
      <c r="P59" s="329"/>
      <c r="Q59" s="328"/>
      <c r="R59" s="330"/>
      <c r="S59" s="331"/>
      <c r="T59" s="266"/>
    </row>
    <row r="60" spans="1:21" ht="21.75" thickBot="1">
      <c r="A60" s="171" t="s">
        <v>60</v>
      </c>
      <c r="B60" s="2"/>
      <c r="C60" s="3"/>
      <c r="D60" s="2"/>
      <c r="E60" s="2"/>
      <c r="F60" s="2"/>
      <c r="G60" s="332"/>
      <c r="H60" s="332"/>
      <c r="I60" s="332"/>
      <c r="J60" s="2"/>
      <c r="K60" s="2"/>
      <c r="L60" s="2"/>
      <c r="M60" s="3"/>
      <c r="N60" s="2"/>
      <c r="O60" s="2"/>
      <c r="P60" s="2"/>
      <c r="Q60" s="2"/>
      <c r="R60" s="2"/>
      <c r="S60" s="2"/>
    </row>
    <row r="61" spans="1:21" ht="15" customHeight="1" thickTop="1">
      <c r="A61" s="1553" t="s">
        <v>1</v>
      </c>
      <c r="B61" s="1516" t="s">
        <v>2</v>
      </c>
      <c r="C61" s="1518" t="s">
        <v>3</v>
      </c>
      <c r="D61" s="1532" t="s">
        <v>4</v>
      </c>
      <c r="E61" s="1532"/>
      <c r="F61" s="1532"/>
      <c r="G61" s="1532"/>
      <c r="H61" s="1533" t="s">
        <v>5</v>
      </c>
      <c r="I61" s="1534"/>
      <c r="J61" s="1534"/>
      <c r="K61" s="1534"/>
      <c r="L61" s="1524" t="s">
        <v>6</v>
      </c>
      <c r="M61" s="1537" t="s">
        <v>7</v>
      </c>
      <c r="N61" s="1538" t="s">
        <v>8</v>
      </c>
      <c r="O61" s="1538"/>
      <c r="P61" s="1538"/>
      <c r="Q61" s="1539"/>
      <c r="R61" s="5"/>
      <c r="S61" s="5"/>
      <c r="T61" s="5" t="s">
        <v>61</v>
      </c>
      <c r="U61" t="s">
        <v>21</v>
      </c>
    </row>
    <row r="62" spans="1:21" ht="27" customHeight="1" thickBot="1">
      <c r="A62" s="1531"/>
      <c r="B62" s="1517"/>
      <c r="C62" s="1519" t="s">
        <v>10</v>
      </c>
      <c r="D62" s="333" t="s">
        <v>11</v>
      </c>
      <c r="E62" s="7" t="s">
        <v>12</v>
      </c>
      <c r="F62" s="7" t="s">
        <v>13</v>
      </c>
      <c r="G62" s="334" t="s">
        <v>14</v>
      </c>
      <c r="H62" s="335" t="s">
        <v>11</v>
      </c>
      <c r="I62" s="333" t="s">
        <v>15</v>
      </c>
      <c r="J62" s="336" t="s">
        <v>14</v>
      </c>
      <c r="K62" s="11" t="s">
        <v>16</v>
      </c>
      <c r="L62" s="1525"/>
      <c r="M62" s="1511"/>
      <c r="N62" s="337" t="s">
        <v>62</v>
      </c>
      <c r="O62" s="338" t="s">
        <v>44</v>
      </c>
      <c r="P62" s="13" t="s">
        <v>18</v>
      </c>
      <c r="Q62" s="14" t="s">
        <v>19</v>
      </c>
    </row>
    <row r="63" spans="1:21" ht="14.25" customHeight="1">
      <c r="A63" s="339" t="s">
        <v>63</v>
      </c>
      <c r="B63" s="18" t="s">
        <v>64</v>
      </c>
      <c r="C63" s="71">
        <f>+[1]дек16!U63</f>
        <v>3.9235000002372544</v>
      </c>
      <c r="D63" s="340">
        <v>53</v>
      </c>
      <c r="E63" s="21">
        <v>32.332000000000001</v>
      </c>
      <c r="F63" s="21">
        <v>37.889800000000001</v>
      </c>
      <c r="G63" s="185">
        <f>ROUND(D63*(E63+F63),2)</f>
        <v>3721.76</v>
      </c>
      <c r="H63" s="184"/>
      <c r="I63" s="23"/>
      <c r="J63" s="341">
        <v>0</v>
      </c>
      <c r="K63" s="342"/>
      <c r="L63" s="343">
        <f>SUM(G63:G68,J63:J67)</f>
        <v>239716.68</v>
      </c>
      <c r="M63" s="344">
        <v>239724.14</v>
      </c>
      <c r="N63" s="345"/>
      <c r="O63" s="346">
        <v>7157.88</v>
      </c>
      <c r="P63" s="347" t="s">
        <v>24</v>
      </c>
      <c r="Q63" s="348">
        <f t="shared" ref="Q63:Q69" si="8">C63+G63+J63-M63-N63-O63</f>
        <v>-243156.33649999977</v>
      </c>
      <c r="R63" s="349" t="s">
        <v>65</v>
      </c>
      <c r="S63" s="350" t="s">
        <v>20</v>
      </c>
      <c r="T63" s="351" t="s">
        <v>21</v>
      </c>
      <c r="U63" s="352">
        <f>+L63-M63+C63</f>
        <v>-3.5364999997837003</v>
      </c>
    </row>
    <row r="64" spans="1:21" ht="14.25" customHeight="1">
      <c r="A64" s="353"/>
      <c r="B64" s="35"/>
      <c r="C64" s="84" t="s">
        <v>26</v>
      </c>
      <c r="D64" s="37">
        <v>0</v>
      </c>
      <c r="E64" s="38">
        <f>32.332-28.8628</f>
        <v>3.4692000000000007</v>
      </c>
      <c r="F64" s="38">
        <f>37.8898-33.8306</f>
        <v>4.0592000000000041</v>
      </c>
      <c r="G64" s="39">
        <f>ROUND(D64*(E64+F64),2)</f>
        <v>0</v>
      </c>
      <c r="H64" s="49"/>
      <c r="I64" s="271"/>
      <c r="J64" s="101"/>
      <c r="K64" s="354"/>
      <c r="L64" s="355"/>
      <c r="M64" s="356"/>
      <c r="N64" s="357"/>
      <c r="O64" s="358"/>
      <c r="P64" s="359"/>
      <c r="Q64" s="360"/>
      <c r="R64" s="349"/>
      <c r="S64" s="350"/>
      <c r="T64" s="351"/>
      <c r="U64" s="352"/>
    </row>
    <row r="65" spans="1:21">
      <c r="A65" s="353"/>
      <c r="B65" s="35"/>
      <c r="C65" s="48"/>
      <c r="D65" s="49">
        <v>0</v>
      </c>
      <c r="E65" s="41">
        <f>4.4128-4.4153</f>
        <v>-2.5000000000003908E-3</v>
      </c>
      <c r="F65" s="41">
        <f>+E65</f>
        <v>-2.5000000000003908E-3</v>
      </c>
      <c r="G65" s="50">
        <f>ROUND(D65*E65*70%+D65*F65*30%,2)</f>
        <v>0</v>
      </c>
      <c r="H65" s="49"/>
      <c r="I65" s="271">
        <v>0</v>
      </c>
      <c r="J65" s="41">
        <f>H65*I65</f>
        <v>0</v>
      </c>
      <c r="K65" s="354"/>
      <c r="L65" s="355"/>
      <c r="M65" s="356"/>
      <c r="N65" s="357"/>
      <c r="O65" s="358"/>
      <c r="P65" s="359"/>
      <c r="Q65" s="360"/>
      <c r="R65" s="349"/>
      <c r="S65" s="350"/>
      <c r="T65" s="351"/>
      <c r="U65" s="352"/>
    </row>
    <row r="66" spans="1:21">
      <c r="A66" s="353"/>
      <c r="B66" s="35"/>
      <c r="C66" s="48" t="s">
        <v>27</v>
      </c>
      <c r="D66" s="49">
        <v>38595</v>
      </c>
      <c r="E66" s="41">
        <f>5.7945-5.9156</f>
        <v>-0.12110000000000021</v>
      </c>
      <c r="F66" s="38">
        <f>+E66</f>
        <v>-0.12110000000000021</v>
      </c>
      <c r="G66" s="50">
        <f>ROUND(+D66*E66,2)</f>
        <v>-4673.8500000000004</v>
      </c>
      <c r="H66" s="49"/>
      <c r="I66" s="271"/>
      <c r="J66" s="41"/>
      <c r="K66" s="354"/>
      <c r="L66" s="355"/>
      <c r="M66" s="356"/>
      <c r="N66" s="357"/>
      <c r="O66" s="358"/>
      <c r="P66" s="359"/>
      <c r="Q66" s="360"/>
      <c r="R66" s="349"/>
      <c r="S66" s="350"/>
      <c r="T66" s="351"/>
      <c r="U66" s="352"/>
    </row>
    <row r="67" spans="1:21">
      <c r="A67" s="353"/>
      <c r="B67" s="35"/>
      <c r="C67" s="48" t="s">
        <v>28</v>
      </c>
      <c r="D67" s="49">
        <v>99</v>
      </c>
      <c r="E67" s="41">
        <v>5.7945000000000002</v>
      </c>
      <c r="F67" s="41">
        <f>+E67</f>
        <v>5.7945000000000002</v>
      </c>
      <c r="G67" s="50">
        <f>ROUND(D67*E67,2)</f>
        <v>573.66</v>
      </c>
      <c r="H67" s="361"/>
      <c r="I67" s="362"/>
      <c r="J67" s="207"/>
      <c r="K67" s="363"/>
      <c r="L67" s="364"/>
      <c r="M67" s="365"/>
      <c r="N67" s="366"/>
      <c r="O67" s="367"/>
      <c r="P67" s="368"/>
      <c r="Q67" s="360"/>
      <c r="R67" s="349"/>
      <c r="S67" s="350"/>
      <c r="T67" s="351"/>
      <c r="U67" s="352"/>
    </row>
    <row r="68" spans="1:21" ht="15.75" thickBot="1">
      <c r="A68" s="369"/>
      <c r="B68" s="53" t="s">
        <v>66</v>
      </c>
      <c r="C68" s="54" t="s">
        <v>29</v>
      </c>
      <c r="D68" s="55">
        <v>41435</v>
      </c>
      <c r="E68" s="56">
        <v>5.7945000000000002</v>
      </c>
      <c r="F68" s="370">
        <f>+E68</f>
        <v>5.7945000000000002</v>
      </c>
      <c r="G68" s="58">
        <f>ROUND(D68*E68,2)</f>
        <v>240095.11</v>
      </c>
      <c r="H68" s="248"/>
      <c r="I68" s="203"/>
      <c r="J68" s="60"/>
      <c r="K68" s="203"/>
      <c r="L68" s="204"/>
      <c r="M68" s="371"/>
      <c r="N68" s="372"/>
      <c r="O68" s="373">
        <v>165882.5</v>
      </c>
      <c r="P68" s="374" t="s">
        <v>24</v>
      </c>
      <c r="Q68" s="373">
        <f>G68+J68-M68-N68-O68</f>
        <v>74212.609999999986</v>
      </c>
      <c r="R68" s="349" t="s">
        <v>65</v>
      </c>
      <c r="S68" s="375">
        <f>SUM(O63:O68)</f>
        <v>173040.38</v>
      </c>
      <c r="T68" s="375">
        <f>SUM(Q63:Q68)</f>
        <v>-168943.72649999979</v>
      </c>
    </row>
    <row r="69" spans="1:21" s="81" customFormat="1" ht="15" customHeight="1">
      <c r="A69" s="376">
        <v>301</v>
      </c>
      <c r="B69" s="70" t="s">
        <v>67</v>
      </c>
      <c r="C69" s="377"/>
      <c r="D69" s="378">
        <v>334</v>
      </c>
      <c r="E69" s="21">
        <v>32.332000000000001</v>
      </c>
      <c r="F69" s="21">
        <v>37.889800000000001</v>
      </c>
      <c r="G69" s="379">
        <f>ROUND(D69*(E69+F69),2)</f>
        <v>23454.080000000002</v>
      </c>
      <c r="H69" s="380"/>
      <c r="I69" s="381">
        <v>183.82</v>
      </c>
      <c r="J69" s="381">
        <f>H69*I69</f>
        <v>0</v>
      </c>
      <c r="K69" s="342"/>
      <c r="L69" s="382">
        <f>+SUM(G69:G78,J69:J77)</f>
        <v>231560.54910000003</v>
      </c>
      <c r="M69" s="26">
        <v>231560.55</v>
      </c>
      <c r="N69" s="383"/>
      <c r="O69" s="77"/>
      <c r="P69" s="77" t="s">
        <v>68</v>
      </c>
      <c r="Q69" s="384">
        <f t="shared" si="8"/>
        <v>-208106.46999999997</v>
      </c>
      <c r="R69" s="385" t="s">
        <v>69</v>
      </c>
      <c r="S69" s="386"/>
      <c r="T69" s="387"/>
      <c r="U69" s="388"/>
    </row>
    <row r="70" spans="1:21" s="81" customFormat="1" ht="12.75">
      <c r="A70" s="389"/>
      <c r="B70" s="83"/>
      <c r="C70" s="390" t="s">
        <v>26</v>
      </c>
      <c r="D70" s="37">
        <v>0</v>
      </c>
      <c r="E70" s="38">
        <f>32.332-28.8628</f>
        <v>3.4692000000000007</v>
      </c>
      <c r="F70" s="38">
        <v>0</v>
      </c>
      <c r="G70" s="39">
        <f>ROUND(D70*(E70+F70),2)</f>
        <v>0</v>
      </c>
      <c r="H70" s="391"/>
      <c r="I70" s="392"/>
      <c r="J70" s="392"/>
      <c r="K70" s="393"/>
      <c r="L70" s="394"/>
      <c r="M70" s="90"/>
      <c r="N70" s="395"/>
      <c r="O70" s="94"/>
      <c r="P70" s="94"/>
      <c r="Q70" s="396"/>
      <c r="R70" s="397"/>
      <c r="S70" s="398"/>
      <c r="T70" s="399"/>
    </row>
    <row r="71" spans="1:21" s="81" customFormat="1" ht="12.75">
      <c r="A71" s="389"/>
      <c r="B71" s="98" t="s">
        <v>32</v>
      </c>
      <c r="C71" s="99" t="s">
        <v>33</v>
      </c>
      <c r="D71" s="37">
        <v>344.5</v>
      </c>
      <c r="E71" s="101">
        <v>344.19</v>
      </c>
      <c r="F71" s="38">
        <v>37.889800000000001</v>
      </c>
      <c r="G71" s="400">
        <f>ROUND(D71*(E71+F71),2)</f>
        <v>131626.49</v>
      </c>
      <c r="H71" s="401"/>
      <c r="I71" s="402"/>
      <c r="J71" s="402"/>
      <c r="K71" s="403"/>
      <c r="L71" s="404"/>
      <c r="M71" s="102"/>
      <c r="N71" s="405"/>
      <c r="O71" s="406"/>
      <c r="P71" s="406" t="s">
        <v>68</v>
      </c>
      <c r="Q71" s="407">
        <f>+G71+J71-M71-N71-O71</f>
        <v>131626.49</v>
      </c>
      <c r="R71" s="397" t="s">
        <v>69</v>
      </c>
      <c r="S71" s="398"/>
      <c r="T71" s="399"/>
    </row>
    <row r="72" spans="1:21" s="81" customFormat="1" ht="15" customHeight="1">
      <c r="A72" s="389"/>
      <c r="B72" s="98"/>
      <c r="C72" s="84"/>
      <c r="D72" s="37">
        <v>334</v>
      </c>
      <c r="E72" s="41">
        <f>344.19-406.32</f>
        <v>-62.129999999999995</v>
      </c>
      <c r="F72" s="38">
        <v>0</v>
      </c>
      <c r="G72" s="400">
        <f>+D72*(E72+F72)</f>
        <v>-20751.419999999998</v>
      </c>
      <c r="H72" s="401"/>
      <c r="I72" s="402"/>
      <c r="J72" s="402"/>
      <c r="K72" s="408"/>
      <c r="L72" s="404"/>
      <c r="M72" s="102"/>
      <c r="N72" s="405"/>
      <c r="O72" s="406"/>
      <c r="P72" s="406"/>
      <c r="Q72" s="407"/>
      <c r="R72" s="397"/>
      <c r="S72" s="398"/>
      <c r="T72" s="399"/>
    </row>
    <row r="73" spans="1:21" s="81" customFormat="1" ht="15" customHeight="1">
      <c r="A73" s="389"/>
      <c r="B73" s="83"/>
      <c r="C73" s="84"/>
      <c r="D73" s="37"/>
      <c r="E73" s="41"/>
      <c r="F73" s="38"/>
      <c r="G73" s="400"/>
      <c r="H73" s="401"/>
      <c r="I73" s="402"/>
      <c r="J73" s="402"/>
      <c r="K73" s="408"/>
      <c r="L73" s="404"/>
      <c r="M73" s="102"/>
      <c r="N73" s="405"/>
      <c r="O73" s="406"/>
      <c r="P73" s="406"/>
      <c r="Q73" s="407"/>
      <c r="R73" s="397"/>
      <c r="S73" s="398"/>
      <c r="T73" s="399"/>
    </row>
    <row r="74" spans="1:21" s="81" customFormat="1" ht="15" customHeight="1">
      <c r="A74" s="389"/>
      <c r="B74" s="83" t="s">
        <v>70</v>
      </c>
      <c r="C74" s="84"/>
      <c r="D74" s="37"/>
      <c r="E74" s="41"/>
      <c r="F74" s="38">
        <v>33.830599999999997</v>
      </c>
      <c r="G74" s="400"/>
      <c r="H74" s="401"/>
      <c r="I74" s="402"/>
      <c r="J74" s="402"/>
      <c r="K74" s="408"/>
      <c r="L74" s="404"/>
      <c r="M74" s="102"/>
      <c r="N74" s="405"/>
      <c r="O74" s="406"/>
      <c r="P74" s="406"/>
      <c r="Q74" s="407"/>
      <c r="R74" s="397"/>
      <c r="S74" s="398"/>
      <c r="T74" s="399"/>
    </row>
    <row r="75" spans="1:21" s="81" customFormat="1" ht="15" customHeight="1">
      <c r="A75" s="389"/>
      <c r="B75" s="83"/>
      <c r="C75" s="48"/>
      <c r="D75" s="37">
        <v>0</v>
      </c>
      <c r="E75" s="41">
        <f>4.4128-4.4153</f>
        <v>-2.5000000000003908E-3</v>
      </c>
      <c r="F75" s="38"/>
      <c r="G75" s="39">
        <f>ROUND(D75*(E75+F75),2)</f>
        <v>0</v>
      </c>
      <c r="H75" s="37"/>
      <c r="I75" s="409"/>
      <c r="J75" s="409"/>
      <c r="K75" s="408"/>
      <c r="L75" s="404"/>
      <c r="M75" s="102"/>
      <c r="N75" s="405"/>
      <c r="O75" s="406"/>
      <c r="P75" s="406"/>
      <c r="Q75" s="407"/>
      <c r="R75" s="397"/>
      <c r="S75" s="398"/>
      <c r="T75" s="399"/>
    </row>
    <row r="76" spans="1:21" s="81" customFormat="1" ht="15" customHeight="1">
      <c r="A76" s="389"/>
      <c r="B76" s="83"/>
      <c r="C76" s="48" t="s">
        <v>27</v>
      </c>
      <c r="D76" s="37">
        <v>16319</v>
      </c>
      <c r="E76" s="41">
        <f>5.7945-5.9156</f>
        <v>-0.12110000000000021</v>
      </c>
      <c r="F76" s="38">
        <f>+E76</f>
        <v>-0.12110000000000021</v>
      </c>
      <c r="G76" s="39">
        <f>+D76*E76</f>
        <v>-1976.2309000000034</v>
      </c>
      <c r="H76" s="37"/>
      <c r="I76" s="409"/>
      <c r="J76" s="409"/>
      <c r="K76" s="408"/>
      <c r="L76" s="404"/>
      <c r="M76" s="102"/>
      <c r="N76" s="405"/>
      <c r="O76" s="406"/>
      <c r="P76" s="406"/>
      <c r="Q76" s="407"/>
      <c r="R76" s="397"/>
      <c r="S76" s="398"/>
      <c r="T76" s="399"/>
    </row>
    <row r="77" spans="1:21" s="81" customFormat="1" ht="15" customHeight="1">
      <c r="A77" s="389"/>
      <c r="B77" s="83"/>
      <c r="C77" s="48" t="s">
        <v>28</v>
      </c>
      <c r="D77" s="37">
        <v>41</v>
      </c>
      <c r="E77" s="41">
        <v>5.7945000000000002</v>
      </c>
      <c r="F77" s="41">
        <f>+E77</f>
        <v>5.7945000000000002</v>
      </c>
      <c r="G77" s="39">
        <f>ROUND(D77*E77,2)</f>
        <v>237.57</v>
      </c>
      <c r="H77" s="37"/>
      <c r="I77" s="409"/>
      <c r="J77" s="409"/>
      <c r="K77" s="410"/>
      <c r="L77" s="404"/>
      <c r="M77" s="102"/>
      <c r="N77" s="405"/>
      <c r="O77" s="406"/>
      <c r="P77" s="406"/>
      <c r="Q77" s="407"/>
      <c r="R77" s="397"/>
      <c r="S77" s="398"/>
      <c r="T77" s="399"/>
    </row>
    <row r="78" spans="1:21" s="81" customFormat="1" ht="15.75" customHeight="1" thickBot="1">
      <c r="A78" s="411"/>
      <c r="B78" s="412"/>
      <c r="C78" s="48" t="s">
        <v>71</v>
      </c>
      <c r="D78" s="413">
        <v>17080</v>
      </c>
      <c r="E78" s="56">
        <v>5.7945000000000002</v>
      </c>
      <c r="F78" s="370">
        <f>+E78</f>
        <v>5.7945000000000002</v>
      </c>
      <c r="G78" s="414">
        <f>ROUND(D78*E78,2)</f>
        <v>98970.06</v>
      </c>
      <c r="H78" s="248"/>
      <c r="I78" s="60"/>
      <c r="J78" s="60"/>
      <c r="K78" s="203"/>
      <c r="L78" s="204"/>
      <c r="M78" s="371"/>
      <c r="N78" s="415"/>
      <c r="O78" s="416"/>
      <c r="P78" s="416" t="s">
        <v>68</v>
      </c>
      <c r="Q78" s="417">
        <f>+G78+J78-M78-N78-O78</f>
        <v>98970.06</v>
      </c>
      <c r="R78" s="418" t="s">
        <v>69</v>
      </c>
      <c r="S78" s="419">
        <f>SUM(O69:O78)</f>
        <v>0</v>
      </c>
      <c r="T78" s="419">
        <f>SUM(Q69:Q78)</f>
        <v>22490.080000000016</v>
      </c>
    </row>
    <row r="79" spans="1:21" s="81" customFormat="1" ht="15.75" customHeight="1">
      <c r="A79" s="376"/>
      <c r="B79" s="420" t="s">
        <v>72</v>
      </c>
      <c r="C79" s="377" t="s">
        <v>73</v>
      </c>
      <c r="D79" s="378">
        <v>147</v>
      </c>
      <c r="E79" s="21">
        <v>32.332000000000001</v>
      </c>
      <c r="F79" s="21">
        <v>37.889800000000001</v>
      </c>
      <c r="G79" s="22">
        <f>+D79*(E79+F79)</f>
        <v>10322.604600000001</v>
      </c>
      <c r="H79" s="303"/>
      <c r="I79" s="23"/>
      <c r="J79" s="341"/>
      <c r="K79" s="342"/>
      <c r="L79" s="263">
        <f>SUM(G79:G83,J79:J83)</f>
        <v>221320.97459999999</v>
      </c>
      <c r="M79" s="26">
        <v>221320.97</v>
      </c>
      <c r="N79" s="421"/>
      <c r="O79" s="77"/>
      <c r="P79" s="77"/>
      <c r="Q79" s="384"/>
      <c r="R79" s="422"/>
      <c r="S79" s="399"/>
      <c r="T79" s="399"/>
    </row>
    <row r="80" spans="1:21" s="81" customFormat="1" ht="15.75" customHeight="1">
      <c r="A80" s="389"/>
      <c r="B80" s="83"/>
      <c r="C80" s="84" t="s">
        <v>26</v>
      </c>
      <c r="D80" s="37">
        <v>0</v>
      </c>
      <c r="E80" s="38">
        <f>32.332-28.8628</f>
        <v>3.4692000000000007</v>
      </c>
      <c r="F80" s="38">
        <f>37.8898-33.8306</f>
        <v>4.0592000000000041</v>
      </c>
      <c r="G80" s="39">
        <f>ROUND(D80*(E80+F80),2)</f>
        <v>0</v>
      </c>
      <c r="H80" s="270"/>
      <c r="I80" s="41"/>
      <c r="J80" s="41"/>
      <c r="K80" s="271"/>
      <c r="L80" s="272"/>
      <c r="M80" s="102"/>
      <c r="N80" s="423"/>
      <c r="O80" s="406"/>
      <c r="P80" s="406"/>
      <c r="Q80" s="424"/>
      <c r="R80" s="422"/>
      <c r="S80" s="399"/>
      <c r="T80" s="399"/>
    </row>
    <row r="81" spans="1:20" s="81" customFormat="1" ht="15.75" customHeight="1">
      <c r="A81" s="389"/>
      <c r="B81" s="83"/>
      <c r="C81" s="48" t="s">
        <v>27</v>
      </c>
      <c r="D81" s="37">
        <v>36147</v>
      </c>
      <c r="E81" s="41">
        <f>5.7945-5.9156</f>
        <v>-0.12110000000000021</v>
      </c>
      <c r="F81" s="38"/>
      <c r="G81" s="39">
        <f>ROUND(D81*(E81),2)</f>
        <v>-4377.3999999999996</v>
      </c>
      <c r="H81" s="270"/>
      <c r="I81" s="41"/>
      <c r="J81" s="41"/>
      <c r="K81" s="271"/>
      <c r="L81" s="272"/>
      <c r="M81" s="102"/>
      <c r="N81" s="423"/>
      <c r="O81" s="406"/>
      <c r="P81" s="406"/>
      <c r="Q81" s="424"/>
      <c r="R81" s="422"/>
      <c r="S81" s="399"/>
      <c r="T81" s="399"/>
    </row>
    <row r="82" spans="1:20" s="81" customFormat="1" ht="15.75" customHeight="1">
      <c r="A82" s="389"/>
      <c r="B82" s="83"/>
      <c r="C82" s="48" t="s">
        <v>28</v>
      </c>
      <c r="D82" s="37">
        <v>89</v>
      </c>
      <c r="E82" s="41">
        <v>5.7945000000000002</v>
      </c>
      <c r="F82" s="38"/>
      <c r="G82" s="39">
        <f>ROUND(D82*(E82),2)</f>
        <v>515.71</v>
      </c>
      <c r="H82" s="270"/>
      <c r="I82" s="41"/>
      <c r="J82" s="41"/>
      <c r="K82" s="271"/>
      <c r="L82" s="272"/>
      <c r="M82" s="102"/>
      <c r="N82" s="423"/>
      <c r="O82" s="406"/>
      <c r="P82" s="406"/>
      <c r="Q82" s="425"/>
      <c r="R82" s="422"/>
      <c r="S82" s="399"/>
      <c r="T82" s="399"/>
    </row>
    <row r="83" spans="1:20" s="81" customFormat="1" ht="15.75" customHeight="1" thickBot="1">
      <c r="A83" s="411"/>
      <c r="B83" s="412"/>
      <c r="C83" s="48" t="s">
        <v>71</v>
      </c>
      <c r="D83" s="413">
        <v>37080</v>
      </c>
      <c r="E83" s="56">
        <v>5.7945000000000002</v>
      </c>
      <c r="F83" s="281"/>
      <c r="G83" s="414">
        <f>ROUND(D83*(E83),2)</f>
        <v>214860.06</v>
      </c>
      <c r="H83" s="280"/>
      <c r="I83" s="281"/>
      <c r="J83" s="281"/>
      <c r="K83" s="282"/>
      <c r="L83" s="204"/>
      <c r="M83" s="371"/>
      <c r="N83" s="426"/>
      <c r="O83" s="416"/>
      <c r="P83" s="416"/>
      <c r="Q83" s="417"/>
      <c r="R83" s="422"/>
      <c r="S83" s="399"/>
      <c r="T83" s="399"/>
    </row>
    <row r="84" spans="1:20" s="81" customFormat="1" ht="15.75" customHeight="1">
      <c r="A84" s="376"/>
      <c r="B84" s="427" t="s">
        <v>74</v>
      </c>
      <c r="C84" s="377" t="s">
        <v>73</v>
      </c>
      <c r="D84" s="378">
        <v>18</v>
      </c>
      <c r="E84" s="21">
        <v>32.332000000000001</v>
      </c>
      <c r="F84" s="21">
        <v>37.889800000000001</v>
      </c>
      <c r="G84" s="22">
        <f>ROUND(D84*(E84+F84),2)</f>
        <v>1263.99</v>
      </c>
      <c r="H84" s="303"/>
      <c r="I84" s="23"/>
      <c r="J84" s="23">
        <v>0</v>
      </c>
      <c r="K84" s="342"/>
      <c r="L84" s="263">
        <f>SUM(G84:G90,J84:J90)</f>
        <v>14176.759999999998</v>
      </c>
      <c r="M84" s="26">
        <v>14176.76</v>
      </c>
      <c r="N84" s="421"/>
      <c r="O84" s="77"/>
      <c r="P84" s="77"/>
      <c r="Q84" s="384"/>
      <c r="R84" s="422"/>
      <c r="S84" s="399"/>
      <c r="T84" s="399"/>
    </row>
    <row r="85" spans="1:20" s="81" customFormat="1" ht="15.75" customHeight="1">
      <c r="A85" s="389"/>
      <c r="B85" s="98" t="s">
        <v>75</v>
      </c>
      <c r="C85" s="84" t="s">
        <v>26</v>
      </c>
      <c r="D85" s="37"/>
      <c r="E85" s="38">
        <f>32.332-28.8628</f>
        <v>3.4692000000000007</v>
      </c>
      <c r="F85" s="38">
        <f>37.8898-33.8306</f>
        <v>4.0592000000000041</v>
      </c>
      <c r="G85" s="39">
        <f>ROUND(D85*(E85+F85),2)</f>
        <v>0</v>
      </c>
      <c r="H85" s="270"/>
      <c r="I85" s="41"/>
      <c r="J85" s="41"/>
      <c r="K85" s="354"/>
      <c r="L85" s="272"/>
      <c r="M85" s="102"/>
      <c r="N85" s="423"/>
      <c r="O85" s="406"/>
      <c r="P85" s="406"/>
      <c r="Q85" s="424"/>
      <c r="R85" s="422"/>
      <c r="S85" s="399"/>
      <c r="T85" s="399"/>
    </row>
    <row r="86" spans="1:20" s="81" customFormat="1" ht="15.75" customHeight="1">
      <c r="A86" s="389"/>
      <c r="B86" s="83"/>
      <c r="C86" s="99" t="s">
        <v>33</v>
      </c>
      <c r="D86" s="428">
        <v>4</v>
      </c>
      <c r="E86" s="41">
        <v>344.19</v>
      </c>
      <c r="F86" s="38">
        <v>37.889800000000001</v>
      </c>
      <c r="G86" s="39">
        <f>ROUND(D86*(E86+F86),2)</f>
        <v>1528.32</v>
      </c>
      <c r="H86" s="270"/>
      <c r="I86" s="41"/>
      <c r="J86" s="41"/>
      <c r="K86" s="271"/>
      <c r="L86" s="272"/>
      <c r="M86" s="102"/>
      <c r="N86" s="423"/>
      <c r="O86" s="406"/>
      <c r="P86" s="406"/>
      <c r="Q86" s="424"/>
      <c r="R86" s="422"/>
      <c r="S86" s="399"/>
      <c r="T86" s="399"/>
    </row>
    <row r="87" spans="1:20" s="81" customFormat="1" ht="15.75" customHeight="1">
      <c r="A87" s="389"/>
      <c r="B87" s="83"/>
      <c r="C87" s="48" t="s">
        <v>76</v>
      </c>
      <c r="D87" s="37"/>
      <c r="E87" s="41">
        <f>306.17-304.41</f>
        <v>1.7599999999999909</v>
      </c>
      <c r="F87" s="38">
        <f>37.8898-33.8306</f>
        <v>4.0592000000000041</v>
      </c>
      <c r="G87" s="39">
        <f>ROUND(D87*(E87+F87),2)</f>
        <v>0</v>
      </c>
      <c r="H87" s="270"/>
      <c r="I87" s="41"/>
      <c r="J87" s="41"/>
      <c r="K87" s="271"/>
      <c r="L87" s="272"/>
      <c r="M87" s="102"/>
      <c r="N87" s="423"/>
      <c r="O87" s="406"/>
      <c r="P87" s="406"/>
      <c r="Q87" s="424"/>
      <c r="R87" s="422"/>
      <c r="S87" s="399"/>
      <c r="T87" s="399"/>
    </row>
    <row r="88" spans="1:20" s="81" customFormat="1" ht="15.75" customHeight="1">
      <c r="A88" s="389"/>
      <c r="B88" s="83"/>
      <c r="C88" s="48" t="s">
        <v>27</v>
      </c>
      <c r="D88" s="37"/>
      <c r="E88" s="41">
        <f>5.7945-5.9156</f>
        <v>-0.12110000000000021</v>
      </c>
      <c r="F88" s="38"/>
      <c r="G88" s="39">
        <f>ROUND(D88*(E88+F88),2)</f>
        <v>0</v>
      </c>
      <c r="H88" s="270"/>
      <c r="I88" s="41"/>
      <c r="J88" s="41"/>
      <c r="K88" s="271"/>
      <c r="L88" s="272"/>
      <c r="M88" s="102"/>
      <c r="N88" s="423"/>
      <c r="O88" s="406"/>
      <c r="P88" s="406"/>
      <c r="Q88" s="424"/>
      <c r="R88" s="422"/>
      <c r="S88" s="399"/>
      <c r="T88" s="399"/>
    </row>
    <row r="89" spans="1:20" s="81" customFormat="1" ht="15.75" customHeight="1">
      <c r="A89" s="389"/>
      <c r="B89" s="83"/>
      <c r="C89" s="48" t="s">
        <v>28</v>
      </c>
      <c r="D89" s="37">
        <v>4.7</v>
      </c>
      <c r="E89" s="41">
        <v>5.7945000000000002</v>
      </c>
      <c r="F89" s="38"/>
      <c r="G89" s="39">
        <f>ROUND(D89*E89,2)</f>
        <v>27.23</v>
      </c>
      <c r="H89" s="270"/>
      <c r="I89" s="41"/>
      <c r="J89" s="41"/>
      <c r="K89" s="271"/>
      <c r="L89" s="272"/>
      <c r="M89" s="102"/>
      <c r="N89" s="423"/>
      <c r="O89" s="406"/>
      <c r="P89" s="406"/>
      <c r="Q89" s="425"/>
      <c r="R89" s="422"/>
      <c r="S89" s="399"/>
      <c r="T89" s="399"/>
    </row>
    <row r="90" spans="1:20" s="81" customFormat="1" ht="15" customHeight="1" thickBot="1">
      <c r="A90" s="411"/>
      <c r="B90" s="412"/>
      <c r="C90" s="48" t="s">
        <v>71</v>
      </c>
      <c r="D90" s="413">
        <v>1960</v>
      </c>
      <c r="E90" s="56">
        <v>5.7945000000000002</v>
      </c>
      <c r="F90" s="281"/>
      <c r="G90" s="414">
        <f t="shared" ref="G90:G97" si="9">ROUND(D90*(E90+F90),2)</f>
        <v>11357.22</v>
      </c>
      <c r="H90" s="280"/>
      <c r="I90" s="281"/>
      <c r="J90" s="281"/>
      <c r="K90" s="282"/>
      <c r="L90" s="204"/>
      <c r="M90" s="371"/>
      <c r="N90" s="426"/>
      <c r="O90" s="416"/>
      <c r="P90" s="416"/>
      <c r="Q90" s="417"/>
      <c r="R90" s="422"/>
      <c r="S90" s="399"/>
      <c r="T90" s="399"/>
    </row>
    <row r="91" spans="1:20" s="81" customFormat="1" ht="15" customHeight="1" thickBot="1">
      <c r="A91" s="376"/>
      <c r="B91" s="420" t="s">
        <v>77</v>
      </c>
      <c r="C91" s="377" t="s">
        <v>73</v>
      </c>
      <c r="D91" s="378">
        <v>1.5</v>
      </c>
      <c r="E91" s="21">
        <v>32.332000000000001</v>
      </c>
      <c r="F91" s="21">
        <v>37.889800000000001</v>
      </c>
      <c r="G91" s="414">
        <f t="shared" si="9"/>
        <v>105.33</v>
      </c>
      <c r="H91" s="303"/>
      <c r="I91" s="23">
        <v>183.82</v>
      </c>
      <c r="J91" s="381">
        <f>H91*I91</f>
        <v>0</v>
      </c>
      <c r="K91" s="342"/>
      <c r="L91" s="382">
        <f>+SUM(G91:G97,J91:J97)</f>
        <v>2670.59</v>
      </c>
      <c r="M91" s="26">
        <v>2670.59</v>
      </c>
      <c r="N91" s="421"/>
      <c r="O91" s="77"/>
      <c r="P91" s="77"/>
      <c r="Q91" s="384"/>
      <c r="R91" s="422"/>
      <c r="S91" s="399"/>
      <c r="T91" s="399"/>
    </row>
    <row r="92" spans="1:20" s="81" customFormat="1" ht="15" customHeight="1" thickBot="1">
      <c r="A92" s="389"/>
      <c r="B92" s="83"/>
      <c r="C92" s="84" t="s">
        <v>26</v>
      </c>
      <c r="D92" s="37"/>
      <c r="E92" s="38">
        <v>3.4692000000000007</v>
      </c>
      <c r="F92" s="38"/>
      <c r="G92" s="414">
        <f t="shared" si="9"/>
        <v>0</v>
      </c>
      <c r="H92" s="270"/>
      <c r="I92" s="41"/>
      <c r="J92" s="402"/>
      <c r="K92" s="354"/>
      <c r="L92" s="429"/>
      <c r="M92" s="102"/>
      <c r="N92" s="430"/>
      <c r="O92" s="431"/>
      <c r="P92" s="431"/>
      <c r="Q92" s="424"/>
      <c r="R92" s="422"/>
      <c r="S92" s="399"/>
      <c r="T92" s="399"/>
    </row>
    <row r="93" spans="1:20" s="81" customFormat="1" ht="15" customHeight="1" thickBot="1">
      <c r="A93" s="389"/>
      <c r="B93" s="98" t="s">
        <v>32</v>
      </c>
      <c r="C93" s="99" t="s">
        <v>33</v>
      </c>
      <c r="D93" s="37">
        <v>1.5</v>
      </c>
      <c r="E93" s="101">
        <v>344.19</v>
      </c>
      <c r="F93" s="38">
        <v>37.889800000000001</v>
      </c>
      <c r="G93" s="414">
        <f t="shared" si="9"/>
        <v>573.12</v>
      </c>
      <c r="H93" s="270"/>
      <c r="I93" s="41"/>
      <c r="J93" s="41"/>
      <c r="K93" s="271"/>
      <c r="L93" s="272"/>
      <c r="M93" s="102"/>
      <c r="N93" s="430"/>
      <c r="O93" s="431"/>
      <c r="P93" s="431"/>
      <c r="Q93" s="424"/>
      <c r="R93" s="422"/>
      <c r="S93" s="399"/>
      <c r="T93" s="399"/>
    </row>
    <row r="94" spans="1:20" s="81" customFormat="1" ht="15" customHeight="1" thickBot="1">
      <c r="A94" s="389"/>
      <c r="B94" s="83"/>
      <c r="C94" s="48" t="s">
        <v>78</v>
      </c>
      <c r="D94" s="37">
        <v>6.5</v>
      </c>
      <c r="E94" s="41">
        <f>406.32-278.05</f>
        <v>128.26999999999998</v>
      </c>
      <c r="F94" s="38"/>
      <c r="G94" s="414">
        <f>ROUND(D94*(E94+F94),2)-0.01</f>
        <v>833.75</v>
      </c>
      <c r="H94" s="270"/>
      <c r="I94" s="41"/>
      <c r="J94" s="41"/>
      <c r="K94" s="271"/>
      <c r="L94" s="272"/>
      <c r="M94" s="102"/>
      <c r="N94" s="430"/>
      <c r="O94" s="431"/>
      <c r="P94" s="431"/>
      <c r="Q94" s="424"/>
      <c r="R94" s="422"/>
      <c r="S94" s="399"/>
      <c r="T94" s="399"/>
    </row>
    <row r="95" spans="1:20" s="81" customFormat="1" ht="15" customHeight="1" thickBot="1">
      <c r="A95" s="389"/>
      <c r="B95" s="83"/>
      <c r="C95" s="48" t="s">
        <v>27</v>
      </c>
      <c r="D95" s="37">
        <v>28.1</v>
      </c>
      <c r="E95" s="41">
        <f>5.7945-5.9156</f>
        <v>-0.12110000000000021</v>
      </c>
      <c r="F95" s="38"/>
      <c r="G95" s="414">
        <f>ROUND(D95*(E95+F95),2)-0.01</f>
        <v>-3.4099999999999997</v>
      </c>
      <c r="H95" s="270"/>
      <c r="I95" s="41"/>
      <c r="J95" s="41"/>
      <c r="K95" s="271"/>
      <c r="L95" s="272"/>
      <c r="M95" s="102"/>
      <c r="N95" s="430"/>
      <c r="O95" s="431"/>
      <c r="P95" s="431"/>
      <c r="Q95" s="424"/>
      <c r="R95" s="422"/>
      <c r="S95" s="399"/>
      <c r="T95" s="399"/>
    </row>
    <row r="96" spans="1:20" s="81" customFormat="1" ht="15" customHeight="1" thickBot="1">
      <c r="A96" s="389"/>
      <c r="B96" s="83"/>
      <c r="C96" s="48" t="s">
        <v>28</v>
      </c>
      <c r="D96" s="37">
        <v>0.5</v>
      </c>
      <c r="E96" s="41">
        <v>5.7945000000000002</v>
      </c>
      <c r="F96" s="38"/>
      <c r="G96" s="414">
        <f t="shared" si="9"/>
        <v>2.9</v>
      </c>
      <c r="H96" s="432"/>
      <c r="I96" s="207"/>
      <c r="J96" s="207"/>
      <c r="K96" s="362"/>
      <c r="L96" s="433"/>
      <c r="M96" s="63"/>
      <c r="N96" s="434"/>
      <c r="O96" s="435"/>
      <c r="P96" s="435"/>
      <c r="Q96" s="425"/>
      <c r="R96" s="422"/>
      <c r="S96" s="399"/>
      <c r="T96" s="399"/>
    </row>
    <row r="97" spans="1:20" s="81" customFormat="1" ht="15" customHeight="1" thickBot="1">
      <c r="A97" s="411"/>
      <c r="B97" s="412"/>
      <c r="C97" s="54" t="s">
        <v>29</v>
      </c>
      <c r="D97" s="413">
        <v>200</v>
      </c>
      <c r="E97" s="56">
        <v>5.7945000000000002</v>
      </c>
      <c r="F97" s="281"/>
      <c r="G97" s="414">
        <f t="shared" si="9"/>
        <v>1158.9000000000001</v>
      </c>
      <c r="H97" s="280"/>
      <c r="I97" s="281"/>
      <c r="J97" s="281"/>
      <c r="K97" s="282"/>
      <c r="L97" s="204"/>
      <c r="M97" s="371"/>
      <c r="N97" s="426"/>
      <c r="O97" s="416"/>
      <c r="P97" s="416"/>
      <c r="Q97" s="417"/>
      <c r="R97" s="436"/>
      <c r="S97" s="399"/>
      <c r="T97" s="399"/>
    </row>
    <row r="98" spans="1:20" s="81" customFormat="1" ht="15" customHeight="1">
      <c r="A98" s="437"/>
      <c r="B98" s="438" t="s">
        <v>38</v>
      </c>
      <c r="C98" s="439"/>
      <c r="D98" s="378"/>
      <c r="E98" s="23"/>
      <c r="F98" s="23"/>
      <c r="G98" s="22"/>
      <c r="H98" s="303"/>
      <c r="I98" s="23"/>
      <c r="J98" s="23"/>
      <c r="K98" s="304"/>
      <c r="L98" s="382">
        <f>+SUM(G98:G101,J98:J101)</f>
        <v>6132.97</v>
      </c>
      <c r="M98" s="26">
        <v>6132.97</v>
      </c>
      <c r="N98" s="421"/>
      <c r="O98" s="77"/>
      <c r="P98" s="77"/>
      <c r="Q98" s="77">
        <f>+L98-M98</f>
        <v>0</v>
      </c>
      <c r="R98" s="440"/>
      <c r="S98" s="399"/>
      <c r="T98" s="399"/>
    </row>
    <row r="99" spans="1:20" s="81" customFormat="1" ht="15" customHeight="1">
      <c r="A99" s="441"/>
      <c r="B99" s="442"/>
      <c r="C99" s="48" t="s">
        <v>27</v>
      </c>
      <c r="D99" s="37">
        <v>698</v>
      </c>
      <c r="E99" s="41">
        <f>5.7945-5.9156</f>
        <v>-0.12110000000000021</v>
      </c>
      <c r="F99" s="41"/>
      <c r="G99" s="39">
        <f t="shared" ref="G99:G106" si="10">ROUND(D99*E99,2)</f>
        <v>-84.53</v>
      </c>
      <c r="H99" s="260"/>
      <c r="I99" s="261"/>
      <c r="J99" s="261"/>
      <c r="K99" s="262"/>
      <c r="L99" s="394"/>
      <c r="M99" s="90"/>
      <c r="N99" s="443"/>
      <c r="O99" s="94"/>
      <c r="P99" s="94"/>
      <c r="Q99" s="94"/>
      <c r="R99" s="422"/>
      <c r="S99" s="399"/>
      <c r="T99" s="399"/>
    </row>
    <row r="100" spans="1:20" s="81" customFormat="1">
      <c r="A100" s="441"/>
      <c r="B100" s="444"/>
      <c r="C100" s="48" t="s">
        <v>28</v>
      </c>
      <c r="D100" s="37">
        <v>3</v>
      </c>
      <c r="E100" s="41">
        <v>5.7945000000000002</v>
      </c>
      <c r="F100" s="41"/>
      <c r="G100" s="39">
        <f t="shared" si="10"/>
        <v>17.38</v>
      </c>
      <c r="H100" s="432"/>
      <c r="I100" s="207"/>
      <c r="J100" s="207"/>
      <c r="K100" s="362"/>
      <c r="L100" s="433"/>
      <c r="M100" s="63"/>
      <c r="N100" s="423"/>
      <c r="O100" s="406"/>
      <c r="P100" s="406"/>
      <c r="Q100" s="406"/>
      <c r="R100" s="422"/>
      <c r="S100" s="399"/>
      <c r="T100" s="399"/>
    </row>
    <row r="101" spans="1:20" s="81" customFormat="1" ht="15" customHeight="1" thickBot="1">
      <c r="A101" s="445"/>
      <c r="B101" s="446"/>
      <c r="C101" s="54" t="s">
        <v>29</v>
      </c>
      <c r="D101" s="413">
        <v>1070</v>
      </c>
      <c r="E101" s="56">
        <v>5.7945000000000002</v>
      </c>
      <c r="F101" s="281"/>
      <c r="G101" s="414">
        <f t="shared" si="10"/>
        <v>6200.12</v>
      </c>
      <c r="H101" s="280"/>
      <c r="I101" s="281"/>
      <c r="J101" s="281"/>
      <c r="K101" s="282"/>
      <c r="L101" s="204"/>
      <c r="M101" s="371"/>
      <c r="N101" s="434"/>
      <c r="O101" s="435"/>
      <c r="P101" s="435"/>
      <c r="Q101" s="435"/>
      <c r="R101" s="422"/>
      <c r="S101" s="399"/>
      <c r="T101" s="399"/>
    </row>
    <row r="102" spans="1:20" s="81" customFormat="1" ht="15" customHeight="1">
      <c r="A102" s="447"/>
      <c r="B102" s="438" t="s">
        <v>79</v>
      </c>
      <c r="C102" s="48" t="s">
        <v>27</v>
      </c>
      <c r="D102" s="448">
        <v>5198</v>
      </c>
      <c r="E102" s="41">
        <f>5.7945-5.9156</f>
        <v>-0.12110000000000021</v>
      </c>
      <c r="F102" s="261"/>
      <c r="G102" s="449">
        <f>ROUND(D102*E102,2)-0.01</f>
        <v>-629.49</v>
      </c>
      <c r="H102" s="303"/>
      <c r="I102" s="23"/>
      <c r="J102" s="23"/>
      <c r="K102" s="304"/>
      <c r="L102" s="263">
        <f>SUM(G102:G104)</f>
        <v>30330.53</v>
      </c>
      <c r="M102" s="26">
        <v>30330.53</v>
      </c>
      <c r="N102" s="421"/>
      <c r="O102" s="77"/>
      <c r="P102" s="77"/>
      <c r="Q102" s="384"/>
      <c r="R102" s="422"/>
      <c r="S102" s="399"/>
      <c r="T102" s="399"/>
    </row>
    <row r="103" spans="1:20" s="81" customFormat="1" ht="15" customHeight="1">
      <c r="A103" s="450"/>
      <c r="B103" s="442"/>
      <c r="C103" s="48" t="s">
        <v>28</v>
      </c>
      <c r="D103" s="448">
        <v>13</v>
      </c>
      <c r="E103" s="41">
        <v>5.7945000000000002</v>
      </c>
      <c r="F103" s="261"/>
      <c r="G103" s="449">
        <f t="shared" si="10"/>
        <v>75.33</v>
      </c>
      <c r="H103" s="260"/>
      <c r="I103" s="261"/>
      <c r="J103" s="261"/>
      <c r="K103" s="262"/>
      <c r="L103" s="286"/>
      <c r="M103" s="90"/>
      <c r="N103" s="423"/>
      <c r="O103" s="406"/>
      <c r="P103" s="406"/>
      <c r="Q103" s="407"/>
      <c r="R103" s="422"/>
      <c r="S103" s="399"/>
      <c r="T103" s="399"/>
    </row>
    <row r="104" spans="1:20" s="81" customFormat="1" ht="15" customHeight="1" thickBot="1">
      <c r="A104" s="451"/>
      <c r="B104" s="446"/>
      <c r="C104" s="54" t="s">
        <v>29</v>
      </c>
      <c r="D104" s="452">
        <v>5330</v>
      </c>
      <c r="E104" s="56">
        <v>5.7945000000000002</v>
      </c>
      <c r="F104" s="207"/>
      <c r="G104" s="453">
        <f t="shared" si="10"/>
        <v>30884.69</v>
      </c>
      <c r="H104" s="280"/>
      <c r="I104" s="281"/>
      <c r="J104" s="281"/>
      <c r="K104" s="282"/>
      <c r="L104" s="204"/>
      <c r="M104" s="371"/>
      <c r="N104" s="426"/>
      <c r="O104" s="416"/>
      <c r="P104" s="416"/>
      <c r="Q104" s="417"/>
      <c r="R104" s="422"/>
      <c r="S104" s="399"/>
      <c r="T104" s="399"/>
    </row>
    <row r="105" spans="1:20" s="81" customFormat="1" ht="15" customHeight="1">
      <c r="A105" s="447"/>
      <c r="B105" s="438" t="s">
        <v>80</v>
      </c>
      <c r="C105" s="48" t="s">
        <v>28</v>
      </c>
      <c r="D105" s="378">
        <v>8.1999999999999993</v>
      </c>
      <c r="E105" s="454">
        <v>5.8291000000000004</v>
      </c>
      <c r="F105" s="23"/>
      <c r="G105" s="22">
        <f t="shared" si="10"/>
        <v>47.8</v>
      </c>
      <c r="H105" s="303"/>
      <c r="I105" s="23"/>
      <c r="J105" s="23"/>
      <c r="K105" s="304"/>
      <c r="L105" s="263">
        <f>SUM(G105:G106)</f>
        <v>19954.18</v>
      </c>
      <c r="M105" s="26">
        <v>19954.18</v>
      </c>
      <c r="N105" s="421"/>
      <c r="O105" s="77"/>
      <c r="P105" s="77"/>
      <c r="Q105" s="384"/>
      <c r="R105" s="422" t="s">
        <v>81</v>
      </c>
      <c r="S105" s="399"/>
      <c r="T105" s="399"/>
    </row>
    <row r="106" spans="1:20" s="81" customFormat="1" ht="15" customHeight="1">
      <c r="A106" s="450"/>
      <c r="B106" s="442"/>
      <c r="C106" s="48" t="s">
        <v>71</v>
      </c>
      <c r="D106" s="37">
        <v>3415</v>
      </c>
      <c r="E106" s="455">
        <v>5.8291000000000004</v>
      </c>
      <c r="F106" s="41"/>
      <c r="G106" s="39">
        <f t="shared" si="10"/>
        <v>19906.38</v>
      </c>
      <c r="H106" s="270"/>
      <c r="I106" s="41"/>
      <c r="J106" s="41"/>
      <c r="K106" s="271"/>
      <c r="L106" s="272"/>
      <c r="M106" s="102"/>
      <c r="N106" s="423"/>
      <c r="O106" s="406"/>
      <c r="P106" s="406"/>
      <c r="Q106" s="407"/>
      <c r="R106" s="422"/>
      <c r="S106" s="399"/>
      <c r="T106" s="399"/>
    </row>
    <row r="107" spans="1:20" s="81" customFormat="1" ht="15" customHeight="1" thickBot="1">
      <c r="A107" s="451"/>
      <c r="B107" s="446"/>
      <c r="C107" s="456"/>
      <c r="D107" s="413"/>
      <c r="E107" s="281"/>
      <c r="F107" s="281"/>
      <c r="G107" s="414"/>
      <c r="H107" s="280"/>
      <c r="I107" s="281"/>
      <c r="J107" s="281"/>
      <c r="K107" s="282"/>
      <c r="L107" s="204"/>
      <c r="M107" s="371"/>
      <c r="N107" s="426"/>
      <c r="O107" s="416"/>
      <c r="P107" s="416"/>
      <c r="Q107" s="417"/>
      <c r="R107" s="422"/>
      <c r="S107" s="399"/>
      <c r="T107" s="399"/>
    </row>
    <row r="108" spans="1:20" s="81" customFormat="1" ht="15" customHeight="1">
      <c r="A108" s="437"/>
      <c r="B108" s="438" t="s">
        <v>82</v>
      </c>
      <c r="C108" s="377" t="s">
        <v>73</v>
      </c>
      <c r="D108" s="378">
        <v>34</v>
      </c>
      <c r="E108" s="21">
        <v>32.332000000000001</v>
      </c>
      <c r="F108" s="21">
        <v>37.889800000000001</v>
      </c>
      <c r="G108" s="22">
        <f>+D108*(E108+F108)</f>
        <v>2387.5412000000001</v>
      </c>
      <c r="H108" s="303"/>
      <c r="I108" s="23"/>
      <c r="J108" s="341"/>
      <c r="K108" s="342"/>
      <c r="L108" s="263">
        <f>SUM(G108:G112,J108:J112)</f>
        <v>80230.891199999998</v>
      </c>
      <c r="M108" s="26">
        <v>80230.89</v>
      </c>
      <c r="N108" s="421"/>
      <c r="O108" s="77"/>
      <c r="P108" s="77"/>
      <c r="Q108" s="384"/>
      <c r="R108" s="422"/>
      <c r="S108" s="399"/>
      <c r="T108" s="399"/>
    </row>
    <row r="109" spans="1:20" s="81" customFormat="1" ht="15" customHeight="1">
      <c r="A109" s="441"/>
      <c r="B109" s="442"/>
      <c r="C109" s="36" t="s">
        <v>26</v>
      </c>
      <c r="D109" s="37">
        <v>0</v>
      </c>
      <c r="E109" s="38">
        <v>3.4692000000000007</v>
      </c>
      <c r="F109" s="38">
        <f>37.8898-33.8306</f>
        <v>4.0592000000000041</v>
      </c>
      <c r="G109" s="39">
        <f>ROUND(D109*(E109+F109),2)</f>
        <v>0</v>
      </c>
      <c r="H109" s="457"/>
      <c r="I109" s="199"/>
      <c r="J109" s="199"/>
      <c r="K109" s="458"/>
      <c r="L109" s="459"/>
      <c r="M109" s="44"/>
      <c r="N109" s="430"/>
      <c r="O109" s="431"/>
      <c r="P109" s="431"/>
      <c r="Q109" s="424"/>
      <c r="R109" s="422"/>
      <c r="S109" s="399"/>
      <c r="T109" s="399"/>
    </row>
    <row r="110" spans="1:20" s="81" customFormat="1" ht="15" customHeight="1">
      <c r="A110" s="441"/>
      <c r="B110" s="442"/>
      <c r="C110" s="48" t="s">
        <v>27</v>
      </c>
      <c r="D110" s="37">
        <v>16077</v>
      </c>
      <c r="E110" s="41">
        <f>5.7945-5.9156</f>
        <v>-0.12110000000000021</v>
      </c>
      <c r="F110" s="38"/>
      <c r="G110" s="39">
        <f>ROUND(D110*(E110),2)</f>
        <v>-1946.92</v>
      </c>
      <c r="H110" s="270"/>
      <c r="I110" s="41"/>
      <c r="J110" s="41"/>
      <c r="K110" s="271"/>
      <c r="L110" s="272"/>
      <c r="M110" s="102"/>
      <c r="N110" s="430"/>
      <c r="O110" s="431"/>
      <c r="P110" s="431"/>
      <c r="Q110" s="424"/>
      <c r="R110" s="422"/>
      <c r="S110" s="399"/>
      <c r="T110" s="399"/>
    </row>
    <row r="111" spans="1:20" s="81" customFormat="1" ht="15" customHeight="1">
      <c r="A111" s="441"/>
      <c r="B111" s="442"/>
      <c r="C111" s="48" t="s">
        <v>28</v>
      </c>
      <c r="D111" s="37">
        <v>33</v>
      </c>
      <c r="E111" s="41">
        <v>5.7945000000000002</v>
      </c>
      <c r="F111" s="38"/>
      <c r="G111" s="39">
        <f>ROUND(D111*(E111),2)</f>
        <v>191.22</v>
      </c>
      <c r="H111" s="270"/>
      <c r="I111" s="41"/>
      <c r="J111" s="41"/>
      <c r="K111" s="271"/>
      <c r="L111" s="272"/>
      <c r="M111" s="102"/>
      <c r="N111" s="434"/>
      <c r="O111" s="435"/>
      <c r="P111" s="435"/>
      <c r="Q111" s="425"/>
      <c r="R111" s="422"/>
      <c r="S111" s="399"/>
      <c r="T111" s="399"/>
    </row>
    <row r="112" spans="1:20" s="81" customFormat="1" ht="15" customHeight="1" thickBot="1">
      <c r="A112" s="460"/>
      <c r="B112" s="461"/>
      <c r="C112" s="107" t="s">
        <v>29</v>
      </c>
      <c r="D112" s="462">
        <v>13737</v>
      </c>
      <c r="E112" s="56">
        <v>5.7945000000000002</v>
      </c>
      <c r="F112" s="311"/>
      <c r="G112" s="110">
        <f>ROUND(D112*(E112),2)</f>
        <v>79599.05</v>
      </c>
      <c r="H112" s="310"/>
      <c r="I112" s="311"/>
      <c r="J112" s="311"/>
      <c r="K112" s="312"/>
      <c r="L112" s="313"/>
      <c r="M112" s="115"/>
      <c r="N112" s="463"/>
      <c r="O112" s="464"/>
      <c r="P112" s="464"/>
      <c r="Q112" s="465"/>
      <c r="R112" s="466"/>
      <c r="S112" s="467"/>
      <c r="T112" s="399"/>
    </row>
    <row r="113" spans="1:21" s="81" customFormat="1" ht="15" customHeight="1" thickTop="1">
      <c r="A113" s="437"/>
      <c r="B113" s="438" t="s">
        <v>83</v>
      </c>
      <c r="C113" s="377" t="s">
        <v>73</v>
      </c>
      <c r="D113" s="378">
        <v>0</v>
      </c>
      <c r="E113" s="21">
        <v>32.332000000000001</v>
      </c>
      <c r="F113" s="21">
        <v>37.889800000000001</v>
      </c>
      <c r="G113" s="22">
        <f>+D113*(E113+F113)</f>
        <v>0</v>
      </c>
      <c r="H113" s="303"/>
      <c r="I113" s="23"/>
      <c r="J113" s="341"/>
      <c r="K113" s="342"/>
      <c r="L113" s="263">
        <f>SUM(G113:G117,J113:J117)</f>
        <v>168.62</v>
      </c>
      <c r="M113" s="26">
        <v>168.62</v>
      </c>
      <c r="N113" s="421"/>
      <c r="O113" s="77"/>
      <c r="P113" s="77"/>
      <c r="Q113" s="384"/>
      <c r="R113" s="422"/>
      <c r="S113" s="399"/>
      <c r="T113" s="399"/>
    </row>
    <row r="114" spans="1:21" s="81" customFormat="1" ht="15" customHeight="1">
      <c r="A114" s="441"/>
      <c r="B114" s="442"/>
      <c r="C114" s="36" t="s">
        <v>26</v>
      </c>
      <c r="D114" s="37">
        <v>0</v>
      </c>
      <c r="E114" s="38">
        <v>3.4692000000000007</v>
      </c>
      <c r="F114" s="38">
        <f>37.8898-33.8306</f>
        <v>4.0592000000000041</v>
      </c>
      <c r="G114" s="39">
        <f>ROUND(D114*(E114+F114),2)</f>
        <v>0</v>
      </c>
      <c r="H114" s="457"/>
      <c r="I114" s="199"/>
      <c r="J114" s="199"/>
      <c r="K114" s="458"/>
      <c r="L114" s="459"/>
      <c r="M114" s="44"/>
      <c r="N114" s="430"/>
      <c r="O114" s="431"/>
      <c r="P114" s="431"/>
      <c r="Q114" s="424"/>
      <c r="R114" s="422"/>
      <c r="S114" s="399"/>
      <c r="T114" s="399"/>
    </row>
    <row r="115" spans="1:21" s="81" customFormat="1" ht="15" customHeight="1">
      <c r="A115" s="441"/>
      <c r="B115" s="442"/>
      <c r="C115" s="48" t="s">
        <v>27</v>
      </c>
      <c r="D115" s="37">
        <v>0</v>
      </c>
      <c r="E115" s="41">
        <f>5.7945-5.9156</f>
        <v>-0.12110000000000021</v>
      </c>
      <c r="F115" s="38"/>
      <c r="G115" s="39">
        <f>ROUND(D115*(E115),2)</f>
        <v>0</v>
      </c>
      <c r="H115" s="270"/>
      <c r="I115" s="41"/>
      <c r="J115" s="41"/>
      <c r="K115" s="271"/>
      <c r="L115" s="272"/>
      <c r="M115" s="102"/>
      <c r="N115" s="430"/>
      <c r="O115" s="431"/>
      <c r="P115" s="431"/>
      <c r="Q115" s="424"/>
      <c r="R115" s="422"/>
      <c r="S115" s="399"/>
      <c r="T115" s="399"/>
    </row>
    <row r="116" spans="1:21" s="81" customFormat="1" ht="15" customHeight="1">
      <c r="A116" s="441"/>
      <c r="B116" s="442"/>
      <c r="C116" s="48" t="s">
        <v>28</v>
      </c>
      <c r="D116" s="37">
        <v>0.1</v>
      </c>
      <c r="E116" s="41">
        <v>5.7945000000000002</v>
      </c>
      <c r="F116" s="38"/>
      <c r="G116" s="39">
        <f>ROUND(D116*(E116),2)</f>
        <v>0.57999999999999996</v>
      </c>
      <c r="H116" s="270"/>
      <c r="I116" s="41"/>
      <c r="J116" s="41"/>
      <c r="K116" s="271"/>
      <c r="L116" s="272"/>
      <c r="M116" s="102"/>
      <c r="N116" s="434"/>
      <c r="O116" s="435"/>
      <c r="P116" s="435"/>
      <c r="Q116" s="425"/>
      <c r="R116" s="422"/>
      <c r="S116" s="399"/>
      <c r="T116" s="399"/>
    </row>
    <row r="117" spans="1:21" s="81" customFormat="1" ht="15.75" customHeight="1" thickBot="1">
      <c r="A117" s="460"/>
      <c r="B117" s="461"/>
      <c r="C117" s="107" t="s">
        <v>29</v>
      </c>
      <c r="D117" s="462">
        <v>29</v>
      </c>
      <c r="E117" s="56">
        <v>5.7945000000000002</v>
      </c>
      <c r="F117" s="311"/>
      <c r="G117" s="110">
        <f>ROUND(D117*(E117),2)</f>
        <v>168.04</v>
      </c>
      <c r="H117" s="310"/>
      <c r="I117" s="311"/>
      <c r="J117" s="311"/>
      <c r="K117" s="312"/>
      <c r="L117" s="313"/>
      <c r="M117" s="115"/>
      <c r="N117" s="463"/>
      <c r="O117" s="464"/>
      <c r="P117" s="464"/>
      <c r="Q117" s="465"/>
      <c r="R117" s="422"/>
      <c r="S117" s="399"/>
      <c r="T117" s="399"/>
    </row>
    <row r="118" spans="1:21" s="81" customFormat="1" ht="15.75" customHeight="1" thickTop="1" thickBot="1">
      <c r="A118" s="468"/>
      <c r="B118" s="469"/>
      <c r="C118" s="470"/>
      <c r="D118" s="471"/>
      <c r="E118" s="472"/>
      <c r="F118" s="473"/>
      <c r="G118" s="474"/>
      <c r="H118" s="473"/>
      <c r="I118" s="473"/>
      <c r="J118" s="473"/>
      <c r="K118" s="473"/>
      <c r="L118" s="473"/>
      <c r="M118" s="475"/>
      <c r="N118" s="399"/>
      <c r="O118" s="399"/>
      <c r="P118" s="399"/>
      <c r="Q118" s="399"/>
      <c r="R118" s="422"/>
      <c r="S118" s="399"/>
      <c r="T118" s="399"/>
    </row>
    <row r="119" spans="1:21" s="81" customFormat="1" ht="15" customHeight="1" thickTop="1">
      <c r="A119" s="476"/>
      <c r="B119" s="158"/>
      <c r="C119" s="322"/>
      <c r="D119" s="477"/>
      <c r="E119" s="163"/>
      <c r="F119" s="163"/>
      <c r="G119" s="478"/>
      <c r="H119" s="163"/>
      <c r="I119" s="163"/>
      <c r="J119" s="163"/>
      <c r="K119" s="163"/>
      <c r="L119" s="163"/>
      <c r="M119" s="164"/>
      <c r="N119" s="479"/>
      <c r="O119" s="479"/>
      <c r="P119" s="479"/>
      <c r="Q119" s="479"/>
      <c r="R119" s="480"/>
      <c r="S119" s="479"/>
      <c r="T119" s="399"/>
    </row>
    <row r="120" spans="1:21" ht="21.75" thickBot="1">
      <c r="A120" s="171" t="s">
        <v>84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  <c r="N120" s="2"/>
      <c r="O120" s="2"/>
      <c r="P120" s="2"/>
      <c r="Q120" s="2"/>
      <c r="R120" s="2"/>
      <c r="S120" s="2"/>
      <c r="T120" s="2"/>
    </row>
    <row r="121" spans="1:21" ht="15.75" customHeight="1" thickTop="1" thickBot="1">
      <c r="A121" s="1540" t="s">
        <v>1</v>
      </c>
      <c r="B121" s="1542" t="s">
        <v>2</v>
      </c>
      <c r="C121" s="1544" t="s">
        <v>3</v>
      </c>
      <c r="D121" s="1546" t="s">
        <v>4</v>
      </c>
      <c r="E121" s="1546"/>
      <c r="F121" s="1546"/>
      <c r="G121" s="1546"/>
      <c r="H121" s="1547" t="s">
        <v>5</v>
      </c>
      <c r="I121" s="1548"/>
      <c r="J121" s="1548"/>
      <c r="K121" s="1549"/>
      <c r="L121" s="1524" t="s">
        <v>6</v>
      </c>
      <c r="M121" s="1511" t="s">
        <v>7</v>
      </c>
      <c r="N121" s="1551" t="s">
        <v>8</v>
      </c>
      <c r="O121" s="1551"/>
      <c r="P121" s="1551"/>
      <c r="Q121" s="1552" t="s">
        <v>18</v>
      </c>
      <c r="R121" s="481" t="s">
        <v>85</v>
      </c>
      <c r="S121" s="482" t="s">
        <v>20</v>
      </c>
      <c r="T121" s="482" t="s">
        <v>21</v>
      </c>
    </row>
    <row r="122" spans="1:21" ht="27" thickTop="1" thickBot="1">
      <c r="A122" s="1541"/>
      <c r="B122" s="1543"/>
      <c r="C122" s="1545" t="s">
        <v>10</v>
      </c>
      <c r="D122" s="483" t="s">
        <v>11</v>
      </c>
      <c r="E122" s="484" t="s">
        <v>12</v>
      </c>
      <c r="F122" s="484" t="s">
        <v>13</v>
      </c>
      <c r="G122" s="485" t="s">
        <v>14</v>
      </c>
      <c r="H122" s="483" t="s">
        <v>11</v>
      </c>
      <c r="I122" s="486" t="s">
        <v>15</v>
      </c>
      <c r="J122" s="485"/>
      <c r="K122" s="487" t="s">
        <v>16</v>
      </c>
      <c r="L122" s="1525"/>
      <c r="M122" s="1550"/>
      <c r="N122" s="488" t="s">
        <v>14</v>
      </c>
      <c r="O122" s="485"/>
      <c r="P122" s="489" t="s">
        <v>18</v>
      </c>
      <c r="Q122" s="490" t="s">
        <v>19</v>
      </c>
      <c r="R122" s="491"/>
      <c r="S122" s="492"/>
      <c r="T122" s="492"/>
    </row>
    <row r="123" spans="1:21">
      <c r="A123" s="493">
        <v>501</v>
      </c>
      <c r="B123" s="494" t="s">
        <v>86</v>
      </c>
      <c r="C123" s="71"/>
      <c r="D123" s="495">
        <v>32</v>
      </c>
      <c r="E123" s="21">
        <v>32.332000000000001</v>
      </c>
      <c r="F123" s="21">
        <v>37.889800000000001</v>
      </c>
      <c r="G123" s="185">
        <f>ROUND(D123*(E123+F123),2)</f>
        <v>2247.1</v>
      </c>
      <c r="H123" s="496">
        <v>0</v>
      </c>
      <c r="I123" s="73">
        <v>0.85</v>
      </c>
      <c r="J123" s="73">
        <f>+H123*I123</f>
        <v>0</v>
      </c>
      <c r="K123" s="497"/>
      <c r="L123" s="498">
        <f>+SUM(G123:G130,C130)+J123+J125</f>
        <v>50146.447800000002</v>
      </c>
      <c r="M123" s="26">
        <v>50146.45</v>
      </c>
      <c r="N123" s="499"/>
      <c r="O123" s="500"/>
      <c r="P123" s="501" t="s">
        <v>87</v>
      </c>
      <c r="Q123" s="304">
        <f t="shared" ref="Q123:Q141" si="11">C123+G123+J123-M123-N123-O123</f>
        <v>-47899.35</v>
      </c>
      <c r="R123" s="502" t="s">
        <v>88</v>
      </c>
      <c r="S123" s="503"/>
      <c r="T123" s="504"/>
      <c r="U123" s="33">
        <f>+C123+L123-M123</f>
        <v>-2.1999999953550287E-3</v>
      </c>
    </row>
    <row r="124" spans="1:21">
      <c r="A124" s="505"/>
      <c r="B124" s="506"/>
      <c r="C124" s="507"/>
      <c r="D124" s="508">
        <v>0</v>
      </c>
      <c r="E124" s="38">
        <f>32.332-28.8628</f>
        <v>3.4692000000000007</v>
      </c>
      <c r="F124" s="38">
        <f>37.8898-33.8306</f>
        <v>4.0592000000000041</v>
      </c>
      <c r="G124" s="50">
        <f>ROUND(D124*(E124+F124),2)</f>
        <v>0</v>
      </c>
      <c r="H124" s="448"/>
      <c r="I124" s="509"/>
      <c r="J124" s="409"/>
      <c r="K124" s="510"/>
      <c r="L124" s="511"/>
      <c r="M124" s="512"/>
      <c r="N124" s="513"/>
      <c r="O124" s="514"/>
      <c r="P124" s="515"/>
      <c r="Q124" s="262"/>
      <c r="R124" s="502"/>
      <c r="S124" s="503"/>
      <c r="T124" s="504"/>
      <c r="U124" s="33"/>
    </row>
    <row r="125" spans="1:21">
      <c r="A125" s="505"/>
      <c r="B125" s="516" t="s">
        <v>89</v>
      </c>
      <c r="C125" s="512" t="s">
        <v>90</v>
      </c>
      <c r="D125" s="508">
        <v>11</v>
      </c>
      <c r="E125" s="101">
        <v>344.19</v>
      </c>
      <c r="F125" s="38">
        <v>37.889800000000001</v>
      </c>
      <c r="G125" s="50">
        <f>D125*(E125+F125)</f>
        <v>4202.8778000000002</v>
      </c>
      <c r="H125" s="270">
        <v>0</v>
      </c>
      <c r="I125" s="41">
        <v>128.56</v>
      </c>
      <c r="J125" s="409">
        <f>+H125*I125</f>
        <v>0</v>
      </c>
      <c r="K125" s="510"/>
      <c r="L125" s="517"/>
      <c r="M125" s="99"/>
      <c r="N125" s="518"/>
      <c r="O125" s="519"/>
      <c r="P125" s="515" t="s">
        <v>87</v>
      </c>
      <c r="Q125" s="271">
        <f>+G125+J125-M125-N125-O125</f>
        <v>4202.8778000000002</v>
      </c>
      <c r="R125" s="502" t="s">
        <v>88</v>
      </c>
      <c r="S125" s="503"/>
      <c r="T125" s="504"/>
    </row>
    <row r="126" spans="1:21">
      <c r="A126" s="505"/>
      <c r="B126" s="506" t="s">
        <v>91</v>
      </c>
      <c r="C126" s="507"/>
      <c r="D126" s="508">
        <v>14</v>
      </c>
      <c r="E126" s="41">
        <f>344.19-406.32</f>
        <v>-62.129999999999995</v>
      </c>
      <c r="F126" s="38"/>
      <c r="G126" s="50">
        <f>ROUND(D126*(E126+F126),2)</f>
        <v>-869.82</v>
      </c>
      <c r="H126" s="432"/>
      <c r="I126" s="362"/>
      <c r="J126" s="409"/>
      <c r="K126" s="510"/>
      <c r="L126" s="517"/>
      <c r="M126" s="520"/>
      <c r="N126" s="521"/>
      <c r="O126" s="522"/>
      <c r="P126" s="523"/>
      <c r="Q126" s="362"/>
      <c r="R126" s="502"/>
      <c r="S126" s="503"/>
      <c r="T126" s="504"/>
    </row>
    <row r="127" spans="1:21">
      <c r="A127" s="505"/>
      <c r="B127" s="506" t="s">
        <v>91</v>
      </c>
      <c r="C127" s="507"/>
      <c r="D127" s="508"/>
      <c r="E127" s="38"/>
      <c r="F127" s="41"/>
      <c r="G127" s="50">
        <f>D127*(E127+F127)</f>
        <v>0</v>
      </c>
      <c r="H127" s="432"/>
      <c r="I127" s="362"/>
      <c r="J127" s="409"/>
      <c r="K127" s="510"/>
      <c r="L127" s="517"/>
      <c r="M127" s="520"/>
      <c r="N127" s="521"/>
      <c r="O127" s="522"/>
      <c r="P127" s="523"/>
      <c r="Q127" s="362"/>
      <c r="R127" s="502"/>
      <c r="S127" s="503"/>
      <c r="T127" s="504"/>
    </row>
    <row r="128" spans="1:21">
      <c r="A128" s="505"/>
      <c r="B128" s="506" t="s">
        <v>92</v>
      </c>
      <c r="C128" s="48" t="s">
        <v>27</v>
      </c>
      <c r="D128" s="508">
        <v>7627</v>
      </c>
      <c r="E128" s="41">
        <f>5.6669-5.8331</f>
        <v>-0.1661999999999999</v>
      </c>
      <c r="F128" s="41">
        <f>+E128</f>
        <v>-0.1661999999999999</v>
      </c>
      <c r="G128" s="39">
        <f>ROUNDDOWN(D128*E128,2)</f>
        <v>-1267.5999999999999</v>
      </c>
      <c r="H128" s="432"/>
      <c r="I128" s="362"/>
      <c r="J128" s="41"/>
      <c r="K128" s="510"/>
      <c r="L128" s="517"/>
      <c r="M128" s="520"/>
      <c r="N128" s="521"/>
      <c r="O128" s="522"/>
      <c r="P128" s="523"/>
      <c r="Q128" s="362"/>
      <c r="R128" s="502"/>
      <c r="S128" s="503"/>
      <c r="T128" s="504"/>
    </row>
    <row r="129" spans="1:21">
      <c r="A129" s="505"/>
      <c r="B129" s="506"/>
      <c r="C129" s="48" t="s">
        <v>28</v>
      </c>
      <c r="D129" s="508">
        <v>343</v>
      </c>
      <c r="E129" s="41">
        <v>5.6669</v>
      </c>
      <c r="F129" s="41">
        <f>+E129</f>
        <v>5.6669</v>
      </c>
      <c r="G129" s="39">
        <f>ROUND(D129*E129,2)</f>
        <v>1943.75</v>
      </c>
      <c r="H129" s="432"/>
      <c r="I129" s="362"/>
      <c r="J129" s="207"/>
      <c r="K129" s="524"/>
      <c r="L129" s="517"/>
      <c r="M129" s="520"/>
      <c r="N129" s="521"/>
      <c r="O129" s="522"/>
      <c r="P129" s="523"/>
      <c r="Q129" s="362"/>
      <c r="R129" s="502"/>
      <c r="S129" s="503"/>
      <c r="T129" s="504"/>
    </row>
    <row r="130" spans="1:21" ht="15.75" thickBot="1">
      <c r="A130" s="525"/>
      <c r="B130" s="526"/>
      <c r="C130" s="54" t="s">
        <v>29</v>
      </c>
      <c r="D130" s="55">
        <v>7745</v>
      </c>
      <c r="E130" s="56">
        <v>5.6669</v>
      </c>
      <c r="F130" s="57">
        <f>+E130</f>
        <v>5.6669</v>
      </c>
      <c r="G130" s="58">
        <f>ROUND(D130*E130,2)</f>
        <v>43890.14</v>
      </c>
      <c r="H130" s="248"/>
      <c r="I130" s="203"/>
      <c r="J130" s="60"/>
      <c r="K130" s="61"/>
      <c r="L130" s="249"/>
      <c r="M130" s="54"/>
      <c r="N130" s="527"/>
      <c r="O130" s="528"/>
      <c r="P130" s="529" t="s">
        <v>87</v>
      </c>
      <c r="Q130" s="282">
        <f>+G130+J130-M130-N130-O130</f>
        <v>43890.14</v>
      </c>
      <c r="R130" s="530" t="s">
        <v>88</v>
      </c>
      <c r="S130" s="531">
        <f>SUM(N123:N130)+O123:O130</f>
        <v>0</v>
      </c>
      <c r="T130" s="531">
        <f>SUM(Q123:Q130)</f>
        <v>193.6678000000029</v>
      </c>
      <c r="U130" s="33"/>
    </row>
    <row r="131" spans="1:21" ht="15.75" thickTop="1">
      <c r="A131" s="339" t="s">
        <v>93</v>
      </c>
      <c r="B131" s="532" t="s">
        <v>94</v>
      </c>
      <c r="C131" s="71">
        <f>+[1]дек!U51</f>
        <v>-6.0000000303261913E-4</v>
      </c>
      <c r="D131" s="213">
        <v>47</v>
      </c>
      <c r="E131" s="21">
        <v>32.332000000000001</v>
      </c>
      <c r="F131" s="21">
        <v>37.889800000000001</v>
      </c>
      <c r="G131" s="214">
        <f>ROUND(D131*(E131+F131),2)</f>
        <v>3300.42</v>
      </c>
      <c r="H131" s="496"/>
      <c r="I131" s="73">
        <v>0.85</v>
      </c>
      <c r="J131" s="73">
        <f>H131*I131</f>
        <v>0</v>
      </c>
      <c r="K131" s="497"/>
      <c r="L131" s="533">
        <f>+SUM(G131:G138,)+J131+J133</f>
        <v>45331.94</v>
      </c>
      <c r="M131" s="26">
        <v>45331.94</v>
      </c>
      <c r="N131" s="534"/>
      <c r="O131" s="535"/>
      <c r="P131" s="536" t="s">
        <v>87</v>
      </c>
      <c r="Q131" s="537">
        <f t="shared" si="11"/>
        <v>-42031.520600000003</v>
      </c>
      <c r="R131" s="538" t="s">
        <v>95</v>
      </c>
      <c r="S131" s="539"/>
      <c r="T131" s="540"/>
      <c r="U131" s="33"/>
    </row>
    <row r="132" spans="1:21">
      <c r="A132" s="353"/>
      <c r="B132" s="541"/>
      <c r="C132" s="542" t="s">
        <v>96</v>
      </c>
      <c r="D132" s="234">
        <v>0</v>
      </c>
      <c r="E132" s="38">
        <f>32.332-28.8628</f>
        <v>3.4692000000000007</v>
      </c>
      <c r="F132" s="38">
        <f>37.8898-33.8306</f>
        <v>4.0592000000000041</v>
      </c>
      <c r="G132" s="235">
        <f>ROUND(D132*(E132+F132),2)</f>
        <v>0</v>
      </c>
      <c r="H132" s="448"/>
      <c r="I132" s="509"/>
      <c r="J132" s="509"/>
      <c r="K132" s="543"/>
      <c r="L132" s="544"/>
      <c r="M132" s="545"/>
      <c r="N132" s="546"/>
      <c r="O132" s="547"/>
      <c r="P132" s="548"/>
      <c r="Q132" s="549"/>
      <c r="R132" s="550"/>
      <c r="S132" s="551"/>
      <c r="T132" s="552"/>
      <c r="U132" s="33"/>
    </row>
    <row r="133" spans="1:21">
      <c r="A133" s="353"/>
      <c r="B133" s="516" t="s">
        <v>32</v>
      </c>
      <c r="C133" s="99" t="s">
        <v>90</v>
      </c>
      <c r="D133" s="234">
        <v>18</v>
      </c>
      <c r="E133" s="101">
        <v>344.19</v>
      </c>
      <c r="F133" s="38">
        <v>37.889800000000001</v>
      </c>
      <c r="G133" s="235">
        <f>ROUND(D133*(E133+F133),2)</f>
        <v>6877.44</v>
      </c>
      <c r="H133" s="270">
        <v>0</v>
      </c>
      <c r="I133" s="41">
        <v>128.56</v>
      </c>
      <c r="J133" s="41">
        <f>ROUND(H133*I133,2)</f>
        <v>0</v>
      </c>
      <c r="K133" s="510"/>
      <c r="L133" s="553"/>
      <c r="M133" s="554"/>
      <c r="N133" s="555"/>
      <c r="O133" s="556"/>
      <c r="P133" s="557" t="s">
        <v>87</v>
      </c>
      <c r="Q133" s="558">
        <f>+G133+J133-M133-N133-O133</f>
        <v>6877.44</v>
      </c>
      <c r="R133" s="550" t="s">
        <v>95</v>
      </c>
      <c r="S133" s="551"/>
      <c r="T133" s="552"/>
    </row>
    <row r="134" spans="1:21">
      <c r="A134" s="353"/>
      <c r="B134" s="541"/>
      <c r="C134" s="84" t="s">
        <v>97</v>
      </c>
      <c r="D134" s="234">
        <v>8</v>
      </c>
      <c r="E134" s="41">
        <f>344.19-406.32</f>
        <v>-62.129999999999995</v>
      </c>
      <c r="F134" s="38"/>
      <c r="G134" s="50">
        <f>ROUND(D134*E134,2)</f>
        <v>-497.04</v>
      </c>
      <c r="H134" s="432"/>
      <c r="I134" s="362"/>
      <c r="J134" s="41"/>
      <c r="K134" s="510"/>
      <c r="L134" s="559"/>
      <c r="M134" s="560"/>
      <c r="N134" s="561"/>
      <c r="O134" s="562"/>
      <c r="P134" s="563"/>
      <c r="Q134" s="564"/>
      <c r="R134" s="550"/>
      <c r="S134" s="551"/>
      <c r="T134" s="552"/>
    </row>
    <row r="135" spans="1:21">
      <c r="A135" s="353"/>
      <c r="B135" s="541"/>
      <c r="C135" s="84" t="s">
        <v>97</v>
      </c>
      <c r="D135" s="234"/>
      <c r="E135" s="38"/>
      <c r="F135" s="240"/>
      <c r="G135" s="50">
        <f>D135*(E135+F135)</f>
        <v>0</v>
      </c>
      <c r="H135" s="432"/>
      <c r="I135" s="362"/>
      <c r="J135" s="41"/>
      <c r="K135" s="510"/>
      <c r="L135" s="559"/>
      <c r="M135" s="560"/>
      <c r="N135" s="561"/>
      <c r="O135" s="562"/>
      <c r="P135" s="563"/>
      <c r="Q135" s="564"/>
      <c r="R135" s="550"/>
      <c r="S135" s="551"/>
      <c r="T135" s="552"/>
    </row>
    <row r="136" spans="1:21">
      <c r="A136" s="353"/>
      <c r="B136" s="541"/>
      <c r="C136" s="48" t="s">
        <v>27</v>
      </c>
      <c r="D136" s="37">
        <v>5963</v>
      </c>
      <c r="E136" s="41">
        <f>5.6669-5.8331</f>
        <v>-0.1661999999999999</v>
      </c>
      <c r="F136" s="41">
        <f>+E136</f>
        <v>-0.1661999999999999</v>
      </c>
      <c r="G136" s="235">
        <f>ROUND(D136*E136,2)</f>
        <v>-991.05</v>
      </c>
      <c r="H136" s="565"/>
      <c r="I136" s="564"/>
      <c r="J136" s="566"/>
      <c r="K136" s="567"/>
      <c r="L136" s="559"/>
      <c r="M136" s="560"/>
      <c r="N136" s="561"/>
      <c r="O136" s="562"/>
      <c r="P136" s="563"/>
      <c r="Q136" s="564"/>
      <c r="R136" s="550"/>
      <c r="S136" s="551"/>
      <c r="T136" s="552"/>
      <c r="U136" s="352"/>
    </row>
    <row r="137" spans="1:21">
      <c r="A137" s="353"/>
      <c r="B137" s="541"/>
      <c r="C137" s="48" t="s">
        <v>28</v>
      </c>
      <c r="D137" s="37">
        <v>274</v>
      </c>
      <c r="E137" s="41">
        <v>5.6669</v>
      </c>
      <c r="F137" s="41">
        <f>+E137</f>
        <v>5.6669</v>
      </c>
      <c r="G137" s="235">
        <f>ROUND(D137*E137,2)</f>
        <v>1552.73</v>
      </c>
      <c r="H137" s="565"/>
      <c r="I137" s="564"/>
      <c r="J137" s="566"/>
      <c r="K137" s="567"/>
      <c r="L137" s="559"/>
      <c r="M137" s="560"/>
      <c r="N137" s="561"/>
      <c r="O137" s="562"/>
      <c r="P137" s="563"/>
      <c r="Q137" s="564"/>
      <c r="R137" s="550"/>
      <c r="S137" s="551"/>
      <c r="T137" s="552"/>
      <c r="U137" s="33"/>
    </row>
    <row r="138" spans="1:21" ht="15.75" thickBot="1">
      <c r="A138" s="369"/>
      <c r="B138" s="568"/>
      <c r="C138" s="54" t="s">
        <v>29</v>
      </c>
      <c r="D138" s="246">
        <v>6192</v>
      </c>
      <c r="E138" s="56">
        <v>5.6669</v>
      </c>
      <c r="F138" s="57">
        <f>+E138</f>
        <v>5.6669</v>
      </c>
      <c r="G138" s="247">
        <f>ROUND(D138*E138,2)</f>
        <v>35089.440000000002</v>
      </c>
      <c r="H138" s="248"/>
      <c r="I138" s="203"/>
      <c r="J138" s="60"/>
      <c r="K138" s="61"/>
      <c r="L138" s="204"/>
      <c r="M138" s="560"/>
      <c r="N138" s="561"/>
      <c r="O138" s="528"/>
      <c r="P138" s="529" t="s">
        <v>87</v>
      </c>
      <c r="Q138" s="564">
        <f>+G138+J138-M138-N138-O138</f>
        <v>35089.440000000002</v>
      </c>
      <c r="R138" s="550" t="s">
        <v>95</v>
      </c>
      <c r="S138" s="569">
        <f>SUM(N131:N138)+O131:O138</f>
        <v>0</v>
      </c>
      <c r="T138" s="570">
        <f>SUM(Q133:Q138)</f>
        <v>41966.880000000005</v>
      </c>
    </row>
    <row r="139" spans="1:21" ht="15.75" hidden="1" outlineLevel="1" thickBot="1">
      <c r="A139" s="571"/>
      <c r="B139" s="572" t="s">
        <v>98</v>
      </c>
      <c r="C139" s="573" t="s">
        <v>99</v>
      </c>
      <c r="D139" s="574">
        <v>0</v>
      </c>
      <c r="E139" s="575">
        <f>3.193-2.9732</f>
        <v>0.21980000000000022</v>
      </c>
      <c r="F139" s="575">
        <f>3.193-2.9732</f>
        <v>0.21980000000000022</v>
      </c>
      <c r="G139" s="576">
        <f>D139*E139*70%+D139*F139*30%</f>
        <v>0</v>
      </c>
      <c r="H139" s="577"/>
      <c r="I139" s="578"/>
      <c r="J139" s="579"/>
      <c r="K139" s="579"/>
      <c r="L139" s="580"/>
      <c r="M139" s="581"/>
      <c r="N139" s="582"/>
      <c r="O139" s="535"/>
      <c r="P139" s="536"/>
      <c r="Q139" s="583"/>
      <c r="R139" s="584"/>
      <c r="S139" s="569"/>
      <c r="T139" s="585"/>
    </row>
    <row r="140" spans="1:21" s="81" customFormat="1" ht="16.5" hidden="1" customHeight="1" outlineLevel="1" thickBot="1">
      <c r="A140" s="586" t="s">
        <v>100</v>
      </c>
      <c r="B140" s="587" t="s">
        <v>98</v>
      </c>
      <c r="C140" s="588">
        <f>+[1]авг!C52</f>
        <v>0</v>
      </c>
      <c r="D140" s="589">
        <v>0</v>
      </c>
      <c r="E140" s="575">
        <v>3.1930000000000001</v>
      </c>
      <c r="F140" s="575">
        <f>+E140</f>
        <v>3.1930000000000001</v>
      </c>
      <c r="G140" s="576">
        <f>D140*E140*70%+D140*F140*30%</f>
        <v>0</v>
      </c>
      <c r="H140" s="579"/>
      <c r="I140" s="579"/>
      <c r="J140" s="579"/>
      <c r="K140" s="579"/>
      <c r="L140" s="579">
        <f>+C140+G140+G139</f>
        <v>0</v>
      </c>
      <c r="M140" s="590">
        <v>0</v>
      </c>
      <c r="N140" s="500"/>
      <c r="O140" s="528"/>
      <c r="P140" s="529" t="s">
        <v>87</v>
      </c>
      <c r="Q140" s="591">
        <f t="shared" si="11"/>
        <v>0</v>
      </c>
      <c r="R140" s="592" t="s">
        <v>101</v>
      </c>
      <c r="S140" s="77">
        <f>SUM(N140:N140)+SUM(O140:O140)</f>
        <v>0</v>
      </c>
      <c r="T140" s="593">
        <f>SUM(Q140:Q140)</f>
        <v>0</v>
      </c>
    </row>
    <row r="141" spans="1:21" ht="15.75" collapsed="1" thickTop="1">
      <c r="A141" s="505">
        <v>115</v>
      </c>
      <c r="B141" s="494" t="s">
        <v>102</v>
      </c>
      <c r="C141" s="71">
        <f>+[1]дек!U57</f>
        <v>0</v>
      </c>
      <c r="D141" s="495">
        <v>9</v>
      </c>
      <c r="E141" s="21">
        <v>32.332000000000001</v>
      </c>
      <c r="F141" s="21">
        <v>37.889800000000001</v>
      </c>
      <c r="G141" s="185">
        <f>ROUND(D141*(E141+F141),2)</f>
        <v>632</v>
      </c>
      <c r="H141" s="496">
        <v>0</v>
      </c>
      <c r="I141" s="73">
        <v>0.85</v>
      </c>
      <c r="J141" s="73">
        <f>+H141*I141</f>
        <v>0</v>
      </c>
      <c r="K141" s="497"/>
      <c r="L141" s="498">
        <f>SUM(G141:G147)+SUM(J141:J146)</f>
        <v>19517.89</v>
      </c>
      <c r="M141" s="26">
        <v>19517.89</v>
      </c>
      <c r="N141" s="594"/>
      <c r="O141" s="535"/>
      <c r="P141" s="536" t="s">
        <v>87</v>
      </c>
      <c r="Q141" s="595">
        <f t="shared" si="11"/>
        <v>-18885.89</v>
      </c>
      <c r="R141" s="502" t="s">
        <v>88</v>
      </c>
      <c r="S141" s="503"/>
      <c r="T141" s="504"/>
    </row>
    <row r="142" spans="1:21">
      <c r="A142" s="505"/>
      <c r="B142" s="506"/>
      <c r="C142" s="542"/>
      <c r="D142" s="508"/>
      <c r="E142" s="38">
        <f>32.332-28.8628</f>
        <v>3.4692000000000007</v>
      </c>
      <c r="F142" s="38">
        <f>37.8898-33.8306</f>
        <v>4.0592000000000041</v>
      </c>
      <c r="G142" s="50">
        <f>ROUND(D142*(E142+F142),2)</f>
        <v>0</v>
      </c>
      <c r="H142" s="596"/>
      <c r="I142" s="409"/>
      <c r="J142" s="509"/>
      <c r="K142" s="543"/>
      <c r="L142" s="511"/>
      <c r="M142" s="99"/>
      <c r="N142" s="513"/>
      <c r="O142" s="514"/>
      <c r="P142" s="515"/>
      <c r="Q142" s="262"/>
      <c r="R142" s="502"/>
      <c r="S142" s="503"/>
      <c r="T142" s="504"/>
    </row>
    <row r="143" spans="1:21">
      <c r="A143" s="505"/>
      <c r="B143" s="516" t="s">
        <v>103</v>
      </c>
      <c r="C143" s="99" t="s">
        <v>90</v>
      </c>
      <c r="D143" s="508">
        <v>18</v>
      </c>
      <c r="E143" s="101">
        <v>344.19</v>
      </c>
      <c r="F143" s="38">
        <v>37.889800000000001</v>
      </c>
      <c r="G143" s="50">
        <f>ROUND(D143*(E143+F143),2)</f>
        <v>6877.44</v>
      </c>
      <c r="H143" s="270"/>
      <c r="I143" s="41">
        <v>128.56</v>
      </c>
      <c r="J143" s="409">
        <f>+H143*I143</f>
        <v>0</v>
      </c>
      <c r="K143" s="510"/>
      <c r="L143" s="597"/>
      <c r="M143" s="99"/>
      <c r="N143" s="518"/>
      <c r="O143" s="519"/>
      <c r="P143" s="515" t="s">
        <v>87</v>
      </c>
      <c r="Q143" s="271">
        <f>+G143+J143-M143-N143-O143</f>
        <v>6877.44</v>
      </c>
      <c r="R143" s="502" t="s">
        <v>88</v>
      </c>
      <c r="S143" s="503"/>
      <c r="T143" s="504"/>
    </row>
    <row r="144" spans="1:21">
      <c r="A144" s="505"/>
      <c r="B144" s="506"/>
      <c r="C144" s="390" t="s">
        <v>97</v>
      </c>
      <c r="D144" s="508">
        <v>18</v>
      </c>
      <c r="E144" s="41">
        <f>344.19-406.32</f>
        <v>-62.129999999999995</v>
      </c>
      <c r="F144" s="38"/>
      <c r="G144" s="50">
        <f>D144*(E144+F144)</f>
        <v>-1118.3399999999999</v>
      </c>
      <c r="H144" s="432"/>
      <c r="I144" s="362"/>
      <c r="J144" s="41"/>
      <c r="K144" s="510"/>
      <c r="L144" s="597"/>
      <c r="M144" s="99"/>
      <c r="N144" s="521"/>
      <c r="O144" s="522"/>
      <c r="P144" s="523"/>
      <c r="Q144" s="362"/>
      <c r="R144" s="502"/>
      <c r="S144" s="503"/>
      <c r="T144" s="504"/>
    </row>
    <row r="145" spans="1:21">
      <c r="A145" s="505"/>
      <c r="B145" s="506"/>
      <c r="C145" s="48" t="s">
        <v>27</v>
      </c>
      <c r="D145" s="37">
        <v>2271</v>
      </c>
      <c r="E145" s="41">
        <f>5.6669-5.8331</f>
        <v>-0.1661999999999999</v>
      </c>
      <c r="F145" s="297">
        <f t="shared" ref="F145:F147" si="12">+E145</f>
        <v>-0.1661999999999999</v>
      </c>
      <c r="G145" s="39">
        <f>ROUND(D145*(E145+F145)/2,2)</f>
        <v>-377.44</v>
      </c>
      <c r="H145" s="432"/>
      <c r="I145" s="362"/>
      <c r="J145" s="41"/>
      <c r="K145" s="510"/>
      <c r="L145" s="597"/>
      <c r="M145" s="99"/>
      <c r="N145" s="521"/>
      <c r="O145" s="522"/>
      <c r="P145" s="523"/>
      <c r="Q145" s="362"/>
      <c r="R145" s="502"/>
      <c r="S145" s="503"/>
      <c r="T145" s="504"/>
    </row>
    <row r="146" spans="1:21">
      <c r="A146" s="505"/>
      <c r="B146" s="506"/>
      <c r="C146" s="48" t="s">
        <v>28</v>
      </c>
      <c r="D146" s="37">
        <v>101</v>
      </c>
      <c r="E146" s="41">
        <v>5.6669</v>
      </c>
      <c r="F146" s="298">
        <f t="shared" si="12"/>
        <v>5.6669</v>
      </c>
      <c r="G146" s="39">
        <f>ROUND(D146*E146,2)</f>
        <v>572.36</v>
      </c>
      <c r="H146" s="432"/>
      <c r="I146" s="362"/>
      <c r="J146" s="41"/>
      <c r="K146" s="510"/>
      <c r="L146" s="597"/>
      <c r="M146" s="99"/>
      <c r="N146" s="521"/>
      <c r="O146" s="522"/>
      <c r="P146" s="523"/>
      <c r="Q146" s="362"/>
      <c r="R146" s="502"/>
      <c r="S146" s="503"/>
      <c r="T146" s="504"/>
    </row>
    <row r="147" spans="1:21" ht="15.75" thickBot="1">
      <c r="A147" s="505"/>
      <c r="B147" s="526"/>
      <c r="C147" s="54" t="s">
        <v>29</v>
      </c>
      <c r="D147" s="55">
        <v>2282</v>
      </c>
      <c r="E147" s="56">
        <v>5.6669</v>
      </c>
      <c r="F147" s="57">
        <f t="shared" si="12"/>
        <v>5.6669</v>
      </c>
      <c r="G147" s="414">
        <f>ROUND(D147*E147,2)</f>
        <v>12931.87</v>
      </c>
      <c r="H147" s="248"/>
      <c r="I147" s="203"/>
      <c r="J147" s="60"/>
      <c r="K147" s="61"/>
      <c r="L147" s="249"/>
      <c r="M147" s="54"/>
      <c r="N147" s="527"/>
      <c r="O147" s="528"/>
      <c r="P147" s="529" t="s">
        <v>87</v>
      </c>
      <c r="Q147" s="58">
        <f>+G147+J147-M147-N147-O147</f>
        <v>12931.87</v>
      </c>
      <c r="R147" s="502" t="s">
        <v>88</v>
      </c>
      <c r="S147" s="598">
        <f>SUM(N141:N147)+O141:O147</f>
        <v>0</v>
      </c>
      <c r="T147" s="598">
        <f>SUM(Q141:Q147)</f>
        <v>923.42000000000007</v>
      </c>
    </row>
    <row r="148" spans="1:21">
      <c r="A148" s="493"/>
      <c r="B148" s="494" t="s">
        <v>104</v>
      </c>
      <c r="C148" s="71">
        <f>+[1]дек!U66</f>
        <v>0</v>
      </c>
      <c r="D148" s="495">
        <v>31</v>
      </c>
      <c r="E148" s="21">
        <v>32.332000000000001</v>
      </c>
      <c r="F148" s="21">
        <v>37.889800000000001</v>
      </c>
      <c r="G148" s="185">
        <f>ROUND(D148*(E148+F148),2)</f>
        <v>2176.88</v>
      </c>
      <c r="H148" s="496"/>
      <c r="I148" s="73">
        <v>0.85</v>
      </c>
      <c r="J148" s="73">
        <f>+H148*I148</f>
        <v>0</v>
      </c>
      <c r="K148" s="497"/>
      <c r="L148" s="439">
        <f>SUM(G148:G155)+SUM(J148:J154)</f>
        <v>18270.439999999999</v>
      </c>
      <c r="M148" s="26">
        <v>18270.439999999999</v>
      </c>
      <c r="N148" s="499"/>
      <c r="O148" s="500"/>
      <c r="P148" s="501" t="s">
        <v>87</v>
      </c>
      <c r="Q148" s="185">
        <f t="shared" ref="Q148" si="13">C148+G148+J148-M148-N148-O148</f>
        <v>-16093.559999999998</v>
      </c>
      <c r="R148" s="502" t="s">
        <v>88</v>
      </c>
      <c r="S148" s="503"/>
      <c r="T148" s="504"/>
    </row>
    <row r="149" spans="1:21">
      <c r="A149" s="505"/>
      <c r="B149" s="506"/>
      <c r="C149" s="599" t="s">
        <v>96</v>
      </c>
      <c r="D149" s="234">
        <v>0</v>
      </c>
      <c r="E149" s="38">
        <f>32.332-28.8628</f>
        <v>3.4692000000000007</v>
      </c>
      <c r="F149" s="38">
        <f>37.8898-33.8306</f>
        <v>4.0592000000000041</v>
      </c>
      <c r="G149" s="235">
        <f>ROUND(D149*(E149+F149),2)</f>
        <v>0</v>
      </c>
      <c r="H149" s="448"/>
      <c r="I149" s="509"/>
      <c r="J149" s="409"/>
      <c r="K149" s="510"/>
      <c r="L149" s="48"/>
      <c r="M149" s="512"/>
      <c r="N149" s="513"/>
      <c r="O149" s="514"/>
      <c r="P149" s="515"/>
      <c r="Q149" s="262"/>
      <c r="R149" s="502"/>
      <c r="S149" s="503"/>
      <c r="T149" s="504"/>
    </row>
    <row r="150" spans="1:21">
      <c r="A150" s="505"/>
      <c r="B150" s="516" t="s">
        <v>89</v>
      </c>
      <c r="C150" s="512" t="s">
        <v>90</v>
      </c>
      <c r="D150" s="508">
        <v>7</v>
      </c>
      <c r="E150" s="101">
        <v>344.19</v>
      </c>
      <c r="F150" s="38">
        <v>37.889800000000001</v>
      </c>
      <c r="G150" s="50">
        <f>ROUND(D150*(E150+F150),2)</f>
        <v>2674.56</v>
      </c>
      <c r="H150" s="270"/>
      <c r="I150" s="41">
        <v>128.56</v>
      </c>
      <c r="J150" s="409">
        <f>ROUND(H150*I150,2)</f>
        <v>0</v>
      </c>
      <c r="K150" s="510"/>
      <c r="L150" s="600"/>
      <c r="M150" s="99"/>
      <c r="N150" s="518"/>
      <c r="O150" s="519"/>
      <c r="P150" s="515" t="s">
        <v>87</v>
      </c>
      <c r="Q150" s="271">
        <f>+G150+J150-M150-N150-O150</f>
        <v>2674.56</v>
      </c>
      <c r="R150" s="502" t="s">
        <v>88</v>
      </c>
      <c r="S150" s="503"/>
      <c r="T150" s="504"/>
    </row>
    <row r="151" spans="1:21">
      <c r="A151" s="505"/>
      <c r="B151" s="541"/>
      <c r="C151" s="84" t="s">
        <v>97</v>
      </c>
      <c r="D151" s="508">
        <v>4</v>
      </c>
      <c r="E151" s="41">
        <f>344.19-406.32</f>
        <v>-62.129999999999995</v>
      </c>
      <c r="F151" s="38"/>
      <c r="G151" s="50">
        <f>ROUND(D151*(E151+F151),2)+0.01</f>
        <v>-248.51000000000002</v>
      </c>
      <c r="H151" s="432"/>
      <c r="I151" s="362"/>
      <c r="J151" s="41"/>
      <c r="K151" s="510"/>
      <c r="L151" s="600"/>
      <c r="M151" s="520"/>
      <c r="N151" s="521"/>
      <c r="O151" s="522"/>
      <c r="P151" s="523"/>
      <c r="Q151" s="362"/>
      <c r="R151" s="502"/>
      <c r="S151" s="503"/>
      <c r="T151" s="504"/>
    </row>
    <row r="152" spans="1:21">
      <c r="A152" s="505"/>
      <c r="B152" s="541"/>
      <c r="C152" s="84" t="s">
        <v>97</v>
      </c>
      <c r="D152" s="508">
        <v>0</v>
      </c>
      <c r="E152" s="41"/>
      <c r="F152" s="41"/>
      <c r="G152" s="50">
        <f>D152*(E152+F152)</f>
        <v>0</v>
      </c>
      <c r="H152" s="432"/>
      <c r="I152" s="362"/>
      <c r="J152" s="41"/>
      <c r="K152" s="510"/>
      <c r="L152" s="600"/>
      <c r="M152" s="520"/>
      <c r="N152" s="521"/>
      <c r="O152" s="522"/>
      <c r="P152" s="523"/>
      <c r="Q152" s="362"/>
      <c r="R152" s="502"/>
      <c r="S152" s="503"/>
      <c r="T152" s="504"/>
    </row>
    <row r="153" spans="1:21">
      <c r="A153" s="505"/>
      <c r="B153" s="506"/>
      <c r="C153" s="48" t="s">
        <v>27</v>
      </c>
      <c r="D153" s="37">
        <v>2359</v>
      </c>
      <c r="E153" s="41">
        <f>5.6669-5.8331</f>
        <v>-0.1661999999999999</v>
      </c>
      <c r="F153" s="41">
        <f>+E153</f>
        <v>-0.1661999999999999</v>
      </c>
      <c r="G153" s="39">
        <f>ROUND(D153*(E153),2)+0.01</f>
        <v>-392.06</v>
      </c>
      <c r="H153" s="432"/>
      <c r="I153" s="362"/>
      <c r="J153" s="41"/>
      <c r="K153" s="510"/>
      <c r="L153" s="600"/>
      <c r="M153" s="520"/>
      <c r="N153" s="521"/>
      <c r="O153" s="522"/>
      <c r="P153" s="523"/>
      <c r="Q153" s="362"/>
      <c r="R153" s="502"/>
      <c r="S153" s="503"/>
      <c r="T153" s="504"/>
    </row>
    <row r="154" spans="1:21">
      <c r="A154" s="505"/>
      <c r="B154" s="506"/>
      <c r="C154" s="48" t="s">
        <v>28</v>
      </c>
      <c r="D154" s="37">
        <v>105</v>
      </c>
      <c r="E154" s="41">
        <v>5.6669</v>
      </c>
      <c r="F154" s="41">
        <f>+E154</f>
        <v>5.6669</v>
      </c>
      <c r="G154" s="39">
        <f>ROUND(D154*(E154),2)</f>
        <v>595.02</v>
      </c>
      <c r="H154" s="432"/>
      <c r="I154" s="362"/>
      <c r="J154" s="41"/>
      <c r="K154" s="510"/>
      <c r="L154" s="600"/>
      <c r="M154" s="520"/>
      <c r="N154" s="521"/>
      <c r="O154" s="522"/>
      <c r="P154" s="523"/>
      <c r="Q154" s="362"/>
      <c r="R154" s="502"/>
      <c r="S154" s="503"/>
      <c r="T154" s="504"/>
      <c r="U154" s="33"/>
    </row>
    <row r="155" spans="1:21" ht="15.75" thickBot="1">
      <c r="A155" s="525"/>
      <c r="B155" s="526"/>
      <c r="C155" s="54" t="s">
        <v>29</v>
      </c>
      <c r="D155" s="55">
        <v>2376</v>
      </c>
      <c r="E155" s="56">
        <v>5.6669</v>
      </c>
      <c r="F155" s="281">
        <f>+E155</f>
        <v>5.6669</v>
      </c>
      <c r="G155" s="414">
        <f>ROUND(D155*(E155),2)</f>
        <v>13464.55</v>
      </c>
      <c r="H155" s="248"/>
      <c r="I155" s="203"/>
      <c r="J155" s="60"/>
      <c r="K155" s="61"/>
      <c r="L155" s="204"/>
      <c r="M155" s="54"/>
      <c r="N155" s="527"/>
      <c r="O155" s="528"/>
      <c r="P155" s="529" t="s">
        <v>87</v>
      </c>
      <c r="Q155" s="362">
        <f>+G155+J155-M155-N155-O155</f>
        <v>13464.55</v>
      </c>
      <c r="R155" s="502" t="s">
        <v>88</v>
      </c>
      <c r="S155" s="598">
        <f>SUM(N148:N155)+O148:O155</f>
        <v>0</v>
      </c>
      <c r="T155" s="598">
        <f>SUM(Q148:Q155)</f>
        <v>45.550000000001091</v>
      </c>
    </row>
    <row r="156" spans="1:21" ht="15.75" thickTop="1">
      <c r="A156" s="493">
        <v>115</v>
      </c>
      <c r="B156" s="494" t="s">
        <v>105</v>
      </c>
      <c r="C156" s="71">
        <f>+[1]дек!U72</f>
        <v>0</v>
      </c>
      <c r="D156" s="495">
        <v>11</v>
      </c>
      <c r="E156" s="21">
        <v>32.332000000000001</v>
      </c>
      <c r="F156" s="21">
        <v>37.889800000000001</v>
      </c>
      <c r="G156" s="185">
        <f>ROUND(D156*(E156+F156),2)</f>
        <v>772.44</v>
      </c>
      <c r="H156" s="496">
        <v>0</v>
      </c>
      <c r="I156" s="73">
        <v>0.85</v>
      </c>
      <c r="J156" s="73">
        <f>+H156*I156</f>
        <v>0</v>
      </c>
      <c r="K156" s="601"/>
      <c r="L156" s="498">
        <f>SUM(G156:G163)+SUM(J156:J162)</f>
        <v>25052.52</v>
      </c>
      <c r="M156" s="26">
        <v>25052.52</v>
      </c>
      <c r="N156" s="499"/>
      <c r="O156" s="500"/>
      <c r="P156" s="501" t="s">
        <v>87</v>
      </c>
      <c r="Q156" s="595">
        <f t="shared" ref="Q156" si="14">C156+G156+J156-M156-N156-O156</f>
        <v>-24280.080000000002</v>
      </c>
    </row>
    <row r="157" spans="1:21">
      <c r="A157" s="505"/>
      <c r="B157" s="506"/>
      <c r="C157" s="507" t="s">
        <v>96</v>
      </c>
      <c r="D157" s="234">
        <v>0</v>
      </c>
      <c r="E157" s="38">
        <f>32.332-28.8628</f>
        <v>3.4692000000000007</v>
      </c>
      <c r="F157" s="38">
        <f>37.8898-33.8306</f>
        <v>4.0592000000000041</v>
      </c>
      <c r="G157" s="235">
        <f>ROUND(D157*(E157+F157),2)</f>
        <v>0</v>
      </c>
      <c r="H157" s="448"/>
      <c r="I157" s="509"/>
      <c r="J157" s="199"/>
      <c r="K157" s="517"/>
      <c r="L157" s="511"/>
      <c r="M157" s="512"/>
      <c r="N157" s="513"/>
      <c r="O157" s="514"/>
      <c r="P157" s="515"/>
      <c r="Q157" s="262"/>
      <c r="U157" s="33">
        <f>+G154+G155</f>
        <v>14059.57</v>
      </c>
    </row>
    <row r="158" spans="1:21">
      <c r="A158" s="505"/>
      <c r="B158" s="516" t="s">
        <v>89</v>
      </c>
      <c r="C158" s="512" t="s">
        <v>90</v>
      </c>
      <c r="D158" s="508">
        <v>3</v>
      </c>
      <c r="E158" s="101">
        <v>344.19</v>
      </c>
      <c r="F158" s="38">
        <v>37.889800000000001</v>
      </c>
      <c r="G158" s="50">
        <f>ROUND(D158*(E158+F158),2)</f>
        <v>1146.24</v>
      </c>
      <c r="H158" s="270">
        <v>0</v>
      </c>
      <c r="I158" s="41">
        <v>128.56</v>
      </c>
      <c r="J158" s="207">
        <f>+H158*I158</f>
        <v>0</v>
      </c>
      <c r="K158" s="517"/>
      <c r="L158" s="517"/>
      <c r="M158" s="99"/>
      <c r="N158" s="518"/>
      <c r="O158" s="519"/>
      <c r="P158" s="515" t="s">
        <v>87</v>
      </c>
      <c r="Q158" s="271">
        <f>+G158+J158-M158-N158-O158</f>
        <v>1146.24</v>
      </c>
    </row>
    <row r="159" spans="1:21">
      <c r="A159" s="505"/>
      <c r="B159" s="541"/>
      <c r="C159" s="84" t="s">
        <v>97</v>
      </c>
      <c r="D159" s="508">
        <v>3</v>
      </c>
      <c r="E159" s="41">
        <f>344.19-406.32</f>
        <v>-62.129999999999995</v>
      </c>
      <c r="F159" s="38"/>
      <c r="G159" s="50">
        <f>ROUND(D159*(E159+F159),2)-0.01</f>
        <v>-186.39999999999998</v>
      </c>
      <c r="H159" s="432"/>
      <c r="I159" s="362"/>
      <c r="J159" s="207"/>
      <c r="K159" s="517"/>
      <c r="L159" s="517"/>
      <c r="M159" s="520"/>
      <c r="N159" s="521"/>
      <c r="O159" s="522"/>
      <c r="P159" s="523"/>
      <c r="Q159" s="362"/>
    </row>
    <row r="160" spans="1:21">
      <c r="A160" s="505"/>
      <c r="B160" s="541"/>
      <c r="C160" s="84"/>
      <c r="D160" s="508"/>
      <c r="E160" s="41"/>
      <c r="F160" s="41"/>
      <c r="G160" s="50"/>
      <c r="H160" s="432"/>
      <c r="I160" s="362"/>
      <c r="J160" s="207"/>
      <c r="K160" s="517"/>
      <c r="L160" s="517"/>
      <c r="M160" s="520"/>
      <c r="N160" s="521"/>
      <c r="O160" s="522"/>
      <c r="P160" s="523"/>
      <c r="Q160" s="362"/>
    </row>
    <row r="161" spans="1:21">
      <c r="A161" s="505"/>
      <c r="B161" s="506"/>
      <c r="C161" s="48" t="s">
        <v>27</v>
      </c>
      <c r="D161" s="37">
        <v>3745</v>
      </c>
      <c r="E161" s="41">
        <f>5.6669-5.8331</f>
        <v>-0.1661999999999999</v>
      </c>
      <c r="F161" s="41">
        <f t="shared" ref="F161:F166" si="15">+E161</f>
        <v>-0.1661999999999999</v>
      </c>
      <c r="G161" s="39">
        <f>ROUND(D161*E161,2)</f>
        <v>-622.41999999999996</v>
      </c>
      <c r="H161" s="432"/>
      <c r="I161" s="362"/>
      <c r="J161" s="207"/>
      <c r="K161" s="517"/>
      <c r="L161" s="517"/>
      <c r="M161" s="520"/>
      <c r="N161" s="521"/>
      <c r="O161" s="522"/>
      <c r="P161" s="523"/>
      <c r="Q161" s="362"/>
    </row>
    <row r="162" spans="1:21">
      <c r="A162" s="505"/>
      <c r="B162" s="506"/>
      <c r="C162" s="48" t="s">
        <v>28</v>
      </c>
      <c r="D162" s="37">
        <v>179</v>
      </c>
      <c r="E162" s="41">
        <v>5.6669</v>
      </c>
      <c r="F162" s="41">
        <f t="shared" si="15"/>
        <v>5.6669</v>
      </c>
      <c r="G162" s="39">
        <f>ROUND(D162*E162,2)</f>
        <v>1014.38</v>
      </c>
      <c r="H162" s="432"/>
      <c r="I162" s="362"/>
      <c r="J162" s="207"/>
      <c r="K162" s="517"/>
      <c r="L162" s="517"/>
      <c r="M162" s="520"/>
      <c r="N162" s="521"/>
      <c r="O162" s="522"/>
      <c r="P162" s="523"/>
      <c r="Q162" s="362"/>
      <c r="U162" s="33"/>
    </row>
    <row r="163" spans="1:21" ht="15.75" thickBot="1">
      <c r="A163" s="525"/>
      <c r="B163" s="526"/>
      <c r="C163" s="54" t="s">
        <v>29</v>
      </c>
      <c r="D163" s="55">
        <v>4046</v>
      </c>
      <c r="E163" s="56">
        <v>5.6669</v>
      </c>
      <c r="F163" s="281">
        <f t="shared" si="15"/>
        <v>5.6669</v>
      </c>
      <c r="G163" s="58">
        <f>ROUND(D163*E163,2)</f>
        <v>22928.28</v>
      </c>
      <c r="H163" s="248"/>
      <c r="I163" s="203"/>
      <c r="J163" s="60"/>
      <c r="K163" s="61"/>
      <c r="L163" s="249"/>
      <c r="M163" s="54"/>
      <c r="N163" s="521"/>
      <c r="O163" s="528"/>
      <c r="P163" s="529" t="s">
        <v>87</v>
      </c>
      <c r="Q163" s="362">
        <f>+G163+J163-M163-N163-O163</f>
        <v>22928.28</v>
      </c>
    </row>
    <row r="164" spans="1:21">
      <c r="A164" s="493">
        <v>301</v>
      </c>
      <c r="B164" s="602" t="s">
        <v>106</v>
      </c>
      <c r="C164" s="48" t="s">
        <v>27</v>
      </c>
      <c r="D164" s="184">
        <v>1163.3499999999999</v>
      </c>
      <c r="E164" s="41">
        <f>5.6669-5.8331</f>
        <v>-0.1661999999999999</v>
      </c>
      <c r="F164" s="23">
        <f t="shared" si="15"/>
        <v>-0.1661999999999999</v>
      </c>
      <c r="G164" s="185">
        <f>ROUND(D164*(E164),2)+0.01</f>
        <v>-193.34</v>
      </c>
      <c r="H164" s="23"/>
      <c r="I164" s="23"/>
      <c r="J164" s="23"/>
      <c r="K164" s="23"/>
      <c r="L164" s="603">
        <f>SUM(G164:G166)</f>
        <v>4730.3999999999996</v>
      </c>
      <c r="M164" s="187">
        <v>4730.3999999999996</v>
      </c>
      <c r="N164" s="604"/>
      <c r="O164" s="500"/>
      <c r="P164" s="501"/>
      <c r="Q164" s="605"/>
    </row>
    <row r="165" spans="1:21">
      <c r="A165" s="505"/>
      <c r="B165" s="506"/>
      <c r="C165" s="48" t="s">
        <v>28</v>
      </c>
      <c r="D165" s="49">
        <v>36.86</v>
      </c>
      <c r="E165" s="41">
        <v>5.6669</v>
      </c>
      <c r="F165" s="41">
        <f t="shared" si="15"/>
        <v>5.6669</v>
      </c>
      <c r="G165" s="50">
        <f>ROUND(D165*(E165),2)</f>
        <v>208.88</v>
      </c>
      <c r="H165" s="41"/>
      <c r="I165" s="41"/>
      <c r="J165" s="41"/>
      <c r="K165" s="41"/>
      <c r="L165" s="606"/>
      <c r="M165" s="606"/>
      <c r="N165" s="607"/>
      <c r="O165" s="608"/>
      <c r="P165" s="609"/>
      <c r="Q165" s="610"/>
    </row>
    <row r="166" spans="1:21" ht="15.75" thickBot="1">
      <c r="A166" s="611"/>
      <c r="B166" s="612"/>
      <c r="C166" s="54" t="s">
        <v>29</v>
      </c>
      <c r="D166" s="613">
        <v>832</v>
      </c>
      <c r="E166" s="56">
        <v>5.6669</v>
      </c>
      <c r="F166" s="281">
        <f t="shared" si="15"/>
        <v>5.6669</v>
      </c>
      <c r="G166" s="58">
        <f>ROUND(D166*(E166),2)</f>
        <v>4714.8599999999997</v>
      </c>
      <c r="H166" s="57"/>
      <c r="I166" s="57"/>
      <c r="J166" s="57"/>
      <c r="K166" s="57"/>
      <c r="L166" s="614"/>
      <c r="M166" s="606"/>
      <c r="N166" s="615"/>
      <c r="O166" s="615"/>
      <c r="P166" s="615"/>
      <c r="Q166" s="616"/>
    </row>
    <row r="167" spans="1:21">
      <c r="A167" s="617"/>
      <c r="B167" s="602" t="s">
        <v>107</v>
      </c>
      <c r="C167" s="618" t="s">
        <v>73</v>
      </c>
      <c r="D167" s="619">
        <v>3</v>
      </c>
      <c r="E167" s="21">
        <v>32.332000000000001</v>
      </c>
      <c r="F167" s="21">
        <v>37.889800000000001</v>
      </c>
      <c r="G167" s="185">
        <f>ROUND(D167*(E167+F167),2)</f>
        <v>210.67</v>
      </c>
      <c r="H167" s="620"/>
      <c r="I167" s="620"/>
      <c r="J167" s="620"/>
      <c r="K167" s="620"/>
      <c r="L167" s="603">
        <f>SUM(G167:G171,J167:J171)</f>
        <v>4846.25</v>
      </c>
      <c r="M167" s="187">
        <v>4846.25</v>
      </c>
      <c r="N167" s="621"/>
      <c r="O167" s="621"/>
      <c r="P167" s="621"/>
      <c r="Q167" s="622"/>
    </row>
    <row r="168" spans="1:21">
      <c r="A168" s="611"/>
      <c r="B168" s="612"/>
      <c r="C168" s="542" t="s">
        <v>96</v>
      </c>
      <c r="D168" s="234">
        <v>0</v>
      </c>
      <c r="E168" s="38">
        <f>32.332-28.8628</f>
        <v>3.4692000000000007</v>
      </c>
      <c r="F168" s="38">
        <f>37.8898-33.8306</f>
        <v>4.0592000000000041</v>
      </c>
      <c r="G168" s="235">
        <f>ROUND(D168*(E168+F168),2)</f>
        <v>0</v>
      </c>
      <c r="H168" s="298"/>
      <c r="I168" s="298"/>
      <c r="J168" s="298"/>
      <c r="K168" s="298"/>
      <c r="L168" s="606"/>
      <c r="M168" s="606"/>
      <c r="N168" s="615"/>
      <c r="O168" s="615"/>
      <c r="P168" s="615"/>
      <c r="Q168" s="616"/>
    </row>
    <row r="169" spans="1:21">
      <c r="A169" s="611"/>
      <c r="B169" s="612"/>
      <c r="C169" s="48" t="s">
        <v>27</v>
      </c>
      <c r="D169" s="623">
        <v>818</v>
      </c>
      <c r="E169" s="41">
        <f>5.6669-5.8331</f>
        <v>-0.1661999999999999</v>
      </c>
      <c r="F169" s="41">
        <f>+E169</f>
        <v>-0.1661999999999999</v>
      </c>
      <c r="G169" s="50">
        <f>ROUND(D169*(E169),2)</f>
        <v>-135.94999999999999</v>
      </c>
      <c r="H169" s="298"/>
      <c r="I169" s="298"/>
      <c r="J169" s="298"/>
      <c r="K169" s="298"/>
      <c r="L169" s="614"/>
      <c r="M169" s="606"/>
      <c r="N169" s="615"/>
      <c r="O169" s="615"/>
      <c r="P169" s="615"/>
      <c r="Q169" s="616"/>
    </row>
    <row r="170" spans="1:21">
      <c r="A170" s="611"/>
      <c r="B170" s="612"/>
      <c r="C170" s="48" t="s">
        <v>28</v>
      </c>
      <c r="D170" s="623">
        <v>36</v>
      </c>
      <c r="E170" s="41">
        <v>5.6669</v>
      </c>
      <c r="F170" s="41">
        <f>+E170</f>
        <v>5.6669</v>
      </c>
      <c r="G170" s="39">
        <f>ROUND(D170*(E170),2)</f>
        <v>204.01</v>
      </c>
      <c r="H170" s="298"/>
      <c r="I170" s="298"/>
      <c r="J170" s="298"/>
      <c r="K170" s="298"/>
      <c r="L170" s="614"/>
      <c r="M170" s="273"/>
      <c r="N170" s="615"/>
      <c r="O170" s="615"/>
      <c r="P170" s="615"/>
      <c r="Q170" s="616"/>
    </row>
    <row r="171" spans="1:21" ht="15.75" thickBot="1">
      <c r="A171" s="624"/>
      <c r="B171" s="526"/>
      <c r="C171" s="54" t="s">
        <v>29</v>
      </c>
      <c r="D171" s="625">
        <v>806</v>
      </c>
      <c r="E171" s="56">
        <v>5.6669</v>
      </c>
      <c r="F171" s="281">
        <f>+E171</f>
        <v>5.6669</v>
      </c>
      <c r="G171" s="414">
        <f>ROUND(D171*(E171),2)</f>
        <v>4567.5200000000004</v>
      </c>
      <c r="H171" s="41"/>
      <c r="I171" s="41"/>
      <c r="J171" s="41"/>
      <c r="K171" s="41"/>
      <c r="L171" s="606"/>
      <c r="M171" s="606"/>
      <c r="N171" s="626"/>
      <c r="O171" s="626"/>
      <c r="P171" s="626"/>
      <c r="Q171" s="627"/>
    </row>
    <row r="172" spans="1:21" ht="15.75" thickTop="1">
      <c r="A172" s="493"/>
      <c r="B172" s="494" t="s">
        <v>108</v>
      </c>
      <c r="C172" s="71">
        <f>+[1]дек!U87</f>
        <v>0</v>
      </c>
      <c r="D172" s="495">
        <v>4</v>
      </c>
      <c r="E172" s="21">
        <v>32.332000000000001</v>
      </c>
      <c r="F172" s="21">
        <v>37.889800000000001</v>
      </c>
      <c r="G172" s="185">
        <f>ROUND(D172*(E172+F172),2)</f>
        <v>280.89</v>
      </c>
      <c r="H172" s="496"/>
      <c r="I172" s="73">
        <v>0.85</v>
      </c>
      <c r="J172" s="73">
        <f>+H172*I172</f>
        <v>0</v>
      </c>
      <c r="K172" s="628"/>
      <c r="L172" s="629">
        <f>SUM(G172:G178)+SUM(J172:J177)</f>
        <v>4222.9699999999993</v>
      </c>
      <c r="M172" s="630">
        <v>4222.97</v>
      </c>
      <c r="N172" s="594"/>
      <c r="O172" s="631"/>
      <c r="P172" s="515" t="s">
        <v>87</v>
      </c>
      <c r="Q172" s="595">
        <f t="shared" ref="Q172:Q174" si="16">C172+G172+J172-M172-N172-O172</f>
        <v>-3942.0800000000004</v>
      </c>
    </row>
    <row r="173" spans="1:21">
      <c r="A173" s="505"/>
      <c r="B173" s="506"/>
      <c r="C173" s="542" t="s">
        <v>96</v>
      </c>
      <c r="D173" s="234">
        <v>0</v>
      </c>
      <c r="E173" s="38">
        <f>32.332-28.8628</f>
        <v>3.4692000000000007</v>
      </c>
      <c r="F173" s="38">
        <f>37.8898-33.8306</f>
        <v>4.0592000000000041</v>
      </c>
      <c r="G173" s="235">
        <f>ROUND(D173*(E173+F173),2)</f>
        <v>0</v>
      </c>
      <c r="H173" s="448"/>
      <c r="I173" s="509"/>
      <c r="J173" s="409"/>
      <c r="K173" s="510"/>
      <c r="L173" s="632"/>
      <c r="M173" s="512"/>
      <c r="N173" s="513"/>
      <c r="O173" s="514"/>
      <c r="P173" s="515"/>
      <c r="Q173" s="262"/>
    </row>
    <row r="174" spans="1:21">
      <c r="A174" s="505"/>
      <c r="B174" s="516" t="s">
        <v>109</v>
      </c>
      <c r="C174" s="633"/>
      <c r="D174" s="508"/>
      <c r="E174" s="41">
        <v>188.96</v>
      </c>
      <c r="F174" s="41">
        <v>33.830599999999997</v>
      </c>
      <c r="G174" s="50">
        <f>D174*(E174+F174)</f>
        <v>0</v>
      </c>
      <c r="H174" s="270"/>
      <c r="I174" s="41">
        <v>128.56</v>
      </c>
      <c r="J174" s="409">
        <f>ROUND(H174*I174,2)</f>
        <v>0</v>
      </c>
      <c r="K174" s="510"/>
      <c r="L174" s="597"/>
      <c r="M174" s="99"/>
      <c r="N174" s="518"/>
      <c r="O174" s="519"/>
      <c r="P174" s="515" t="s">
        <v>87</v>
      </c>
      <c r="Q174" s="271">
        <f t="shared" si="16"/>
        <v>0</v>
      </c>
    </row>
    <row r="175" spans="1:21">
      <c r="A175" s="505"/>
      <c r="B175" s="541"/>
      <c r="C175" s="84" t="s">
        <v>97</v>
      </c>
      <c r="D175" s="508"/>
      <c r="E175" s="41">
        <f>304.41-188.96</f>
        <v>115.45000000000002</v>
      </c>
      <c r="F175" s="41"/>
      <c r="G175" s="50">
        <f>D175*(E175+F175)</f>
        <v>0</v>
      </c>
      <c r="H175" s="432"/>
      <c r="I175" s="362"/>
      <c r="J175" s="207"/>
      <c r="K175" s="510"/>
      <c r="L175" s="597"/>
      <c r="M175" s="520"/>
      <c r="N175" s="521"/>
      <c r="O175" s="522"/>
      <c r="P175" s="523"/>
      <c r="Q175" s="362"/>
    </row>
    <row r="176" spans="1:21">
      <c r="A176" s="505"/>
      <c r="B176" s="506"/>
      <c r="C176" s="48" t="s">
        <v>27</v>
      </c>
      <c r="D176" s="37">
        <v>524</v>
      </c>
      <c r="E176" s="41">
        <f>5.6669-5.8331</f>
        <v>-0.1661999999999999</v>
      </c>
      <c r="F176" s="41">
        <f>+E176</f>
        <v>-0.1661999999999999</v>
      </c>
      <c r="G176" s="39">
        <f>ROUND(D176*(E176),2)</f>
        <v>-87.09</v>
      </c>
      <c r="H176" s="432"/>
      <c r="I176" s="362"/>
      <c r="J176" s="207"/>
      <c r="K176" s="510"/>
      <c r="L176" s="597"/>
      <c r="M176" s="520"/>
      <c r="N176" s="521"/>
      <c r="O176" s="522"/>
      <c r="P176" s="523"/>
      <c r="Q176" s="362"/>
    </row>
    <row r="177" spans="1:20">
      <c r="A177" s="505"/>
      <c r="B177" s="506"/>
      <c r="C177" s="48" t="s">
        <v>28</v>
      </c>
      <c r="D177" s="37">
        <v>30</v>
      </c>
      <c r="E177" s="41">
        <v>5.6669</v>
      </c>
      <c r="F177" s="41">
        <f>+E177</f>
        <v>5.6669</v>
      </c>
      <c r="G177" s="39">
        <f t="shared" ref="G177:G182" si="17">ROUND(D177*(E177),2)</f>
        <v>170.01</v>
      </c>
      <c r="H177" s="432"/>
      <c r="I177" s="362"/>
      <c r="J177" s="207"/>
      <c r="K177" s="510"/>
      <c r="L177" s="597"/>
      <c r="M177" s="520"/>
      <c r="N177" s="521"/>
      <c r="O177" s="522"/>
      <c r="P177" s="523"/>
      <c r="Q177" s="362"/>
    </row>
    <row r="178" spans="1:20" ht="15.75" thickBot="1">
      <c r="A178" s="525"/>
      <c r="B178" s="526"/>
      <c r="C178" s="54" t="s">
        <v>29</v>
      </c>
      <c r="D178" s="55">
        <v>681</v>
      </c>
      <c r="E178" s="56">
        <v>5.6669</v>
      </c>
      <c r="F178" s="281">
        <f>+E178</f>
        <v>5.6669</v>
      </c>
      <c r="G178" s="414">
        <f t="shared" si="17"/>
        <v>3859.16</v>
      </c>
      <c r="H178" s="248"/>
      <c r="I178" s="203"/>
      <c r="J178" s="60"/>
      <c r="K178" s="61"/>
      <c r="L178" s="249"/>
      <c r="M178" s="54"/>
      <c r="N178" s="527"/>
      <c r="O178" s="528"/>
      <c r="P178" s="529" t="s">
        <v>87</v>
      </c>
      <c r="Q178" s="282">
        <f>+G178+J178-M178-N178-O178</f>
        <v>3859.16</v>
      </c>
    </row>
    <row r="179" spans="1:20">
      <c r="A179" s="493"/>
      <c r="B179" s="602" t="s">
        <v>110</v>
      </c>
      <c r="C179" s="48" t="s">
        <v>27</v>
      </c>
      <c r="D179" s="184">
        <v>487</v>
      </c>
      <c r="E179" s="41">
        <f>5.6669-5.8331</f>
        <v>-0.1661999999999999</v>
      </c>
      <c r="F179" s="23">
        <f t="shared" ref="F179:F181" si="18">+E179</f>
        <v>-0.1661999999999999</v>
      </c>
      <c r="G179" s="185">
        <f>ROUND(D179*(E179),2)</f>
        <v>-80.94</v>
      </c>
      <c r="H179" s="620"/>
      <c r="I179" s="620"/>
      <c r="J179" s="620"/>
      <c r="K179" s="634"/>
      <c r="L179" s="603">
        <f>SUM(G179:G182)</f>
        <v>627.41999999999996</v>
      </c>
      <c r="M179" s="187">
        <v>627.41999999999996</v>
      </c>
      <c r="N179" s="604"/>
      <c r="O179" s="635"/>
      <c r="P179" s="636"/>
      <c r="Q179" s="605"/>
    </row>
    <row r="180" spans="1:20">
      <c r="A180" s="505"/>
      <c r="B180" s="506"/>
      <c r="C180" s="48" t="s">
        <v>28</v>
      </c>
      <c r="D180" s="49">
        <v>5</v>
      </c>
      <c r="E180" s="41">
        <v>5.6669</v>
      </c>
      <c r="F180" s="41">
        <f t="shared" si="18"/>
        <v>5.6669</v>
      </c>
      <c r="G180" s="50">
        <f t="shared" si="17"/>
        <v>28.33</v>
      </c>
      <c r="H180" s="296"/>
      <c r="I180" s="298"/>
      <c r="J180" s="298"/>
      <c r="K180" s="637"/>
      <c r="L180" s="606"/>
      <c r="M180" s="606"/>
      <c r="N180" s="607"/>
      <c r="O180" s="608"/>
      <c r="P180" s="609"/>
      <c r="Q180" s="610"/>
    </row>
    <row r="181" spans="1:20" ht="15.75" thickBot="1">
      <c r="A181" s="611"/>
      <c r="B181" s="506"/>
      <c r="C181" s="99" t="s">
        <v>29</v>
      </c>
      <c r="D181" s="296">
        <v>120</v>
      </c>
      <c r="E181" s="56">
        <v>5.6669</v>
      </c>
      <c r="F181" s="41">
        <f t="shared" si="18"/>
        <v>5.6669</v>
      </c>
      <c r="G181" s="50">
        <f t="shared" si="17"/>
        <v>680.03</v>
      </c>
      <c r="H181" s="296"/>
      <c r="I181" s="298"/>
      <c r="J181" s="298"/>
      <c r="K181" s="637"/>
      <c r="L181" s="614"/>
      <c r="M181" s="606"/>
      <c r="N181" s="615"/>
      <c r="O181" s="615"/>
      <c r="P181" s="615"/>
      <c r="Q181" s="616"/>
    </row>
    <row r="182" spans="1:20" ht="15.75" thickBot="1">
      <c r="A182" s="638"/>
      <c r="B182" s="639" t="s">
        <v>111</v>
      </c>
      <c r="C182" s="640"/>
      <c r="D182" s="641"/>
      <c r="E182" s="311"/>
      <c r="F182" s="109"/>
      <c r="G182" s="642">
        <f t="shared" si="17"/>
        <v>0</v>
      </c>
      <c r="H182" s="643"/>
      <c r="I182" s="109"/>
      <c r="J182" s="109"/>
      <c r="K182" s="644"/>
      <c r="L182" s="640"/>
      <c r="M182" s="640"/>
      <c r="N182" s="2"/>
      <c r="O182" s="2"/>
      <c r="P182" s="2"/>
      <c r="Q182" s="2"/>
    </row>
    <row r="183" spans="1:20" ht="15.75" thickTop="1">
      <c r="A183" s="645"/>
      <c r="B183" s="602" t="s">
        <v>112</v>
      </c>
      <c r="C183" s="48" t="s">
        <v>27</v>
      </c>
      <c r="D183" s="184">
        <v>443</v>
      </c>
      <c r="E183" s="41">
        <f>5.6669-5.8331</f>
        <v>-0.1661999999999999</v>
      </c>
      <c r="F183" s="23">
        <f t="shared" ref="F183:F185" si="19">+E183</f>
        <v>-0.1661999999999999</v>
      </c>
      <c r="G183" s="185">
        <f>ROUND(D183*(E183),2)</f>
        <v>-73.63</v>
      </c>
      <c r="H183" s="620"/>
      <c r="I183" s="620"/>
      <c r="J183" s="620"/>
      <c r="K183" s="634"/>
      <c r="L183" s="603">
        <f>SUM(G183:G186)</f>
        <v>4850.91</v>
      </c>
      <c r="M183" s="187">
        <v>4850.91</v>
      </c>
      <c r="N183" s="604"/>
      <c r="O183" s="635"/>
      <c r="P183" s="636"/>
      <c r="Q183" s="605"/>
    </row>
    <row r="184" spans="1:20">
      <c r="A184" s="645"/>
      <c r="B184" s="506"/>
      <c r="C184" s="48" t="s">
        <v>28</v>
      </c>
      <c r="D184" s="49">
        <v>37</v>
      </c>
      <c r="E184" s="41">
        <v>5.6669</v>
      </c>
      <c r="F184" s="41">
        <f t="shared" si="19"/>
        <v>5.6669</v>
      </c>
      <c r="G184" s="50">
        <f t="shared" ref="G184:G185" si="20">ROUND(D184*(E184),2)</f>
        <v>209.68</v>
      </c>
      <c r="H184" s="296"/>
      <c r="I184" s="298"/>
      <c r="J184" s="298"/>
      <c r="K184" s="637"/>
      <c r="L184" s="606"/>
      <c r="M184" s="606"/>
      <c r="N184" s="607"/>
      <c r="O184" s="608"/>
      <c r="P184" s="609"/>
      <c r="Q184" s="610"/>
    </row>
    <row r="185" spans="1:20" ht="15.75" thickBot="1">
      <c r="A185" s="645"/>
      <c r="B185" s="506"/>
      <c r="C185" s="99" t="s">
        <v>29</v>
      </c>
      <c r="D185" s="296">
        <v>832</v>
      </c>
      <c r="E185" s="56">
        <v>5.6669</v>
      </c>
      <c r="F185" s="41">
        <f t="shared" si="19"/>
        <v>5.6669</v>
      </c>
      <c r="G185" s="50">
        <f t="shared" si="20"/>
        <v>4714.8599999999997</v>
      </c>
      <c r="H185" s="296"/>
      <c r="I185" s="298"/>
      <c r="J185" s="298"/>
      <c r="K185" s="637"/>
      <c r="L185" s="614"/>
      <c r="M185" s="606"/>
      <c r="N185" s="615"/>
      <c r="O185" s="615"/>
      <c r="P185" s="615"/>
      <c r="Q185" s="616"/>
    </row>
    <row r="186" spans="1:20" ht="15.75" thickBot="1">
      <c r="A186" s="645"/>
      <c r="B186" s="639"/>
      <c r="C186" s="646"/>
      <c r="D186" s="647"/>
      <c r="E186" s="648"/>
      <c r="F186" s="646"/>
      <c r="G186" s="648"/>
      <c r="H186" s="646"/>
      <c r="I186" s="646"/>
      <c r="J186" s="646"/>
      <c r="K186" s="646"/>
      <c r="L186" s="646"/>
      <c r="M186" s="646"/>
      <c r="N186" s="615"/>
      <c r="O186" s="615"/>
      <c r="P186" s="615"/>
      <c r="Q186" s="615"/>
    </row>
    <row r="187" spans="1:20" s="81" customFormat="1" ht="15" customHeight="1" thickTop="1">
      <c r="A187" s="476"/>
      <c r="B187" s="158"/>
      <c r="C187" s="322"/>
      <c r="D187" s="477"/>
      <c r="E187" s="163"/>
      <c r="F187" s="163"/>
      <c r="G187" s="478"/>
      <c r="H187" s="163"/>
      <c r="I187" s="163"/>
      <c r="J187" s="163"/>
      <c r="K187" s="163"/>
      <c r="L187" s="163"/>
      <c r="M187" s="164"/>
      <c r="N187" s="479"/>
      <c r="O187" s="479"/>
      <c r="P187" s="479"/>
      <c r="Q187" s="479"/>
      <c r="R187" s="422"/>
      <c r="S187" s="399"/>
      <c r="T187" s="399"/>
    </row>
    <row r="188" spans="1:20" ht="21.75" thickBot="1">
      <c r="A188" s="171" t="s">
        <v>113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3"/>
      <c r="N188" s="2"/>
      <c r="O188" s="2"/>
      <c r="P188" s="2"/>
      <c r="Q188" s="2"/>
    </row>
    <row r="189" spans="1:20" ht="15.75" customHeight="1" thickTop="1" thickBot="1">
      <c r="A189" s="1555" t="s">
        <v>1</v>
      </c>
      <c r="B189" s="1543" t="s">
        <v>2</v>
      </c>
      <c r="C189" s="1545" t="s">
        <v>3</v>
      </c>
      <c r="D189" s="1546" t="s">
        <v>4</v>
      </c>
      <c r="E189" s="1546"/>
      <c r="F189" s="1546"/>
      <c r="G189" s="1546"/>
      <c r="H189" s="1547"/>
      <c r="I189" s="1548"/>
      <c r="J189" s="1548"/>
      <c r="K189" s="1549"/>
      <c r="L189" s="1524" t="s">
        <v>6</v>
      </c>
      <c r="M189" s="1511" t="s">
        <v>7</v>
      </c>
      <c r="N189" s="1551" t="s">
        <v>8</v>
      </c>
      <c r="O189" s="1551"/>
      <c r="P189" s="1551"/>
      <c r="Q189" s="1552"/>
      <c r="R189" s="481"/>
      <c r="S189" s="482" t="s">
        <v>20</v>
      </c>
      <c r="T189" s="482" t="s">
        <v>21</v>
      </c>
    </row>
    <row r="190" spans="1:20" ht="26.25" thickBot="1">
      <c r="A190" s="1556"/>
      <c r="B190" s="1557"/>
      <c r="C190" s="1558" t="s">
        <v>10</v>
      </c>
      <c r="D190" s="483" t="s">
        <v>11</v>
      </c>
      <c r="E190" s="649" t="s">
        <v>12</v>
      </c>
      <c r="F190" s="649" t="s">
        <v>13</v>
      </c>
      <c r="G190" s="650" t="s">
        <v>14</v>
      </c>
      <c r="H190" s="651" t="s">
        <v>11</v>
      </c>
      <c r="I190" s="652" t="s">
        <v>15</v>
      </c>
      <c r="J190" s="653"/>
      <c r="K190" s="654" t="s">
        <v>16</v>
      </c>
      <c r="L190" s="1525"/>
      <c r="M190" s="1554"/>
      <c r="N190" s="655"/>
      <c r="O190" s="653"/>
      <c r="P190" s="656" t="s">
        <v>18</v>
      </c>
      <c r="Q190" s="657" t="s">
        <v>19</v>
      </c>
      <c r="R190" s="491"/>
      <c r="S190" s="492"/>
      <c r="T190" s="492"/>
    </row>
    <row r="191" spans="1:20" ht="15.75">
      <c r="A191" s="658"/>
      <c r="B191" s="659" t="s">
        <v>55</v>
      </c>
      <c r="C191" s="439" t="s">
        <v>114</v>
      </c>
      <c r="D191" s="259">
        <v>58.02</v>
      </c>
      <c r="E191" s="41">
        <v>5.6669</v>
      </c>
      <c r="F191" s="620">
        <f t="shared" ref="F191:F192" si="21">+E191</f>
        <v>5.6669</v>
      </c>
      <c r="G191" s="214">
        <f>ROUND(D191*E191,2)</f>
        <v>328.79</v>
      </c>
      <c r="H191" s="303"/>
      <c r="I191" s="23"/>
      <c r="J191" s="23"/>
      <c r="K191" s="23"/>
      <c r="L191" s="603">
        <f>SUM(G191:G193)</f>
        <v>9598.35</v>
      </c>
      <c r="M191" s="187">
        <v>9598.35</v>
      </c>
      <c r="N191" s="660"/>
      <c r="O191" s="217"/>
      <c r="P191" s="661"/>
      <c r="Q191" s="219"/>
    </row>
    <row r="192" spans="1:20" ht="15.75">
      <c r="A192" s="662"/>
      <c r="B192" s="35"/>
      <c r="C192" s="99" t="s">
        <v>29</v>
      </c>
      <c r="D192" s="269">
        <v>1678.08</v>
      </c>
      <c r="E192" s="41">
        <v>5.6669</v>
      </c>
      <c r="F192" s="298">
        <f t="shared" si="21"/>
        <v>5.6669</v>
      </c>
      <c r="G192" s="235">
        <f>ROUND(D192*E192,2)</f>
        <v>9509.51</v>
      </c>
      <c r="H192" s="270"/>
      <c r="I192" s="41"/>
      <c r="J192" s="41"/>
      <c r="K192" s="41"/>
      <c r="L192" s="606"/>
      <c r="M192" s="606"/>
      <c r="N192" s="663"/>
      <c r="O192" s="237"/>
      <c r="P192" s="275"/>
      <c r="Q192" s="238"/>
    </row>
    <row r="193" spans="1:18" ht="15.75" thickBot="1">
      <c r="A193" s="664"/>
      <c r="B193" s="665"/>
      <c r="C193" s="48" t="s">
        <v>115</v>
      </c>
      <c r="D193" s="613">
        <v>1443.8</v>
      </c>
      <c r="E193" s="41">
        <f>5.6669-5.8331</f>
        <v>-0.1661999999999999</v>
      </c>
      <c r="F193" s="57"/>
      <c r="G193" s="247">
        <f>ROUND(D193*E193,2)+0.01</f>
        <v>-239.95000000000002</v>
      </c>
      <c r="H193" s="613"/>
      <c r="I193" s="57"/>
      <c r="J193" s="57"/>
      <c r="K193" s="57"/>
      <c r="L193" s="614"/>
      <c r="M193" s="606"/>
      <c r="N193" s="57"/>
      <c r="O193" s="57"/>
      <c r="P193" s="57"/>
      <c r="Q193" s="666"/>
    </row>
    <row r="194" spans="1:18">
      <c r="A194" s="667"/>
      <c r="B194" s="659" t="s">
        <v>116</v>
      </c>
      <c r="C194" s="668" t="s">
        <v>73</v>
      </c>
      <c r="D194" s="669">
        <v>5</v>
      </c>
      <c r="E194" s="21">
        <v>32.332000000000001</v>
      </c>
      <c r="F194" s="21">
        <v>37.889800000000001</v>
      </c>
      <c r="G194" s="214">
        <f>+D194*(E194+F194)</f>
        <v>351.10900000000004</v>
      </c>
      <c r="H194" s="352"/>
      <c r="J194" s="670"/>
      <c r="K194" s="670"/>
      <c r="L194" s="603">
        <f>SUM(G194:G200)+SUM(J194:J198)</f>
        <v>10767.478999999999</v>
      </c>
      <c r="M194" s="187">
        <v>10767.48</v>
      </c>
      <c r="N194" s="670"/>
      <c r="O194" s="670"/>
      <c r="P194" s="670"/>
      <c r="Q194" s="670"/>
    </row>
    <row r="195" spans="1:18">
      <c r="A195" s="671"/>
      <c r="B195" s="672"/>
      <c r="C195" s="48"/>
      <c r="D195" s="673"/>
      <c r="E195" s="41"/>
      <c r="F195" s="298"/>
      <c r="G195" s="235">
        <f>+D195*E195</f>
        <v>0</v>
      </c>
      <c r="H195" s="352"/>
      <c r="J195" s="670"/>
      <c r="K195" s="670"/>
      <c r="L195" s="606"/>
      <c r="M195" s="606"/>
      <c r="N195" s="298"/>
      <c r="O195" s="298"/>
      <c r="P195" s="298"/>
      <c r="Q195" s="298"/>
    </row>
    <row r="196" spans="1:18">
      <c r="A196" s="671"/>
      <c r="B196" s="442"/>
      <c r="C196" s="48"/>
      <c r="D196" s="673"/>
      <c r="E196" s="41"/>
      <c r="F196" s="298"/>
      <c r="G196" s="235">
        <f>ROUND(D196*E196,2)</f>
        <v>0</v>
      </c>
      <c r="H196" s="352"/>
      <c r="J196" s="670"/>
      <c r="K196" s="670"/>
      <c r="L196" s="614">
        <f>SUM(G196:G197)</f>
        <v>0</v>
      </c>
      <c r="M196" s="606"/>
      <c r="N196" s="298"/>
      <c r="O196" s="298"/>
      <c r="P196" s="298"/>
      <c r="Q196" s="298"/>
    </row>
    <row r="197" spans="1:18" ht="15.75" thickBot="1">
      <c r="A197" s="671"/>
      <c r="B197" s="35"/>
      <c r="C197" s="606"/>
      <c r="D197" s="673"/>
      <c r="E197" s="41"/>
      <c r="F197" s="298"/>
      <c r="G197" s="235">
        <f>ROUND(D197*E197,2)</f>
        <v>0</v>
      </c>
      <c r="H197" s="352"/>
      <c r="J197" s="670"/>
      <c r="K197" s="670"/>
      <c r="L197" s="614"/>
      <c r="M197" s="273"/>
      <c r="N197" s="298"/>
      <c r="O197" s="298"/>
      <c r="P197" s="298"/>
      <c r="Q197" s="298"/>
    </row>
    <row r="198" spans="1:18" ht="15.75">
      <c r="A198" s="674"/>
      <c r="B198" s="672"/>
      <c r="C198" s="439" t="s">
        <v>114</v>
      </c>
      <c r="D198" s="269">
        <v>63</v>
      </c>
      <c r="E198" s="41">
        <v>5.6669</v>
      </c>
      <c r="F198" s="298">
        <f t="shared" ref="F198:F199" si="22">+E198</f>
        <v>5.6669</v>
      </c>
      <c r="G198" s="235">
        <f>ROUND(D198*E198,2)-0.01</f>
        <v>357</v>
      </c>
      <c r="H198" s="352"/>
      <c r="J198" s="670"/>
      <c r="K198" s="670"/>
      <c r="L198" s="606"/>
      <c r="M198" s="606"/>
      <c r="N198" s="663"/>
      <c r="O198" s="237"/>
      <c r="P198" s="275"/>
      <c r="Q198" s="237"/>
    </row>
    <row r="199" spans="1:18" ht="15.75">
      <c r="A199" s="674"/>
      <c r="B199" s="35"/>
      <c r="C199" s="99" t="s">
        <v>29</v>
      </c>
      <c r="D199" s="269">
        <v>1819.6</v>
      </c>
      <c r="E199" s="41">
        <v>5.6669</v>
      </c>
      <c r="F199" s="298">
        <f t="shared" si="22"/>
        <v>5.6669</v>
      </c>
      <c r="G199" s="235">
        <f>ROUND(D199*E199,2)</f>
        <v>10311.49</v>
      </c>
      <c r="H199" s="270"/>
      <c r="I199" s="41"/>
      <c r="J199" s="41"/>
      <c r="K199" s="41"/>
      <c r="L199" s="614"/>
      <c r="M199" s="606"/>
      <c r="N199" s="663"/>
      <c r="O199" s="237"/>
      <c r="P199" s="275"/>
      <c r="Q199" s="237"/>
    </row>
    <row r="200" spans="1:18" ht="15.75" thickBot="1">
      <c r="A200" s="675"/>
      <c r="B200" s="676"/>
      <c r="C200" s="48" t="s">
        <v>115</v>
      </c>
      <c r="D200" s="643">
        <v>1517.1</v>
      </c>
      <c r="E200" s="41">
        <f>5.6669-5.8331</f>
        <v>-0.1661999999999999</v>
      </c>
      <c r="F200" s="109"/>
      <c r="G200" s="309">
        <f>ROUND(D200*E200,2)+0.02</f>
        <v>-252.11999999999998</v>
      </c>
      <c r="H200" s="643"/>
      <c r="I200" s="109"/>
      <c r="J200" s="109"/>
      <c r="K200" s="109"/>
      <c r="L200" s="677"/>
      <c r="M200" s="314"/>
      <c r="N200" s="109"/>
      <c r="O200" s="109"/>
      <c r="P200" s="109"/>
      <c r="Q200" s="109"/>
      <c r="R200" s="2"/>
    </row>
    <row r="201" spans="1:18" ht="16.5" thickTop="1">
      <c r="A201" s="658"/>
      <c r="B201" s="659" t="s">
        <v>117</v>
      </c>
      <c r="C201" s="439" t="s">
        <v>114</v>
      </c>
      <c r="D201" s="259">
        <v>18.8</v>
      </c>
      <c r="E201" s="41">
        <v>5.6669</v>
      </c>
      <c r="F201" s="620">
        <f t="shared" ref="F201:F202" si="23">+E201</f>
        <v>5.6669</v>
      </c>
      <c r="G201" s="214">
        <f>ROUND(D201*E201,2)-0.01</f>
        <v>106.53</v>
      </c>
      <c r="H201" s="303"/>
      <c r="I201" s="23"/>
      <c r="J201" s="23"/>
      <c r="K201" s="23"/>
      <c r="L201" s="603">
        <f>SUM(G201:G203)</f>
        <v>3230.13</v>
      </c>
      <c r="M201" s="187">
        <v>3230.13</v>
      </c>
      <c r="N201" s="660"/>
      <c r="O201" s="217"/>
      <c r="P201" s="661"/>
      <c r="Q201" s="219"/>
      <c r="R201" s="324"/>
    </row>
    <row r="202" spans="1:18" ht="15.75">
      <c r="A202" s="662"/>
      <c r="B202" s="35"/>
      <c r="C202" s="99" t="s">
        <v>29</v>
      </c>
      <c r="D202" s="269">
        <v>551.20000000000005</v>
      </c>
      <c r="E202" s="41">
        <v>5.6669</v>
      </c>
      <c r="F202" s="298">
        <f t="shared" si="23"/>
        <v>5.6669</v>
      </c>
      <c r="G202" s="235">
        <f>ROUND(D202*E202,2)</f>
        <v>3123.6</v>
      </c>
      <c r="H202" s="270"/>
      <c r="I202" s="41"/>
      <c r="J202" s="41"/>
      <c r="K202" s="41"/>
      <c r="L202" s="606"/>
      <c r="M202" s="606"/>
      <c r="N202" s="663"/>
      <c r="O202" s="237"/>
      <c r="P202" s="275"/>
      <c r="Q202" s="238"/>
    </row>
    <row r="203" spans="1:18" ht="15.75" thickBot="1">
      <c r="A203" s="664"/>
      <c r="B203" s="665"/>
      <c r="C203" s="48" t="s">
        <v>115</v>
      </c>
      <c r="D203" s="613"/>
      <c r="E203" s="41">
        <f>5.6669-5.8331</f>
        <v>-0.1661999999999999</v>
      </c>
      <c r="F203" s="57"/>
      <c r="G203" s="247">
        <f>ROUND(D203*E203,2)</f>
        <v>0</v>
      </c>
      <c r="H203" s="613"/>
      <c r="I203" s="57"/>
      <c r="J203" s="57"/>
      <c r="K203" s="57"/>
      <c r="L203" s="614"/>
      <c r="M203" s="606"/>
      <c r="N203" s="57"/>
      <c r="O203" s="57"/>
      <c r="P203" s="57"/>
      <c r="Q203" s="666"/>
    </row>
  </sheetData>
  <mergeCells count="40">
    <mergeCell ref="M189:M190"/>
    <mergeCell ref="N189:Q189"/>
    <mergeCell ref="A189:A190"/>
    <mergeCell ref="B189:B190"/>
    <mergeCell ref="C189:C190"/>
    <mergeCell ref="D189:G189"/>
    <mergeCell ref="H189:K189"/>
    <mergeCell ref="L189:L190"/>
    <mergeCell ref="M61:M62"/>
    <mergeCell ref="N61:Q61"/>
    <mergeCell ref="A121:A122"/>
    <mergeCell ref="B121:B122"/>
    <mergeCell ref="C121:C122"/>
    <mergeCell ref="D121:G121"/>
    <mergeCell ref="H121:K121"/>
    <mergeCell ref="L121:L122"/>
    <mergeCell ref="M121:M122"/>
    <mergeCell ref="N121:Q121"/>
    <mergeCell ref="A61:A62"/>
    <mergeCell ref="B61:B62"/>
    <mergeCell ref="C61:C62"/>
    <mergeCell ref="D61:G61"/>
    <mergeCell ref="H61:K61"/>
    <mergeCell ref="L61:L62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7"/>
  <sheetViews>
    <sheetView topLeftCell="A142" zoomScale="90" zoomScaleNormal="90" workbookViewId="0">
      <selection activeCell="D186" sqref="D18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1.4257812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+[1]янв17!U4</f>
        <v>-4.0670500000705943</v>
      </c>
      <c r="D4" s="20">
        <v>44</v>
      </c>
      <c r="E4" s="21">
        <v>32.332000000000001</v>
      </c>
      <c r="F4" s="21">
        <v>37.889800000000001</v>
      </c>
      <c r="G4" s="22">
        <f>ROUND(D4*(E4+F4),2)</f>
        <v>3089.76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92511.08</v>
      </c>
      <c r="M4" s="26">
        <v>92505.01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2.0029499999363907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118</v>
      </c>
      <c r="D6" s="49">
        <v>17424</v>
      </c>
      <c r="E6" s="41">
        <f>5.6595-5.6669</f>
        <v>-7.3999999999996291E-3</v>
      </c>
      <c r="F6" s="41">
        <f>+E6</f>
        <v>-7.3999999999996291E-3</v>
      </c>
      <c r="G6" s="50">
        <f>ROUND(D6*E6,2)</f>
        <v>-128.94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119</v>
      </c>
      <c r="D7" s="49">
        <v>460.4</v>
      </c>
      <c r="E7" s="41">
        <v>5.6595000000000004</v>
      </c>
      <c r="F7" s="41">
        <f>+E7</f>
        <v>5.6595000000000004</v>
      </c>
      <c r="G7" s="50">
        <f>ROUND(D7*E7,2)</f>
        <v>2605.63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54" t="s">
        <v>29</v>
      </c>
      <c r="D8" s="55">
        <v>15362.6</v>
      </c>
      <c r="E8" s="56">
        <v>5.6595000000000004</v>
      </c>
      <c r="F8" s="57">
        <f>+E8</f>
        <v>5.6595000000000004</v>
      </c>
      <c r="G8" s="58">
        <f>ROUND(D8*E8,2)</f>
        <v>86944.63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86944.63</v>
      </c>
      <c r="R8" s="66" t="s">
        <v>25</v>
      </c>
      <c r="S8" s="67">
        <f>SUM(O4:O8)</f>
        <v>0</v>
      </c>
      <c r="T8" s="68">
        <f>SUM(Q4:Q8)</f>
        <v>86944.63</v>
      </c>
    </row>
    <row r="9" spans="1:21" s="81" customFormat="1">
      <c r="A9" s="69" t="s">
        <v>30</v>
      </c>
      <c r="B9" s="70" t="s">
        <v>31</v>
      </c>
      <c r="C9" s="71">
        <f>+[1]янв17!U9</f>
        <v>-0.5187999999980093</v>
      </c>
      <c r="D9" s="72">
        <v>56</v>
      </c>
      <c r="E9" s="21">
        <v>32.332000000000001</v>
      </c>
      <c r="F9" s="21">
        <v>37.889800000000001</v>
      </c>
      <c r="G9" s="22">
        <f>ROUND(D9*(E9+F9),2)</f>
        <v>3932.42</v>
      </c>
      <c r="H9" s="72"/>
      <c r="I9" s="21">
        <v>4.5999999999999996</v>
      </c>
      <c r="J9" s="73">
        <f>+H9*I9</f>
        <v>0</v>
      </c>
      <c r="K9" s="24"/>
      <c r="L9" s="74">
        <f>SUM(G9:G16,J9:J15)</f>
        <v>35239.550000000003</v>
      </c>
      <c r="M9" s="26">
        <v>35242.129999999997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-3.0987999999924796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31</v>
      </c>
      <c r="E11" s="101">
        <v>283.85000000000002</v>
      </c>
      <c r="F11" s="38">
        <v>37.889800000000001</v>
      </c>
      <c r="G11" s="39">
        <f>ROUND(D11*(E11+F11),2)</f>
        <v>9973.93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46</v>
      </c>
      <c r="E12" s="41">
        <f>283.85-344.19</f>
        <v>-60.339999999999975</v>
      </c>
      <c r="F12" s="38"/>
      <c r="G12" s="50">
        <f>+D12*(E12+F12)</f>
        <v>-2775.639999999999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118</v>
      </c>
      <c r="D14" s="49">
        <v>4675</v>
      </c>
      <c r="E14" s="41">
        <f>5.6595-5.6669</f>
        <v>-7.3999999999996291E-3</v>
      </c>
      <c r="F14" s="41">
        <f>+E14</f>
        <v>-7.3999999999996291E-3</v>
      </c>
      <c r="G14" s="50">
        <f>ROUND(D14*E14*70%+D14*F14*30%,2)</f>
        <v>-34.590000000000003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119</v>
      </c>
      <c r="D15" s="49">
        <v>123.5</v>
      </c>
      <c r="E15" s="41">
        <v>5.6595000000000004</v>
      </c>
      <c r="F15" s="41">
        <f>+E15</f>
        <v>5.6595000000000004</v>
      </c>
      <c r="G15" s="50">
        <f>ROUND(D15*E15*70%+D15*F15*30%,2)</f>
        <v>698.95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54" t="s">
        <v>29</v>
      </c>
      <c r="D16" s="108">
        <v>4142.5</v>
      </c>
      <c r="E16" s="56">
        <v>5.6595000000000004</v>
      </c>
      <c r="F16" s="109">
        <f>+E16</f>
        <v>5.6595000000000004</v>
      </c>
      <c r="G16" s="110">
        <f>ROUND(D16*E16*70%+D16*F16*30%,2)</f>
        <v>23444.48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>
        <f>+G7+G8</f>
        <v>89550.260000000009</v>
      </c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182" t="s">
        <v>45</v>
      </c>
      <c r="B27" s="183" t="s">
        <v>46</v>
      </c>
      <c r="C27" s="71">
        <f>+[1]янв17!U27</f>
        <v>-3.3948420000670012</v>
      </c>
      <c r="D27" s="184">
        <v>37.06</v>
      </c>
      <c r="E27" s="21">
        <v>32.332000000000001</v>
      </c>
      <c r="F27" s="21">
        <v>37.889800000000001</v>
      </c>
      <c r="G27" s="185">
        <f>ROUND(D27*(E27+F27),2)</f>
        <v>2602.42</v>
      </c>
      <c r="H27" s="184">
        <v>68.67</v>
      </c>
      <c r="I27">
        <v>22.478999999999999</v>
      </c>
      <c r="J27" s="23">
        <f>H27*I27</f>
        <v>1543.63293</v>
      </c>
      <c r="K27" s="679">
        <v>42705</v>
      </c>
      <c r="L27" s="25">
        <f>SUM(G27:G31)+J27+J29</f>
        <v>126594.18293</v>
      </c>
      <c r="M27" s="187">
        <v>126594.34</v>
      </c>
      <c r="N27" s="188"/>
      <c r="O27" s="23">
        <v>3998.87</v>
      </c>
      <c r="P27" s="189" t="s">
        <v>47</v>
      </c>
      <c r="Q27" s="23">
        <f t="shared" ref="Q27:Q32" si="0">C27+G27+J27-M27-N27-O27</f>
        <v>-126450.55191200005</v>
      </c>
      <c r="R27" s="190" t="s">
        <v>48</v>
      </c>
      <c r="S27" s="176"/>
      <c r="U27" s="33">
        <f>+C27+L27-M27</f>
        <v>-3.5519120000681141</v>
      </c>
    </row>
    <row r="28" spans="1:21">
      <c r="A28" s="191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680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191"/>
      <c r="B29" s="192"/>
      <c r="C29" s="48" t="s">
        <v>118</v>
      </c>
      <c r="D29" s="49">
        <v>25348</v>
      </c>
      <c r="E29" s="41">
        <f>5.6595-5.6669</f>
        <v>-7.3999999999996291E-3</v>
      </c>
      <c r="F29" s="41">
        <f>+E29</f>
        <v>-7.3999999999996291E-3</v>
      </c>
      <c r="G29" s="50">
        <f>ROUND(D29*F29,2)</f>
        <v>-187.58</v>
      </c>
      <c r="H29" s="193"/>
      <c r="I29" s="194"/>
      <c r="J29" s="194"/>
      <c r="K29" s="680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191"/>
      <c r="B30" s="192"/>
      <c r="C30" s="48" t="s">
        <v>119</v>
      </c>
      <c r="D30" s="49">
        <v>229</v>
      </c>
      <c r="E30" s="41">
        <v>5.6595000000000004</v>
      </c>
      <c r="F30" s="41">
        <f>+E30</f>
        <v>5.6595000000000004</v>
      </c>
      <c r="G30" s="50">
        <f>ROUND(D30*E30,2)</f>
        <v>1296.03</v>
      </c>
      <c r="H30" s="193"/>
      <c r="I30" s="194"/>
      <c r="J30" s="194"/>
      <c r="K30" s="680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201"/>
      <c r="B31" s="202" t="s">
        <v>49</v>
      </c>
      <c r="C31" s="54" t="s">
        <v>29</v>
      </c>
      <c r="D31" s="55">
        <v>21440</v>
      </c>
      <c r="E31" s="56">
        <v>5.6595000000000004</v>
      </c>
      <c r="F31" s="57">
        <f>+E31</f>
        <v>5.6595000000000004</v>
      </c>
      <c r="G31" s="58">
        <f>ROUND(D31*E31,2)</f>
        <v>121339.68</v>
      </c>
      <c r="H31" s="59"/>
      <c r="I31" s="60"/>
      <c r="J31" s="60"/>
      <c r="K31" s="681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52629.67</v>
      </c>
      <c r="R31" s="209" t="s">
        <v>50</v>
      </c>
      <c r="S31" s="210">
        <f>SUM(O27:O31)</f>
        <v>72708.87999999999</v>
      </c>
      <c r="T31" s="210">
        <f>SUM(Q27:Q31)</f>
        <v>-73820.881912000055</v>
      </c>
    </row>
    <row r="32" spans="1:21">
      <c r="A32" s="211" t="s">
        <v>51</v>
      </c>
      <c r="B32" s="212" t="s">
        <v>52</v>
      </c>
      <c r="C32" s="71">
        <f>+[1]янв17!U32</f>
        <v>-4.1823960000547231</v>
      </c>
      <c r="D32" s="213">
        <v>59.84</v>
      </c>
      <c r="E32" s="21">
        <v>32.332000000000001</v>
      </c>
      <c r="F32" s="21">
        <v>37.889800000000001</v>
      </c>
      <c r="G32" s="214">
        <f>ROUND(D32*(E32+F32),2)</f>
        <v>4202.07</v>
      </c>
      <c r="H32" s="213">
        <v>127.85</v>
      </c>
      <c r="I32">
        <v>22.478999999999999</v>
      </c>
      <c r="J32" s="215">
        <f t="shared" ref="J32" si="1">H32*I32</f>
        <v>2873.9401499999999</v>
      </c>
      <c r="K32" s="679">
        <v>42705</v>
      </c>
      <c r="L32" s="216">
        <f>SUM(G32:G39)+SUM(J32:J39)</f>
        <v>43377.730150000003</v>
      </c>
      <c r="M32" s="187">
        <v>43374.89</v>
      </c>
      <c r="N32" s="188"/>
      <c r="O32" s="217">
        <v>4253.6899999999996</v>
      </c>
      <c r="P32" s="218" t="s">
        <v>47</v>
      </c>
      <c r="Q32" s="219">
        <f t="shared" si="0"/>
        <v>-40556.752246000055</v>
      </c>
      <c r="R32" s="220" t="s">
        <v>53</v>
      </c>
      <c r="S32" s="221"/>
      <c r="T32" s="222"/>
      <c r="U32" s="33">
        <f>+C32+L32-M32</f>
        <v>-1.342246000051091</v>
      </c>
    </row>
    <row r="33" spans="1:21">
      <c r="A33" s="223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223"/>
      <c r="B34" s="98" t="s">
        <v>32</v>
      </c>
      <c r="C34" s="99" t="s">
        <v>33</v>
      </c>
      <c r="D34" s="234">
        <v>50.78</v>
      </c>
      <c r="E34" s="101">
        <v>189.2</v>
      </c>
      <c r="F34" s="38">
        <v>37.889800000000001</v>
      </c>
      <c r="G34" s="235">
        <f>ROUND(D34*(E34+F34),2)</f>
        <v>11531.62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6075.02</v>
      </c>
      <c r="R34" s="232"/>
      <c r="S34" s="233"/>
      <c r="T34" s="224"/>
    </row>
    <row r="35" spans="1:21">
      <c r="A35" s="223"/>
      <c r="B35" s="224" t="s">
        <v>33</v>
      </c>
      <c r="C35" s="239" t="s">
        <v>26</v>
      </c>
      <c r="D35" s="234">
        <v>55.71</v>
      </c>
      <c r="E35" s="240">
        <f>189.2-177.3</f>
        <v>11.899999999999977</v>
      </c>
      <c r="F35" s="240"/>
      <c r="G35" s="235">
        <f>+ROUND(D35*E35,2)</f>
        <v>662.95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223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223"/>
      <c r="B37" s="224"/>
      <c r="C37" s="48" t="s">
        <v>118</v>
      </c>
      <c r="D37" s="49">
        <v>5667</v>
      </c>
      <c r="E37" s="41">
        <f>5.6595-5.6669</f>
        <v>-7.3999999999996291E-3</v>
      </c>
      <c r="F37" s="41">
        <f>+E37</f>
        <v>-7.3999999999996291E-3</v>
      </c>
      <c r="G37" s="50">
        <f>ROUND(D37*E37,2)</f>
        <v>-41.94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223"/>
      <c r="B38" s="224"/>
      <c r="C38" s="48" t="s">
        <v>119</v>
      </c>
      <c r="D38" s="49">
        <v>44.8</v>
      </c>
      <c r="E38" s="41">
        <v>5.6595000000000004</v>
      </c>
      <c r="F38" s="41">
        <f>+E38</f>
        <v>5.6595000000000004</v>
      </c>
      <c r="G38" s="50">
        <f>ROUND(D38*E38,2)</f>
        <v>253.55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244"/>
      <c r="B39" s="245"/>
      <c r="C39" s="54" t="s">
        <v>29</v>
      </c>
      <c r="D39" s="246">
        <v>4222.2</v>
      </c>
      <c r="E39" s="56">
        <v>5.6595000000000004</v>
      </c>
      <c r="F39" s="57">
        <f>+E39</f>
        <v>5.6595000000000004</v>
      </c>
      <c r="G39" s="247">
        <f>ROUND(D39*E39*70%+D39*F39*30%,2)</f>
        <v>23895.54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8117.6400000000012</v>
      </c>
      <c r="R39" s="255" t="s">
        <v>54</v>
      </c>
      <c r="S39" s="256">
        <f>SUM(O32:O39)</f>
        <v>25488.190000000002</v>
      </c>
      <c r="T39" s="256">
        <f>SUM(Q32:Q39)</f>
        <v>-26364.092246000058</v>
      </c>
    </row>
    <row r="40" spans="1:21" ht="15.75">
      <c r="A40" s="257"/>
      <c r="B40" s="258" t="s">
        <v>55</v>
      </c>
      <c r="C40" s="48" t="s">
        <v>118</v>
      </c>
      <c r="D40" s="259">
        <v>1902.2</v>
      </c>
      <c r="E40" s="41">
        <f>5.6595-5.6669</f>
        <v>-7.3999999999996291E-3</v>
      </c>
      <c r="F40" s="23">
        <f t="shared" ref="F40:F50" si="2">+E40</f>
        <v>-7.3999999999996291E-3</v>
      </c>
      <c r="G40" s="214">
        <f t="shared" ref="G40:G45" si="3">ROUND(D40*E40,2)</f>
        <v>-14.08</v>
      </c>
      <c r="H40" s="260"/>
      <c r="I40" s="261"/>
      <c r="J40" s="261"/>
      <c r="K40" s="262"/>
      <c r="L40" s="263">
        <f>SUM(G40:G42)</f>
        <v>9387.8799999999992</v>
      </c>
      <c r="M40" s="187">
        <v>9387.8799999999992</v>
      </c>
      <c r="N40" s="264"/>
      <c r="O40" s="229"/>
      <c r="P40" s="265"/>
      <c r="Q40" s="229"/>
      <c r="R40" s="242"/>
      <c r="S40" s="266"/>
      <c r="T40" s="266"/>
    </row>
    <row r="41" spans="1:21" ht="15.75">
      <c r="A41" s="267"/>
      <c r="B41" s="268"/>
      <c r="C41" s="48" t="s">
        <v>120</v>
      </c>
      <c r="D41" s="269">
        <v>17.59</v>
      </c>
      <c r="E41" s="41">
        <v>5.6595000000000004</v>
      </c>
      <c r="F41" s="41">
        <f t="shared" si="2"/>
        <v>5.6595000000000004</v>
      </c>
      <c r="G41" s="235">
        <f>ROUND(D41*E41,2)</f>
        <v>99.55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276"/>
      <c r="B42" s="277"/>
      <c r="C42" s="278"/>
      <c r="D42" s="279">
        <v>1643.68</v>
      </c>
      <c r="E42" s="56">
        <v>5.6595000000000004</v>
      </c>
      <c r="F42" s="57">
        <f t="shared" si="2"/>
        <v>5.6595000000000004</v>
      </c>
      <c r="G42" s="247">
        <f t="shared" si="3"/>
        <v>9302.41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285"/>
      <c r="B43" s="258" t="s">
        <v>56</v>
      </c>
      <c r="C43" s="48" t="s">
        <v>118</v>
      </c>
      <c r="D43" s="259">
        <v>312</v>
      </c>
      <c r="E43" s="41">
        <f>5.6595-5.6669</f>
        <v>-7.3999999999996291E-3</v>
      </c>
      <c r="F43" s="23">
        <f t="shared" si="2"/>
        <v>-7.3999999999996291E-3</v>
      </c>
      <c r="G43" s="214">
        <f>ROUND(D43*E43,2)+0.01</f>
        <v>-2.3000000000000003</v>
      </c>
      <c r="H43" s="260"/>
      <c r="I43" s="261"/>
      <c r="J43" s="261"/>
      <c r="K43" s="262"/>
      <c r="L43" s="286">
        <f>SUM(G43:G45)</f>
        <v>1412.5700000000002</v>
      </c>
      <c r="M43" s="227">
        <v>1412.57</v>
      </c>
      <c r="N43" s="264"/>
      <c r="O43" s="229"/>
      <c r="P43" s="265"/>
      <c r="Q43" s="229"/>
      <c r="R43" s="287"/>
      <c r="S43" s="288"/>
      <c r="T43" s="288"/>
    </row>
    <row r="44" spans="1:21" ht="15.75">
      <c r="A44" s="289"/>
      <c r="B44" s="268"/>
      <c r="C44" s="48" t="s">
        <v>119</v>
      </c>
      <c r="D44" s="269">
        <v>2.2000000000000002</v>
      </c>
      <c r="E44" s="41">
        <v>5.6595000000000004</v>
      </c>
      <c r="F44" s="41">
        <f t="shared" si="2"/>
        <v>5.6595000000000004</v>
      </c>
      <c r="G44" s="235">
        <f>ROUND(D44*E44,2)</f>
        <v>12.45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290"/>
      <c r="B45" s="277"/>
      <c r="C45" s="54" t="s">
        <v>29</v>
      </c>
      <c r="D45" s="279">
        <v>247.8</v>
      </c>
      <c r="E45" s="56">
        <v>5.6595000000000004</v>
      </c>
      <c r="F45" s="57">
        <f t="shared" si="2"/>
        <v>5.6595000000000004</v>
      </c>
      <c r="G45" s="247">
        <f t="shared" si="3"/>
        <v>1402.42</v>
      </c>
      <c r="H45" s="280"/>
      <c r="I45" s="281"/>
      <c r="J45" s="281"/>
      <c r="K45" s="6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285"/>
      <c r="B46" s="291" t="s">
        <v>57</v>
      </c>
      <c r="C46" s="292"/>
      <c r="D46" s="259">
        <v>0.63100000000000001</v>
      </c>
      <c r="E46" s="21">
        <v>32.332000000000001</v>
      </c>
      <c r="F46" s="21">
        <v>37.889800000000001</v>
      </c>
      <c r="G46" s="214">
        <f>ROUND(D46*(E46+F46),2)</f>
        <v>44.31</v>
      </c>
      <c r="H46" s="213">
        <v>0.48199999999999998</v>
      </c>
      <c r="I46">
        <v>22.478999999999999</v>
      </c>
      <c r="J46" s="215">
        <f t="shared" ref="J46" si="4">H46*I46</f>
        <v>10.834878</v>
      </c>
      <c r="K46" s="679">
        <v>42705</v>
      </c>
      <c r="L46" s="294">
        <f>SUM(G46:G50)+J46+J48</f>
        <v>1322.9348779999998</v>
      </c>
      <c r="M46" s="227">
        <v>1322.93</v>
      </c>
      <c r="N46" s="264"/>
      <c r="O46" s="229"/>
      <c r="P46" s="265"/>
      <c r="Q46" s="229"/>
      <c r="R46" s="242"/>
      <c r="S46" s="266"/>
      <c r="T46" s="266"/>
    </row>
    <row r="47" spans="1:21" ht="15.75">
      <c r="A47" s="289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683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289"/>
      <c r="B48" s="268"/>
      <c r="C48" s="48" t="s">
        <v>118</v>
      </c>
      <c r="D48" s="296">
        <v>221.1</v>
      </c>
      <c r="E48" s="41">
        <f>5.6595-5.6669</f>
        <v>-7.3999999999996291E-3</v>
      </c>
      <c r="F48" s="297">
        <f t="shared" si="2"/>
        <v>-7.3999999999996291E-3</v>
      </c>
      <c r="G48" s="235">
        <f>ROUND(D48*E48,2)+0.01</f>
        <v>-1.63</v>
      </c>
      <c r="H48" s="270"/>
      <c r="I48" s="41"/>
      <c r="J48" s="41"/>
      <c r="K48" s="684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5.75">
      <c r="A49" s="289"/>
      <c r="B49" s="268"/>
      <c r="C49" s="48" t="s">
        <v>119</v>
      </c>
      <c r="D49" s="269">
        <v>2.4</v>
      </c>
      <c r="E49" s="41">
        <v>5.6595000000000004</v>
      </c>
      <c r="F49" s="298">
        <f t="shared" si="2"/>
        <v>5.6595000000000004</v>
      </c>
      <c r="G49" s="235">
        <f>ROUND(D49*E49,2)</f>
        <v>13.58</v>
      </c>
      <c r="H49" s="270"/>
      <c r="I49" s="41"/>
      <c r="J49" s="41"/>
      <c r="K49" s="684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1" ht="16.5" thickBot="1">
      <c r="A50" s="290"/>
      <c r="B50" s="277"/>
      <c r="C50" s="54" t="s">
        <v>29</v>
      </c>
      <c r="D50" s="279">
        <v>221.9</v>
      </c>
      <c r="E50" s="56">
        <v>5.6595000000000004</v>
      </c>
      <c r="F50" s="57">
        <f t="shared" si="2"/>
        <v>5.6595000000000004</v>
      </c>
      <c r="G50" s="247">
        <f>ROUND(D50*E50,2)</f>
        <v>1255.8399999999999</v>
      </c>
      <c r="H50" s="280"/>
      <c r="I50" s="281"/>
      <c r="J50" s="281"/>
      <c r="K50" s="6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1" ht="15.75">
      <c r="A51" s="299"/>
      <c r="B51" s="258" t="s">
        <v>58</v>
      </c>
      <c r="C51" s="48" t="s">
        <v>59</v>
      </c>
      <c r="D51" s="259">
        <v>0.42</v>
      </c>
      <c r="E51" s="21">
        <v>32.332000000000001</v>
      </c>
      <c r="F51" s="21">
        <v>37.889800000000001</v>
      </c>
      <c r="G51" s="214">
        <f>ROUND(D51*(E51+F51),2)</f>
        <v>29.49</v>
      </c>
      <c r="H51" s="213">
        <v>0.6</v>
      </c>
      <c r="I51">
        <v>22.478999999999999</v>
      </c>
      <c r="J51" s="215">
        <f t="shared" ref="J51" si="5">H51*I51</f>
        <v>13.487399999999999</v>
      </c>
      <c r="K51" s="679">
        <v>42705</v>
      </c>
      <c r="L51" s="294">
        <f>SUM(G51:G55)+J51</f>
        <v>1267.1573999999998</v>
      </c>
      <c r="M51" s="227">
        <v>1267.1600000000001</v>
      </c>
      <c r="N51" s="264"/>
      <c r="O51" s="229"/>
      <c r="P51" s="265"/>
      <c r="Q51" s="229"/>
      <c r="R51" s="242"/>
      <c r="S51" s="266"/>
      <c r="T51" s="266"/>
    </row>
    <row r="52" spans="1:21" ht="15.75">
      <c r="A52" s="300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1">
      <c r="A53" s="300"/>
      <c r="B53" s="268"/>
      <c r="C53" s="48" t="s">
        <v>118</v>
      </c>
      <c r="D53" s="296">
        <v>224.4</v>
      </c>
      <c r="E53" s="41">
        <f>5.6595-5.6669</f>
        <v>-7.3999999999996291E-3</v>
      </c>
      <c r="F53" s="41">
        <f>+E53</f>
        <v>-7.3999999999996291E-3</v>
      </c>
      <c r="G53" s="235">
        <f>ROUND(D53*E53,2)-0.01</f>
        <v>-1.67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5.75">
      <c r="A54" s="300"/>
      <c r="B54" s="268"/>
      <c r="C54" s="48" t="s">
        <v>119</v>
      </c>
      <c r="D54" s="269">
        <v>2.2999999999999998</v>
      </c>
      <c r="E54" s="41">
        <v>5.6595000000000004</v>
      </c>
      <c r="F54" s="41">
        <f>+E54</f>
        <v>5.6595000000000004</v>
      </c>
      <c r="G54" s="235">
        <f>ROUND(D54*E54,2)</f>
        <v>13.02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1" ht="16.5" thickBot="1">
      <c r="A55" s="301"/>
      <c r="B55" s="277"/>
      <c r="C55" s="54" t="s">
        <v>29</v>
      </c>
      <c r="D55" s="279">
        <v>214.3</v>
      </c>
      <c r="E55" s="56">
        <v>5.6595000000000004</v>
      </c>
      <c r="F55" s="57">
        <f>+E55</f>
        <v>5.6595000000000004</v>
      </c>
      <c r="G55" s="247">
        <f>ROUND(D55*E55,2)</f>
        <v>1212.83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1" ht="15.75">
      <c r="A56" s="302"/>
      <c r="B56" s="258" t="s">
        <v>38</v>
      </c>
      <c r="C56" s="48" t="s">
        <v>27</v>
      </c>
      <c r="D56" s="259"/>
      <c r="E56" s="41">
        <f>5.6669-5.8331</f>
        <v>-0.1661999999999999</v>
      </c>
      <c r="F56" s="23">
        <f t="shared" ref="F56:F58" si="6">+E56</f>
        <v>-0.1661999999999999</v>
      </c>
      <c r="G56" s="214">
        <f t="shared" ref="G56" si="7">ROUND(D56*E56,2)</f>
        <v>0</v>
      </c>
      <c r="H56" s="303"/>
      <c r="I56" s="23"/>
      <c r="J56" s="23"/>
      <c r="K56" s="304"/>
      <c r="L56" s="263">
        <f>SUM(G56:G58)</f>
        <v>0</v>
      </c>
      <c r="M56" s="187"/>
      <c r="N56" s="264"/>
      <c r="O56" s="229"/>
      <c r="P56" s="265"/>
      <c r="Q56" s="229"/>
      <c r="R56" s="242"/>
      <c r="S56" s="266"/>
      <c r="T56" s="266"/>
    </row>
    <row r="57" spans="1:21" ht="15.75">
      <c r="A57" s="305"/>
      <c r="B57" s="268"/>
      <c r="C57" s="48" t="s">
        <v>28</v>
      </c>
      <c r="D57" s="269"/>
      <c r="E57" s="41">
        <v>5.6669</v>
      </c>
      <c r="F57" s="41">
        <f t="shared" si="6"/>
        <v>5.6669</v>
      </c>
      <c r="G57" s="235">
        <f>ROUND(D57*E57,2)</f>
        <v>0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1" ht="16.5" thickBot="1">
      <c r="A58" s="306"/>
      <c r="B58" s="307"/>
      <c r="C58" s="107" t="s">
        <v>29</v>
      </c>
      <c r="D58" s="308"/>
      <c r="E58" s="56">
        <v>5.6669</v>
      </c>
      <c r="F58" s="109">
        <f t="shared" si="6"/>
        <v>5.6669</v>
      </c>
      <c r="G58" s="309">
        <f>ROUND(D58*E58,2)</f>
        <v>0</v>
      </c>
      <c r="H58" s="310"/>
      <c r="I58" s="311"/>
      <c r="J58" s="311"/>
      <c r="K58" s="312"/>
      <c r="L58" s="313"/>
      <c r="M58" s="314"/>
      <c r="N58" s="315"/>
      <c r="O58" s="316"/>
      <c r="P58" s="317"/>
      <c r="Q58" s="316"/>
      <c r="R58" s="318"/>
      <c r="S58" s="319"/>
      <c r="T58" s="266"/>
    </row>
    <row r="59" spans="1:21" ht="16.5" thickTop="1">
      <c r="A59" s="320"/>
      <c r="B59" s="321"/>
      <c r="C59" s="322"/>
      <c r="D59" s="323"/>
      <c r="E59" s="163"/>
      <c r="F59" s="324"/>
      <c r="G59" s="325"/>
      <c r="H59" s="163"/>
      <c r="I59" s="163"/>
      <c r="J59" s="163"/>
      <c r="K59" s="163"/>
      <c r="L59" s="163"/>
      <c r="M59" s="326"/>
      <c r="N59" s="327"/>
      <c r="O59" s="328"/>
      <c r="P59" s="329"/>
      <c r="Q59" s="328"/>
      <c r="R59" s="330"/>
      <c r="S59" s="331"/>
      <c r="T59" s="266"/>
    </row>
    <row r="60" spans="1:21" ht="21.75" thickBot="1">
      <c r="A60" s="171" t="s">
        <v>60</v>
      </c>
      <c r="B60" s="2"/>
      <c r="C60" s="3"/>
      <c r="D60" s="2"/>
      <c r="E60" s="2"/>
      <c r="F60" s="2"/>
      <c r="G60" s="332"/>
      <c r="H60" s="332"/>
      <c r="I60" s="332"/>
      <c r="J60" s="2"/>
      <c r="K60" s="2"/>
      <c r="L60" s="2"/>
      <c r="M60" s="3"/>
      <c r="N60" s="2"/>
      <c r="O60" s="2"/>
      <c r="P60" s="2"/>
      <c r="Q60" s="2"/>
      <c r="R60" s="2"/>
      <c r="S60" s="2"/>
    </row>
    <row r="61" spans="1:21" ht="15" customHeight="1" thickTop="1">
      <c r="A61" s="1553" t="s">
        <v>1</v>
      </c>
      <c r="B61" s="1516" t="s">
        <v>2</v>
      </c>
      <c r="C61" s="1518" t="s">
        <v>3</v>
      </c>
      <c r="D61" s="1532" t="s">
        <v>4</v>
      </c>
      <c r="E61" s="1532"/>
      <c r="F61" s="1532"/>
      <c r="G61" s="1532"/>
      <c r="H61" s="1533" t="s">
        <v>5</v>
      </c>
      <c r="I61" s="1534"/>
      <c r="J61" s="1534"/>
      <c r="K61" s="1534"/>
      <c r="L61" s="1524" t="s">
        <v>6</v>
      </c>
      <c r="M61" s="1537" t="s">
        <v>7</v>
      </c>
      <c r="N61" s="1538" t="s">
        <v>8</v>
      </c>
      <c r="O61" s="1538"/>
      <c r="P61" s="1538"/>
      <c r="Q61" s="1539"/>
      <c r="R61" s="5"/>
      <c r="S61" s="5"/>
      <c r="T61" s="5" t="s">
        <v>61</v>
      </c>
      <c r="U61" t="s">
        <v>21</v>
      </c>
    </row>
    <row r="62" spans="1:21" ht="27" customHeight="1" thickBot="1">
      <c r="A62" s="1531"/>
      <c r="B62" s="1517"/>
      <c r="C62" s="1519" t="s">
        <v>10</v>
      </c>
      <c r="D62" s="333" t="s">
        <v>11</v>
      </c>
      <c r="E62" s="7" t="s">
        <v>12</v>
      </c>
      <c r="F62" s="7" t="s">
        <v>13</v>
      </c>
      <c r="G62" s="334" t="s">
        <v>14</v>
      </c>
      <c r="H62" s="335" t="s">
        <v>11</v>
      </c>
      <c r="I62" s="333" t="s">
        <v>15</v>
      </c>
      <c r="J62" s="336" t="s">
        <v>14</v>
      </c>
      <c r="K62" s="11" t="s">
        <v>16</v>
      </c>
      <c r="L62" s="1525"/>
      <c r="M62" s="1511"/>
      <c r="N62" s="337" t="s">
        <v>62</v>
      </c>
      <c r="O62" s="338" t="s">
        <v>44</v>
      </c>
      <c r="P62" s="13" t="s">
        <v>18</v>
      </c>
      <c r="Q62" s="14" t="s">
        <v>19</v>
      </c>
    </row>
    <row r="63" spans="1:21" ht="14.25" customHeight="1">
      <c r="A63" s="339" t="s">
        <v>63</v>
      </c>
      <c r="B63" s="18" t="s">
        <v>64</v>
      </c>
      <c r="C63" s="71">
        <f>+[1]янв17!U63</f>
        <v>-3.5364999997837003</v>
      </c>
      <c r="D63" s="340">
        <v>53</v>
      </c>
      <c r="E63" s="21">
        <v>32.332000000000001</v>
      </c>
      <c r="F63" s="21">
        <v>37.889800000000001</v>
      </c>
      <c r="G63" s="185">
        <f>ROUND(D63*(E63+F63),2)</f>
        <v>3721.76</v>
      </c>
      <c r="H63" s="184"/>
      <c r="I63" s="23"/>
      <c r="J63" s="341">
        <v>0</v>
      </c>
      <c r="K63" s="342"/>
      <c r="L63" s="343">
        <f>SUM(G63:G68,J63:J67)</f>
        <v>226979.41</v>
      </c>
      <c r="M63" s="344">
        <v>226979.94</v>
      </c>
      <c r="N63" s="345"/>
      <c r="O63" s="346">
        <v>7157.88</v>
      </c>
      <c r="P63" s="347" t="s">
        <v>24</v>
      </c>
      <c r="Q63" s="348">
        <f t="shared" ref="Q63:Q69" si="8">C63+G63+J63-M63-N63-O63</f>
        <v>-230419.59649999978</v>
      </c>
      <c r="R63" s="349" t="s">
        <v>65</v>
      </c>
      <c r="S63" s="350" t="s">
        <v>20</v>
      </c>
      <c r="T63" s="351" t="s">
        <v>21</v>
      </c>
      <c r="U63" s="352">
        <f>+L63-M63+C63</f>
        <v>-4.0664999997825362</v>
      </c>
    </row>
    <row r="64" spans="1:21" ht="14.25" customHeight="1">
      <c r="A64" s="353"/>
      <c r="B64" s="35"/>
      <c r="C64" s="84" t="s">
        <v>26</v>
      </c>
      <c r="D64" s="37">
        <v>0</v>
      </c>
      <c r="E64" s="38">
        <f>32.332-28.8628</f>
        <v>3.4692000000000007</v>
      </c>
      <c r="F64" s="38">
        <f>37.8898-33.8306</f>
        <v>4.0592000000000041</v>
      </c>
      <c r="G64" s="39">
        <f>ROUND(D64*(E64+F64),2)</f>
        <v>0</v>
      </c>
      <c r="H64" s="49"/>
      <c r="I64" s="271"/>
      <c r="J64" s="101"/>
      <c r="K64" s="354"/>
      <c r="L64" s="355"/>
      <c r="M64" s="356"/>
      <c r="N64" s="357"/>
      <c r="O64" s="358"/>
      <c r="P64" s="359"/>
      <c r="Q64" s="360"/>
      <c r="R64" s="349"/>
      <c r="S64" s="350"/>
      <c r="T64" s="351"/>
      <c r="U64" s="352"/>
    </row>
    <row r="65" spans="1:21">
      <c r="A65" s="353"/>
      <c r="B65" s="35"/>
      <c r="C65" s="48"/>
      <c r="D65" s="49">
        <v>0</v>
      </c>
      <c r="E65" s="41">
        <f>4.4128-4.4153</f>
        <v>-2.5000000000003908E-3</v>
      </c>
      <c r="F65" s="41">
        <f>+E65</f>
        <v>-2.5000000000003908E-3</v>
      </c>
      <c r="G65" s="50">
        <f>ROUND(D65*E65*70%+D65*F65*30%,2)</f>
        <v>0</v>
      </c>
      <c r="H65" s="49"/>
      <c r="I65" s="271">
        <v>0</v>
      </c>
      <c r="J65" s="41">
        <f>H65*I65</f>
        <v>0</v>
      </c>
      <c r="K65" s="354"/>
      <c r="L65" s="355"/>
      <c r="M65" s="356"/>
      <c r="N65" s="357"/>
      <c r="O65" s="358"/>
      <c r="P65" s="359"/>
      <c r="Q65" s="360"/>
      <c r="R65" s="349"/>
      <c r="S65" s="350"/>
      <c r="T65" s="351"/>
      <c r="U65" s="352"/>
    </row>
    <row r="66" spans="1:21">
      <c r="A66" s="353"/>
      <c r="B66" s="35"/>
      <c r="C66" s="48" t="s">
        <v>118</v>
      </c>
      <c r="D66" s="49">
        <v>41534</v>
      </c>
      <c r="E66" s="41">
        <f>5.8291-5.7945</f>
        <v>3.4600000000000186E-2</v>
      </c>
      <c r="F66" s="38">
        <f>+E66</f>
        <v>3.4600000000000186E-2</v>
      </c>
      <c r="G66" s="50">
        <f>ROUND(+D66*E66,2)</f>
        <v>1437.08</v>
      </c>
      <c r="H66" s="49"/>
      <c r="I66" s="271"/>
      <c r="J66" s="41"/>
      <c r="K66" s="354"/>
      <c r="L66" s="355"/>
      <c r="M66" s="356"/>
      <c r="N66" s="357"/>
      <c r="O66" s="358"/>
      <c r="P66" s="359"/>
      <c r="Q66" s="360"/>
      <c r="R66" s="349"/>
      <c r="S66" s="350"/>
      <c r="T66" s="351"/>
      <c r="U66" s="352"/>
    </row>
    <row r="67" spans="1:21">
      <c r="A67" s="353"/>
      <c r="B67" s="35"/>
      <c r="C67" s="48" t="s">
        <v>119</v>
      </c>
      <c r="D67" s="49">
        <v>91</v>
      </c>
      <c r="E67" s="41">
        <v>5.8291000000000004</v>
      </c>
      <c r="F67" s="41">
        <f>+E67</f>
        <v>5.8291000000000004</v>
      </c>
      <c r="G67" s="50">
        <f>ROUND(D67*E67,2)</f>
        <v>530.45000000000005</v>
      </c>
      <c r="H67" s="361"/>
      <c r="I67" s="362"/>
      <c r="J67" s="207"/>
      <c r="K67" s="363"/>
      <c r="L67" s="364"/>
      <c r="M67" s="365"/>
      <c r="N67" s="366"/>
      <c r="O67" s="367"/>
      <c r="P67" s="368"/>
      <c r="Q67" s="360"/>
      <c r="R67" s="349"/>
      <c r="S67" s="350"/>
      <c r="T67" s="351"/>
      <c r="U67" s="352"/>
    </row>
    <row r="68" spans="1:21" ht="15.75" thickBot="1">
      <c r="A68" s="369"/>
      <c r="B68" s="53" t="s">
        <v>66</v>
      </c>
      <c r="C68" s="48" t="s">
        <v>121</v>
      </c>
      <c r="D68" s="55">
        <v>37963</v>
      </c>
      <c r="E68" s="56">
        <v>5.8291000000000004</v>
      </c>
      <c r="F68" s="370">
        <f>+E68</f>
        <v>5.8291000000000004</v>
      </c>
      <c r="G68" s="58">
        <f>ROUND(D68*E68,2)</f>
        <v>221290.12</v>
      </c>
      <c r="H68" s="248"/>
      <c r="I68" s="203"/>
      <c r="J68" s="60"/>
      <c r="K68" s="203"/>
      <c r="L68" s="204"/>
      <c r="M68" s="371"/>
      <c r="N68" s="372"/>
      <c r="O68" s="373">
        <v>165882.5</v>
      </c>
      <c r="P68" s="374" t="s">
        <v>24</v>
      </c>
      <c r="Q68" s="373">
        <f>G68+J68-M68-N68-O68</f>
        <v>55407.619999999995</v>
      </c>
      <c r="R68" s="349" t="s">
        <v>65</v>
      </c>
      <c r="S68" s="375">
        <f>SUM(O63:O68)</f>
        <v>173040.38</v>
      </c>
      <c r="T68" s="375">
        <f>SUM(Q63:Q68)</f>
        <v>-175011.97649999979</v>
      </c>
    </row>
    <row r="69" spans="1:21" s="81" customFormat="1" ht="15" customHeight="1">
      <c r="A69" s="376">
        <v>301</v>
      </c>
      <c r="B69" s="70" t="s">
        <v>67</v>
      </c>
      <c r="C69" s="377"/>
      <c r="D69" s="378">
        <v>341</v>
      </c>
      <c r="E69" s="21">
        <v>32.332000000000001</v>
      </c>
      <c r="F69" s="21">
        <v>37.889800000000001</v>
      </c>
      <c r="G69" s="379">
        <f>ROUND(D69*(E69+F69),2)</f>
        <v>23945.63</v>
      </c>
      <c r="H69" s="380"/>
      <c r="I69" s="381">
        <v>183.82</v>
      </c>
      <c r="J69" s="381">
        <f>H69*I69</f>
        <v>0</v>
      </c>
      <c r="K69" s="342"/>
      <c r="L69" s="382">
        <f>+SUM(G69:G78,J69:J77)</f>
        <v>225404.99660000001</v>
      </c>
      <c r="M69" s="26">
        <v>225405</v>
      </c>
      <c r="N69" s="383"/>
      <c r="O69" s="77"/>
      <c r="P69" s="77" t="s">
        <v>68</v>
      </c>
      <c r="Q69" s="384">
        <f t="shared" si="8"/>
        <v>-201459.37</v>
      </c>
      <c r="R69" s="385" t="s">
        <v>69</v>
      </c>
      <c r="S69" s="386"/>
      <c r="T69" s="387"/>
      <c r="U69" s="388"/>
    </row>
    <row r="70" spans="1:21" s="81" customFormat="1" ht="12.75">
      <c r="A70" s="389"/>
      <c r="B70" s="83"/>
      <c r="C70" s="390" t="s">
        <v>26</v>
      </c>
      <c r="D70" s="37">
        <v>0</v>
      </c>
      <c r="E70" s="38">
        <f>32.332-28.8628</f>
        <v>3.4692000000000007</v>
      </c>
      <c r="F70" s="38">
        <v>0</v>
      </c>
      <c r="G70" s="39">
        <f>ROUND(D70*(E70+F70),2)</f>
        <v>0</v>
      </c>
      <c r="H70" s="391"/>
      <c r="I70" s="392"/>
      <c r="J70" s="392"/>
      <c r="K70" s="393"/>
      <c r="L70" s="394"/>
      <c r="M70" s="90"/>
      <c r="N70" s="395"/>
      <c r="O70" s="94"/>
      <c r="P70" s="94"/>
      <c r="Q70" s="396"/>
      <c r="R70" s="397"/>
      <c r="S70" s="398"/>
      <c r="T70" s="399"/>
    </row>
    <row r="71" spans="1:21" s="81" customFormat="1" ht="12.75">
      <c r="A71" s="389"/>
      <c r="B71" s="98" t="s">
        <v>32</v>
      </c>
      <c r="C71" s="99" t="s">
        <v>33</v>
      </c>
      <c r="D71" s="37">
        <v>386</v>
      </c>
      <c r="E71" s="101">
        <v>283.85000000000002</v>
      </c>
      <c r="F71" s="38">
        <v>37.889800000000001</v>
      </c>
      <c r="G71" s="400">
        <f>ROUND(D71*(E71+F71),2)</f>
        <v>124191.56</v>
      </c>
      <c r="H71" s="401"/>
      <c r="I71" s="402"/>
      <c r="J71" s="402"/>
      <c r="K71" s="403"/>
      <c r="L71" s="404"/>
      <c r="M71" s="102"/>
      <c r="N71" s="405"/>
      <c r="O71" s="406"/>
      <c r="P71" s="406" t="s">
        <v>68</v>
      </c>
      <c r="Q71" s="407">
        <f>+G71+J71-M71-N71-O71</f>
        <v>124191.56</v>
      </c>
      <c r="R71" s="397" t="s">
        <v>69</v>
      </c>
      <c r="S71" s="398"/>
      <c r="T71" s="399"/>
    </row>
    <row r="72" spans="1:21" s="81" customFormat="1" ht="15" customHeight="1">
      <c r="A72" s="389"/>
      <c r="B72" s="98"/>
      <c r="C72" s="84"/>
      <c r="D72" s="37">
        <v>344.5</v>
      </c>
      <c r="E72" s="41">
        <f>283.85-344.19</f>
        <v>-60.339999999999975</v>
      </c>
      <c r="F72" s="38">
        <v>0</v>
      </c>
      <c r="G72" s="400">
        <f>+D72*(E72+F72)</f>
        <v>-20787.12999999999</v>
      </c>
      <c r="H72" s="401"/>
      <c r="I72" s="402"/>
      <c r="J72" s="402"/>
      <c r="K72" s="408"/>
      <c r="L72" s="404"/>
      <c r="M72" s="102"/>
      <c r="N72" s="405"/>
      <c r="O72" s="406"/>
      <c r="P72" s="406"/>
      <c r="Q72" s="407"/>
      <c r="R72" s="397"/>
      <c r="S72" s="398"/>
      <c r="T72" s="399"/>
    </row>
    <row r="73" spans="1:21" s="81" customFormat="1" ht="15" customHeight="1">
      <c r="A73" s="389"/>
      <c r="B73" s="83"/>
      <c r="C73" s="84"/>
      <c r="D73" s="37"/>
      <c r="E73" s="41"/>
      <c r="F73" s="38"/>
      <c r="G73" s="400"/>
      <c r="H73" s="401"/>
      <c r="I73" s="402"/>
      <c r="J73" s="402"/>
      <c r="K73" s="408"/>
      <c r="L73" s="404"/>
      <c r="M73" s="102"/>
      <c r="N73" s="405"/>
      <c r="O73" s="406"/>
      <c r="P73" s="406"/>
      <c r="Q73" s="407"/>
      <c r="R73" s="397"/>
      <c r="S73" s="398"/>
      <c r="T73" s="399"/>
    </row>
    <row r="74" spans="1:21" s="81" customFormat="1" ht="15" customHeight="1">
      <c r="A74" s="389"/>
      <c r="B74" s="83" t="s">
        <v>70</v>
      </c>
      <c r="C74" s="84"/>
      <c r="D74" s="37"/>
      <c r="E74" s="41"/>
      <c r="F74" s="38">
        <v>33.830599999999997</v>
      </c>
      <c r="G74" s="400"/>
      <c r="H74" s="401"/>
      <c r="I74" s="402"/>
      <c r="J74" s="402"/>
      <c r="K74" s="408"/>
      <c r="L74" s="404"/>
      <c r="M74" s="102"/>
      <c r="N74" s="405"/>
      <c r="O74" s="406"/>
      <c r="P74" s="406"/>
      <c r="Q74" s="407"/>
      <c r="R74" s="397"/>
      <c r="S74" s="398"/>
      <c r="T74" s="399"/>
    </row>
    <row r="75" spans="1:21" s="81" customFormat="1" ht="15" customHeight="1">
      <c r="A75" s="389"/>
      <c r="B75" s="83"/>
      <c r="C75" s="48"/>
      <c r="D75" s="37">
        <v>0</v>
      </c>
      <c r="E75" s="41">
        <f>4.4128-4.4153</f>
        <v>-2.5000000000003908E-3</v>
      </c>
      <c r="F75" s="38"/>
      <c r="G75" s="39">
        <f>ROUND(D75*(E75+F75),2)</f>
        <v>0</v>
      </c>
      <c r="H75" s="37"/>
      <c r="I75" s="409"/>
      <c r="J75" s="409"/>
      <c r="K75" s="408"/>
      <c r="L75" s="404"/>
      <c r="M75" s="102"/>
      <c r="N75" s="405"/>
      <c r="O75" s="406"/>
      <c r="P75" s="406"/>
      <c r="Q75" s="407"/>
      <c r="R75" s="397"/>
      <c r="S75" s="398"/>
      <c r="T75" s="399"/>
    </row>
    <row r="76" spans="1:21" s="81" customFormat="1" ht="15" customHeight="1">
      <c r="A76" s="389"/>
      <c r="B76" s="83"/>
      <c r="C76" s="48" t="s">
        <v>118</v>
      </c>
      <c r="D76" s="37">
        <v>17121</v>
      </c>
      <c r="E76" s="41">
        <f>5.8291-5.7945</f>
        <v>3.4600000000000186E-2</v>
      </c>
      <c r="F76" s="38">
        <f>+E76</f>
        <v>3.4600000000000186E-2</v>
      </c>
      <c r="G76" s="39">
        <f>+D76*E76</f>
        <v>592.38660000000323</v>
      </c>
      <c r="H76" s="37"/>
      <c r="I76" s="409"/>
      <c r="J76" s="409"/>
      <c r="K76" s="408"/>
      <c r="L76" s="404"/>
      <c r="M76" s="102"/>
      <c r="N76" s="405"/>
      <c r="O76" s="406"/>
      <c r="P76" s="406"/>
      <c r="Q76" s="407"/>
      <c r="R76" s="397"/>
      <c r="S76" s="398"/>
      <c r="T76" s="399"/>
    </row>
    <row r="77" spans="1:21" s="81" customFormat="1" ht="15" customHeight="1">
      <c r="A77" s="389"/>
      <c r="B77" s="83"/>
      <c r="C77" s="48" t="s">
        <v>119</v>
      </c>
      <c r="D77" s="37">
        <v>40</v>
      </c>
      <c r="E77" s="41">
        <v>5.8291000000000004</v>
      </c>
      <c r="F77" s="41">
        <f>+E77</f>
        <v>5.8291000000000004</v>
      </c>
      <c r="G77" s="39">
        <f>ROUND(D77*E77,2)</f>
        <v>233.16</v>
      </c>
      <c r="H77" s="37"/>
      <c r="I77" s="409"/>
      <c r="J77" s="409"/>
      <c r="K77" s="410"/>
      <c r="L77" s="404"/>
      <c r="M77" s="102"/>
      <c r="N77" s="405"/>
      <c r="O77" s="406"/>
      <c r="P77" s="406"/>
      <c r="Q77" s="407"/>
      <c r="R77" s="397"/>
      <c r="S77" s="398"/>
      <c r="T77" s="399"/>
    </row>
    <row r="78" spans="1:21" s="81" customFormat="1" ht="15.75" customHeight="1" thickBot="1">
      <c r="A78" s="411"/>
      <c r="B78" s="412"/>
      <c r="C78" s="48" t="s">
        <v>121</v>
      </c>
      <c r="D78" s="413">
        <v>16680</v>
      </c>
      <c r="E78" s="56">
        <v>5.8291000000000004</v>
      </c>
      <c r="F78" s="370">
        <f>+E78</f>
        <v>5.8291000000000004</v>
      </c>
      <c r="G78" s="414">
        <f>ROUND(D78*E78,2)</f>
        <v>97229.39</v>
      </c>
      <c r="H78" s="248"/>
      <c r="I78" s="60"/>
      <c r="J78" s="60"/>
      <c r="K78" s="203"/>
      <c r="L78" s="204"/>
      <c r="M78" s="371"/>
      <c r="N78" s="415"/>
      <c r="O78" s="416"/>
      <c r="P78" s="416" t="s">
        <v>68</v>
      </c>
      <c r="Q78" s="417">
        <f>+G78+J78-M78-N78-O78</f>
        <v>97229.39</v>
      </c>
      <c r="R78" s="418" t="s">
        <v>69</v>
      </c>
      <c r="S78" s="419">
        <f>SUM(O69:O78)</f>
        <v>0</v>
      </c>
      <c r="T78" s="419">
        <f>SUM(Q69:Q78)</f>
        <v>19961.580000000002</v>
      </c>
    </row>
    <row r="79" spans="1:21" s="81" customFormat="1" ht="15.75" customHeight="1">
      <c r="A79" s="376"/>
      <c r="B79" s="420" t="s">
        <v>72</v>
      </c>
      <c r="C79" s="377" t="s">
        <v>73</v>
      </c>
      <c r="D79" s="378">
        <v>145</v>
      </c>
      <c r="E79" s="21">
        <v>32.332000000000001</v>
      </c>
      <c r="F79" s="21">
        <v>37.889800000000001</v>
      </c>
      <c r="G79" s="22">
        <f>+D79*(E79+F79)</f>
        <v>10182.161</v>
      </c>
      <c r="H79" s="303"/>
      <c r="I79" s="23"/>
      <c r="J79" s="341"/>
      <c r="K79" s="342"/>
      <c r="L79" s="263">
        <f>SUM(G79:G83,J79:J83)</f>
        <v>203939.261</v>
      </c>
      <c r="M79" s="26">
        <v>203939.26</v>
      </c>
      <c r="N79" s="421"/>
      <c r="O79" s="77"/>
      <c r="P79" s="77"/>
      <c r="Q79" s="384"/>
      <c r="R79" s="422"/>
      <c r="S79" s="399"/>
      <c r="T79" s="399"/>
    </row>
    <row r="80" spans="1:21" s="81" customFormat="1" ht="15.75" customHeight="1">
      <c r="A80" s="389"/>
      <c r="B80" s="83"/>
      <c r="C80" s="84" t="s">
        <v>26</v>
      </c>
      <c r="D80" s="37">
        <v>0</v>
      </c>
      <c r="E80" s="38">
        <f>32.332-28.8628</f>
        <v>3.4692000000000007</v>
      </c>
      <c r="F80" s="38">
        <f>37.8898-33.8306</f>
        <v>4.0592000000000041</v>
      </c>
      <c r="G80" s="39">
        <f>ROUND(D80*(E80+F80),2)</f>
        <v>0</v>
      </c>
      <c r="H80" s="270"/>
      <c r="I80" s="41"/>
      <c r="J80" s="41"/>
      <c r="K80" s="271"/>
      <c r="L80" s="272"/>
      <c r="M80" s="102"/>
      <c r="N80" s="423"/>
      <c r="O80" s="406"/>
      <c r="P80" s="406"/>
      <c r="Q80" s="424"/>
      <c r="R80" s="422"/>
      <c r="S80" s="399"/>
      <c r="T80" s="399"/>
    </row>
    <row r="81" spans="1:20" s="81" customFormat="1" ht="15.75" customHeight="1">
      <c r="A81" s="389"/>
      <c r="B81" s="83"/>
      <c r="C81" s="48" t="s">
        <v>118</v>
      </c>
      <c r="D81" s="37">
        <v>37169</v>
      </c>
      <c r="E81" s="41">
        <f>5.8291-5.7945</f>
        <v>3.4600000000000186E-2</v>
      </c>
      <c r="F81" s="38"/>
      <c r="G81" s="39">
        <f>ROUND(D81*(E81),2)</f>
        <v>1286.05</v>
      </c>
      <c r="H81" s="270"/>
      <c r="I81" s="41"/>
      <c r="J81" s="41"/>
      <c r="K81" s="271"/>
      <c r="L81" s="272"/>
      <c r="M81" s="102"/>
      <c r="N81" s="423"/>
      <c r="O81" s="406"/>
      <c r="P81" s="406"/>
      <c r="Q81" s="424"/>
      <c r="R81" s="422"/>
      <c r="S81" s="399"/>
      <c r="T81" s="399"/>
    </row>
    <row r="82" spans="1:20" s="81" customFormat="1" ht="15.75" customHeight="1">
      <c r="A82" s="389"/>
      <c r="B82" s="83"/>
      <c r="C82" s="48" t="s">
        <v>119</v>
      </c>
      <c r="D82" s="37">
        <v>79</v>
      </c>
      <c r="E82" s="41">
        <v>5.8291000000000004</v>
      </c>
      <c r="F82" s="38"/>
      <c r="G82" s="39">
        <f>ROUND(D82*(E82),2)</f>
        <v>460.5</v>
      </c>
      <c r="H82" s="270"/>
      <c r="I82" s="41"/>
      <c r="J82" s="41"/>
      <c r="K82" s="271"/>
      <c r="L82" s="272"/>
      <c r="M82" s="102"/>
      <c r="N82" s="423"/>
      <c r="O82" s="406"/>
      <c r="P82" s="406"/>
      <c r="Q82" s="425"/>
      <c r="R82" s="422"/>
      <c r="S82" s="399"/>
      <c r="T82" s="399"/>
    </row>
    <row r="83" spans="1:20" s="81" customFormat="1" ht="15.75" customHeight="1" thickBot="1">
      <c r="A83" s="411"/>
      <c r="B83" s="412"/>
      <c r="C83" s="48" t="s">
        <v>121</v>
      </c>
      <c r="D83" s="413">
        <v>32940</v>
      </c>
      <c r="E83" s="56">
        <v>5.8291000000000004</v>
      </c>
      <c r="F83" s="281"/>
      <c r="G83" s="414">
        <f>ROUND(D83*(E83),2)</f>
        <v>192010.55</v>
      </c>
      <c r="H83" s="280"/>
      <c r="I83" s="281"/>
      <c r="J83" s="281"/>
      <c r="K83" s="282"/>
      <c r="L83" s="204"/>
      <c r="M83" s="371"/>
      <c r="N83" s="426"/>
      <c r="O83" s="416"/>
      <c r="P83" s="416"/>
      <c r="Q83" s="417"/>
      <c r="R83" s="422"/>
      <c r="S83" s="399"/>
      <c r="T83" s="399"/>
    </row>
    <row r="84" spans="1:20" s="81" customFormat="1" ht="15.75" customHeight="1">
      <c r="A84" s="376"/>
      <c r="B84" s="427" t="s">
        <v>74</v>
      </c>
      <c r="C84" s="377" t="s">
        <v>73</v>
      </c>
      <c r="D84" s="378">
        <v>25</v>
      </c>
      <c r="E84" s="21">
        <v>32.332000000000001</v>
      </c>
      <c r="F84" s="21">
        <v>37.889800000000001</v>
      </c>
      <c r="G84" s="22">
        <f>ROUND(D84*(E84+F84),2)</f>
        <v>1755.55</v>
      </c>
      <c r="H84" s="303"/>
      <c r="I84" s="23"/>
      <c r="J84" s="23">
        <v>0</v>
      </c>
      <c r="K84" s="342"/>
      <c r="L84" s="263">
        <f>SUM(G84:G90,J84:J90)</f>
        <v>16045.79</v>
      </c>
      <c r="M84" s="26">
        <v>16045.79</v>
      </c>
      <c r="N84" s="421"/>
      <c r="O84" s="77"/>
      <c r="P84" s="77"/>
      <c r="Q84" s="384"/>
      <c r="R84" s="422"/>
      <c r="S84" s="399"/>
      <c r="T84" s="399"/>
    </row>
    <row r="85" spans="1:20" s="81" customFormat="1" ht="15.75" customHeight="1">
      <c r="A85" s="389"/>
      <c r="B85" s="98" t="s">
        <v>75</v>
      </c>
      <c r="C85" s="84" t="s">
        <v>26</v>
      </c>
      <c r="D85" s="37"/>
      <c r="E85" s="38">
        <f>32.332-28.8628</f>
        <v>3.4692000000000007</v>
      </c>
      <c r="F85" s="38">
        <f>37.8898-33.8306</f>
        <v>4.0592000000000041</v>
      </c>
      <c r="G85" s="39">
        <f>ROUND(D85*(E85+F85),2)</f>
        <v>0</v>
      </c>
      <c r="H85" s="270"/>
      <c r="I85" s="41"/>
      <c r="J85" s="41"/>
      <c r="K85" s="354"/>
      <c r="L85" s="272"/>
      <c r="M85" s="102"/>
      <c r="N85" s="423"/>
      <c r="O85" s="406"/>
      <c r="P85" s="406"/>
      <c r="Q85" s="424"/>
      <c r="R85" s="422"/>
      <c r="S85" s="399"/>
      <c r="T85" s="399"/>
    </row>
    <row r="86" spans="1:20" s="81" customFormat="1" ht="15.75" customHeight="1">
      <c r="A86" s="389"/>
      <c r="B86" s="83"/>
      <c r="C86" s="99" t="s">
        <v>33</v>
      </c>
      <c r="D86" s="428">
        <v>5</v>
      </c>
      <c r="E86" s="101">
        <v>283.85000000000002</v>
      </c>
      <c r="F86" s="38">
        <v>37.889800000000001</v>
      </c>
      <c r="G86" s="39">
        <f>ROUND(D86*(E86+F86),2)</f>
        <v>1608.7</v>
      </c>
      <c r="H86" s="270"/>
      <c r="I86" s="41"/>
      <c r="J86" s="41"/>
      <c r="K86" s="271"/>
      <c r="L86" s="272"/>
      <c r="M86" s="102"/>
      <c r="N86" s="423"/>
      <c r="O86" s="406"/>
      <c r="P86" s="406"/>
      <c r="Q86" s="424"/>
      <c r="R86" s="422"/>
      <c r="S86" s="399"/>
      <c r="T86" s="399"/>
    </row>
    <row r="87" spans="1:20" s="81" customFormat="1" ht="15.75" customHeight="1">
      <c r="A87" s="389"/>
      <c r="B87" s="83"/>
      <c r="C87" s="48" t="s">
        <v>76</v>
      </c>
      <c r="D87" s="37">
        <v>4</v>
      </c>
      <c r="E87" s="41">
        <f>283.85-344.19</f>
        <v>-60.339999999999975</v>
      </c>
      <c r="F87" s="38"/>
      <c r="G87" s="39">
        <f>ROUND(D87*(E87+F87),2)</f>
        <v>-241.36</v>
      </c>
      <c r="H87" s="270"/>
      <c r="I87" s="41"/>
      <c r="J87" s="41"/>
      <c r="K87" s="271"/>
      <c r="L87" s="272"/>
      <c r="M87" s="102"/>
      <c r="N87" s="423"/>
      <c r="O87" s="406"/>
      <c r="P87" s="406"/>
      <c r="Q87" s="424"/>
      <c r="R87" s="422"/>
      <c r="S87" s="399"/>
      <c r="T87" s="399"/>
    </row>
    <row r="88" spans="1:20" s="81" customFormat="1" ht="15.75" customHeight="1">
      <c r="A88" s="389"/>
      <c r="B88" s="83"/>
      <c r="C88" s="48" t="s">
        <v>118</v>
      </c>
      <c r="D88" s="37">
        <v>1964.7</v>
      </c>
      <c r="E88" s="41">
        <f>5.8291-5.7945</f>
        <v>3.4600000000000186E-2</v>
      </c>
      <c r="F88" s="38"/>
      <c r="G88" s="39">
        <f>ROUND(D88*(E88+F88),2)+0.01</f>
        <v>67.990000000000009</v>
      </c>
      <c r="H88" s="270"/>
      <c r="I88" s="41"/>
      <c r="J88" s="41"/>
      <c r="K88" s="271"/>
      <c r="L88" s="272"/>
      <c r="M88" s="102"/>
      <c r="N88" s="423"/>
      <c r="O88" s="406"/>
      <c r="P88" s="406"/>
      <c r="Q88" s="424"/>
      <c r="R88" s="422"/>
      <c r="S88" s="399"/>
      <c r="T88" s="399"/>
    </row>
    <row r="89" spans="1:20" s="81" customFormat="1" ht="15.75" customHeight="1">
      <c r="A89" s="389"/>
      <c r="B89" s="83"/>
      <c r="C89" s="48" t="s">
        <v>119</v>
      </c>
      <c r="D89" s="37">
        <v>5.3</v>
      </c>
      <c r="E89" s="41">
        <v>5.8291000000000004</v>
      </c>
      <c r="F89" s="38"/>
      <c r="G89" s="39">
        <f>ROUND(D89*E89,2)</f>
        <v>30.89</v>
      </c>
      <c r="H89" s="270"/>
      <c r="I89" s="41"/>
      <c r="J89" s="41"/>
      <c r="K89" s="271"/>
      <c r="L89" s="272"/>
      <c r="M89" s="102"/>
      <c r="N89" s="423"/>
      <c r="O89" s="406"/>
      <c r="P89" s="406"/>
      <c r="Q89" s="425"/>
      <c r="R89" s="422"/>
      <c r="S89" s="399"/>
      <c r="T89" s="399"/>
    </row>
    <row r="90" spans="1:20" s="81" customFormat="1" ht="15" customHeight="1" thickBot="1">
      <c r="A90" s="411"/>
      <c r="B90" s="412"/>
      <c r="C90" s="48" t="s">
        <v>121</v>
      </c>
      <c r="D90" s="413">
        <v>2200</v>
      </c>
      <c r="E90" s="56">
        <v>5.8291000000000004</v>
      </c>
      <c r="F90" s="281"/>
      <c r="G90" s="414">
        <f t="shared" ref="G90:G97" si="9">ROUND(D90*(E90+F90),2)</f>
        <v>12824.02</v>
      </c>
      <c r="H90" s="280"/>
      <c r="I90" s="281"/>
      <c r="J90" s="281"/>
      <c r="K90" s="282"/>
      <c r="L90" s="204"/>
      <c r="M90" s="371"/>
      <c r="N90" s="426"/>
      <c r="O90" s="416"/>
      <c r="P90" s="416"/>
      <c r="Q90" s="417"/>
      <c r="R90" s="422"/>
      <c r="S90" s="399"/>
      <c r="T90" s="399"/>
    </row>
    <row r="91" spans="1:20" s="81" customFormat="1" ht="15" customHeight="1">
      <c r="A91" s="376"/>
      <c r="B91" s="420" t="s">
        <v>77</v>
      </c>
      <c r="C91" s="377" t="s">
        <v>73</v>
      </c>
      <c r="D91" s="378">
        <v>0</v>
      </c>
      <c r="E91" s="21">
        <v>32.332000000000001</v>
      </c>
      <c r="F91" s="21">
        <v>37.889800000000001</v>
      </c>
      <c r="G91" s="22">
        <f t="shared" si="9"/>
        <v>0</v>
      </c>
      <c r="H91" s="303"/>
      <c r="I91" s="23">
        <v>183.82</v>
      </c>
      <c r="J91" s="381">
        <f>H91*I91</f>
        <v>0</v>
      </c>
      <c r="K91" s="342"/>
      <c r="L91" s="382">
        <f>+SUM(G91:G97,J91:J97)</f>
        <v>4465.25</v>
      </c>
      <c r="M91" s="26">
        <v>4465.25</v>
      </c>
      <c r="N91" s="421"/>
      <c r="O91" s="77"/>
      <c r="P91" s="77"/>
      <c r="Q91" s="384"/>
      <c r="R91" s="422"/>
      <c r="S91" s="399"/>
      <c r="T91" s="399"/>
    </row>
    <row r="92" spans="1:20" s="81" customFormat="1" ht="15" customHeight="1">
      <c r="A92" s="389"/>
      <c r="B92" s="83"/>
      <c r="C92" s="84" t="s">
        <v>26</v>
      </c>
      <c r="D92" s="37"/>
      <c r="E92" s="38">
        <v>3.4692000000000007</v>
      </c>
      <c r="F92" s="38"/>
      <c r="G92" s="39">
        <f t="shared" si="9"/>
        <v>0</v>
      </c>
      <c r="H92" s="270"/>
      <c r="I92" s="41"/>
      <c r="J92" s="402"/>
      <c r="K92" s="354"/>
      <c r="L92" s="429"/>
      <c r="M92" s="102"/>
      <c r="N92" s="430"/>
      <c r="O92" s="431"/>
      <c r="P92" s="431"/>
      <c r="Q92" s="424"/>
      <c r="R92" s="422"/>
      <c r="S92" s="399"/>
      <c r="T92" s="399"/>
    </row>
    <row r="93" spans="1:20" s="81" customFormat="1" ht="15" customHeight="1">
      <c r="A93" s="389"/>
      <c r="B93" s="98" t="s">
        <v>32</v>
      </c>
      <c r="C93" s="99" t="s">
        <v>33</v>
      </c>
      <c r="D93" s="37">
        <v>8</v>
      </c>
      <c r="E93" s="101">
        <v>283.85000000000002</v>
      </c>
      <c r="F93" s="38">
        <v>37.889800000000001</v>
      </c>
      <c r="G93" s="39">
        <f t="shared" si="9"/>
        <v>2573.92</v>
      </c>
      <c r="H93" s="270"/>
      <c r="I93" s="41"/>
      <c r="J93" s="41"/>
      <c r="K93" s="271"/>
      <c r="L93" s="272"/>
      <c r="M93" s="102"/>
      <c r="N93" s="430"/>
      <c r="O93" s="431"/>
      <c r="P93" s="431"/>
      <c r="Q93" s="424"/>
      <c r="R93" s="422"/>
      <c r="S93" s="399"/>
      <c r="T93" s="399"/>
    </row>
    <row r="94" spans="1:20" s="81" customFormat="1" ht="15" customHeight="1">
      <c r="A94" s="389"/>
      <c r="B94" s="83"/>
      <c r="C94" s="48" t="s">
        <v>78</v>
      </c>
      <c r="D94" s="37">
        <v>1.5</v>
      </c>
      <c r="E94" s="41">
        <f>283.85-344.19</f>
        <v>-60.339999999999975</v>
      </c>
      <c r="F94" s="38"/>
      <c r="G94" s="39">
        <f>ROUND(D94*(E94+F94),2)</f>
        <v>-90.51</v>
      </c>
      <c r="H94" s="270"/>
      <c r="I94" s="41"/>
      <c r="J94" s="41"/>
      <c r="K94" s="271"/>
      <c r="L94" s="272"/>
      <c r="M94" s="102"/>
      <c r="N94" s="430"/>
      <c r="O94" s="431"/>
      <c r="P94" s="431"/>
      <c r="Q94" s="424"/>
      <c r="R94" s="422"/>
      <c r="S94" s="399"/>
      <c r="T94" s="399"/>
    </row>
    <row r="95" spans="1:20" s="81" customFormat="1" ht="15" customHeight="1">
      <c r="A95" s="389"/>
      <c r="B95" s="83"/>
      <c r="C95" s="48" t="s">
        <v>118</v>
      </c>
      <c r="D95" s="37">
        <v>200.5</v>
      </c>
      <c r="E95" s="41">
        <f>5.8291-5.7945</f>
        <v>3.4600000000000186E-2</v>
      </c>
      <c r="F95" s="38"/>
      <c r="G95" s="39">
        <f>ROUND(D95*(E95+F95),2)</f>
        <v>6.94</v>
      </c>
      <c r="H95" s="270"/>
      <c r="I95" s="41"/>
      <c r="J95" s="41"/>
      <c r="K95" s="271"/>
      <c r="L95" s="272"/>
      <c r="M95" s="102"/>
      <c r="N95" s="430"/>
      <c r="O95" s="431"/>
      <c r="P95" s="431"/>
      <c r="Q95" s="424"/>
      <c r="R95" s="422"/>
      <c r="S95" s="399"/>
      <c r="T95" s="399"/>
    </row>
    <row r="96" spans="1:20" s="81" customFormat="1" ht="15" customHeight="1">
      <c r="A96" s="389"/>
      <c r="B96" s="83"/>
      <c r="C96" s="48" t="s">
        <v>119</v>
      </c>
      <c r="D96" s="37">
        <v>0.8</v>
      </c>
      <c r="E96" s="41">
        <v>5.8291000000000004</v>
      </c>
      <c r="F96" s="38"/>
      <c r="G96" s="39">
        <f t="shared" si="9"/>
        <v>4.66</v>
      </c>
      <c r="H96" s="432"/>
      <c r="I96" s="207"/>
      <c r="J96" s="207"/>
      <c r="K96" s="362"/>
      <c r="L96" s="433"/>
      <c r="M96" s="63"/>
      <c r="N96" s="434"/>
      <c r="O96" s="435"/>
      <c r="P96" s="435"/>
      <c r="Q96" s="425"/>
      <c r="R96" s="422"/>
      <c r="S96" s="399"/>
      <c r="T96" s="399"/>
    </row>
    <row r="97" spans="1:20" s="81" customFormat="1" ht="15" customHeight="1" thickBot="1">
      <c r="A97" s="411"/>
      <c r="B97" s="412"/>
      <c r="C97" s="48" t="s">
        <v>121</v>
      </c>
      <c r="D97" s="413">
        <v>338</v>
      </c>
      <c r="E97" s="56">
        <v>5.8291000000000004</v>
      </c>
      <c r="F97" s="281"/>
      <c r="G97" s="414">
        <f t="shared" si="9"/>
        <v>1970.24</v>
      </c>
      <c r="H97" s="280"/>
      <c r="I97" s="281"/>
      <c r="J97" s="281"/>
      <c r="K97" s="282"/>
      <c r="L97" s="204"/>
      <c r="M97" s="371"/>
      <c r="N97" s="426"/>
      <c r="O97" s="416"/>
      <c r="P97" s="416"/>
      <c r="Q97" s="417"/>
      <c r="R97" s="436"/>
      <c r="S97" s="399"/>
      <c r="T97" s="399"/>
    </row>
    <row r="98" spans="1:20" s="81" customFormat="1" ht="15" customHeight="1">
      <c r="A98" s="437"/>
      <c r="B98" s="438" t="s">
        <v>38</v>
      </c>
      <c r="C98" s="439"/>
      <c r="D98" s="378"/>
      <c r="E98" s="23"/>
      <c r="F98" s="23"/>
      <c r="G98" s="22"/>
      <c r="H98" s="303"/>
      <c r="I98" s="23"/>
      <c r="J98" s="23"/>
      <c r="K98" s="304"/>
      <c r="L98" s="382">
        <f>+SUM(G98:G101,J98:J101)</f>
        <v>5831.25</v>
      </c>
      <c r="M98" s="26">
        <v>5831.25</v>
      </c>
      <c r="N98" s="421"/>
      <c r="O98" s="77"/>
      <c r="P98" s="77"/>
      <c r="Q98" s="77">
        <f>+L98-M98</f>
        <v>0</v>
      </c>
      <c r="R98" s="440"/>
      <c r="S98" s="399"/>
      <c r="T98" s="399"/>
    </row>
    <row r="99" spans="1:20" s="81" customFormat="1" ht="15" customHeight="1">
      <c r="A99" s="441"/>
      <c r="B99" s="442"/>
      <c r="C99" s="48" t="s">
        <v>118</v>
      </c>
      <c r="D99" s="37">
        <v>1073</v>
      </c>
      <c r="E99" s="41">
        <f>5.8291-5.7945</f>
        <v>3.4600000000000186E-2</v>
      </c>
      <c r="F99" s="41"/>
      <c r="G99" s="39">
        <f>ROUND(D99*E99,2)-0.01</f>
        <v>37.120000000000005</v>
      </c>
      <c r="H99" s="260"/>
      <c r="I99" s="261"/>
      <c r="J99" s="261"/>
      <c r="K99" s="262"/>
      <c r="L99" s="394"/>
      <c r="M99" s="90"/>
      <c r="N99" s="443"/>
      <c r="O99" s="94"/>
      <c r="P99" s="94"/>
      <c r="Q99" s="94"/>
      <c r="R99" s="422"/>
      <c r="S99" s="399"/>
      <c r="T99" s="399"/>
    </row>
    <row r="100" spans="1:20" s="81" customFormat="1">
      <c r="A100" s="441"/>
      <c r="B100" s="444"/>
      <c r="C100" s="48" t="s">
        <v>119</v>
      </c>
      <c r="D100" s="37">
        <v>2</v>
      </c>
      <c r="E100" s="41">
        <v>5.8291000000000004</v>
      </c>
      <c r="F100" s="41"/>
      <c r="G100" s="39">
        <f t="shared" ref="G100:G110" si="10">ROUND(D100*E100,2)</f>
        <v>11.66</v>
      </c>
      <c r="H100" s="432"/>
      <c r="I100" s="207"/>
      <c r="J100" s="207"/>
      <c r="K100" s="362"/>
      <c r="L100" s="433"/>
      <c r="M100" s="63"/>
      <c r="N100" s="423"/>
      <c r="O100" s="406"/>
      <c r="P100" s="406"/>
      <c r="Q100" s="406"/>
      <c r="R100" s="422"/>
      <c r="S100" s="399"/>
      <c r="T100" s="399"/>
    </row>
    <row r="101" spans="1:20" s="81" customFormat="1" ht="15" customHeight="1" thickBot="1">
      <c r="A101" s="445"/>
      <c r="B101" s="446"/>
      <c r="C101" s="48" t="s">
        <v>121</v>
      </c>
      <c r="D101" s="413">
        <v>992</v>
      </c>
      <c r="E101" s="56">
        <v>5.8291000000000004</v>
      </c>
      <c r="F101" s="281"/>
      <c r="G101" s="414">
        <f t="shared" si="10"/>
        <v>5782.47</v>
      </c>
      <c r="H101" s="280"/>
      <c r="I101" s="281"/>
      <c r="J101" s="281"/>
      <c r="K101" s="282"/>
      <c r="L101" s="204"/>
      <c r="M101" s="371"/>
      <c r="N101" s="434"/>
      <c r="O101" s="435"/>
      <c r="P101" s="435"/>
      <c r="Q101" s="435"/>
      <c r="R101" s="422"/>
      <c r="S101" s="399"/>
      <c r="T101" s="399"/>
    </row>
    <row r="102" spans="1:20" s="81" customFormat="1" ht="15" customHeight="1">
      <c r="A102" s="437"/>
      <c r="B102" s="438" t="s">
        <v>122</v>
      </c>
      <c r="C102" s="439"/>
      <c r="D102" s="378"/>
      <c r="E102" s="23"/>
      <c r="F102" s="23"/>
      <c r="G102" s="22"/>
      <c r="H102" s="303"/>
      <c r="I102" s="23"/>
      <c r="J102" s="23"/>
      <c r="K102" s="304"/>
      <c r="L102" s="382">
        <f>+SUM(G102:G105,J102:J105)</f>
        <v>116.58</v>
      </c>
      <c r="M102" s="26">
        <v>116.58</v>
      </c>
      <c r="N102" s="421"/>
      <c r="O102" s="77"/>
      <c r="P102" s="77"/>
      <c r="Q102" s="77"/>
      <c r="R102" s="440"/>
      <c r="S102" s="399"/>
      <c r="T102" s="399"/>
    </row>
    <row r="103" spans="1:20" s="81" customFormat="1" ht="15" customHeight="1" thickBot="1">
      <c r="A103" s="441"/>
      <c r="B103" s="442"/>
      <c r="C103" s="48" t="s">
        <v>118</v>
      </c>
      <c r="D103" s="37"/>
      <c r="E103" s="41"/>
      <c r="F103" s="41"/>
      <c r="G103" s="414">
        <f t="shared" si="10"/>
        <v>0</v>
      </c>
      <c r="H103" s="260"/>
      <c r="I103" s="261"/>
      <c r="J103" s="261"/>
      <c r="K103" s="262"/>
      <c r="L103" s="394"/>
      <c r="M103" s="90"/>
      <c r="N103" s="443"/>
      <c r="O103" s="94"/>
      <c r="P103" s="94"/>
      <c r="Q103" s="94"/>
      <c r="R103" s="422"/>
      <c r="S103" s="399"/>
      <c r="T103" s="399"/>
    </row>
    <row r="104" spans="1:20" s="81" customFormat="1" ht="15" customHeight="1" thickBot="1">
      <c r="A104" s="441"/>
      <c r="B104" s="444"/>
      <c r="C104" s="48" t="s">
        <v>119</v>
      </c>
      <c r="D104" s="37"/>
      <c r="E104" s="41"/>
      <c r="F104" s="41"/>
      <c r="G104" s="414">
        <f t="shared" si="10"/>
        <v>0</v>
      </c>
      <c r="H104" s="432"/>
      <c r="I104" s="207"/>
      <c r="J104" s="207"/>
      <c r="K104" s="362"/>
      <c r="L104" s="433"/>
      <c r="M104" s="63"/>
      <c r="N104" s="423"/>
      <c r="O104" s="406"/>
      <c r="P104" s="406"/>
      <c r="Q104" s="406"/>
      <c r="R104" s="422"/>
      <c r="S104" s="399"/>
      <c r="T104" s="399"/>
    </row>
    <row r="105" spans="1:20" s="81" customFormat="1" ht="15" customHeight="1" thickBot="1">
      <c r="A105" s="445"/>
      <c r="B105" s="446"/>
      <c r="C105" s="48" t="s">
        <v>121</v>
      </c>
      <c r="D105" s="413">
        <v>20</v>
      </c>
      <c r="E105" s="56">
        <v>5.8291000000000004</v>
      </c>
      <c r="F105" s="281"/>
      <c r="G105" s="414">
        <f t="shared" si="10"/>
        <v>116.58</v>
      </c>
      <c r="H105" s="280"/>
      <c r="I105" s="281"/>
      <c r="J105" s="281"/>
      <c r="K105" s="282"/>
      <c r="L105" s="204"/>
      <c r="M105" s="371"/>
      <c r="N105" s="434"/>
      <c r="O105" s="435"/>
      <c r="P105" s="435"/>
      <c r="Q105" s="435"/>
      <c r="R105" s="422"/>
      <c r="S105" s="399"/>
      <c r="T105" s="399"/>
    </row>
    <row r="106" spans="1:20" s="81" customFormat="1" ht="15" customHeight="1">
      <c r="A106" s="447"/>
      <c r="B106" s="438" t="s">
        <v>79</v>
      </c>
      <c r="C106" s="48" t="s">
        <v>118</v>
      </c>
      <c r="D106" s="448">
        <v>5343</v>
      </c>
      <c r="E106" s="41">
        <f>5.8291-5.7945</f>
        <v>3.4600000000000186E-2</v>
      </c>
      <c r="F106" s="261"/>
      <c r="G106" s="449">
        <f>ROUND(D106*E106,2)-0.01</f>
        <v>184.86</v>
      </c>
      <c r="H106" s="303"/>
      <c r="I106" s="23"/>
      <c r="J106" s="23"/>
      <c r="K106" s="304"/>
      <c r="L106" s="263">
        <f>SUM(G106:G108)</f>
        <v>28718.31</v>
      </c>
      <c r="M106" s="26">
        <v>28718.31</v>
      </c>
      <c r="N106" s="421"/>
      <c r="O106" s="77"/>
      <c r="P106" s="77"/>
      <c r="Q106" s="384"/>
      <c r="R106" s="422"/>
      <c r="S106" s="399"/>
      <c r="T106" s="399"/>
    </row>
    <row r="107" spans="1:20" s="81" customFormat="1" ht="15" customHeight="1">
      <c r="A107" s="450"/>
      <c r="B107" s="442"/>
      <c r="C107" s="48" t="s">
        <v>119</v>
      </c>
      <c r="D107" s="448">
        <v>12</v>
      </c>
      <c r="E107" s="41">
        <v>5.8291000000000004</v>
      </c>
      <c r="F107" s="261"/>
      <c r="G107" s="449">
        <f t="shared" si="10"/>
        <v>69.95</v>
      </c>
      <c r="H107" s="260"/>
      <c r="I107" s="261"/>
      <c r="J107" s="261"/>
      <c r="K107" s="262"/>
      <c r="L107" s="286"/>
      <c r="M107" s="90"/>
      <c r="N107" s="423"/>
      <c r="O107" s="406"/>
      <c r="P107" s="406"/>
      <c r="Q107" s="407"/>
      <c r="R107" s="422"/>
      <c r="S107" s="399"/>
      <c r="T107" s="399"/>
    </row>
    <row r="108" spans="1:20" s="81" customFormat="1" ht="15" customHeight="1" thickBot="1">
      <c r="A108" s="451"/>
      <c r="B108" s="446"/>
      <c r="C108" s="48" t="s">
        <v>121</v>
      </c>
      <c r="D108" s="452">
        <v>4883</v>
      </c>
      <c r="E108" s="56">
        <v>5.8291000000000004</v>
      </c>
      <c r="F108" s="207"/>
      <c r="G108" s="453">
        <f t="shared" si="10"/>
        <v>28463.5</v>
      </c>
      <c r="H108" s="280"/>
      <c r="I108" s="281"/>
      <c r="J108" s="281"/>
      <c r="K108" s="282"/>
      <c r="L108" s="204"/>
      <c r="M108" s="371"/>
      <c r="N108" s="426"/>
      <c r="O108" s="416"/>
      <c r="P108" s="416"/>
      <c r="Q108" s="417"/>
      <c r="R108" s="422"/>
      <c r="S108" s="399"/>
      <c r="T108" s="399"/>
    </row>
    <row r="109" spans="1:20" s="81" customFormat="1" ht="15" customHeight="1">
      <c r="A109" s="447"/>
      <c r="B109" s="438" t="s">
        <v>80</v>
      </c>
      <c r="C109" s="48" t="s">
        <v>119</v>
      </c>
      <c r="D109" s="378">
        <v>6.6</v>
      </c>
      <c r="E109" s="454">
        <v>6.508</v>
      </c>
      <c r="F109" s="23"/>
      <c r="G109" s="22">
        <f>ROUND(D109*E109,2)+0.01</f>
        <v>42.96</v>
      </c>
      <c r="H109" s="303"/>
      <c r="I109" s="23"/>
      <c r="J109" s="23"/>
      <c r="K109" s="304"/>
      <c r="L109" s="263">
        <f>SUM(G109:G110)</f>
        <v>17959.48</v>
      </c>
      <c r="M109" s="26">
        <v>17959.48</v>
      </c>
      <c r="N109" s="421"/>
      <c r="O109" s="77"/>
      <c r="P109" s="77"/>
      <c r="Q109" s="384"/>
      <c r="R109" s="685" t="s">
        <v>123</v>
      </c>
      <c r="S109" s="399"/>
      <c r="T109" s="399"/>
    </row>
    <row r="110" spans="1:20" s="81" customFormat="1" ht="15" customHeight="1">
      <c r="A110" s="450"/>
      <c r="B110" s="442"/>
      <c r="C110" s="48" t="s">
        <v>121</v>
      </c>
      <c r="D110" s="37">
        <v>2753</v>
      </c>
      <c r="E110" s="455">
        <v>6.508</v>
      </c>
      <c r="F110" s="41"/>
      <c r="G110" s="39">
        <f t="shared" si="10"/>
        <v>17916.52</v>
      </c>
      <c r="H110" s="270"/>
      <c r="I110" s="41"/>
      <c r="J110" s="41"/>
      <c r="K110" s="271"/>
      <c r="L110" s="272"/>
      <c r="M110" s="102"/>
      <c r="N110" s="423"/>
      <c r="O110" s="406"/>
      <c r="P110" s="406"/>
      <c r="Q110" s="407"/>
      <c r="R110" s="422"/>
      <c r="S110" s="399"/>
      <c r="T110" s="399"/>
    </row>
    <row r="111" spans="1:20" s="81" customFormat="1" ht="15" customHeight="1" thickBot="1">
      <c r="A111" s="451"/>
      <c r="B111" s="446"/>
      <c r="C111" s="456"/>
      <c r="D111" s="413"/>
      <c r="E111" s="281"/>
      <c r="F111" s="281"/>
      <c r="G111" s="414"/>
      <c r="H111" s="280"/>
      <c r="I111" s="281"/>
      <c r="J111" s="281"/>
      <c r="K111" s="282"/>
      <c r="L111" s="204"/>
      <c r="M111" s="371"/>
      <c r="N111" s="426"/>
      <c r="O111" s="416"/>
      <c r="P111" s="416"/>
      <c r="Q111" s="417"/>
      <c r="R111" s="422"/>
      <c r="S111" s="399"/>
      <c r="T111" s="399"/>
    </row>
    <row r="112" spans="1:20" s="81" customFormat="1" ht="15" customHeight="1">
      <c r="A112" s="437"/>
      <c r="B112" s="438" t="s">
        <v>82</v>
      </c>
      <c r="C112" s="377" t="s">
        <v>73</v>
      </c>
      <c r="D112" s="378">
        <v>32</v>
      </c>
      <c r="E112" s="21">
        <v>32.332000000000001</v>
      </c>
      <c r="F112" s="21">
        <v>37.889800000000001</v>
      </c>
      <c r="G112" s="22">
        <f>+D112*(E112+F112)</f>
        <v>2247.0976000000001</v>
      </c>
      <c r="H112" s="303"/>
      <c r="I112" s="23"/>
      <c r="J112" s="341"/>
      <c r="K112" s="342"/>
      <c r="L112" s="263">
        <f>SUM(G112:G116,J112:J116)</f>
        <v>59493.137600000002</v>
      </c>
      <c r="M112" s="26">
        <v>59493.14</v>
      </c>
      <c r="N112" s="421"/>
      <c r="O112" s="77"/>
      <c r="P112" s="77"/>
      <c r="Q112" s="384"/>
      <c r="R112" s="422"/>
      <c r="S112" s="399"/>
      <c r="T112" s="399"/>
    </row>
    <row r="113" spans="1:21" s="81" customFormat="1" ht="15" customHeight="1">
      <c r="A113" s="441"/>
      <c r="B113" s="442"/>
      <c r="C113" s="36" t="s">
        <v>26</v>
      </c>
      <c r="D113" s="37">
        <v>0</v>
      </c>
      <c r="E113" s="38">
        <v>3.4692000000000007</v>
      </c>
      <c r="F113" s="38">
        <f>37.8898-33.8306</f>
        <v>4.0592000000000041</v>
      </c>
      <c r="G113" s="39">
        <f>ROUND(D113*(E113+F113),2)</f>
        <v>0</v>
      </c>
      <c r="H113" s="457"/>
      <c r="I113" s="199"/>
      <c r="J113" s="199"/>
      <c r="K113" s="458"/>
      <c r="L113" s="459"/>
      <c r="M113" s="44"/>
      <c r="N113" s="430"/>
      <c r="O113" s="431"/>
      <c r="P113" s="431"/>
      <c r="Q113" s="424"/>
      <c r="R113" s="422"/>
      <c r="S113" s="399"/>
      <c r="T113" s="399"/>
    </row>
    <row r="114" spans="1:21" s="81" customFormat="1" ht="15" customHeight="1">
      <c r="A114" s="441"/>
      <c r="B114" s="442"/>
      <c r="C114" s="48" t="s">
        <v>118</v>
      </c>
      <c r="D114" s="37">
        <v>13770</v>
      </c>
      <c r="E114" s="41">
        <f>5.8291-5.7945</f>
        <v>3.4600000000000186E-2</v>
      </c>
      <c r="F114" s="38"/>
      <c r="G114" s="39">
        <f>ROUND(D114*(E114),2)-0.01</f>
        <v>476.43</v>
      </c>
      <c r="H114" s="270"/>
      <c r="I114" s="41"/>
      <c r="J114" s="41"/>
      <c r="K114" s="271"/>
      <c r="L114" s="272"/>
      <c r="M114" s="102"/>
      <c r="N114" s="430"/>
      <c r="O114" s="431"/>
      <c r="P114" s="431"/>
      <c r="Q114" s="424"/>
      <c r="R114" s="422"/>
      <c r="S114" s="399"/>
      <c r="T114" s="399"/>
    </row>
    <row r="115" spans="1:21" s="81" customFormat="1" ht="15" customHeight="1">
      <c r="A115" s="441"/>
      <c r="B115" s="442"/>
      <c r="C115" s="48" t="s">
        <v>119</v>
      </c>
      <c r="D115" s="37">
        <v>23</v>
      </c>
      <c r="E115" s="41">
        <v>5.8291000000000004</v>
      </c>
      <c r="F115" s="38"/>
      <c r="G115" s="39">
        <f>ROUND(D115*(E115),2)</f>
        <v>134.07</v>
      </c>
      <c r="H115" s="270"/>
      <c r="I115" s="41"/>
      <c r="J115" s="41"/>
      <c r="K115" s="271"/>
      <c r="L115" s="272"/>
      <c r="M115" s="102"/>
      <c r="N115" s="434"/>
      <c r="O115" s="435"/>
      <c r="P115" s="435"/>
      <c r="Q115" s="425"/>
      <c r="R115" s="422"/>
      <c r="S115" s="399"/>
      <c r="T115" s="399"/>
    </row>
    <row r="116" spans="1:21" s="81" customFormat="1" ht="15" customHeight="1" thickBot="1">
      <c r="A116" s="460"/>
      <c r="B116" s="461"/>
      <c r="C116" s="48" t="s">
        <v>121</v>
      </c>
      <c r="D116" s="462">
        <v>9716</v>
      </c>
      <c r="E116" s="56">
        <v>5.8291000000000004</v>
      </c>
      <c r="F116" s="311"/>
      <c r="G116" s="110">
        <f>ROUND(D116*(E116),2)</f>
        <v>56635.54</v>
      </c>
      <c r="H116" s="310"/>
      <c r="I116" s="311"/>
      <c r="J116" s="311"/>
      <c r="K116" s="312"/>
      <c r="L116" s="313"/>
      <c r="M116" s="115"/>
      <c r="N116" s="463"/>
      <c r="O116" s="464"/>
      <c r="P116" s="464"/>
      <c r="Q116" s="465"/>
      <c r="R116" s="466"/>
      <c r="S116" s="467"/>
      <c r="T116" s="399"/>
    </row>
    <row r="117" spans="1:21" s="81" customFormat="1" ht="15" customHeight="1" thickTop="1">
      <c r="A117" s="437"/>
      <c r="B117" s="438" t="s">
        <v>83</v>
      </c>
      <c r="C117" s="377" t="s">
        <v>73</v>
      </c>
      <c r="D117" s="378">
        <v>1</v>
      </c>
      <c r="E117" s="21">
        <v>32.332000000000001</v>
      </c>
      <c r="F117" s="21">
        <v>37.889800000000001</v>
      </c>
      <c r="G117" s="22">
        <f>+D117*(E117+F117)</f>
        <v>70.221800000000002</v>
      </c>
      <c r="H117" s="303"/>
      <c r="I117" s="23"/>
      <c r="J117" s="341"/>
      <c r="K117" s="342"/>
      <c r="L117" s="263">
        <f>SUM(G117:G121,J117:J121)</f>
        <v>369.09179999999998</v>
      </c>
      <c r="M117" s="26">
        <v>369.09</v>
      </c>
      <c r="N117" s="421"/>
      <c r="O117" s="77"/>
      <c r="P117" s="77"/>
      <c r="Q117" s="384"/>
      <c r="R117" s="422"/>
      <c r="S117" s="399"/>
      <c r="T117" s="399"/>
    </row>
    <row r="118" spans="1:21" s="81" customFormat="1" ht="15" customHeight="1">
      <c r="A118" s="441"/>
      <c r="B118" s="442"/>
      <c r="C118" s="36" t="s">
        <v>26</v>
      </c>
      <c r="D118" s="37">
        <v>0</v>
      </c>
      <c r="E118" s="38">
        <v>3.4692000000000007</v>
      </c>
      <c r="F118" s="38">
        <f>37.8898-33.8306</f>
        <v>4.0592000000000041</v>
      </c>
      <c r="G118" s="39">
        <f>ROUND(D118*(E118+F118),2)</f>
        <v>0</v>
      </c>
      <c r="H118" s="457"/>
      <c r="I118" s="199"/>
      <c r="J118" s="199"/>
      <c r="K118" s="458"/>
      <c r="L118" s="459"/>
      <c r="M118" s="44"/>
      <c r="N118" s="430"/>
      <c r="O118" s="431"/>
      <c r="P118" s="431"/>
      <c r="Q118" s="424"/>
      <c r="R118" s="422"/>
      <c r="S118" s="399"/>
      <c r="T118" s="399"/>
    </row>
    <row r="119" spans="1:21" s="81" customFormat="1" ht="15" customHeight="1">
      <c r="A119" s="441"/>
      <c r="B119" s="442"/>
      <c r="C119" s="48" t="s">
        <v>118</v>
      </c>
      <c r="D119" s="37">
        <v>29.1</v>
      </c>
      <c r="E119" s="41">
        <f>5.8291-5.7945</f>
        <v>3.4600000000000186E-2</v>
      </c>
      <c r="F119" s="38"/>
      <c r="G119" s="39">
        <f>ROUND(D119*(E119),2)</f>
        <v>1.01</v>
      </c>
      <c r="H119" s="270"/>
      <c r="I119" s="41"/>
      <c r="J119" s="41"/>
      <c r="K119" s="271"/>
      <c r="L119" s="272"/>
      <c r="M119" s="102"/>
      <c r="N119" s="430"/>
      <c r="O119" s="431"/>
      <c r="P119" s="431"/>
      <c r="Q119" s="424"/>
      <c r="R119" s="422"/>
      <c r="S119" s="399"/>
      <c r="T119" s="399"/>
    </row>
    <row r="120" spans="1:21" s="81" customFormat="1" ht="15" customHeight="1">
      <c r="A120" s="441"/>
      <c r="B120" s="442"/>
      <c r="C120" s="48" t="s">
        <v>119</v>
      </c>
      <c r="D120" s="37">
        <v>0.1</v>
      </c>
      <c r="E120" s="41">
        <v>5.8291000000000004</v>
      </c>
      <c r="F120" s="38"/>
      <c r="G120" s="39">
        <f>ROUND(D120*(E120),2)</f>
        <v>0.57999999999999996</v>
      </c>
      <c r="H120" s="270"/>
      <c r="I120" s="41"/>
      <c r="J120" s="41"/>
      <c r="K120" s="271"/>
      <c r="L120" s="272"/>
      <c r="M120" s="102"/>
      <c r="N120" s="434"/>
      <c r="O120" s="435"/>
      <c r="P120" s="435"/>
      <c r="Q120" s="425"/>
      <c r="R120" s="422"/>
      <c r="S120" s="399"/>
      <c r="T120" s="399"/>
    </row>
    <row r="121" spans="1:21" s="81" customFormat="1" ht="15.75" customHeight="1" thickBot="1">
      <c r="A121" s="460"/>
      <c r="B121" s="461"/>
      <c r="C121" s="48" t="s">
        <v>121</v>
      </c>
      <c r="D121" s="462">
        <v>51</v>
      </c>
      <c r="E121" s="56">
        <v>5.8291000000000004</v>
      </c>
      <c r="F121" s="311"/>
      <c r="G121" s="110">
        <f>ROUND(D121*(E121),2)</f>
        <v>297.27999999999997</v>
      </c>
      <c r="H121" s="310"/>
      <c r="I121" s="311"/>
      <c r="J121" s="311"/>
      <c r="K121" s="312"/>
      <c r="L121" s="313"/>
      <c r="M121" s="115"/>
      <c r="N121" s="463"/>
      <c r="O121" s="464"/>
      <c r="P121" s="464"/>
      <c r="Q121" s="465"/>
      <c r="R121" s="422"/>
      <c r="S121" s="399"/>
      <c r="T121" s="399"/>
    </row>
    <row r="122" spans="1:21" s="81" customFormat="1" ht="15.75" customHeight="1" thickTop="1" thickBot="1">
      <c r="A122" s="686"/>
      <c r="B122" s="469"/>
      <c r="C122" s="470"/>
      <c r="D122" s="471"/>
      <c r="E122" s="472"/>
      <c r="F122" s="473"/>
      <c r="G122" s="474"/>
      <c r="H122" s="473"/>
      <c r="I122" s="473"/>
      <c r="J122" s="473"/>
      <c r="K122" s="473"/>
      <c r="L122" s="473"/>
      <c r="M122" s="475"/>
      <c r="N122" s="399"/>
      <c r="O122" s="399"/>
      <c r="P122" s="399"/>
      <c r="Q122" s="399"/>
      <c r="R122" s="422"/>
      <c r="S122" s="399"/>
      <c r="T122" s="399"/>
    </row>
    <row r="123" spans="1:21" s="81" customFormat="1" ht="15" customHeight="1" thickTop="1">
      <c r="A123" s="476"/>
      <c r="B123" s="158"/>
      <c r="C123" s="322"/>
      <c r="D123" s="477"/>
      <c r="E123" s="163"/>
      <c r="F123" s="163"/>
      <c r="G123" s="478"/>
      <c r="H123" s="163"/>
      <c r="I123" s="163"/>
      <c r="J123" s="163"/>
      <c r="K123" s="163"/>
      <c r="L123" s="163"/>
      <c r="M123" s="164"/>
      <c r="N123" s="479"/>
      <c r="O123" s="479"/>
      <c r="P123" s="479"/>
      <c r="Q123" s="479"/>
      <c r="R123" s="480"/>
      <c r="S123" s="479"/>
      <c r="T123" s="399"/>
    </row>
    <row r="124" spans="1:21" ht="21.75" thickBot="1">
      <c r="A124" s="171" t="s">
        <v>84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2"/>
      <c r="P124" s="2"/>
      <c r="Q124" s="2"/>
      <c r="R124" s="2"/>
      <c r="S124" s="2"/>
      <c r="T124" s="2"/>
    </row>
    <row r="125" spans="1:21" ht="15.75" customHeight="1" thickTop="1" thickBot="1">
      <c r="A125" s="1540" t="s">
        <v>1</v>
      </c>
      <c r="B125" s="1542" t="s">
        <v>2</v>
      </c>
      <c r="C125" s="1544" t="s">
        <v>3</v>
      </c>
      <c r="D125" s="1546" t="s">
        <v>4</v>
      </c>
      <c r="E125" s="1546"/>
      <c r="F125" s="1546"/>
      <c r="G125" s="1546"/>
      <c r="H125" s="1547" t="s">
        <v>5</v>
      </c>
      <c r="I125" s="1548"/>
      <c r="J125" s="1548"/>
      <c r="K125" s="1549"/>
      <c r="L125" s="1524" t="s">
        <v>6</v>
      </c>
      <c r="M125" s="1511" t="s">
        <v>7</v>
      </c>
      <c r="N125" s="1551" t="s">
        <v>8</v>
      </c>
      <c r="O125" s="1551"/>
      <c r="P125" s="1551"/>
      <c r="Q125" s="1552" t="s">
        <v>18</v>
      </c>
      <c r="R125" s="481" t="s">
        <v>85</v>
      </c>
      <c r="S125" s="482" t="s">
        <v>20</v>
      </c>
      <c r="T125" s="482" t="s">
        <v>21</v>
      </c>
    </row>
    <row r="126" spans="1:21" ht="27" thickTop="1" thickBot="1">
      <c r="A126" s="1541"/>
      <c r="B126" s="1543"/>
      <c r="C126" s="1545" t="s">
        <v>10</v>
      </c>
      <c r="D126" s="483" t="s">
        <v>11</v>
      </c>
      <c r="E126" s="484" t="s">
        <v>12</v>
      </c>
      <c r="F126" s="484" t="s">
        <v>13</v>
      </c>
      <c r="G126" s="485" t="s">
        <v>14</v>
      </c>
      <c r="H126" s="483" t="s">
        <v>11</v>
      </c>
      <c r="I126" s="486" t="s">
        <v>15</v>
      </c>
      <c r="J126" s="485"/>
      <c r="K126" s="487" t="s">
        <v>16</v>
      </c>
      <c r="L126" s="1525"/>
      <c r="M126" s="1550"/>
      <c r="N126" s="488" t="s">
        <v>14</v>
      </c>
      <c r="O126" s="485"/>
      <c r="P126" s="489" t="s">
        <v>18</v>
      </c>
      <c r="Q126" s="490" t="s">
        <v>19</v>
      </c>
      <c r="R126" s="491"/>
      <c r="S126" s="492"/>
      <c r="T126" s="492"/>
    </row>
    <row r="127" spans="1:21">
      <c r="A127" s="493">
        <v>501</v>
      </c>
      <c r="B127" s="494" t="s">
        <v>86</v>
      </c>
      <c r="C127" s="71"/>
      <c r="D127" s="495">
        <v>35</v>
      </c>
      <c r="E127" s="21">
        <v>32.332000000000001</v>
      </c>
      <c r="F127" s="21">
        <v>37.889800000000001</v>
      </c>
      <c r="G127" s="185">
        <f>ROUND(D127*(E127+F127),2)</f>
        <v>2457.7600000000002</v>
      </c>
      <c r="H127" s="496"/>
      <c r="I127" s="73">
        <v>0.85</v>
      </c>
      <c r="J127" s="73">
        <f>+H127*I127</f>
        <v>0</v>
      </c>
      <c r="K127" s="497"/>
      <c r="L127" s="498">
        <f>+SUM(G127:G134,C134)+J127+J129</f>
        <v>51074.486199999999</v>
      </c>
      <c r="M127" s="26">
        <v>51074.49</v>
      </c>
      <c r="N127" s="499"/>
      <c r="O127" s="500"/>
      <c r="P127" s="501" t="s">
        <v>87</v>
      </c>
      <c r="Q127" s="304">
        <f t="shared" ref="Q127:Q145" si="11">C127+G127+J127-M127-N127-O127</f>
        <v>-48616.729999999996</v>
      </c>
      <c r="R127" s="502" t="s">
        <v>88</v>
      </c>
      <c r="S127" s="503"/>
      <c r="T127" s="504"/>
      <c r="U127" s="33">
        <f>+C127+L127-M127</f>
        <v>-3.7999999985913746E-3</v>
      </c>
    </row>
    <row r="128" spans="1:21">
      <c r="A128" s="505"/>
      <c r="B128" s="506"/>
      <c r="C128" s="507"/>
      <c r="D128" s="508">
        <v>0</v>
      </c>
      <c r="E128" s="38">
        <f>32.332-28.8628</f>
        <v>3.4692000000000007</v>
      </c>
      <c r="F128" s="38">
        <f>37.8898-33.8306</f>
        <v>4.0592000000000041</v>
      </c>
      <c r="G128" s="50">
        <f>ROUND(D128*(E128+F128),2)</f>
        <v>0</v>
      </c>
      <c r="H128" s="448"/>
      <c r="I128" s="509"/>
      <c r="J128" s="409"/>
      <c r="K128" s="510"/>
      <c r="L128" s="511"/>
      <c r="M128" s="512"/>
      <c r="N128" s="513"/>
      <c r="O128" s="514"/>
      <c r="P128" s="515"/>
      <c r="Q128" s="262"/>
      <c r="R128" s="502"/>
      <c r="S128" s="503"/>
      <c r="T128" s="504"/>
      <c r="U128" s="33"/>
    </row>
    <row r="129" spans="1:21">
      <c r="A129" s="505"/>
      <c r="B129" s="516" t="s">
        <v>89</v>
      </c>
      <c r="C129" s="512" t="s">
        <v>90</v>
      </c>
      <c r="D129" s="508">
        <v>19</v>
      </c>
      <c r="E129" s="101">
        <v>283.85000000000002</v>
      </c>
      <c r="F129" s="38">
        <v>37.889800000000001</v>
      </c>
      <c r="G129" s="50">
        <f>D129*(E129+F129)</f>
        <v>6113.0562</v>
      </c>
      <c r="H129" s="270"/>
      <c r="I129" s="41">
        <v>128.56</v>
      </c>
      <c r="J129" s="409">
        <f>+H129*I129</f>
        <v>0</v>
      </c>
      <c r="K129" s="510"/>
      <c r="L129" s="517"/>
      <c r="M129" s="99"/>
      <c r="N129" s="518"/>
      <c r="O129" s="519"/>
      <c r="P129" s="515" t="s">
        <v>87</v>
      </c>
      <c r="Q129" s="271">
        <f>+G129+J129-M129-N129-O129</f>
        <v>6113.0562</v>
      </c>
      <c r="R129" s="502" t="s">
        <v>88</v>
      </c>
      <c r="S129" s="503"/>
      <c r="T129" s="504"/>
    </row>
    <row r="130" spans="1:21">
      <c r="A130" s="505"/>
      <c r="B130" s="506" t="s">
        <v>91</v>
      </c>
      <c r="C130" s="507"/>
      <c r="D130" s="508">
        <v>11</v>
      </c>
      <c r="E130" s="41">
        <f>283.85-344.19</f>
        <v>-60.339999999999975</v>
      </c>
      <c r="F130" s="38"/>
      <c r="G130" s="50">
        <f>ROUND(D130*(E130+F130),2)</f>
        <v>-663.74</v>
      </c>
      <c r="H130" s="432"/>
      <c r="I130" s="362"/>
      <c r="J130" s="409"/>
      <c r="K130" s="510"/>
      <c r="L130" s="517"/>
      <c r="M130" s="520"/>
      <c r="N130" s="521"/>
      <c r="O130" s="522"/>
      <c r="P130" s="523"/>
      <c r="Q130" s="362"/>
      <c r="R130" s="502"/>
      <c r="S130" s="503"/>
      <c r="T130" s="504"/>
    </row>
    <row r="131" spans="1:21">
      <c r="A131" s="505"/>
      <c r="B131" s="506" t="s">
        <v>91</v>
      </c>
      <c r="C131" s="507"/>
      <c r="D131" s="508"/>
      <c r="E131" s="38"/>
      <c r="F131" s="41"/>
      <c r="G131" s="50">
        <f>D131*(E131+F131)</f>
        <v>0</v>
      </c>
      <c r="H131" s="432"/>
      <c r="I131" s="362"/>
      <c r="J131" s="409"/>
      <c r="K131" s="510"/>
      <c r="L131" s="517"/>
      <c r="M131" s="520"/>
      <c r="N131" s="521"/>
      <c r="O131" s="522"/>
      <c r="P131" s="523"/>
      <c r="Q131" s="362"/>
      <c r="R131" s="502"/>
      <c r="S131" s="503"/>
      <c r="T131" s="504"/>
    </row>
    <row r="132" spans="1:21">
      <c r="A132" s="505"/>
      <c r="B132" s="506" t="s">
        <v>92</v>
      </c>
      <c r="C132" s="48" t="s">
        <v>27</v>
      </c>
      <c r="D132" s="508">
        <v>8088</v>
      </c>
      <c r="E132" s="41">
        <f>5.6595-5.6669</f>
        <v>-7.3999999999996291E-3</v>
      </c>
      <c r="F132" s="41">
        <f>+E132</f>
        <v>-7.3999999999996291E-3</v>
      </c>
      <c r="G132" s="39">
        <f>ROUNDDOWN(D132*E132,2)</f>
        <v>-59.85</v>
      </c>
      <c r="H132" s="432"/>
      <c r="I132" s="362"/>
      <c r="J132" s="41"/>
      <c r="K132" s="510"/>
      <c r="L132" s="517"/>
      <c r="M132" s="520"/>
      <c r="N132" s="521"/>
      <c r="O132" s="522"/>
      <c r="P132" s="523"/>
      <c r="Q132" s="362"/>
      <c r="R132" s="502"/>
      <c r="S132" s="503"/>
      <c r="T132" s="504"/>
    </row>
    <row r="133" spans="1:21">
      <c r="A133" s="505"/>
      <c r="B133" s="506"/>
      <c r="C133" s="48" t="s">
        <v>28</v>
      </c>
      <c r="D133" s="508">
        <v>324</v>
      </c>
      <c r="E133" s="41">
        <v>5.6595000000000004</v>
      </c>
      <c r="F133" s="41">
        <f>+E133</f>
        <v>5.6595000000000004</v>
      </c>
      <c r="G133" s="39">
        <f>ROUND(D133*E133,2)</f>
        <v>1833.68</v>
      </c>
      <c r="H133" s="432"/>
      <c r="I133" s="362"/>
      <c r="J133" s="207"/>
      <c r="K133" s="524"/>
      <c r="L133" s="517"/>
      <c r="M133" s="520"/>
      <c r="N133" s="521"/>
      <c r="O133" s="522"/>
      <c r="P133" s="523"/>
      <c r="Q133" s="362"/>
      <c r="R133" s="502"/>
      <c r="S133" s="503"/>
      <c r="T133" s="504"/>
    </row>
    <row r="134" spans="1:21" ht="15.75" thickBot="1">
      <c r="A134" s="525"/>
      <c r="B134" s="526"/>
      <c r="C134" s="54" t="s">
        <v>29</v>
      </c>
      <c r="D134" s="55">
        <v>7314</v>
      </c>
      <c r="E134" s="56">
        <v>5.6595000000000004</v>
      </c>
      <c r="F134" s="57">
        <f>+E134</f>
        <v>5.6595000000000004</v>
      </c>
      <c r="G134" s="58">
        <f>ROUND(D134*E134,2)</f>
        <v>41393.58</v>
      </c>
      <c r="H134" s="248"/>
      <c r="I134" s="203"/>
      <c r="J134" s="60"/>
      <c r="K134" s="61"/>
      <c r="L134" s="249"/>
      <c r="M134" s="54"/>
      <c r="N134" s="527"/>
      <c r="O134" s="528"/>
      <c r="P134" s="529" t="s">
        <v>87</v>
      </c>
      <c r="Q134" s="282">
        <f>+G134+J134-M134-N134-O134</f>
        <v>41393.58</v>
      </c>
      <c r="R134" s="530" t="s">
        <v>88</v>
      </c>
      <c r="S134" s="531">
        <f>SUM(N127:N134)+O127:O134</f>
        <v>0</v>
      </c>
      <c r="T134" s="531">
        <f>SUM(Q127:Q134)</f>
        <v>-1110.0937999999951</v>
      </c>
      <c r="U134" s="33"/>
    </row>
    <row r="135" spans="1:21" ht="15.75" thickTop="1">
      <c r="A135" s="339" t="s">
        <v>93</v>
      </c>
      <c r="B135" s="532" t="s">
        <v>94</v>
      </c>
      <c r="C135" s="71">
        <f>+[1]дек!U51</f>
        <v>-6.0000000303261913E-4</v>
      </c>
      <c r="D135" s="213">
        <v>38</v>
      </c>
      <c r="E135" s="21">
        <v>32.332000000000001</v>
      </c>
      <c r="F135" s="21">
        <v>37.889800000000001</v>
      </c>
      <c r="G135" s="214">
        <f>ROUND(D135*(E135+F135),2)</f>
        <v>2668.43</v>
      </c>
      <c r="H135" s="496"/>
      <c r="I135" s="73">
        <v>0.85</v>
      </c>
      <c r="J135" s="73">
        <f>H135*I135</f>
        <v>0</v>
      </c>
      <c r="K135" s="497"/>
      <c r="L135" s="533">
        <f>+SUM(G135:G142,)+J135+J137</f>
        <v>40977.410000000003</v>
      </c>
      <c r="M135" s="26">
        <v>40977.410000000003</v>
      </c>
      <c r="N135" s="534"/>
      <c r="O135" s="535"/>
      <c r="P135" s="536" t="s">
        <v>87</v>
      </c>
      <c r="Q135" s="537">
        <f t="shared" si="11"/>
        <v>-38308.98060000001</v>
      </c>
      <c r="R135" s="538" t="s">
        <v>95</v>
      </c>
      <c r="S135" s="539"/>
      <c r="T135" s="540"/>
      <c r="U135" s="33"/>
    </row>
    <row r="136" spans="1:21">
      <c r="A136" s="353"/>
      <c r="B136" s="541"/>
      <c r="C136" s="542" t="s">
        <v>96</v>
      </c>
      <c r="D136" s="234">
        <v>0</v>
      </c>
      <c r="E136" s="38">
        <f>32.332-28.8628</f>
        <v>3.4692000000000007</v>
      </c>
      <c r="F136" s="38">
        <f>37.8898-33.8306</f>
        <v>4.0592000000000041</v>
      </c>
      <c r="G136" s="235">
        <f>ROUND(D136*(E136+F136),2)</f>
        <v>0</v>
      </c>
      <c r="H136" s="448"/>
      <c r="I136" s="509"/>
      <c r="J136" s="509"/>
      <c r="K136" s="543"/>
      <c r="L136" s="544"/>
      <c r="M136" s="545"/>
      <c r="N136" s="546"/>
      <c r="O136" s="547"/>
      <c r="P136" s="548"/>
      <c r="Q136" s="549"/>
      <c r="R136" s="550"/>
      <c r="S136" s="551"/>
      <c r="T136" s="552"/>
      <c r="U136" s="33"/>
    </row>
    <row r="137" spans="1:21">
      <c r="A137" s="353"/>
      <c r="B137" s="516" t="s">
        <v>32</v>
      </c>
      <c r="C137" s="99" t="s">
        <v>90</v>
      </c>
      <c r="D137" s="234">
        <v>31</v>
      </c>
      <c r="E137" s="101">
        <v>283.85000000000002</v>
      </c>
      <c r="F137" s="38">
        <v>37.889800000000001</v>
      </c>
      <c r="G137" s="235">
        <f>ROUND(D137*(E137+F137),2)</f>
        <v>9973.93</v>
      </c>
      <c r="H137" s="270"/>
      <c r="I137" s="41">
        <v>128.56</v>
      </c>
      <c r="J137" s="41">
        <f>ROUND(H137*I137,2)</f>
        <v>0</v>
      </c>
      <c r="K137" s="510"/>
      <c r="L137" s="553"/>
      <c r="M137" s="554"/>
      <c r="N137" s="555"/>
      <c r="O137" s="556"/>
      <c r="P137" s="557" t="s">
        <v>87</v>
      </c>
      <c r="Q137" s="558">
        <f>+G137+J137-M137-N137-O137</f>
        <v>9973.93</v>
      </c>
      <c r="R137" s="550" t="s">
        <v>95</v>
      </c>
      <c r="S137" s="551"/>
      <c r="T137" s="552"/>
    </row>
    <row r="138" spans="1:21">
      <c r="A138" s="353"/>
      <c r="B138" s="541"/>
      <c r="C138" s="84" t="s">
        <v>97</v>
      </c>
      <c r="D138" s="234">
        <v>18</v>
      </c>
      <c r="E138" s="41">
        <f>283.85-344.19</f>
        <v>-60.339999999999975</v>
      </c>
      <c r="F138" s="38"/>
      <c r="G138" s="50">
        <f>ROUND(D138*E138,2)</f>
        <v>-1086.1199999999999</v>
      </c>
      <c r="H138" s="432"/>
      <c r="I138" s="362"/>
      <c r="J138" s="41"/>
      <c r="K138" s="510"/>
      <c r="L138" s="559"/>
      <c r="M138" s="560"/>
      <c r="N138" s="561"/>
      <c r="O138" s="562"/>
      <c r="P138" s="563"/>
      <c r="Q138" s="564"/>
      <c r="R138" s="550"/>
      <c r="S138" s="551"/>
      <c r="T138" s="552"/>
    </row>
    <row r="139" spans="1:21">
      <c r="A139" s="353"/>
      <c r="B139" s="541"/>
      <c r="C139" s="84" t="s">
        <v>97</v>
      </c>
      <c r="D139" s="234"/>
      <c r="E139" s="38"/>
      <c r="F139" s="240"/>
      <c r="G139" s="50">
        <f>D139*(E139+F139)</f>
        <v>0</v>
      </c>
      <c r="H139" s="432"/>
      <c r="I139" s="362"/>
      <c r="J139" s="41"/>
      <c r="K139" s="510"/>
      <c r="L139" s="559"/>
      <c r="M139" s="560"/>
      <c r="N139" s="561"/>
      <c r="O139" s="562"/>
      <c r="P139" s="563"/>
      <c r="Q139" s="564"/>
      <c r="R139" s="550"/>
      <c r="S139" s="551"/>
      <c r="T139" s="552"/>
    </row>
    <row r="140" spans="1:21">
      <c r="A140" s="353"/>
      <c r="B140" s="541"/>
      <c r="C140" s="48" t="s">
        <v>27</v>
      </c>
      <c r="D140" s="37">
        <v>6466</v>
      </c>
      <c r="E140" s="41">
        <f>5.6595-5.6669</f>
        <v>-7.3999999999996291E-3</v>
      </c>
      <c r="F140" s="41">
        <f>+E140</f>
        <v>-7.3999999999996291E-3</v>
      </c>
      <c r="G140" s="235">
        <f>ROUND(D140*E140,2)</f>
        <v>-47.85</v>
      </c>
      <c r="H140" s="565"/>
      <c r="I140" s="564"/>
      <c r="J140" s="566"/>
      <c r="K140" s="567"/>
      <c r="L140" s="559"/>
      <c r="M140" s="560"/>
      <c r="N140" s="561"/>
      <c r="O140" s="562"/>
      <c r="P140" s="563"/>
      <c r="Q140" s="564"/>
      <c r="R140" s="550"/>
      <c r="S140" s="551"/>
      <c r="T140" s="552"/>
      <c r="U140" s="352"/>
    </row>
    <row r="141" spans="1:21">
      <c r="A141" s="353"/>
      <c r="B141" s="541"/>
      <c r="C141" s="48" t="s">
        <v>28</v>
      </c>
      <c r="D141" s="37">
        <v>221</v>
      </c>
      <c r="E141" s="41">
        <v>5.6595000000000004</v>
      </c>
      <c r="F141" s="41">
        <f>+E141</f>
        <v>5.6595000000000004</v>
      </c>
      <c r="G141" s="235">
        <f>ROUND(D141*E141,2)</f>
        <v>1250.75</v>
      </c>
      <c r="H141" s="565"/>
      <c r="I141" s="564"/>
      <c r="J141" s="566"/>
      <c r="K141" s="567"/>
      <c r="L141" s="559"/>
      <c r="M141" s="560"/>
      <c r="N141" s="561"/>
      <c r="O141" s="562"/>
      <c r="P141" s="563"/>
      <c r="Q141" s="564"/>
      <c r="R141" s="550"/>
      <c r="S141" s="551"/>
      <c r="T141" s="552"/>
      <c r="U141" s="33"/>
    </row>
    <row r="142" spans="1:21" ht="15.75" thickBot="1">
      <c r="A142" s="369"/>
      <c r="B142" s="568"/>
      <c r="C142" s="54" t="s">
        <v>29</v>
      </c>
      <c r="D142" s="246">
        <v>4986</v>
      </c>
      <c r="E142" s="56">
        <v>5.6595000000000004</v>
      </c>
      <c r="F142" s="57">
        <f>+E142</f>
        <v>5.6595000000000004</v>
      </c>
      <c r="G142" s="247">
        <f>ROUND(D142*E142,2)</f>
        <v>28218.27</v>
      </c>
      <c r="H142" s="248"/>
      <c r="I142" s="203"/>
      <c r="J142" s="60"/>
      <c r="K142" s="61"/>
      <c r="L142" s="204"/>
      <c r="M142" s="560"/>
      <c r="N142" s="561"/>
      <c r="O142" s="528"/>
      <c r="P142" s="529" t="s">
        <v>87</v>
      </c>
      <c r="Q142" s="564">
        <f>+G142+J142-M142-N142-O142</f>
        <v>28218.27</v>
      </c>
      <c r="R142" s="550" t="s">
        <v>95</v>
      </c>
      <c r="S142" s="569">
        <f>SUM(N135:N142)+O135:O142</f>
        <v>0</v>
      </c>
      <c r="T142" s="570">
        <f>SUM(Q137:Q142)</f>
        <v>38192.199999999997</v>
      </c>
    </row>
    <row r="143" spans="1:21" ht="15.75" hidden="1" outlineLevel="1" thickBot="1">
      <c r="A143" s="571"/>
      <c r="B143" s="572" t="s">
        <v>98</v>
      </c>
      <c r="C143" s="573" t="s">
        <v>99</v>
      </c>
      <c r="D143" s="574">
        <v>0</v>
      </c>
      <c r="E143" s="575">
        <f>3.193-2.9732</f>
        <v>0.21980000000000022</v>
      </c>
      <c r="F143" s="575">
        <f>3.193-2.9732</f>
        <v>0.21980000000000022</v>
      </c>
      <c r="G143" s="576">
        <f>D143*E143*70%+D143*F143*30%</f>
        <v>0</v>
      </c>
      <c r="H143" s="577"/>
      <c r="I143" s="578"/>
      <c r="J143" s="579"/>
      <c r="K143" s="579"/>
      <c r="L143" s="580"/>
      <c r="M143" s="581"/>
      <c r="N143" s="582"/>
      <c r="O143" s="535"/>
      <c r="P143" s="536"/>
      <c r="Q143" s="583"/>
      <c r="R143" s="584"/>
      <c r="S143" s="569"/>
      <c r="T143" s="585"/>
    </row>
    <row r="144" spans="1:21" s="81" customFormat="1" ht="16.5" hidden="1" customHeight="1" outlineLevel="1" thickBot="1">
      <c r="A144" s="586" t="s">
        <v>100</v>
      </c>
      <c r="B144" s="587" t="s">
        <v>98</v>
      </c>
      <c r="C144" s="588">
        <f>+[1]авг!C52</f>
        <v>0</v>
      </c>
      <c r="D144" s="589">
        <v>0</v>
      </c>
      <c r="E144" s="575">
        <v>3.1930000000000001</v>
      </c>
      <c r="F144" s="575">
        <f>+E144</f>
        <v>3.1930000000000001</v>
      </c>
      <c r="G144" s="576">
        <f>D144*E144*70%+D144*F144*30%</f>
        <v>0</v>
      </c>
      <c r="H144" s="579"/>
      <c r="I144" s="579"/>
      <c r="J144" s="579"/>
      <c r="K144" s="579"/>
      <c r="L144" s="579">
        <f>+C144+G144+G143</f>
        <v>0</v>
      </c>
      <c r="M144" s="590">
        <v>0</v>
      </c>
      <c r="N144" s="500"/>
      <c r="O144" s="528"/>
      <c r="P144" s="529" t="s">
        <v>87</v>
      </c>
      <c r="Q144" s="591">
        <f t="shared" si="11"/>
        <v>0</v>
      </c>
      <c r="R144" s="592" t="s">
        <v>101</v>
      </c>
      <c r="S144" s="77">
        <f>SUM(N144:N144)+SUM(O144:O144)</f>
        <v>0</v>
      </c>
      <c r="T144" s="593">
        <f>SUM(Q144:Q144)</f>
        <v>0</v>
      </c>
    </row>
    <row r="145" spans="1:21" ht="15.75" collapsed="1" thickTop="1">
      <c r="A145" s="505">
        <v>115</v>
      </c>
      <c r="B145" s="494" t="s">
        <v>102</v>
      </c>
      <c r="C145" s="71">
        <f>+[1]дек!U57</f>
        <v>0</v>
      </c>
      <c r="D145" s="495">
        <v>7</v>
      </c>
      <c r="E145" s="21">
        <v>32.332000000000001</v>
      </c>
      <c r="F145" s="21">
        <v>37.889800000000001</v>
      </c>
      <c r="G145" s="185">
        <f>ROUND(D145*(E145+F145),2)</f>
        <v>491.55</v>
      </c>
      <c r="H145" s="496"/>
      <c r="I145" s="73">
        <v>0.85</v>
      </c>
      <c r="J145" s="73">
        <f>+H145*I145</f>
        <v>0</v>
      </c>
      <c r="K145" s="497"/>
      <c r="L145" s="498">
        <f>SUM(G145:G151)+SUM(J145:J150)</f>
        <v>15552.12</v>
      </c>
      <c r="M145" s="26">
        <v>15552.12</v>
      </c>
      <c r="N145" s="594"/>
      <c r="O145" s="535"/>
      <c r="P145" s="536" t="s">
        <v>87</v>
      </c>
      <c r="Q145" s="595">
        <f t="shared" si="11"/>
        <v>-15060.570000000002</v>
      </c>
      <c r="R145" s="502" t="s">
        <v>88</v>
      </c>
      <c r="S145" s="503"/>
      <c r="T145" s="504"/>
    </row>
    <row r="146" spans="1:21">
      <c r="A146" s="505"/>
      <c r="B146" s="506"/>
      <c r="C146" s="542"/>
      <c r="D146" s="508"/>
      <c r="E146" s="38">
        <f>32.332-28.8628</f>
        <v>3.4692000000000007</v>
      </c>
      <c r="F146" s="38">
        <f>37.8898-33.8306</f>
        <v>4.0592000000000041</v>
      </c>
      <c r="G146" s="50">
        <f>ROUND(D146*(E146+F146),2)</f>
        <v>0</v>
      </c>
      <c r="H146" s="596"/>
      <c r="I146" s="409"/>
      <c r="J146" s="509"/>
      <c r="K146" s="543"/>
      <c r="L146" s="511"/>
      <c r="M146" s="99"/>
      <c r="N146" s="513"/>
      <c r="O146" s="514"/>
      <c r="P146" s="515"/>
      <c r="Q146" s="262"/>
      <c r="R146" s="502"/>
      <c r="S146" s="503"/>
      <c r="T146" s="504"/>
    </row>
    <row r="147" spans="1:21">
      <c r="A147" s="505"/>
      <c r="B147" s="516" t="s">
        <v>103</v>
      </c>
      <c r="C147" s="99" t="s">
        <v>90</v>
      </c>
      <c r="D147" s="508">
        <v>19</v>
      </c>
      <c r="E147" s="101">
        <v>283.85000000000002</v>
      </c>
      <c r="F147" s="38">
        <v>37.889800000000001</v>
      </c>
      <c r="G147" s="50">
        <f>ROUND(D147*(E147+F147),2)</f>
        <v>6113.06</v>
      </c>
      <c r="H147" s="270"/>
      <c r="I147" s="41">
        <v>128.56</v>
      </c>
      <c r="J147" s="409">
        <f>+H147*I147</f>
        <v>0</v>
      </c>
      <c r="K147" s="510"/>
      <c r="L147" s="597"/>
      <c r="M147" s="99"/>
      <c r="N147" s="518"/>
      <c r="O147" s="519"/>
      <c r="P147" s="515" t="s">
        <v>87</v>
      </c>
      <c r="Q147" s="271">
        <f>+G147+J147-M147-N147-O147</f>
        <v>6113.06</v>
      </c>
      <c r="R147" s="502" t="s">
        <v>88</v>
      </c>
      <c r="S147" s="503"/>
      <c r="T147" s="504"/>
    </row>
    <row r="148" spans="1:21">
      <c r="A148" s="505"/>
      <c r="B148" s="506"/>
      <c r="C148" s="390" t="s">
        <v>97</v>
      </c>
      <c r="D148" s="508">
        <v>18</v>
      </c>
      <c r="E148" s="41">
        <f>283.85-344.19</f>
        <v>-60.339999999999975</v>
      </c>
      <c r="F148" s="38"/>
      <c r="G148" s="50">
        <f>D148*(E148+F148)-0.01</f>
        <v>-1086.1299999999994</v>
      </c>
      <c r="H148" s="432"/>
      <c r="I148" s="362"/>
      <c r="J148" s="41"/>
      <c r="K148" s="510"/>
      <c r="L148" s="597"/>
      <c r="M148" s="99"/>
      <c r="N148" s="521"/>
      <c r="O148" s="522"/>
      <c r="P148" s="523"/>
      <c r="Q148" s="362"/>
      <c r="R148" s="502"/>
      <c r="S148" s="503"/>
      <c r="T148" s="504"/>
    </row>
    <row r="149" spans="1:21">
      <c r="A149" s="505"/>
      <c r="B149" s="506"/>
      <c r="C149" s="48" t="s">
        <v>27</v>
      </c>
      <c r="D149" s="37">
        <v>2383</v>
      </c>
      <c r="E149" s="41">
        <f>5.6595-5.6669</f>
        <v>-7.3999999999996291E-3</v>
      </c>
      <c r="F149" s="297">
        <f t="shared" ref="F149:F151" si="12">+E149</f>
        <v>-7.3999999999996291E-3</v>
      </c>
      <c r="G149" s="39">
        <f>ROUND(D149*(E149+F149)/2,2)</f>
        <v>-17.63</v>
      </c>
      <c r="H149" s="432"/>
      <c r="I149" s="362"/>
      <c r="J149" s="41"/>
      <c r="K149" s="510"/>
      <c r="L149" s="597"/>
      <c r="M149" s="99"/>
      <c r="N149" s="521"/>
      <c r="O149" s="522"/>
      <c r="P149" s="523"/>
      <c r="Q149" s="362"/>
      <c r="R149" s="502"/>
      <c r="S149" s="503"/>
      <c r="T149" s="504"/>
    </row>
    <row r="150" spans="1:21">
      <c r="A150" s="505"/>
      <c r="B150" s="506"/>
      <c r="C150" s="48" t="s">
        <v>28</v>
      </c>
      <c r="D150" s="37">
        <v>76</v>
      </c>
      <c r="E150" s="41">
        <v>5.6595000000000004</v>
      </c>
      <c r="F150" s="298">
        <f t="shared" si="12"/>
        <v>5.6595000000000004</v>
      </c>
      <c r="G150" s="39">
        <f>ROUND(D150*E150,2)</f>
        <v>430.12</v>
      </c>
      <c r="H150" s="432"/>
      <c r="I150" s="362"/>
      <c r="J150" s="41"/>
      <c r="K150" s="510"/>
      <c r="L150" s="597"/>
      <c r="M150" s="99"/>
      <c r="N150" s="521"/>
      <c r="O150" s="522"/>
      <c r="P150" s="523"/>
      <c r="Q150" s="362"/>
      <c r="R150" s="502"/>
      <c r="S150" s="503"/>
      <c r="T150" s="504"/>
    </row>
    <row r="151" spans="1:21" ht="15.75" thickBot="1">
      <c r="A151" s="505"/>
      <c r="B151" s="526"/>
      <c r="C151" s="54" t="s">
        <v>29</v>
      </c>
      <c r="D151" s="55">
        <v>1700</v>
      </c>
      <c r="E151" s="56">
        <v>5.6595000000000004</v>
      </c>
      <c r="F151" s="57">
        <f t="shared" si="12"/>
        <v>5.6595000000000004</v>
      </c>
      <c r="G151" s="414">
        <f>ROUND(D151*E151,2)</f>
        <v>9621.15</v>
      </c>
      <c r="H151" s="248"/>
      <c r="I151" s="203"/>
      <c r="J151" s="60"/>
      <c r="K151" s="61"/>
      <c r="L151" s="249"/>
      <c r="M151" s="54"/>
      <c r="N151" s="527"/>
      <c r="O151" s="528"/>
      <c r="P151" s="529" t="s">
        <v>87</v>
      </c>
      <c r="Q151" s="58">
        <f>+G151+J151-M151-N151-O151</f>
        <v>9621.15</v>
      </c>
      <c r="R151" s="502" t="s">
        <v>88</v>
      </c>
      <c r="S151" s="598">
        <f>SUM(N145:N151)+O145:O151</f>
        <v>0</v>
      </c>
      <c r="T151" s="598">
        <f>SUM(Q145:Q151)</f>
        <v>673.6399999999976</v>
      </c>
    </row>
    <row r="152" spans="1:21">
      <c r="A152" s="493"/>
      <c r="B152" s="494" t="s">
        <v>104</v>
      </c>
      <c r="C152" s="71">
        <f>+[1]дек!U66</f>
        <v>0</v>
      </c>
      <c r="D152" s="495">
        <v>29</v>
      </c>
      <c r="E152" s="21">
        <v>32.332000000000001</v>
      </c>
      <c r="F152" s="21">
        <v>37.889800000000001</v>
      </c>
      <c r="G152" s="185">
        <f>ROUND(D152*(E152+F152),2)</f>
        <v>2036.43</v>
      </c>
      <c r="H152" s="496"/>
      <c r="I152" s="73">
        <v>0.85</v>
      </c>
      <c r="J152" s="73">
        <f>+H152*I152</f>
        <v>0</v>
      </c>
      <c r="K152" s="497"/>
      <c r="L152" s="439">
        <f>SUM(G152:G159)+SUM(J152:J158)</f>
        <v>13995.65</v>
      </c>
      <c r="M152" s="26">
        <v>13995.65</v>
      </c>
      <c r="N152" s="499"/>
      <c r="O152" s="500"/>
      <c r="P152" s="501" t="s">
        <v>87</v>
      </c>
      <c r="Q152" s="185">
        <f t="shared" ref="Q152" si="13">C152+G152+J152-M152-N152-O152</f>
        <v>-11959.22</v>
      </c>
      <c r="R152" s="502" t="s">
        <v>88</v>
      </c>
      <c r="S152" s="503"/>
      <c r="T152" s="504"/>
    </row>
    <row r="153" spans="1:21">
      <c r="A153" s="505"/>
      <c r="B153" s="506"/>
      <c r="C153" s="599" t="s">
        <v>96</v>
      </c>
      <c r="D153" s="234">
        <v>0</v>
      </c>
      <c r="E153" s="38">
        <f>32.332-28.8628</f>
        <v>3.4692000000000007</v>
      </c>
      <c r="F153" s="38">
        <f>37.8898-33.8306</f>
        <v>4.0592000000000041</v>
      </c>
      <c r="G153" s="235">
        <f>ROUND(D153*(E153+F153),2)</f>
        <v>0</v>
      </c>
      <c r="H153" s="448"/>
      <c r="I153" s="509"/>
      <c r="J153" s="409"/>
      <c r="K153" s="510"/>
      <c r="L153" s="48"/>
      <c r="M153" s="512"/>
      <c r="N153" s="513"/>
      <c r="O153" s="514"/>
      <c r="P153" s="515"/>
      <c r="Q153" s="262"/>
      <c r="R153" s="502"/>
      <c r="S153" s="503"/>
      <c r="T153" s="504"/>
    </row>
    <row r="154" spans="1:21">
      <c r="A154" s="505"/>
      <c r="B154" s="516" t="s">
        <v>89</v>
      </c>
      <c r="C154" s="512" t="s">
        <v>90</v>
      </c>
      <c r="D154" s="508">
        <v>0</v>
      </c>
      <c r="E154" s="101">
        <v>283.85000000000002</v>
      </c>
      <c r="F154" s="38">
        <v>37.889800000000001</v>
      </c>
      <c r="G154" s="50">
        <f>ROUND(D154*(E154+F154),2)</f>
        <v>0</v>
      </c>
      <c r="H154" s="270"/>
      <c r="I154" s="41">
        <v>128.56</v>
      </c>
      <c r="J154" s="409">
        <f>ROUND(H154*I154,2)</f>
        <v>0</v>
      </c>
      <c r="K154" s="510"/>
      <c r="L154" s="600"/>
      <c r="M154" s="99"/>
      <c r="N154" s="518"/>
      <c r="O154" s="519"/>
      <c r="P154" s="515" t="s">
        <v>87</v>
      </c>
      <c r="Q154" s="271">
        <f>+G154+J154-M154-N154-O154</f>
        <v>0</v>
      </c>
      <c r="R154" s="502" t="s">
        <v>88</v>
      </c>
      <c r="S154" s="503"/>
      <c r="T154" s="504"/>
    </row>
    <row r="155" spans="1:21">
      <c r="A155" s="505"/>
      <c r="B155" s="541"/>
      <c r="C155" s="84" t="s">
        <v>97</v>
      </c>
      <c r="D155" s="508">
        <v>7</v>
      </c>
      <c r="E155" s="41">
        <f>283.85-344.19</f>
        <v>-60.339999999999975</v>
      </c>
      <c r="F155" s="38"/>
      <c r="G155" s="50">
        <f>ROUND(D155*(E155+F155),2)</f>
        <v>-422.38</v>
      </c>
      <c r="H155" s="432"/>
      <c r="I155" s="362"/>
      <c r="J155" s="41"/>
      <c r="K155" s="510"/>
      <c r="L155" s="600"/>
      <c r="M155" s="520"/>
      <c r="N155" s="521"/>
      <c r="O155" s="522"/>
      <c r="P155" s="523"/>
      <c r="Q155" s="362"/>
      <c r="R155" s="502"/>
      <c r="S155" s="503"/>
      <c r="T155" s="504"/>
    </row>
    <row r="156" spans="1:21">
      <c r="A156" s="505"/>
      <c r="B156" s="541"/>
      <c r="C156" s="84" t="s">
        <v>97</v>
      </c>
      <c r="D156" s="508">
        <v>0</v>
      </c>
      <c r="E156" s="41"/>
      <c r="F156" s="41"/>
      <c r="G156" s="50">
        <f>D156*(E156+F156)</f>
        <v>0</v>
      </c>
      <c r="H156" s="432"/>
      <c r="I156" s="362"/>
      <c r="J156" s="41"/>
      <c r="K156" s="510"/>
      <c r="L156" s="600"/>
      <c r="M156" s="520"/>
      <c r="N156" s="521"/>
      <c r="O156" s="522"/>
      <c r="P156" s="523"/>
      <c r="Q156" s="362"/>
      <c r="R156" s="502"/>
      <c r="S156" s="503"/>
      <c r="T156" s="504"/>
    </row>
    <row r="157" spans="1:21">
      <c r="A157" s="505"/>
      <c r="B157" s="506"/>
      <c r="C157" s="48" t="s">
        <v>27</v>
      </c>
      <c r="D157" s="37">
        <v>2481</v>
      </c>
      <c r="E157" s="41">
        <f>5.6595-5.6669</f>
        <v>-7.3999999999996291E-3</v>
      </c>
      <c r="F157" s="41">
        <f>+E157</f>
        <v>-7.3999999999996291E-3</v>
      </c>
      <c r="G157" s="39">
        <f>ROUND(D157*(E157),2)</f>
        <v>-18.36</v>
      </c>
      <c r="H157" s="432"/>
      <c r="I157" s="362"/>
      <c r="J157" s="41"/>
      <c r="K157" s="510"/>
      <c r="L157" s="600"/>
      <c r="M157" s="520"/>
      <c r="N157" s="521"/>
      <c r="O157" s="522"/>
      <c r="P157" s="523"/>
      <c r="Q157" s="362"/>
      <c r="R157" s="502"/>
      <c r="S157" s="503"/>
      <c r="T157" s="504"/>
    </row>
    <row r="158" spans="1:21">
      <c r="A158" s="505"/>
      <c r="B158" s="506"/>
      <c r="C158" s="48" t="s">
        <v>28</v>
      </c>
      <c r="D158" s="37">
        <v>93</v>
      </c>
      <c r="E158" s="41">
        <v>5.6595000000000004</v>
      </c>
      <c r="F158" s="41">
        <f>+E158</f>
        <v>5.6595000000000004</v>
      </c>
      <c r="G158" s="39">
        <f>ROUND(D158*(E158),2)</f>
        <v>526.33000000000004</v>
      </c>
      <c r="H158" s="432"/>
      <c r="I158" s="362"/>
      <c r="J158" s="41"/>
      <c r="K158" s="510"/>
      <c r="L158" s="600"/>
      <c r="M158" s="520"/>
      <c r="N158" s="521"/>
      <c r="O158" s="522"/>
      <c r="P158" s="523"/>
      <c r="Q158" s="362"/>
      <c r="R158" s="502"/>
      <c r="S158" s="503"/>
      <c r="T158" s="504"/>
      <c r="U158" s="33"/>
    </row>
    <row r="159" spans="1:21" ht="15.75" thickBot="1">
      <c r="A159" s="525"/>
      <c r="B159" s="526"/>
      <c r="C159" s="54" t="s">
        <v>29</v>
      </c>
      <c r="D159" s="55">
        <v>2098</v>
      </c>
      <c r="E159" s="56">
        <v>5.6595000000000004</v>
      </c>
      <c r="F159" s="281">
        <f>+E159</f>
        <v>5.6595000000000004</v>
      </c>
      <c r="G159" s="414">
        <f>ROUND(D159*(E159),2)</f>
        <v>11873.63</v>
      </c>
      <c r="H159" s="248"/>
      <c r="I159" s="203"/>
      <c r="J159" s="60"/>
      <c r="K159" s="61"/>
      <c r="L159" s="204"/>
      <c r="M159" s="54"/>
      <c r="N159" s="527"/>
      <c r="O159" s="528"/>
      <c r="P159" s="529" t="s">
        <v>87</v>
      </c>
      <c r="Q159" s="362">
        <f>+G159+J159-M159-N159-O159</f>
        <v>11873.63</v>
      </c>
      <c r="R159" s="502" t="s">
        <v>88</v>
      </c>
      <c r="S159" s="598">
        <f>SUM(N152:N159)+O152:O159</f>
        <v>0</v>
      </c>
      <c r="T159" s="598">
        <f>SUM(Q152:Q159)</f>
        <v>-85.590000000000146</v>
      </c>
    </row>
    <row r="160" spans="1:21" ht="15.75" thickTop="1">
      <c r="A160" s="493">
        <v>115</v>
      </c>
      <c r="B160" s="494" t="s">
        <v>105</v>
      </c>
      <c r="C160" s="71">
        <f>+[1]дек!U72</f>
        <v>0</v>
      </c>
      <c r="D160" s="495">
        <v>10</v>
      </c>
      <c r="E160" s="21">
        <v>32.332000000000001</v>
      </c>
      <c r="F160" s="21">
        <v>37.889800000000001</v>
      </c>
      <c r="G160" s="185">
        <f>ROUND(D160*(E160+F160),2)</f>
        <v>702.22</v>
      </c>
      <c r="H160" s="496"/>
      <c r="I160" s="73">
        <v>0.85</v>
      </c>
      <c r="J160" s="73">
        <f>+H160*I160</f>
        <v>0</v>
      </c>
      <c r="K160" s="601"/>
      <c r="L160" s="498">
        <f>SUM(G160:G167)+SUM(J160:J166)</f>
        <v>22628.199999999997</v>
      </c>
      <c r="M160" s="26">
        <v>22628.2</v>
      </c>
      <c r="N160" s="499"/>
      <c r="O160" s="500"/>
      <c r="P160" s="501" t="s">
        <v>87</v>
      </c>
      <c r="Q160" s="595">
        <f t="shared" ref="Q160" si="14">C160+G160+J160-M160-N160-O160</f>
        <v>-21925.98</v>
      </c>
    </row>
    <row r="161" spans="1:21">
      <c r="A161" s="505"/>
      <c r="B161" s="506"/>
      <c r="C161" s="507" t="s">
        <v>96</v>
      </c>
      <c r="D161" s="234">
        <v>0</v>
      </c>
      <c r="E161" s="38">
        <f>32.332-28.8628</f>
        <v>3.4692000000000007</v>
      </c>
      <c r="F161" s="38">
        <f>37.8898-33.8306</f>
        <v>4.0592000000000041</v>
      </c>
      <c r="G161" s="235">
        <f>ROUND(D161*(E161+F161),2)</f>
        <v>0</v>
      </c>
      <c r="H161" s="448"/>
      <c r="I161" s="509"/>
      <c r="J161" s="199"/>
      <c r="K161" s="517"/>
      <c r="L161" s="511"/>
      <c r="M161" s="512"/>
      <c r="N161" s="513"/>
      <c r="O161" s="514"/>
      <c r="P161" s="515"/>
      <c r="Q161" s="262"/>
      <c r="U161" s="33">
        <f>+G158+G159</f>
        <v>12399.96</v>
      </c>
    </row>
    <row r="162" spans="1:21">
      <c r="A162" s="505"/>
      <c r="B162" s="516" t="s">
        <v>89</v>
      </c>
      <c r="C162" s="512" t="s">
        <v>90</v>
      </c>
      <c r="D162" s="508">
        <v>2</v>
      </c>
      <c r="E162" s="101">
        <v>283.85000000000002</v>
      </c>
      <c r="F162" s="38">
        <v>37.889800000000001</v>
      </c>
      <c r="G162" s="50">
        <f>ROUND(D162*(E162+F162),2)</f>
        <v>643.48</v>
      </c>
      <c r="H162" s="270"/>
      <c r="I162" s="41">
        <v>128.56</v>
      </c>
      <c r="J162" s="207">
        <f>+H162*I162</f>
        <v>0</v>
      </c>
      <c r="K162" s="517"/>
      <c r="L162" s="517"/>
      <c r="M162" s="99"/>
      <c r="N162" s="518"/>
      <c r="O162" s="519"/>
      <c r="P162" s="515" t="s">
        <v>87</v>
      </c>
      <c r="Q162" s="271">
        <f>+G162+J162-M162-N162-O162</f>
        <v>643.48</v>
      </c>
    </row>
    <row r="163" spans="1:21">
      <c r="A163" s="505"/>
      <c r="B163" s="541"/>
      <c r="C163" s="84" t="s">
        <v>97</v>
      </c>
      <c r="D163" s="508">
        <v>3</v>
      </c>
      <c r="E163" s="41">
        <f>283.85-344.19</f>
        <v>-60.339999999999975</v>
      </c>
      <c r="F163" s="38"/>
      <c r="G163" s="50">
        <f>ROUND(D163*(E163+F163),2)</f>
        <v>-181.02</v>
      </c>
      <c r="H163" s="432"/>
      <c r="I163" s="362"/>
      <c r="J163" s="207"/>
      <c r="K163" s="517"/>
      <c r="L163" s="517"/>
      <c r="M163" s="520"/>
      <c r="N163" s="521"/>
      <c r="O163" s="522"/>
      <c r="P163" s="523"/>
      <c r="Q163" s="362"/>
    </row>
    <row r="164" spans="1:21">
      <c r="A164" s="505"/>
      <c r="B164" s="541"/>
      <c r="C164" s="84"/>
      <c r="D164" s="508"/>
      <c r="E164" s="41"/>
      <c r="F164" s="41"/>
      <c r="G164" s="50"/>
      <c r="H164" s="432"/>
      <c r="I164" s="362"/>
      <c r="J164" s="207"/>
      <c r="K164" s="517"/>
      <c r="L164" s="517"/>
      <c r="M164" s="520"/>
      <c r="N164" s="521"/>
      <c r="O164" s="522"/>
      <c r="P164" s="523"/>
      <c r="Q164" s="362"/>
    </row>
    <row r="165" spans="1:21">
      <c r="A165" s="505"/>
      <c r="B165" s="506"/>
      <c r="C165" s="48" t="s">
        <v>27</v>
      </c>
      <c r="D165" s="37">
        <v>4225</v>
      </c>
      <c r="E165" s="41">
        <f>5.6595-5.6669</f>
        <v>-7.3999999999996291E-3</v>
      </c>
      <c r="F165" s="41">
        <f t="shared" ref="F165:F170" si="15">+E165</f>
        <v>-7.3999999999996291E-3</v>
      </c>
      <c r="G165" s="39">
        <f>ROUND(D165*E165,2)</f>
        <v>-31.26</v>
      </c>
      <c r="H165" s="432"/>
      <c r="I165" s="362"/>
      <c r="J165" s="207"/>
      <c r="K165" s="517"/>
      <c r="L165" s="517"/>
      <c r="M165" s="520"/>
      <c r="N165" s="521"/>
      <c r="O165" s="522"/>
      <c r="P165" s="523"/>
      <c r="Q165" s="362"/>
    </row>
    <row r="166" spans="1:21">
      <c r="A166" s="505"/>
      <c r="B166" s="506"/>
      <c r="C166" s="48" t="s">
        <v>28</v>
      </c>
      <c r="D166" s="37">
        <v>161</v>
      </c>
      <c r="E166" s="41">
        <v>5.6595000000000004</v>
      </c>
      <c r="F166" s="41">
        <f t="shared" si="15"/>
        <v>5.6595000000000004</v>
      </c>
      <c r="G166" s="39">
        <f>ROUND(D166*E166,2)</f>
        <v>911.18</v>
      </c>
      <c r="H166" s="432"/>
      <c r="I166" s="362"/>
      <c r="J166" s="207"/>
      <c r="K166" s="517"/>
      <c r="L166" s="517"/>
      <c r="M166" s="520"/>
      <c r="N166" s="521"/>
      <c r="O166" s="522"/>
      <c r="P166" s="523"/>
      <c r="Q166" s="362"/>
      <c r="U166" s="33"/>
    </row>
    <row r="167" spans="1:21" ht="15.75" thickBot="1">
      <c r="A167" s="525"/>
      <c r="B167" s="526"/>
      <c r="C167" s="54" t="s">
        <v>29</v>
      </c>
      <c r="D167" s="55">
        <v>3637</v>
      </c>
      <c r="E167" s="56">
        <v>5.6595000000000004</v>
      </c>
      <c r="F167" s="281">
        <f t="shared" si="15"/>
        <v>5.6595000000000004</v>
      </c>
      <c r="G167" s="58">
        <f>ROUND(D167*E167,2)</f>
        <v>20583.599999999999</v>
      </c>
      <c r="H167" s="248"/>
      <c r="I167" s="203"/>
      <c r="J167" s="60"/>
      <c r="K167" s="61"/>
      <c r="L167" s="249"/>
      <c r="M167" s="54"/>
      <c r="N167" s="521"/>
      <c r="O167" s="528"/>
      <c r="P167" s="529" t="s">
        <v>87</v>
      </c>
      <c r="Q167" s="362">
        <f>+G167+J167-M167-N167-O167</f>
        <v>20583.599999999999</v>
      </c>
    </row>
    <row r="168" spans="1:21">
      <c r="A168" s="493">
        <v>301</v>
      </c>
      <c r="B168" s="602" t="s">
        <v>106</v>
      </c>
      <c r="C168" s="48" t="s">
        <v>27</v>
      </c>
      <c r="D168" s="184">
        <v>868.86</v>
      </c>
      <c r="E168" s="41">
        <f>5.6595-5.6669</f>
        <v>-7.3999999999996291E-3</v>
      </c>
      <c r="F168" s="23">
        <f t="shared" si="15"/>
        <v>-7.3999999999996291E-3</v>
      </c>
      <c r="G168" s="185">
        <f>ROUND(D168*(E168),2)</f>
        <v>-6.43</v>
      </c>
      <c r="H168" s="23"/>
      <c r="I168" s="23"/>
      <c r="J168" s="23"/>
      <c r="K168" s="23"/>
      <c r="L168" s="603">
        <f>SUM(G168:G170)</f>
        <v>4573.9699999999993</v>
      </c>
      <c r="M168" s="187">
        <v>4573.97</v>
      </c>
      <c r="N168" s="604"/>
      <c r="O168" s="500"/>
      <c r="P168" s="501"/>
      <c r="Q168" s="605"/>
    </row>
    <row r="169" spans="1:21">
      <c r="A169" s="505"/>
      <c r="B169" s="506"/>
      <c r="C169" s="48" t="s">
        <v>28</v>
      </c>
      <c r="D169" s="49">
        <v>34.33</v>
      </c>
      <c r="E169" s="41">
        <v>5.6595000000000004</v>
      </c>
      <c r="F169" s="41">
        <f t="shared" si="15"/>
        <v>5.6595000000000004</v>
      </c>
      <c r="G169" s="50">
        <f>ROUND(D169*(E169),2)</f>
        <v>194.29</v>
      </c>
      <c r="H169" s="41"/>
      <c r="I169" s="41"/>
      <c r="J169" s="41"/>
      <c r="K169" s="41"/>
      <c r="L169" s="606"/>
      <c r="M169" s="606"/>
      <c r="N169" s="607"/>
      <c r="O169" s="608"/>
      <c r="P169" s="609"/>
      <c r="Q169" s="610"/>
    </row>
    <row r="170" spans="1:21" ht="15.75" thickBot="1">
      <c r="A170" s="611"/>
      <c r="B170" s="612"/>
      <c r="C170" s="54" t="s">
        <v>29</v>
      </c>
      <c r="D170" s="613">
        <v>775</v>
      </c>
      <c r="E170" s="56">
        <v>5.6595000000000004</v>
      </c>
      <c r="F170" s="281">
        <f t="shared" si="15"/>
        <v>5.6595000000000004</v>
      </c>
      <c r="G170" s="58">
        <f>ROUND(D170*(E170),2)</f>
        <v>4386.1099999999997</v>
      </c>
      <c r="H170" s="57"/>
      <c r="I170" s="57"/>
      <c r="J170" s="57"/>
      <c r="K170" s="57"/>
      <c r="L170" s="614"/>
      <c r="M170" s="606"/>
      <c r="N170" s="615"/>
      <c r="O170" s="615"/>
      <c r="P170" s="615"/>
      <c r="Q170" s="616"/>
    </row>
    <row r="171" spans="1:21">
      <c r="A171" s="617"/>
      <c r="B171" s="602" t="s">
        <v>107</v>
      </c>
      <c r="C171" s="618" t="s">
        <v>73</v>
      </c>
      <c r="D171" s="619">
        <v>3</v>
      </c>
      <c r="E171" s="21">
        <v>32.332000000000001</v>
      </c>
      <c r="F171" s="21">
        <v>37.889800000000001</v>
      </c>
      <c r="G171" s="185">
        <f>ROUND(D171*(E171+F171),2)</f>
        <v>210.67</v>
      </c>
      <c r="H171" s="620"/>
      <c r="I171" s="620"/>
      <c r="J171" s="620"/>
      <c r="K171" s="620"/>
      <c r="L171" s="603">
        <f>SUM(G171:G175,J171:J175)</f>
        <v>4754.6799999999994</v>
      </c>
      <c r="M171" s="187">
        <v>4754.68</v>
      </c>
      <c r="N171" s="621"/>
      <c r="O171" s="621"/>
      <c r="P171" s="621"/>
      <c r="Q171" s="622"/>
    </row>
    <row r="172" spans="1:21">
      <c r="A172" s="611"/>
      <c r="B172" s="612"/>
      <c r="C172" s="542" t="s">
        <v>96</v>
      </c>
      <c r="D172" s="234">
        <v>0</v>
      </c>
      <c r="E172" s="38">
        <f>32.332-28.8628</f>
        <v>3.4692000000000007</v>
      </c>
      <c r="F172" s="38">
        <f>37.8898-33.8306</f>
        <v>4.0592000000000041</v>
      </c>
      <c r="G172" s="235">
        <f>ROUND(D172*(E172+F172),2)</f>
        <v>0</v>
      </c>
      <c r="H172" s="298"/>
      <c r="I172" s="298"/>
      <c r="J172" s="298"/>
      <c r="K172" s="298"/>
      <c r="L172" s="606"/>
      <c r="M172" s="606"/>
      <c r="N172" s="615"/>
      <c r="O172" s="615"/>
      <c r="P172" s="615"/>
      <c r="Q172" s="616"/>
    </row>
    <row r="173" spans="1:21">
      <c r="A173" s="611"/>
      <c r="B173" s="612"/>
      <c r="C173" s="48" t="s">
        <v>27</v>
      </c>
      <c r="D173" s="623">
        <v>842</v>
      </c>
      <c r="E173" s="41">
        <f>5.6595-5.6669</f>
        <v>-7.3999999999996291E-3</v>
      </c>
      <c r="F173" s="41">
        <f>+E173</f>
        <v>-7.3999999999996291E-3</v>
      </c>
      <c r="G173" s="50">
        <f>ROUND(D173*(E173),2)</f>
        <v>-6.23</v>
      </c>
      <c r="H173" s="298"/>
      <c r="I173" s="298"/>
      <c r="J173" s="298"/>
      <c r="K173" s="298"/>
      <c r="L173" s="614"/>
      <c r="M173" s="606"/>
      <c r="N173" s="615"/>
      <c r="O173" s="615"/>
      <c r="P173" s="615"/>
      <c r="Q173" s="616"/>
    </row>
    <row r="174" spans="1:21">
      <c r="A174" s="611"/>
      <c r="B174" s="612"/>
      <c r="C174" s="48" t="s">
        <v>28</v>
      </c>
      <c r="D174" s="623">
        <v>34</v>
      </c>
      <c r="E174" s="41">
        <v>5.6595000000000004</v>
      </c>
      <c r="F174" s="41">
        <f>+E174</f>
        <v>5.6595000000000004</v>
      </c>
      <c r="G174" s="39">
        <f>ROUND(D174*(E174),2)</f>
        <v>192.42</v>
      </c>
      <c r="H174" s="298"/>
      <c r="I174" s="298"/>
      <c r="J174" s="298"/>
      <c r="K174" s="298"/>
      <c r="L174" s="614"/>
      <c r="M174" s="273"/>
      <c r="N174" s="615"/>
      <c r="O174" s="615"/>
      <c r="P174" s="615"/>
      <c r="Q174" s="616"/>
    </row>
    <row r="175" spans="1:21" ht="15.75" thickBot="1">
      <c r="A175" s="624"/>
      <c r="B175" s="526"/>
      <c r="C175" s="54" t="s">
        <v>29</v>
      </c>
      <c r="D175" s="625">
        <v>770</v>
      </c>
      <c r="E175" s="56">
        <v>5.6595000000000004</v>
      </c>
      <c r="F175" s="281">
        <f>+E175</f>
        <v>5.6595000000000004</v>
      </c>
      <c r="G175" s="414">
        <f>ROUND(D175*(E175),2)</f>
        <v>4357.82</v>
      </c>
      <c r="H175" s="41"/>
      <c r="I175" s="41"/>
      <c r="J175" s="41"/>
      <c r="K175" s="41"/>
      <c r="L175" s="606"/>
      <c r="M175" s="606"/>
      <c r="N175" s="626"/>
      <c r="O175" s="626"/>
      <c r="P175" s="626"/>
      <c r="Q175" s="627"/>
    </row>
    <row r="176" spans="1:21" ht="15.75" thickTop="1">
      <c r="A176" s="493"/>
      <c r="B176" s="494" t="s">
        <v>108</v>
      </c>
      <c r="C176" s="71">
        <f>+[1]дек!U87</f>
        <v>0</v>
      </c>
      <c r="D176" s="495">
        <v>5</v>
      </c>
      <c r="E176" s="21">
        <v>32.332000000000001</v>
      </c>
      <c r="F176" s="21">
        <v>37.889800000000001</v>
      </c>
      <c r="G176" s="185">
        <f>ROUND(D176*(E176+F176),2)</f>
        <v>351.11</v>
      </c>
      <c r="H176" s="496"/>
      <c r="I176" s="73">
        <v>0.85</v>
      </c>
      <c r="J176" s="73">
        <f>+H176*I176</f>
        <v>0</v>
      </c>
      <c r="K176" s="628"/>
      <c r="L176" s="629">
        <f>SUM(G176:G182)+SUM(J176:J181)</f>
        <v>2807.7300000000005</v>
      </c>
      <c r="M176" s="630">
        <v>2807.73</v>
      </c>
      <c r="N176" s="594"/>
      <c r="O176" s="631"/>
      <c r="P176" s="515" t="s">
        <v>87</v>
      </c>
      <c r="Q176" s="595">
        <f t="shared" ref="Q176:Q178" si="16">C176+G176+J176-M176-N176-O176</f>
        <v>-2456.62</v>
      </c>
    </row>
    <row r="177" spans="1:20">
      <c r="A177" s="505"/>
      <c r="B177" s="506"/>
      <c r="C177" s="542" t="s">
        <v>96</v>
      </c>
      <c r="D177" s="234">
        <v>0</v>
      </c>
      <c r="E177" s="38">
        <f>32.332-28.8628</f>
        <v>3.4692000000000007</v>
      </c>
      <c r="F177" s="38">
        <f>37.8898-33.8306</f>
        <v>4.0592000000000041</v>
      </c>
      <c r="G177" s="235">
        <f>ROUND(D177*(E177+F177),2)</f>
        <v>0</v>
      </c>
      <c r="H177" s="448"/>
      <c r="I177" s="509"/>
      <c r="J177" s="409"/>
      <c r="K177" s="510"/>
      <c r="L177" s="632"/>
      <c r="M177" s="512"/>
      <c r="N177" s="513"/>
      <c r="O177" s="514"/>
      <c r="P177" s="515"/>
      <c r="Q177" s="262"/>
    </row>
    <row r="178" spans="1:20">
      <c r="A178" s="505"/>
      <c r="B178" s="516" t="s">
        <v>109</v>
      </c>
      <c r="C178" s="633"/>
      <c r="D178" s="508"/>
      <c r="E178" s="101">
        <v>283.85000000000002</v>
      </c>
      <c r="F178" s="41">
        <v>33.830599999999997</v>
      </c>
      <c r="G178" s="50">
        <f>D178*(E178+F178)</f>
        <v>0</v>
      </c>
      <c r="H178" s="270"/>
      <c r="I178" s="41">
        <v>128.56</v>
      </c>
      <c r="J178" s="409">
        <f>ROUND(H178*I178,2)</f>
        <v>0</v>
      </c>
      <c r="K178" s="510"/>
      <c r="L178" s="597"/>
      <c r="M178" s="99"/>
      <c r="N178" s="518"/>
      <c r="O178" s="519"/>
      <c r="P178" s="515" t="s">
        <v>87</v>
      </c>
      <c r="Q178" s="271">
        <f t="shared" si="16"/>
        <v>0</v>
      </c>
    </row>
    <row r="179" spans="1:20">
      <c r="A179" s="505"/>
      <c r="B179" s="541"/>
      <c r="C179" s="84" t="s">
        <v>97</v>
      </c>
      <c r="D179" s="508"/>
      <c r="E179" s="41">
        <f>283.85-344.19</f>
        <v>-60.339999999999975</v>
      </c>
      <c r="F179" s="41"/>
      <c r="G179" s="50">
        <f>D179*(E179+F179)</f>
        <v>0</v>
      </c>
      <c r="H179" s="432"/>
      <c r="I179" s="362"/>
      <c r="J179" s="207"/>
      <c r="K179" s="510"/>
      <c r="L179" s="597"/>
      <c r="M179" s="520"/>
      <c r="N179" s="521"/>
      <c r="O179" s="522"/>
      <c r="P179" s="523"/>
      <c r="Q179" s="362"/>
    </row>
    <row r="180" spans="1:20">
      <c r="A180" s="505"/>
      <c r="B180" s="506"/>
      <c r="C180" s="48" t="s">
        <v>27</v>
      </c>
      <c r="D180" s="37">
        <v>711</v>
      </c>
      <c r="E180" s="41">
        <f>5.6595-5.6669</f>
        <v>-7.3999999999996291E-3</v>
      </c>
      <c r="F180" s="41">
        <f>+E180</f>
        <v>-7.3999999999996291E-3</v>
      </c>
      <c r="G180" s="39">
        <f>ROUND(D180*(E180),2)</f>
        <v>-5.26</v>
      </c>
      <c r="H180" s="432"/>
      <c r="I180" s="362"/>
      <c r="J180" s="207"/>
      <c r="K180" s="510"/>
      <c r="L180" s="597"/>
      <c r="M180" s="520"/>
      <c r="N180" s="521"/>
      <c r="O180" s="522"/>
      <c r="P180" s="523"/>
      <c r="Q180" s="362"/>
    </row>
    <row r="181" spans="1:20">
      <c r="A181" s="505"/>
      <c r="B181" s="506"/>
      <c r="C181" s="48" t="s">
        <v>28</v>
      </c>
      <c r="D181" s="37">
        <v>18</v>
      </c>
      <c r="E181" s="41">
        <v>5.6595000000000004</v>
      </c>
      <c r="F181" s="41">
        <f>+E181</f>
        <v>5.6595000000000004</v>
      </c>
      <c r="G181" s="39">
        <f t="shared" ref="G181:G186" si="17">ROUND(D181*(E181),2)</f>
        <v>101.87</v>
      </c>
      <c r="H181" s="432"/>
      <c r="I181" s="362"/>
      <c r="J181" s="207"/>
      <c r="K181" s="510"/>
      <c r="L181" s="597"/>
      <c r="M181" s="520"/>
      <c r="N181" s="521"/>
      <c r="O181" s="522"/>
      <c r="P181" s="523"/>
      <c r="Q181" s="362"/>
    </row>
    <row r="182" spans="1:20" ht="15.75" thickBot="1">
      <c r="A182" s="525"/>
      <c r="B182" s="526"/>
      <c r="C182" s="54" t="s">
        <v>29</v>
      </c>
      <c r="D182" s="55">
        <v>417</v>
      </c>
      <c r="E182" s="56">
        <v>5.6595000000000004</v>
      </c>
      <c r="F182" s="281">
        <f>+E182</f>
        <v>5.6595000000000004</v>
      </c>
      <c r="G182" s="414">
        <f t="shared" si="17"/>
        <v>2360.0100000000002</v>
      </c>
      <c r="H182" s="248"/>
      <c r="I182" s="203"/>
      <c r="J182" s="60"/>
      <c r="K182" s="61"/>
      <c r="L182" s="249"/>
      <c r="M182" s="54"/>
      <c r="N182" s="527"/>
      <c r="O182" s="528"/>
      <c r="P182" s="529" t="s">
        <v>87</v>
      </c>
      <c r="Q182" s="282">
        <f>+G182+J182-M182-N182-O182</f>
        <v>2360.0100000000002</v>
      </c>
    </row>
    <row r="183" spans="1:20">
      <c r="A183" s="493"/>
      <c r="B183" s="602" t="s">
        <v>110</v>
      </c>
      <c r="C183" s="48" t="s">
        <v>27</v>
      </c>
      <c r="D183" s="184">
        <v>125</v>
      </c>
      <c r="E183" s="41">
        <f>5.6595-5.6669</f>
        <v>-7.3999999999996291E-3</v>
      </c>
      <c r="F183" s="23">
        <f t="shared" ref="F183:F185" si="18">+E183</f>
        <v>-7.3999999999996291E-3</v>
      </c>
      <c r="G183" s="185">
        <f>ROUND(D183*(E183),2)</f>
        <v>-0.92</v>
      </c>
      <c r="H183" s="620"/>
      <c r="I183" s="620"/>
      <c r="J183" s="620"/>
      <c r="K183" s="634"/>
      <c r="L183" s="603">
        <f>SUM(G183:G186)</f>
        <v>802.73</v>
      </c>
      <c r="M183" s="187">
        <v>802.73</v>
      </c>
      <c r="N183" s="604"/>
      <c r="O183" s="635"/>
      <c r="P183" s="636"/>
      <c r="Q183" s="605"/>
    </row>
    <row r="184" spans="1:20">
      <c r="A184" s="505"/>
      <c r="B184" s="506"/>
      <c r="C184" s="48" t="s">
        <v>28</v>
      </c>
      <c r="D184" s="49">
        <v>6</v>
      </c>
      <c r="E184" s="41">
        <v>5.6595000000000004</v>
      </c>
      <c r="F184" s="41">
        <f t="shared" si="18"/>
        <v>5.6595000000000004</v>
      </c>
      <c r="G184" s="50">
        <f t="shared" si="17"/>
        <v>33.96</v>
      </c>
      <c r="H184" s="296"/>
      <c r="I184" s="298"/>
      <c r="J184" s="298"/>
      <c r="K184" s="637"/>
      <c r="L184" s="606"/>
      <c r="M184" s="606"/>
      <c r="N184" s="607"/>
      <c r="O184" s="608"/>
      <c r="P184" s="609"/>
      <c r="Q184" s="610"/>
    </row>
    <row r="185" spans="1:20" ht="15.75" thickBot="1">
      <c r="A185" s="611"/>
      <c r="B185" s="506"/>
      <c r="C185" s="99" t="s">
        <v>29</v>
      </c>
      <c r="D185" s="296">
        <v>136</v>
      </c>
      <c r="E185" s="56">
        <v>5.6595000000000004</v>
      </c>
      <c r="F185" s="41">
        <f t="shared" si="18"/>
        <v>5.6595000000000004</v>
      </c>
      <c r="G185" s="50">
        <f t="shared" si="17"/>
        <v>769.69</v>
      </c>
      <c r="H185" s="296"/>
      <c r="I185" s="298"/>
      <c r="J185" s="298"/>
      <c r="K185" s="637"/>
      <c r="L185" s="614"/>
      <c r="M185" s="606"/>
      <c r="N185" s="615"/>
      <c r="O185" s="615"/>
      <c r="P185" s="615"/>
      <c r="Q185" s="616"/>
    </row>
    <row r="186" spans="1:20" ht="15.75" thickBot="1">
      <c r="A186" s="638"/>
      <c r="B186" s="639" t="s">
        <v>111</v>
      </c>
      <c r="C186" s="640"/>
      <c r="D186" s="641"/>
      <c r="E186" s="311"/>
      <c r="F186" s="109"/>
      <c r="G186" s="642">
        <f t="shared" si="17"/>
        <v>0</v>
      </c>
      <c r="H186" s="643"/>
      <c r="I186" s="109"/>
      <c r="J186" s="109"/>
      <c r="K186" s="644"/>
      <c r="L186" s="640"/>
      <c r="M186" s="640"/>
      <c r="N186" s="2"/>
      <c r="O186" s="2"/>
      <c r="P186" s="2"/>
      <c r="Q186" s="2"/>
    </row>
    <row r="187" spans="1:20" ht="15.75" thickTop="1">
      <c r="A187" s="645"/>
      <c r="B187" s="602" t="s">
        <v>112</v>
      </c>
      <c r="C187" s="48" t="s">
        <v>27</v>
      </c>
      <c r="D187" s="184">
        <v>869</v>
      </c>
      <c r="E187" s="41">
        <f>5.6595-5.6669</f>
        <v>-7.3999999999996291E-3</v>
      </c>
      <c r="F187" s="23">
        <f t="shared" ref="F187:F189" si="19">+E187</f>
        <v>-7.3999999999996291E-3</v>
      </c>
      <c r="G187" s="185">
        <f>ROUND(D187*(E187),2)+0.01</f>
        <v>-6.42</v>
      </c>
      <c r="H187" s="620"/>
      <c r="I187" s="620"/>
      <c r="J187" s="620"/>
      <c r="K187" s="634"/>
      <c r="L187" s="603">
        <f>SUM(G187:G190)</f>
        <v>4141.99</v>
      </c>
      <c r="M187" s="187">
        <v>4141.99</v>
      </c>
      <c r="N187" s="604"/>
      <c r="O187" s="635"/>
      <c r="P187" s="636"/>
      <c r="Q187" s="605"/>
    </row>
    <row r="188" spans="1:20">
      <c r="A188" s="645"/>
      <c r="B188" s="506"/>
      <c r="C188" s="48" t="s">
        <v>28</v>
      </c>
      <c r="D188" s="49">
        <v>31</v>
      </c>
      <c r="E188" s="41">
        <v>5.6595000000000004</v>
      </c>
      <c r="F188" s="41">
        <f t="shared" si="19"/>
        <v>5.6595000000000004</v>
      </c>
      <c r="G188" s="50">
        <f t="shared" ref="G188:G189" si="20">ROUND(D188*(E188),2)</f>
        <v>175.44</v>
      </c>
      <c r="H188" s="296"/>
      <c r="I188" s="298"/>
      <c r="J188" s="298"/>
      <c r="K188" s="637"/>
      <c r="L188" s="606"/>
      <c r="M188" s="606"/>
      <c r="N188" s="607"/>
      <c r="O188" s="608"/>
      <c r="P188" s="609"/>
      <c r="Q188" s="610"/>
    </row>
    <row r="189" spans="1:20" ht="15.75" thickBot="1">
      <c r="A189" s="645"/>
      <c r="B189" s="506"/>
      <c r="C189" s="99" t="s">
        <v>29</v>
      </c>
      <c r="D189" s="296">
        <v>702</v>
      </c>
      <c r="E189" s="56">
        <v>5.6595000000000004</v>
      </c>
      <c r="F189" s="41">
        <f t="shared" si="19"/>
        <v>5.6595000000000004</v>
      </c>
      <c r="G189" s="50">
        <f t="shared" si="20"/>
        <v>3972.97</v>
      </c>
      <c r="H189" s="296"/>
      <c r="I189" s="298"/>
      <c r="J189" s="298"/>
      <c r="K189" s="637"/>
      <c r="L189" s="614"/>
      <c r="M189" s="606"/>
      <c r="N189" s="615"/>
      <c r="O189" s="615"/>
      <c r="P189" s="615"/>
      <c r="Q189" s="616"/>
    </row>
    <row r="190" spans="1:20" ht="15.75" thickBot="1">
      <c r="A190" s="645"/>
      <c r="B190" s="639"/>
      <c r="C190" s="646"/>
      <c r="D190" s="647"/>
      <c r="E190" s="648"/>
      <c r="F190" s="646"/>
      <c r="G190" s="648"/>
      <c r="H190" s="646"/>
      <c r="I190" s="646"/>
      <c r="J190" s="646"/>
      <c r="K190" s="646"/>
      <c r="L190" s="646"/>
      <c r="M190" s="646"/>
      <c r="N190" s="615"/>
      <c r="O190" s="615"/>
      <c r="P190" s="615"/>
      <c r="Q190" s="615"/>
    </row>
    <row r="191" spans="1:20" s="81" customFormat="1" ht="15" customHeight="1" thickTop="1">
      <c r="A191" s="476"/>
      <c r="B191" s="158"/>
      <c r="C191" s="322"/>
      <c r="D191" s="477"/>
      <c r="E191" s="163"/>
      <c r="F191" s="163"/>
      <c r="G191" s="478"/>
      <c r="H191" s="163"/>
      <c r="I191" s="163"/>
      <c r="J191" s="163"/>
      <c r="K191" s="163"/>
      <c r="L191" s="163"/>
      <c r="M191" s="164"/>
      <c r="N191" s="479"/>
      <c r="O191" s="479"/>
      <c r="P191" s="479"/>
      <c r="Q191" s="479"/>
      <c r="R191" s="422"/>
      <c r="S191" s="399"/>
      <c r="T191" s="399"/>
    </row>
    <row r="192" spans="1:20" ht="21.75" thickBot="1">
      <c r="A192" s="171" t="s">
        <v>113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  <c r="N192" s="2"/>
      <c r="O192" s="2"/>
      <c r="P192" s="2"/>
      <c r="Q192" s="2"/>
    </row>
    <row r="193" spans="1:20" ht="15.75" customHeight="1" thickTop="1" thickBot="1">
      <c r="A193" s="1555" t="s">
        <v>1</v>
      </c>
      <c r="B193" s="1543" t="s">
        <v>2</v>
      </c>
      <c r="C193" s="1545" t="s">
        <v>3</v>
      </c>
      <c r="D193" s="1546" t="s">
        <v>4</v>
      </c>
      <c r="E193" s="1546"/>
      <c r="F193" s="1546"/>
      <c r="G193" s="1546"/>
      <c r="H193" s="1547"/>
      <c r="I193" s="1548"/>
      <c r="J193" s="1548"/>
      <c r="K193" s="1549"/>
      <c r="L193" s="1524" t="s">
        <v>6</v>
      </c>
      <c r="M193" s="1511" t="s">
        <v>7</v>
      </c>
      <c r="N193" s="1551" t="s">
        <v>8</v>
      </c>
      <c r="O193" s="1551"/>
      <c r="P193" s="1551"/>
      <c r="Q193" s="1552"/>
      <c r="R193" s="481"/>
      <c r="S193" s="482" t="s">
        <v>20</v>
      </c>
      <c r="T193" s="482" t="s">
        <v>21</v>
      </c>
    </row>
    <row r="194" spans="1:20" ht="26.25" thickBot="1">
      <c r="A194" s="1556"/>
      <c r="B194" s="1557"/>
      <c r="C194" s="1558" t="s">
        <v>10</v>
      </c>
      <c r="D194" s="483" t="s">
        <v>11</v>
      </c>
      <c r="E194" s="649" t="s">
        <v>12</v>
      </c>
      <c r="F194" s="649" t="s">
        <v>13</v>
      </c>
      <c r="G194" s="650" t="s">
        <v>14</v>
      </c>
      <c r="H194" s="651" t="s">
        <v>11</v>
      </c>
      <c r="I194" s="652" t="s">
        <v>15</v>
      </c>
      <c r="J194" s="653"/>
      <c r="K194" s="654" t="s">
        <v>16</v>
      </c>
      <c r="L194" s="1525"/>
      <c r="M194" s="1554"/>
      <c r="N194" s="655"/>
      <c r="O194" s="653"/>
      <c r="P194" s="656" t="s">
        <v>18</v>
      </c>
      <c r="Q194" s="657" t="s">
        <v>19</v>
      </c>
      <c r="R194" s="491"/>
      <c r="S194" s="492"/>
      <c r="T194" s="492"/>
    </row>
    <row r="195" spans="1:20" ht="15.75">
      <c r="A195" s="658"/>
      <c r="B195" s="659" t="s">
        <v>55</v>
      </c>
      <c r="C195" s="48" t="s">
        <v>118</v>
      </c>
      <c r="D195" s="259">
        <v>1736.1</v>
      </c>
      <c r="E195" s="41">
        <f>5.6595-5.6669</f>
        <v>-7.3999999999996291E-3</v>
      </c>
      <c r="F195" s="620">
        <f t="shared" ref="F195:F196" si="21">+E195</f>
        <v>-7.3999999999996291E-3</v>
      </c>
      <c r="G195" s="214">
        <f>ROUND(D195*E195,2)</f>
        <v>-12.85</v>
      </c>
      <c r="H195" s="303"/>
      <c r="I195" s="23"/>
      <c r="J195" s="23"/>
      <c r="K195" s="23"/>
      <c r="L195" s="603">
        <f>SUM(G195:G197)</f>
        <v>7847.63</v>
      </c>
      <c r="M195" s="187">
        <v>7847.63</v>
      </c>
      <c r="N195" s="660"/>
      <c r="O195" s="217"/>
      <c r="P195" s="661"/>
      <c r="Q195" s="219"/>
    </row>
    <row r="196" spans="1:20" ht="15.75">
      <c r="A196" s="662"/>
      <c r="B196" s="35"/>
      <c r="C196" s="48" t="s">
        <v>119</v>
      </c>
      <c r="D196" s="269">
        <v>46.42</v>
      </c>
      <c r="E196" s="41">
        <v>5.6595000000000004</v>
      </c>
      <c r="F196" s="298">
        <f t="shared" si="21"/>
        <v>5.6595000000000004</v>
      </c>
      <c r="G196" s="235">
        <f>ROUND(D196*E196,2)</f>
        <v>262.70999999999998</v>
      </c>
      <c r="H196" s="270"/>
      <c r="I196" s="41"/>
      <c r="J196" s="41"/>
      <c r="K196" s="41"/>
      <c r="L196" s="606"/>
      <c r="M196" s="606"/>
      <c r="N196" s="663"/>
      <c r="O196" s="237"/>
      <c r="P196" s="275"/>
      <c r="Q196" s="238"/>
    </row>
    <row r="197" spans="1:20" ht="15.75" thickBot="1">
      <c r="A197" s="664"/>
      <c r="B197" s="665"/>
      <c r="C197" s="99" t="s">
        <v>29</v>
      </c>
      <c r="D197" s="613">
        <v>1342.48</v>
      </c>
      <c r="E197" s="56">
        <v>5.6595000000000004</v>
      </c>
      <c r="F197" s="57"/>
      <c r="G197" s="247">
        <f>ROUND(D197*E197,2)</f>
        <v>7597.77</v>
      </c>
      <c r="H197" s="613"/>
      <c r="I197" s="57"/>
      <c r="J197" s="57"/>
      <c r="K197" s="57"/>
      <c r="L197" s="614"/>
      <c r="M197" s="606"/>
      <c r="N197" s="57"/>
      <c r="O197" s="57"/>
      <c r="P197" s="57"/>
      <c r="Q197" s="666"/>
    </row>
    <row r="198" spans="1:20">
      <c r="A198" s="667"/>
      <c r="B198" s="659" t="s">
        <v>116</v>
      </c>
      <c r="C198" s="668" t="s">
        <v>73</v>
      </c>
      <c r="D198" s="669">
        <v>5</v>
      </c>
      <c r="E198" s="21">
        <v>32.332000000000001</v>
      </c>
      <c r="F198" s="21">
        <v>37.889800000000001</v>
      </c>
      <c r="G198" s="214">
        <f>+D198*(E198+F198)</f>
        <v>351.10900000000004</v>
      </c>
      <c r="H198" s="687">
        <v>5</v>
      </c>
      <c r="I198" s="688">
        <v>15.151199999999999</v>
      </c>
      <c r="J198" s="670">
        <f>ROUND(H198*I198,2)</f>
        <v>75.760000000000005</v>
      </c>
      <c r="K198" s="689">
        <v>42614</v>
      </c>
      <c r="L198" s="603">
        <f>SUM(G198:G204)+SUM(J198:J202)</f>
        <v>9118.0190000000002</v>
      </c>
      <c r="M198" s="187">
        <v>9118.02</v>
      </c>
      <c r="N198" s="670"/>
      <c r="O198" s="670"/>
      <c r="P198" s="670"/>
      <c r="Q198" s="670"/>
    </row>
    <row r="199" spans="1:20">
      <c r="A199" s="671"/>
      <c r="B199" s="672"/>
      <c r="C199" s="48"/>
      <c r="D199" s="673"/>
      <c r="E199" s="41"/>
      <c r="F199" s="298"/>
      <c r="G199" s="235">
        <f>+D199*E199</f>
        <v>0</v>
      </c>
      <c r="H199" s="687">
        <v>4</v>
      </c>
      <c r="I199" s="688">
        <v>103.50960000000001</v>
      </c>
      <c r="J199" s="670">
        <f>ROUND(H199*I199,2)</f>
        <v>414.04</v>
      </c>
      <c r="K199" s="689">
        <v>42644</v>
      </c>
      <c r="L199" s="606"/>
      <c r="M199" s="606"/>
      <c r="N199" s="298"/>
      <c r="O199" s="298"/>
      <c r="P199" s="298"/>
      <c r="Q199" s="298"/>
    </row>
    <row r="200" spans="1:20">
      <c r="A200" s="671"/>
      <c r="B200" s="442"/>
      <c r="C200" s="48"/>
      <c r="D200" s="673"/>
      <c r="E200" s="41"/>
      <c r="F200" s="298"/>
      <c r="G200" s="235">
        <f>ROUND(D200*E200,2)</f>
        <v>0</v>
      </c>
      <c r="H200" s="687">
        <v>5</v>
      </c>
      <c r="I200" s="688">
        <v>0.76700000000000002</v>
      </c>
      <c r="J200" s="670">
        <f>ROUND(H200*I200,2)</f>
        <v>3.84</v>
      </c>
      <c r="K200" s="689">
        <v>42736</v>
      </c>
      <c r="L200" s="614">
        <f>SUM(G200:G201)</f>
        <v>0</v>
      </c>
      <c r="M200" s="606"/>
      <c r="N200" s="298"/>
      <c r="O200" s="298"/>
      <c r="P200" s="298"/>
      <c r="Q200" s="298"/>
    </row>
    <row r="201" spans="1:20">
      <c r="A201" s="671"/>
      <c r="B201" s="35"/>
      <c r="C201" s="606"/>
      <c r="D201" s="673"/>
      <c r="E201" s="41"/>
      <c r="F201" s="298"/>
      <c r="G201" s="235">
        <f>ROUND(D201*E201,2)</f>
        <v>0</v>
      </c>
      <c r="H201" s="270"/>
      <c r="I201" s="41"/>
      <c r="J201" s="670"/>
      <c r="K201" s="670"/>
      <c r="L201" s="614"/>
      <c r="M201" s="273"/>
      <c r="N201" s="298"/>
      <c r="O201" s="298"/>
      <c r="P201" s="298"/>
      <c r="Q201" s="298"/>
    </row>
    <row r="202" spans="1:20" ht="15.75">
      <c r="A202" s="674"/>
      <c r="B202" s="672"/>
      <c r="C202" s="48" t="s">
        <v>118</v>
      </c>
      <c r="D202" s="269">
        <v>1882.6</v>
      </c>
      <c r="E202" s="41">
        <f>5.6595-5.6669</f>
        <v>-7.3999999999996291E-3</v>
      </c>
      <c r="F202" s="298">
        <f t="shared" ref="F202:F203" si="22">+E202</f>
        <v>-7.3999999999996291E-3</v>
      </c>
      <c r="G202" s="235">
        <f>ROUND(D202*E202,2)-0.02</f>
        <v>-13.95</v>
      </c>
      <c r="H202" s="270"/>
      <c r="I202" s="41"/>
      <c r="J202" s="670"/>
      <c r="K202" s="670"/>
      <c r="L202" s="606"/>
      <c r="M202" s="606"/>
      <c r="N202" s="663"/>
      <c r="O202" s="237"/>
      <c r="P202" s="275"/>
      <c r="Q202" s="237"/>
    </row>
    <row r="203" spans="1:20" ht="15.75">
      <c r="A203" s="674"/>
      <c r="B203" s="35"/>
      <c r="C203" s="48" t="s">
        <v>119</v>
      </c>
      <c r="D203" s="269">
        <v>49</v>
      </c>
      <c r="E203" s="41">
        <v>5.6595000000000004</v>
      </c>
      <c r="F203" s="298">
        <f t="shared" si="22"/>
        <v>5.6595000000000004</v>
      </c>
      <c r="G203" s="235">
        <f>ROUND(D203*E203,2)-0.01</f>
        <v>277.31</v>
      </c>
      <c r="H203" s="270"/>
      <c r="I203" s="41"/>
      <c r="J203" s="41"/>
      <c r="K203" s="41"/>
      <c r="L203" s="614"/>
      <c r="M203" s="606"/>
      <c r="N203" s="663"/>
      <c r="O203" s="237"/>
      <c r="P203" s="275"/>
      <c r="Q203" s="237"/>
    </row>
    <row r="204" spans="1:20" ht="15.75" thickBot="1">
      <c r="A204" s="675"/>
      <c r="B204" s="676"/>
      <c r="C204" s="107" t="s">
        <v>29</v>
      </c>
      <c r="D204" s="643">
        <v>1415.3</v>
      </c>
      <c r="E204" s="56">
        <v>5.6595000000000004</v>
      </c>
      <c r="F204" s="109"/>
      <c r="G204" s="309">
        <f>ROUND(D204*E204,2)+0.02</f>
        <v>8009.9100000000008</v>
      </c>
      <c r="H204" s="643"/>
      <c r="I204" s="109"/>
      <c r="J204" s="109"/>
      <c r="K204" s="109"/>
      <c r="L204" s="677"/>
      <c r="M204" s="314"/>
      <c r="N204" s="109"/>
      <c r="O204" s="109"/>
      <c r="P204" s="109"/>
      <c r="Q204" s="109"/>
      <c r="R204" s="2"/>
    </row>
    <row r="205" spans="1:20" ht="16.5" thickTop="1">
      <c r="A205" s="658"/>
      <c r="B205" s="659" t="s">
        <v>117</v>
      </c>
      <c r="C205" s="690" t="s">
        <v>118</v>
      </c>
      <c r="D205" s="259">
        <v>570</v>
      </c>
      <c r="E205" s="41">
        <f>5.6595-5.6669</f>
        <v>-7.3999999999996291E-3</v>
      </c>
      <c r="F205" s="691">
        <f>+E205</f>
        <v>-7.3999999999996291E-3</v>
      </c>
      <c r="G205" s="214">
        <f>ROUND(D205*E205,2)</f>
        <v>-4.22</v>
      </c>
      <c r="H205" s="303"/>
      <c r="I205" s="23"/>
      <c r="J205" s="23"/>
      <c r="K205" s="23"/>
      <c r="L205" s="603">
        <f>SUM(G205:G207)</f>
        <v>2282.2200000000003</v>
      </c>
      <c r="M205" s="187">
        <v>2282.2199999999998</v>
      </c>
      <c r="N205" s="660"/>
      <c r="O205" s="217"/>
      <c r="P205" s="661"/>
      <c r="Q205" s="219"/>
      <c r="R205" s="324"/>
    </row>
    <row r="206" spans="1:20" ht="15.75">
      <c r="A206" s="662"/>
      <c r="B206" s="35"/>
      <c r="C206" s="48" t="s">
        <v>119</v>
      </c>
      <c r="D206" s="269">
        <v>13.1</v>
      </c>
      <c r="E206" s="41">
        <v>5.6595000000000004</v>
      </c>
      <c r="F206" s="298">
        <f t="shared" ref="F206" si="23">+E206</f>
        <v>5.6595000000000004</v>
      </c>
      <c r="G206" s="235">
        <f>ROUND(D206*E206,2)</f>
        <v>74.14</v>
      </c>
      <c r="H206" s="270"/>
      <c r="I206" s="41"/>
      <c r="J206" s="41"/>
      <c r="K206" s="41"/>
      <c r="L206" s="606"/>
      <c r="M206" s="606"/>
      <c r="N206" s="663"/>
      <c r="O206" s="237"/>
      <c r="P206" s="275"/>
      <c r="Q206" s="238"/>
    </row>
    <row r="207" spans="1:20" ht="15.75" thickBot="1">
      <c r="A207" s="664"/>
      <c r="B207" s="665"/>
      <c r="C207" s="99" t="s">
        <v>29</v>
      </c>
      <c r="D207" s="613">
        <v>390.9</v>
      </c>
      <c r="E207" s="56">
        <v>5.6595000000000004</v>
      </c>
      <c r="F207" s="57"/>
      <c r="G207" s="247">
        <f>ROUND(D207*E207,2)</f>
        <v>2212.3000000000002</v>
      </c>
      <c r="H207" s="613"/>
      <c r="I207" s="57"/>
      <c r="J207" s="57"/>
      <c r="K207" s="57"/>
      <c r="L207" s="614"/>
      <c r="M207" s="606"/>
      <c r="N207" s="57"/>
      <c r="O207" s="57"/>
      <c r="P207" s="57"/>
      <c r="Q207" s="666"/>
    </row>
  </sheetData>
  <mergeCells count="40">
    <mergeCell ref="M193:M194"/>
    <mergeCell ref="N193:Q193"/>
    <mergeCell ref="A193:A194"/>
    <mergeCell ref="B193:B194"/>
    <mergeCell ref="C193:C194"/>
    <mergeCell ref="D193:G193"/>
    <mergeCell ref="H193:K193"/>
    <mergeCell ref="L193:L194"/>
    <mergeCell ref="M61:M62"/>
    <mergeCell ref="N61:Q61"/>
    <mergeCell ref="A125:A126"/>
    <mergeCell ref="B125:B126"/>
    <mergeCell ref="C125:C126"/>
    <mergeCell ref="D125:G125"/>
    <mergeCell ref="H125:K125"/>
    <mergeCell ref="L125:L126"/>
    <mergeCell ref="M125:M126"/>
    <mergeCell ref="N125:Q125"/>
    <mergeCell ref="A61:A62"/>
    <mergeCell ref="B61:B62"/>
    <mergeCell ref="C61:C62"/>
    <mergeCell ref="D61:G61"/>
    <mergeCell ref="H61:K61"/>
    <mergeCell ref="L61:L62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17"/>
  <sheetViews>
    <sheetView zoomScale="90" zoomScaleNormal="90" workbookViewId="0">
      <selection activeCell="F109" sqref="F109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+[1]фев17!U4</f>
        <v>2.0029499999363907</v>
      </c>
      <c r="D4" s="20">
        <v>31</v>
      </c>
      <c r="E4" s="21">
        <v>32.332000000000001</v>
      </c>
      <c r="F4" s="21">
        <v>37.889800000000001</v>
      </c>
      <c r="G4" s="22">
        <f>ROUND(D4*(E4+F4),2)</f>
        <v>2176.88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117376.47</v>
      </c>
      <c r="M4" s="26">
        <v>117380.75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-2.2770500000624452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124</v>
      </c>
      <c r="D6" s="49">
        <v>15823</v>
      </c>
      <c r="E6" s="41">
        <f>6.3785-5.6595</f>
        <v>0.71899999999999942</v>
      </c>
      <c r="F6" s="41">
        <f>+E6</f>
        <v>0.71899999999999942</v>
      </c>
      <c r="G6" s="50">
        <f>ROUND(D6*E6,2)</f>
        <v>11376.74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125</v>
      </c>
      <c r="D7" s="49">
        <v>474.6</v>
      </c>
      <c r="E7" s="41">
        <v>6.3784999999999998</v>
      </c>
      <c r="F7" s="41">
        <f>+E7</f>
        <v>6.3784999999999998</v>
      </c>
      <c r="G7" s="50">
        <f>ROUND(D7*E7,2)</f>
        <v>3027.24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15802.4</v>
      </c>
      <c r="E8" s="56">
        <v>6.3784999999999998</v>
      </c>
      <c r="F8" s="57">
        <f>+E8</f>
        <v>6.3784999999999998</v>
      </c>
      <c r="G8" s="58">
        <f>ROUND(D8*E8,2)</f>
        <v>100795.61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100795.61</v>
      </c>
      <c r="R8" s="66" t="s">
        <v>25</v>
      </c>
      <c r="S8" s="67">
        <f>SUM(O4:O8)</f>
        <v>0</v>
      </c>
      <c r="T8" s="68">
        <f>SUM(Q4:Q8)</f>
        <v>100795.61</v>
      </c>
    </row>
    <row r="9" spans="1:21" s="81" customFormat="1">
      <c r="A9" s="69" t="s">
        <v>30</v>
      </c>
      <c r="B9" s="70" t="s">
        <v>31</v>
      </c>
      <c r="C9" s="71">
        <f>+[1]фев17!U9</f>
        <v>-3.0987999999924796</v>
      </c>
      <c r="D9" s="72">
        <v>62</v>
      </c>
      <c r="E9" s="21">
        <v>32.332000000000001</v>
      </c>
      <c r="F9" s="21">
        <v>37.889800000000001</v>
      </c>
      <c r="G9" s="22">
        <f>ROUND(D9*(E9+F9),2)</f>
        <v>4353.75</v>
      </c>
      <c r="H9" s="72"/>
      <c r="I9" s="21">
        <v>4.5999999999999996</v>
      </c>
      <c r="J9" s="73">
        <f>+H9*I9</f>
        <v>0</v>
      </c>
      <c r="K9" s="24"/>
      <c r="L9" s="74">
        <f>SUM(G9:G16,J9:J15)</f>
        <v>53648.34</v>
      </c>
      <c r="M9" s="26">
        <v>53642.23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3.0112000000008265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36</v>
      </c>
      <c r="E11" s="101">
        <v>363.77</v>
      </c>
      <c r="F11" s="38">
        <v>37.889800000000001</v>
      </c>
      <c r="G11" s="39">
        <f>ROUND(D11*(E11+F11),2)</f>
        <v>14459.75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31</v>
      </c>
      <c r="E12" s="41">
        <f>363.77-283.85</f>
        <v>79.919999999999959</v>
      </c>
      <c r="F12" s="38"/>
      <c r="G12" s="50">
        <f>+D12*(E12+F12)</f>
        <v>2477.5199999999986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124</v>
      </c>
      <c r="D14" s="49">
        <v>4266</v>
      </c>
      <c r="E14" s="41">
        <f>6.3785-5.6595</f>
        <v>0.71899999999999942</v>
      </c>
      <c r="F14" s="41">
        <f>+E14</f>
        <v>0.71899999999999942</v>
      </c>
      <c r="G14" s="50">
        <f>ROUND(D14*E14*70%+D14*F14*30%,2)</f>
        <v>3067.25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125</v>
      </c>
      <c r="D15" s="49">
        <v>134.69999999999999</v>
      </c>
      <c r="E15" s="41">
        <v>6.3784999999999998</v>
      </c>
      <c r="F15" s="41">
        <f>+E15</f>
        <v>6.3784999999999998</v>
      </c>
      <c r="G15" s="50">
        <f>ROUND(D15*E15*70%+D15*F15*30%,2)</f>
        <v>859.18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4457.3</v>
      </c>
      <c r="E16" s="56">
        <v>6.3784999999999998</v>
      </c>
      <c r="F16" s="109">
        <f>+E16</f>
        <v>6.3784999999999998</v>
      </c>
      <c r="G16" s="110">
        <f>ROUND(D16*E16*70%+D16*F16*30%,2)</f>
        <v>28430.89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>
        <f>+G7+G8</f>
        <v>103822.85</v>
      </c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182" t="s">
        <v>45</v>
      </c>
      <c r="B27" s="183" t="s">
        <v>46</v>
      </c>
      <c r="C27" s="71">
        <f>+[1]фев17!U27</f>
        <v>-3.5519120000681141</v>
      </c>
      <c r="D27" s="184">
        <v>37.1</v>
      </c>
      <c r="E27" s="21">
        <v>32.332000000000001</v>
      </c>
      <c r="F27" s="21">
        <v>37.889800000000001</v>
      </c>
      <c r="G27" s="185">
        <f>ROUND(D27*(E27+F27),2)</f>
        <v>2605.23</v>
      </c>
      <c r="H27" s="184">
        <v>0</v>
      </c>
      <c r="I27">
        <v>22.478999999999999</v>
      </c>
      <c r="J27" s="23">
        <f>H27*I27</f>
        <v>0</v>
      </c>
      <c r="K27" s="679">
        <v>42705</v>
      </c>
      <c r="L27" s="25">
        <f>SUM(G27:G31)+J27+J29</f>
        <v>171875.20000000001</v>
      </c>
      <c r="M27" s="187">
        <v>171869.65</v>
      </c>
      <c r="N27" s="188"/>
      <c r="O27" s="23">
        <v>3998.87</v>
      </c>
      <c r="P27" s="189" t="s">
        <v>47</v>
      </c>
      <c r="Q27" s="23">
        <f t="shared" ref="Q27:Q32" si="0">C27+G27+J27-M27-N27-O27</f>
        <v>-173266.84191200006</v>
      </c>
      <c r="R27" s="190" t="s">
        <v>48</v>
      </c>
      <c r="S27" s="176"/>
      <c r="U27" s="33">
        <f>+C27+L27-M27</f>
        <v>1.9980879999639001</v>
      </c>
    </row>
    <row r="28" spans="1:21">
      <c r="A28" s="191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680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191"/>
      <c r="B29" s="192"/>
      <c r="C29" s="48" t="s">
        <v>124</v>
      </c>
      <c r="D29" s="49">
        <v>21669</v>
      </c>
      <c r="E29" s="41">
        <f>6.3785-5.6595</f>
        <v>0.71899999999999942</v>
      </c>
      <c r="F29" s="41">
        <f>+E29</f>
        <v>0.71899999999999942</v>
      </c>
      <c r="G29" s="50">
        <f>ROUND(D29*F29,2)</f>
        <v>15580.01</v>
      </c>
      <c r="H29" s="193"/>
      <c r="I29" s="194"/>
      <c r="J29" s="194"/>
      <c r="K29" s="680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191"/>
      <c r="B30" s="192"/>
      <c r="C30" s="48" t="s">
        <v>125</v>
      </c>
      <c r="D30" s="49">
        <v>255</v>
      </c>
      <c r="E30" s="41">
        <v>6.3784999999999998</v>
      </c>
      <c r="F30" s="41">
        <f>+E30</f>
        <v>6.3784999999999998</v>
      </c>
      <c r="G30" s="50">
        <f>ROUND(D30*E30,2)</f>
        <v>1626.52</v>
      </c>
      <c r="H30" s="193"/>
      <c r="I30" s="194"/>
      <c r="J30" s="194"/>
      <c r="K30" s="680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201"/>
      <c r="B31" s="202" t="s">
        <v>49</v>
      </c>
      <c r="C31" s="99" t="s">
        <v>29</v>
      </c>
      <c r="D31" s="55">
        <v>23840</v>
      </c>
      <c r="E31" s="56">
        <v>6.3784999999999998</v>
      </c>
      <c r="F31" s="57">
        <f>+E31</f>
        <v>6.3784999999999998</v>
      </c>
      <c r="G31" s="58">
        <f>ROUND(D31*E31,2)</f>
        <v>152063.44</v>
      </c>
      <c r="H31" s="59"/>
      <c r="I31" s="60"/>
      <c r="J31" s="60"/>
      <c r="K31" s="681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83353.430000000008</v>
      </c>
      <c r="R31" s="209" t="s">
        <v>50</v>
      </c>
      <c r="S31" s="210">
        <f>SUM(O27:O31)</f>
        <v>72708.87999999999</v>
      </c>
      <c r="T31" s="210">
        <f>SUM(Q27:Q31)</f>
        <v>-89913.411912000054</v>
      </c>
    </row>
    <row r="32" spans="1:21">
      <c r="A32" s="211" t="s">
        <v>51</v>
      </c>
      <c r="B32" s="212" t="s">
        <v>52</v>
      </c>
      <c r="C32" s="71">
        <f>+[1]фев17!U32</f>
        <v>-1.342246000051091</v>
      </c>
      <c r="D32" s="213">
        <v>94.84</v>
      </c>
      <c r="E32" s="21">
        <v>32.332000000000001</v>
      </c>
      <c r="F32" s="21">
        <v>37.889800000000001</v>
      </c>
      <c r="G32" s="214">
        <f>ROUND(D32*(E32+F32),2)</f>
        <v>6659.84</v>
      </c>
      <c r="H32" s="213">
        <v>0</v>
      </c>
      <c r="I32">
        <v>22.478999999999999</v>
      </c>
      <c r="J32" s="215">
        <f t="shared" ref="J32" si="1">H32*I32</f>
        <v>0</v>
      </c>
      <c r="K32" s="679">
        <v>42705</v>
      </c>
      <c r="L32" s="216">
        <f>SUM(G32:G39)+SUM(J32:J39)</f>
        <v>60758.67</v>
      </c>
      <c r="M32" s="187">
        <v>60757.33</v>
      </c>
      <c r="N32" s="188"/>
      <c r="O32" s="217">
        <v>4253.6899999999996</v>
      </c>
      <c r="P32" s="218" t="s">
        <v>47</v>
      </c>
      <c r="Q32" s="219">
        <f t="shared" si="0"/>
        <v>-58352.522246000051</v>
      </c>
      <c r="R32" s="220" t="s">
        <v>53</v>
      </c>
      <c r="S32" s="221"/>
      <c r="T32" s="222"/>
      <c r="U32" s="33">
        <f>+C32+L32-M32</f>
        <v>-2.2460000545834191E-3</v>
      </c>
    </row>
    <row r="33" spans="1:21">
      <c r="A33" s="223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223"/>
      <c r="B34" s="98" t="s">
        <v>32</v>
      </c>
      <c r="C34" s="99" t="s">
        <v>33</v>
      </c>
      <c r="D34" s="234">
        <v>76.88</v>
      </c>
      <c r="E34" s="101">
        <v>184.87</v>
      </c>
      <c r="F34" s="38">
        <v>37.889800000000001</v>
      </c>
      <c r="G34" s="235">
        <f>ROUND(D34*(E34+F34),2)</f>
        <v>17125.77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11669.17</v>
      </c>
      <c r="R34" s="232"/>
      <c r="S34" s="233"/>
      <c r="T34" s="224"/>
    </row>
    <row r="35" spans="1:21">
      <c r="A35" s="223"/>
      <c r="B35" s="224" t="s">
        <v>33</v>
      </c>
      <c r="C35" s="239" t="s">
        <v>26</v>
      </c>
      <c r="D35" s="234">
        <v>50.78</v>
      </c>
      <c r="E35" s="240">
        <f>184.87-189.2</f>
        <v>-4.3299999999999841</v>
      </c>
      <c r="F35" s="240"/>
      <c r="G35" s="235">
        <f>+ROUND(D35*E35,2)</f>
        <v>-219.88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223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223"/>
      <c r="B37" s="224"/>
      <c r="C37" s="48" t="s">
        <v>124</v>
      </c>
      <c r="D37" s="49">
        <v>4267</v>
      </c>
      <c r="E37" s="41">
        <f>6.3785-5.6595</f>
        <v>0.71899999999999942</v>
      </c>
      <c r="F37" s="41">
        <f t="shared" ref="F37:F45" si="2">+E37</f>
        <v>0.71899999999999942</v>
      </c>
      <c r="G37" s="50">
        <f>ROUND(D37*E37,2)</f>
        <v>3067.97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223"/>
      <c r="B38" s="224"/>
      <c r="C38" s="48" t="s">
        <v>125</v>
      </c>
      <c r="D38" s="49">
        <v>56.2</v>
      </c>
      <c r="E38" s="41">
        <v>6.3784999999999998</v>
      </c>
      <c r="F38" s="41">
        <f t="shared" si="2"/>
        <v>6.3784999999999998</v>
      </c>
      <c r="G38" s="50">
        <f>ROUND(D38*E38,2)</f>
        <v>358.47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244"/>
      <c r="B39" s="245"/>
      <c r="C39" s="99" t="s">
        <v>29</v>
      </c>
      <c r="D39" s="246">
        <v>5293.8</v>
      </c>
      <c r="E39" s="56">
        <v>6.3784999999999998</v>
      </c>
      <c r="F39" s="57">
        <f t="shared" si="2"/>
        <v>6.3784999999999998</v>
      </c>
      <c r="G39" s="247">
        <f>ROUND(D39*E39*70%+D39*F39*30%,2)</f>
        <v>33766.5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17988.599999999999</v>
      </c>
      <c r="R39" s="255" t="s">
        <v>54</v>
      </c>
      <c r="S39" s="256">
        <f>SUM(O32:O39)</f>
        <v>25488.190000000002</v>
      </c>
      <c r="T39" s="256">
        <f>SUM(Q32:Q39)</f>
        <v>-28694.752246000055</v>
      </c>
    </row>
    <row r="40" spans="1:21" ht="15.75">
      <c r="A40" s="257"/>
      <c r="B40" s="258" t="s">
        <v>55</v>
      </c>
      <c r="C40" s="48" t="s">
        <v>124</v>
      </c>
      <c r="D40" s="259">
        <v>1661.27</v>
      </c>
      <c r="E40" s="41">
        <f>6.3785-5.6595</f>
        <v>0.71899999999999942</v>
      </c>
      <c r="F40" s="41">
        <f t="shared" si="2"/>
        <v>0.71899999999999942</v>
      </c>
      <c r="G40" s="214">
        <f t="shared" ref="G40:G45" si="3">ROUND(D40*E40,2)</f>
        <v>1194.45</v>
      </c>
      <c r="H40" s="260"/>
      <c r="I40" s="261"/>
      <c r="J40" s="261"/>
      <c r="K40" s="262"/>
      <c r="L40" s="263">
        <f>SUM(G40:G42)</f>
        <v>12843.7</v>
      </c>
      <c r="M40" s="187">
        <v>12843.7</v>
      </c>
      <c r="N40" s="264"/>
      <c r="O40" s="229"/>
      <c r="P40" s="265"/>
      <c r="Q40" s="229"/>
      <c r="R40" s="242"/>
      <c r="S40" s="266"/>
      <c r="T40" s="266"/>
    </row>
    <row r="41" spans="1:21" ht="15.75">
      <c r="A41" s="267"/>
      <c r="B41" s="268"/>
      <c r="C41" s="48" t="s">
        <v>125</v>
      </c>
      <c r="D41" s="269">
        <v>19.329999999999998</v>
      </c>
      <c r="E41" s="41">
        <v>6.3784999999999998</v>
      </c>
      <c r="F41" s="41">
        <f t="shared" si="2"/>
        <v>6.3784999999999998</v>
      </c>
      <c r="G41" s="235">
        <f>ROUND(D41*E41,2)</f>
        <v>123.3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276"/>
      <c r="B42" s="277"/>
      <c r="C42" s="99" t="s">
        <v>29</v>
      </c>
      <c r="D42" s="279">
        <v>1807</v>
      </c>
      <c r="E42" s="56">
        <v>6.3784999999999998</v>
      </c>
      <c r="F42" s="57">
        <f t="shared" si="2"/>
        <v>6.3784999999999998</v>
      </c>
      <c r="G42" s="247">
        <f t="shared" si="3"/>
        <v>11525.95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285"/>
      <c r="B43" s="258" t="s">
        <v>56</v>
      </c>
      <c r="C43" s="48" t="s">
        <v>124</v>
      </c>
      <c r="D43" s="259">
        <v>250</v>
      </c>
      <c r="E43" s="41">
        <f>6.3785-5.6595</f>
        <v>0.71899999999999942</v>
      </c>
      <c r="F43" s="41">
        <f t="shared" si="2"/>
        <v>0.71899999999999942</v>
      </c>
      <c r="G43" s="214">
        <f>ROUND(D43*E43,2)</f>
        <v>179.75</v>
      </c>
      <c r="H43" s="260"/>
      <c r="I43" s="261"/>
      <c r="J43" s="261"/>
      <c r="K43" s="262"/>
      <c r="L43" s="286">
        <f>SUM(G43:G45)</f>
        <v>1838.16</v>
      </c>
      <c r="M43" s="227">
        <v>1838.16</v>
      </c>
      <c r="N43" s="264"/>
      <c r="O43" s="229"/>
      <c r="P43" s="265"/>
      <c r="Q43" s="229"/>
      <c r="R43" s="287"/>
      <c r="S43" s="288"/>
      <c r="T43" s="288"/>
    </row>
    <row r="44" spans="1:21" ht="15.75">
      <c r="A44" s="289"/>
      <c r="B44" s="268"/>
      <c r="C44" s="48" t="s">
        <v>125</v>
      </c>
      <c r="D44" s="269">
        <v>2.2999999999999998</v>
      </c>
      <c r="E44" s="41">
        <v>6.3784999999999998</v>
      </c>
      <c r="F44" s="41">
        <f t="shared" si="2"/>
        <v>6.3784999999999998</v>
      </c>
      <c r="G44" s="235">
        <f>ROUND(D44*E44,2)</f>
        <v>14.67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290"/>
      <c r="B45" s="277"/>
      <c r="C45" s="99" t="s">
        <v>29</v>
      </c>
      <c r="D45" s="279">
        <v>257.7</v>
      </c>
      <c r="E45" s="56">
        <v>6.3784999999999998</v>
      </c>
      <c r="F45" s="57">
        <f t="shared" si="2"/>
        <v>6.3784999999999998</v>
      </c>
      <c r="G45" s="247">
        <f t="shared" si="3"/>
        <v>1643.74</v>
      </c>
      <c r="H45" s="280"/>
      <c r="I45" s="281"/>
      <c r="J45" s="281"/>
      <c r="K45" s="6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285"/>
      <c r="B46" s="291" t="s">
        <v>57</v>
      </c>
      <c r="C46" s="292"/>
      <c r="D46" s="259">
        <v>0.76900000000000002</v>
      </c>
      <c r="E46" s="21">
        <v>32.332000000000001</v>
      </c>
      <c r="F46" s="21">
        <v>37.889800000000001</v>
      </c>
      <c r="G46" s="214">
        <f>ROUND(D46*(E46+F46),2)</f>
        <v>54</v>
      </c>
      <c r="H46" s="213">
        <v>0</v>
      </c>
      <c r="I46">
        <v>22.478999999999999</v>
      </c>
      <c r="J46" s="215">
        <f t="shared" ref="J46" si="4">H46*I46</f>
        <v>0</v>
      </c>
      <c r="K46" s="679">
        <v>42705</v>
      </c>
      <c r="L46" s="294">
        <f>SUM(G46:G50)+J46+J48</f>
        <v>2068.2200000000003</v>
      </c>
      <c r="M46" s="227">
        <v>2068.2199999999998</v>
      </c>
      <c r="N46" s="264"/>
      <c r="O46" s="229"/>
      <c r="P46" s="265"/>
      <c r="Q46" s="229"/>
      <c r="R46" s="242"/>
      <c r="S46" s="266"/>
      <c r="T46" s="266"/>
    </row>
    <row r="47" spans="1:21" ht="15.75">
      <c r="A47" s="289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683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289"/>
      <c r="B48" s="268"/>
      <c r="C48" s="48" t="s">
        <v>124</v>
      </c>
      <c r="D48" s="296">
        <v>224.3</v>
      </c>
      <c r="E48" s="41">
        <f>6.3785-5.6595</f>
        <v>0.71899999999999942</v>
      </c>
      <c r="F48" s="41">
        <f>+E48</f>
        <v>0.71899999999999942</v>
      </c>
      <c r="G48" s="235">
        <f>ROUND(D48*E48,2)</f>
        <v>161.27000000000001</v>
      </c>
      <c r="H48" s="270"/>
      <c r="I48" s="41"/>
      <c r="J48" s="41"/>
      <c r="K48" s="684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5.75">
      <c r="A49" s="289"/>
      <c r="B49" s="268"/>
      <c r="C49" s="48" t="s">
        <v>125</v>
      </c>
      <c r="D49" s="269">
        <v>3.1</v>
      </c>
      <c r="E49" s="41">
        <v>6.3784999999999998</v>
      </c>
      <c r="F49" s="41">
        <f>+E49</f>
        <v>6.3784999999999998</v>
      </c>
      <c r="G49" s="235">
        <f>ROUND(D49*E49,2)</f>
        <v>19.77</v>
      </c>
      <c r="H49" s="270"/>
      <c r="I49" s="41"/>
      <c r="J49" s="41"/>
      <c r="K49" s="684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1" ht="16.5" thickBot="1">
      <c r="A50" s="290"/>
      <c r="B50" s="277"/>
      <c r="C50" s="99" t="s">
        <v>29</v>
      </c>
      <c r="D50" s="279">
        <v>287.39999999999998</v>
      </c>
      <c r="E50" s="56">
        <v>6.3784999999999998</v>
      </c>
      <c r="F50" s="57">
        <f>+E50</f>
        <v>6.3784999999999998</v>
      </c>
      <c r="G50" s="247">
        <f>ROUND(D50*E50,2)</f>
        <v>1833.18</v>
      </c>
      <c r="H50" s="280"/>
      <c r="I50" s="281"/>
      <c r="J50" s="281"/>
      <c r="K50" s="6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1" ht="15.75">
      <c r="A51" s="299"/>
      <c r="B51" s="258" t="s">
        <v>58</v>
      </c>
      <c r="C51" s="48" t="s">
        <v>59</v>
      </c>
      <c r="D51" s="259">
        <v>0.44</v>
      </c>
      <c r="E51" s="21">
        <v>32.332000000000001</v>
      </c>
      <c r="F51" s="21">
        <v>37.889800000000001</v>
      </c>
      <c r="G51" s="214">
        <f>ROUND(D51*(E51+F51),2)</f>
        <v>30.9</v>
      </c>
      <c r="H51" s="213">
        <v>0</v>
      </c>
      <c r="I51">
        <v>22.478999999999999</v>
      </c>
      <c r="J51" s="215">
        <f t="shared" ref="J51" si="5">H51*I51</f>
        <v>0</v>
      </c>
      <c r="K51" s="679">
        <v>42705</v>
      </c>
      <c r="L51" s="294">
        <f>SUM(G51:G55)+J51</f>
        <v>1659.44</v>
      </c>
      <c r="M51" s="227">
        <v>1659.44</v>
      </c>
      <c r="N51" s="264"/>
      <c r="O51" s="229"/>
      <c r="P51" s="265"/>
      <c r="Q51" s="229"/>
      <c r="R51" s="242"/>
      <c r="S51" s="266"/>
      <c r="T51" s="266"/>
    </row>
    <row r="52" spans="1:21" ht="15.75">
      <c r="A52" s="300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1">
      <c r="A53" s="300"/>
      <c r="B53" s="268"/>
      <c r="C53" s="48" t="s">
        <v>124</v>
      </c>
      <c r="D53" s="296">
        <v>216.6</v>
      </c>
      <c r="E53" s="41">
        <f>6.3785-5.6595</f>
        <v>0.71899999999999942</v>
      </c>
      <c r="F53" s="41">
        <f>+E53</f>
        <v>0.71899999999999942</v>
      </c>
      <c r="G53" s="235">
        <f>ROUND(D53*E53,2)</f>
        <v>155.74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5.75">
      <c r="A54" s="300"/>
      <c r="B54" s="268"/>
      <c r="C54" s="48" t="s">
        <v>125</v>
      </c>
      <c r="D54" s="269">
        <v>2.4</v>
      </c>
      <c r="E54" s="41">
        <v>6.3784999999999998</v>
      </c>
      <c r="F54" s="41">
        <f>+E54</f>
        <v>6.3784999999999998</v>
      </c>
      <c r="G54" s="235">
        <f>ROUND(D54*E54,2)</f>
        <v>15.31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1" ht="16.5" thickBot="1">
      <c r="A55" s="301"/>
      <c r="B55" s="277"/>
      <c r="C55" s="99" t="s">
        <v>29</v>
      </c>
      <c r="D55" s="279">
        <v>228.5</v>
      </c>
      <c r="E55" s="56">
        <v>6.3784999999999998</v>
      </c>
      <c r="F55" s="57">
        <f>+E55</f>
        <v>6.3784999999999998</v>
      </c>
      <c r="G55" s="247">
        <f>ROUND(D55*E55,2)</f>
        <v>1457.49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1" ht="16.5" thickTop="1">
      <c r="A56" s="320"/>
      <c r="B56" s="321"/>
      <c r="C56" s="322"/>
      <c r="D56" s="323"/>
      <c r="E56" s="163"/>
      <c r="F56" s="324"/>
      <c r="G56" s="325"/>
      <c r="H56" s="163"/>
      <c r="I56" s="163"/>
      <c r="J56" s="163"/>
      <c r="K56" s="163"/>
      <c r="L56" s="163"/>
      <c r="M56" s="326"/>
      <c r="N56" s="327"/>
      <c r="O56" s="328"/>
      <c r="P56" s="329"/>
      <c r="Q56" s="328"/>
      <c r="R56" s="330"/>
      <c r="S56" s="331"/>
      <c r="T56" s="266"/>
    </row>
    <row r="57" spans="1:21" ht="21.75" thickBot="1">
      <c r="A57" s="171" t="s">
        <v>60</v>
      </c>
      <c r="B57" s="2"/>
      <c r="C57" s="3"/>
      <c r="D57" s="2"/>
      <c r="E57" s="2"/>
      <c r="F57" s="2"/>
      <c r="G57" s="332"/>
      <c r="H57" s="332"/>
      <c r="I57" s="332"/>
      <c r="J57" s="2"/>
      <c r="K57" s="2"/>
      <c r="L57" s="2"/>
      <c r="M57" s="3"/>
      <c r="N57" s="2"/>
      <c r="O57" s="2"/>
      <c r="P57" s="2"/>
      <c r="Q57" s="2"/>
      <c r="R57" s="2"/>
      <c r="S57" s="2"/>
    </row>
    <row r="58" spans="1:21" ht="15" customHeight="1" thickTop="1">
      <c r="A58" s="1553" t="s">
        <v>1</v>
      </c>
      <c r="B58" s="1516" t="s">
        <v>2</v>
      </c>
      <c r="C58" s="1518" t="s">
        <v>3</v>
      </c>
      <c r="D58" s="1532" t="s">
        <v>4</v>
      </c>
      <c r="E58" s="1532"/>
      <c r="F58" s="1532"/>
      <c r="G58" s="1532"/>
      <c r="H58" s="1533" t="s">
        <v>5</v>
      </c>
      <c r="I58" s="1534"/>
      <c r="J58" s="1534"/>
      <c r="K58" s="1534"/>
      <c r="L58" s="1524" t="s">
        <v>6</v>
      </c>
      <c r="M58" s="1537" t="s">
        <v>7</v>
      </c>
      <c r="N58" s="1538" t="s">
        <v>8</v>
      </c>
      <c r="O58" s="1538"/>
      <c r="P58" s="1538"/>
      <c r="Q58" s="1539"/>
      <c r="R58" s="5"/>
      <c r="S58" s="5"/>
      <c r="T58" s="5" t="s">
        <v>61</v>
      </c>
      <c r="U58" t="s">
        <v>21</v>
      </c>
    </row>
    <row r="59" spans="1:21" ht="27" customHeight="1" thickBot="1">
      <c r="A59" s="1531"/>
      <c r="B59" s="1517"/>
      <c r="C59" s="1519" t="s">
        <v>10</v>
      </c>
      <c r="D59" s="333" t="s">
        <v>11</v>
      </c>
      <c r="E59" s="7" t="s">
        <v>12</v>
      </c>
      <c r="F59" s="7" t="s">
        <v>13</v>
      </c>
      <c r="G59" s="334" t="s">
        <v>14</v>
      </c>
      <c r="H59" s="335" t="s">
        <v>11</v>
      </c>
      <c r="I59" s="333" t="s">
        <v>15</v>
      </c>
      <c r="J59" s="336" t="s">
        <v>14</v>
      </c>
      <c r="K59" s="11" t="s">
        <v>16</v>
      </c>
      <c r="L59" s="1525"/>
      <c r="M59" s="1511"/>
      <c r="N59" s="337" t="s">
        <v>62</v>
      </c>
      <c r="O59" s="338" t="s">
        <v>44</v>
      </c>
      <c r="P59" s="13" t="s">
        <v>18</v>
      </c>
      <c r="Q59" s="14" t="s">
        <v>19</v>
      </c>
    </row>
    <row r="60" spans="1:21" ht="14.25" customHeight="1">
      <c r="A60" s="339" t="s">
        <v>63</v>
      </c>
      <c r="B60" s="18" t="s">
        <v>64</v>
      </c>
      <c r="C60" s="71">
        <f>+[1]фев17!U63</f>
        <v>-4.0664999997825362</v>
      </c>
      <c r="D60" s="340">
        <v>62</v>
      </c>
      <c r="E60" s="21">
        <v>32.332000000000001</v>
      </c>
      <c r="F60" s="21">
        <v>37.889800000000001</v>
      </c>
      <c r="G60" s="185">
        <f>ROUND(D60*(E60+F60),2)</f>
        <v>4353.75</v>
      </c>
      <c r="H60" s="184"/>
      <c r="I60" s="23"/>
      <c r="J60" s="341">
        <v>0</v>
      </c>
      <c r="K60" s="342"/>
      <c r="L60" s="343">
        <f>SUM(G60:G65,J60:J64)</f>
        <v>298070.90000000002</v>
      </c>
      <c r="M60" s="344">
        <v>298067.64</v>
      </c>
      <c r="N60" s="345"/>
      <c r="O60" s="346">
        <v>7157.88</v>
      </c>
      <c r="P60" s="347" t="s">
        <v>24</v>
      </c>
      <c r="Q60" s="348">
        <f t="shared" ref="Q60:Q66" si="6">C60+G60+J60-M60-N60-O60</f>
        <v>-300875.8364999998</v>
      </c>
      <c r="R60" s="349" t="s">
        <v>65</v>
      </c>
      <c r="S60" s="350" t="s">
        <v>20</v>
      </c>
      <c r="T60" s="351" t="s">
        <v>21</v>
      </c>
      <c r="U60" s="352">
        <f>+L60-M60+C60</f>
        <v>-0.80649999977322295</v>
      </c>
    </row>
    <row r="61" spans="1:21" ht="14.25" customHeight="1">
      <c r="A61" s="353"/>
      <c r="B61" s="35"/>
      <c r="C61" s="84" t="s">
        <v>26</v>
      </c>
      <c r="D61" s="37">
        <v>0</v>
      </c>
      <c r="E61" s="38">
        <f>32.332-28.8628</f>
        <v>3.4692000000000007</v>
      </c>
      <c r="F61" s="38">
        <f>37.8898-33.8306</f>
        <v>4.0592000000000041</v>
      </c>
      <c r="G61" s="39">
        <f>ROUND(D61*(E61+F61),2)</f>
        <v>0</v>
      </c>
      <c r="H61" s="49"/>
      <c r="I61" s="271"/>
      <c r="J61" s="101"/>
      <c r="K61" s="354"/>
      <c r="L61" s="355"/>
      <c r="M61" s="356"/>
      <c r="N61" s="357"/>
      <c r="O61" s="358"/>
      <c r="P61" s="359"/>
      <c r="Q61" s="360"/>
      <c r="R61" s="349"/>
      <c r="S61" s="350"/>
      <c r="T61" s="351"/>
      <c r="U61" s="352"/>
    </row>
    <row r="62" spans="1:21">
      <c r="A62" s="353"/>
      <c r="B62" s="35"/>
      <c r="C62" s="48"/>
      <c r="D62" s="49">
        <v>0</v>
      </c>
      <c r="E62" s="41">
        <f>4.4128-4.4153</f>
        <v>-2.5000000000003908E-3</v>
      </c>
      <c r="F62" s="41">
        <f>+E62</f>
        <v>-2.5000000000003908E-3</v>
      </c>
      <c r="G62" s="50">
        <f>ROUND(D62*E62*70%+D62*F62*30%,2)</f>
        <v>0</v>
      </c>
      <c r="H62" s="49"/>
      <c r="I62" s="271">
        <v>0</v>
      </c>
      <c r="J62" s="41">
        <f>H62*I62</f>
        <v>0</v>
      </c>
      <c r="K62" s="354"/>
      <c r="L62" s="355"/>
      <c r="M62" s="356"/>
      <c r="N62" s="357"/>
      <c r="O62" s="358"/>
      <c r="P62" s="359"/>
      <c r="Q62" s="360"/>
      <c r="R62" s="349"/>
      <c r="S62" s="350"/>
      <c r="T62" s="351"/>
      <c r="U62" s="352"/>
    </row>
    <row r="63" spans="1:21">
      <c r="A63" s="353"/>
      <c r="B63" s="35"/>
      <c r="C63" s="48" t="s">
        <v>124</v>
      </c>
      <c r="D63" s="49">
        <v>38054</v>
      </c>
      <c r="E63" s="41">
        <f>6.508-5.8291</f>
        <v>0.67889999999999961</v>
      </c>
      <c r="F63" s="38">
        <f>+E63</f>
        <v>0.67889999999999961</v>
      </c>
      <c r="G63" s="50">
        <f>ROUND(+D63*E63,2)</f>
        <v>25834.86</v>
      </c>
      <c r="H63" s="49"/>
      <c r="I63" s="271"/>
      <c r="J63" s="41"/>
      <c r="K63" s="354"/>
      <c r="L63" s="355"/>
      <c r="M63" s="356"/>
      <c r="N63" s="357"/>
      <c r="O63" s="358"/>
      <c r="P63" s="359"/>
      <c r="Q63" s="360"/>
      <c r="R63" s="349"/>
      <c r="S63" s="350"/>
      <c r="T63" s="351"/>
      <c r="U63" s="352"/>
    </row>
    <row r="64" spans="1:21">
      <c r="A64" s="353"/>
      <c r="B64" s="35"/>
      <c r="C64" s="48" t="s">
        <v>125</v>
      </c>
      <c r="D64" s="49">
        <v>99</v>
      </c>
      <c r="E64" s="41">
        <v>6.508</v>
      </c>
      <c r="F64" s="41">
        <f>+E64</f>
        <v>6.508</v>
      </c>
      <c r="G64" s="50">
        <f>ROUND(D64*E64,2)</f>
        <v>644.29</v>
      </c>
      <c r="H64" s="361"/>
      <c r="I64" s="362"/>
      <c r="J64" s="207"/>
      <c r="K64" s="363"/>
      <c r="L64" s="364"/>
      <c r="M64" s="365"/>
      <c r="N64" s="366"/>
      <c r="O64" s="367"/>
      <c r="P64" s="368"/>
      <c r="Q64" s="360"/>
      <c r="R64" s="349"/>
      <c r="S64" s="350"/>
      <c r="T64" s="351"/>
      <c r="U64" s="352"/>
    </row>
    <row r="65" spans="1:21" ht="15.75" thickBot="1">
      <c r="A65" s="369"/>
      <c r="B65" s="53" t="s">
        <v>66</v>
      </c>
      <c r="C65" s="99" t="s">
        <v>29</v>
      </c>
      <c r="D65" s="55">
        <v>41063</v>
      </c>
      <c r="E65" s="56">
        <v>6.508</v>
      </c>
      <c r="F65" s="370">
        <f>+E65</f>
        <v>6.508</v>
      </c>
      <c r="G65" s="58">
        <f>ROUND(D65*E65,2)</f>
        <v>267238</v>
      </c>
      <c r="H65" s="248"/>
      <c r="I65" s="203"/>
      <c r="J65" s="60"/>
      <c r="K65" s="203"/>
      <c r="L65" s="204"/>
      <c r="M65" s="371"/>
      <c r="N65" s="372"/>
      <c r="O65" s="373">
        <v>165882.5</v>
      </c>
      <c r="P65" s="374" t="s">
        <v>24</v>
      </c>
      <c r="Q65" s="373">
        <f>G65+J65-M65-N65-O65</f>
        <v>101355.5</v>
      </c>
      <c r="R65" s="349" t="s">
        <v>65</v>
      </c>
      <c r="S65" s="375">
        <f>SUM(O60:O65)</f>
        <v>173040.38</v>
      </c>
      <c r="T65" s="375">
        <f>SUM(Q60:Q65)</f>
        <v>-199520.3364999998</v>
      </c>
    </row>
    <row r="66" spans="1:21" s="81" customFormat="1" ht="15" customHeight="1">
      <c r="A66" s="376">
        <v>301</v>
      </c>
      <c r="B66" s="70" t="s">
        <v>67</v>
      </c>
      <c r="C66" s="377"/>
      <c r="D66" s="378">
        <v>465</v>
      </c>
      <c r="E66" s="21">
        <v>32.332000000000001</v>
      </c>
      <c r="F66" s="21">
        <v>37.889800000000001</v>
      </c>
      <c r="G66" s="379">
        <f>ROUND(D66*(E66+F66),2)</f>
        <v>32653.14</v>
      </c>
      <c r="H66" s="380"/>
      <c r="I66" s="381">
        <v>183.82</v>
      </c>
      <c r="J66" s="381">
        <f>H66*I66</f>
        <v>0</v>
      </c>
      <c r="K66" s="342"/>
      <c r="L66" s="382">
        <f>+SUM(G66:G75,J66:J74)</f>
        <v>337272.17799999996</v>
      </c>
      <c r="M66" s="26">
        <v>337272.18</v>
      </c>
      <c r="N66" s="383"/>
      <c r="O66" s="77"/>
      <c r="P66" s="77" t="s">
        <v>68</v>
      </c>
      <c r="Q66" s="384">
        <f t="shared" si="6"/>
        <v>-304619.03999999998</v>
      </c>
      <c r="R66" s="385" t="s">
        <v>69</v>
      </c>
      <c r="S66" s="386"/>
      <c r="T66" s="387"/>
      <c r="U66" s="388"/>
    </row>
    <row r="67" spans="1:21" s="81" customFormat="1" ht="12.75">
      <c r="A67" s="389"/>
      <c r="B67" s="83"/>
      <c r="C67" s="390" t="s">
        <v>26</v>
      </c>
      <c r="D67" s="37">
        <v>0</v>
      </c>
      <c r="E67" s="38">
        <f>32.332-28.8628</f>
        <v>3.4692000000000007</v>
      </c>
      <c r="F67" s="38">
        <v>0</v>
      </c>
      <c r="G67" s="39">
        <f>ROUND(D67*(E67+F67),2)</f>
        <v>0</v>
      </c>
      <c r="H67" s="391"/>
      <c r="I67" s="392"/>
      <c r="J67" s="392"/>
      <c r="K67" s="393"/>
      <c r="L67" s="394"/>
      <c r="M67" s="90"/>
      <c r="N67" s="395"/>
      <c r="O67" s="94"/>
      <c r="P67" s="94"/>
      <c r="Q67" s="396"/>
      <c r="R67" s="397"/>
      <c r="S67" s="398"/>
      <c r="T67" s="399"/>
    </row>
    <row r="68" spans="1:21" s="81" customFormat="1" ht="12.75">
      <c r="A68" s="389"/>
      <c r="B68" s="98" t="s">
        <v>32</v>
      </c>
      <c r="C68" s="99" t="s">
        <v>33</v>
      </c>
      <c r="D68" s="37">
        <v>335</v>
      </c>
      <c r="E68" s="101">
        <v>363.77</v>
      </c>
      <c r="F68" s="38">
        <v>37.889800000000001</v>
      </c>
      <c r="G68" s="400">
        <f>ROUND(D68*(E68+F68),2)</f>
        <v>134556.03</v>
      </c>
      <c r="H68" s="401"/>
      <c r="I68" s="402"/>
      <c r="J68" s="402"/>
      <c r="K68" s="403"/>
      <c r="L68" s="404"/>
      <c r="M68" s="102"/>
      <c r="N68" s="405"/>
      <c r="O68" s="406"/>
      <c r="P68" s="406" t="s">
        <v>68</v>
      </c>
      <c r="Q68" s="407">
        <f>+G68+J68-M68-N68-O68</f>
        <v>134556.03</v>
      </c>
      <c r="R68" s="397" t="s">
        <v>69</v>
      </c>
      <c r="S68" s="398"/>
      <c r="T68" s="399"/>
    </row>
    <row r="69" spans="1:21" s="81" customFormat="1" ht="15" customHeight="1">
      <c r="A69" s="389"/>
      <c r="B69" s="98"/>
      <c r="C69" s="84"/>
      <c r="D69" s="37">
        <v>386</v>
      </c>
      <c r="E69" s="41">
        <f>363.77-283.85</f>
        <v>79.919999999999959</v>
      </c>
      <c r="F69" s="38">
        <v>0</v>
      </c>
      <c r="G69" s="400">
        <f>+D69*(E69+F69)</f>
        <v>30849.119999999984</v>
      </c>
      <c r="H69" s="401"/>
      <c r="I69" s="402"/>
      <c r="J69" s="402"/>
      <c r="K69" s="408"/>
      <c r="L69" s="404"/>
      <c r="M69" s="102"/>
      <c r="N69" s="405"/>
      <c r="O69" s="406"/>
      <c r="P69" s="406"/>
      <c r="Q69" s="407"/>
      <c r="R69" s="397"/>
      <c r="S69" s="398"/>
      <c r="T69" s="399"/>
    </row>
    <row r="70" spans="1:21" s="81" customFormat="1" ht="15" customHeight="1">
      <c r="A70" s="389"/>
      <c r="B70" s="83"/>
      <c r="C70" s="84"/>
      <c r="D70" s="37"/>
      <c r="E70" s="41"/>
      <c r="F70" s="38"/>
      <c r="G70" s="400"/>
      <c r="H70" s="401"/>
      <c r="I70" s="402"/>
      <c r="J70" s="402"/>
      <c r="K70" s="408"/>
      <c r="L70" s="404"/>
      <c r="M70" s="102"/>
      <c r="N70" s="405"/>
      <c r="O70" s="406"/>
      <c r="P70" s="406"/>
      <c r="Q70" s="407"/>
      <c r="R70" s="397"/>
      <c r="S70" s="398"/>
      <c r="T70" s="399"/>
    </row>
    <row r="71" spans="1:21" s="81" customFormat="1" ht="15" customHeight="1">
      <c r="A71" s="389"/>
      <c r="B71" s="83" t="s">
        <v>70</v>
      </c>
      <c r="C71" s="84"/>
      <c r="D71" s="37"/>
      <c r="E71" s="41"/>
      <c r="F71" s="38">
        <v>33.830599999999997</v>
      </c>
      <c r="G71" s="400"/>
      <c r="H71" s="401"/>
      <c r="I71" s="402"/>
      <c r="J71" s="402"/>
      <c r="K71" s="408"/>
      <c r="L71" s="404"/>
      <c r="M71" s="102"/>
      <c r="N71" s="405"/>
      <c r="O71" s="406"/>
      <c r="P71" s="406"/>
      <c r="Q71" s="407"/>
      <c r="R71" s="397"/>
      <c r="S71" s="398"/>
      <c r="T71" s="399"/>
    </row>
    <row r="72" spans="1:21" s="81" customFormat="1" ht="15" customHeight="1">
      <c r="A72" s="389"/>
      <c r="B72" s="83"/>
      <c r="C72" s="48"/>
      <c r="D72" s="37">
        <v>0</v>
      </c>
      <c r="E72" s="41">
        <f>4.4128-4.4153</f>
        <v>-2.5000000000003908E-3</v>
      </c>
      <c r="F72" s="38"/>
      <c r="G72" s="39">
        <f>ROUND(D72*(E72+F72),2)</f>
        <v>0</v>
      </c>
      <c r="H72" s="37"/>
      <c r="I72" s="409"/>
      <c r="J72" s="409"/>
      <c r="K72" s="408"/>
      <c r="L72" s="404"/>
      <c r="M72" s="102"/>
      <c r="N72" s="405"/>
      <c r="O72" s="406"/>
      <c r="P72" s="406"/>
      <c r="Q72" s="407"/>
      <c r="R72" s="397"/>
      <c r="S72" s="398"/>
      <c r="T72" s="399"/>
    </row>
    <row r="73" spans="1:21" s="81" customFormat="1" ht="15" customHeight="1">
      <c r="A73" s="389"/>
      <c r="B73" s="83"/>
      <c r="C73" s="48" t="s">
        <v>124</v>
      </c>
      <c r="D73" s="37">
        <v>16720</v>
      </c>
      <c r="E73" s="41">
        <f>6.508-5.8291</f>
        <v>0.67889999999999961</v>
      </c>
      <c r="F73" s="38">
        <f>+E73</f>
        <v>0.67889999999999961</v>
      </c>
      <c r="G73" s="39">
        <f>+D73*E73</f>
        <v>11351.207999999993</v>
      </c>
      <c r="H73" s="37"/>
      <c r="I73" s="409"/>
      <c r="J73" s="409"/>
      <c r="K73" s="408"/>
      <c r="L73" s="404"/>
      <c r="M73" s="102"/>
      <c r="N73" s="405"/>
      <c r="O73" s="406"/>
      <c r="P73" s="406"/>
      <c r="Q73" s="407"/>
      <c r="R73" s="397"/>
      <c r="S73" s="398"/>
      <c r="T73" s="399"/>
    </row>
    <row r="74" spans="1:21" s="81" customFormat="1" ht="15" customHeight="1">
      <c r="A74" s="389"/>
      <c r="B74" s="83"/>
      <c r="C74" s="48" t="s">
        <v>125</v>
      </c>
      <c r="D74" s="37">
        <v>47</v>
      </c>
      <c r="E74" s="41">
        <v>6.508</v>
      </c>
      <c r="F74" s="41">
        <f>+E74</f>
        <v>6.508</v>
      </c>
      <c r="G74" s="39">
        <f>ROUND(D74*E74,2)</f>
        <v>305.88</v>
      </c>
      <c r="H74" s="37"/>
      <c r="I74" s="409"/>
      <c r="J74" s="409"/>
      <c r="K74" s="410"/>
      <c r="L74" s="404"/>
      <c r="M74" s="102"/>
      <c r="N74" s="405"/>
      <c r="O74" s="406"/>
      <c r="P74" s="406"/>
      <c r="Q74" s="407"/>
      <c r="R74" s="397"/>
      <c r="S74" s="398"/>
      <c r="T74" s="399"/>
    </row>
    <row r="75" spans="1:21" s="81" customFormat="1" ht="15.75" customHeight="1" thickBot="1">
      <c r="A75" s="411"/>
      <c r="B75" s="412"/>
      <c r="C75" s="99" t="s">
        <v>29</v>
      </c>
      <c r="D75" s="413">
        <v>19600</v>
      </c>
      <c r="E75" s="56">
        <v>6.508</v>
      </c>
      <c r="F75" s="370">
        <f>+E75</f>
        <v>6.508</v>
      </c>
      <c r="G75" s="414">
        <f>ROUND(D75*E75,2)</f>
        <v>127556.8</v>
      </c>
      <c r="H75" s="248"/>
      <c r="I75" s="60"/>
      <c r="J75" s="60"/>
      <c r="K75" s="203"/>
      <c r="L75" s="204"/>
      <c r="M75" s="371"/>
      <c r="N75" s="415"/>
      <c r="O75" s="416"/>
      <c r="P75" s="416" t="s">
        <v>68</v>
      </c>
      <c r="Q75" s="417">
        <f>+G75+J75-M75-N75-O75</f>
        <v>127556.8</v>
      </c>
      <c r="R75" s="418" t="s">
        <v>69</v>
      </c>
      <c r="S75" s="419">
        <f>SUM(O66:O75)</f>
        <v>0</v>
      </c>
      <c r="T75" s="419">
        <f>SUM(Q66:Q75)</f>
        <v>-42506.209999999977</v>
      </c>
    </row>
    <row r="76" spans="1:21" s="81" customFormat="1" ht="15.75" customHeight="1">
      <c r="A76" s="376"/>
      <c r="B76" s="420" t="s">
        <v>72</v>
      </c>
      <c r="C76" s="377" t="s">
        <v>73</v>
      </c>
      <c r="D76" s="378">
        <v>157</v>
      </c>
      <c r="E76" s="21">
        <v>32.332000000000001</v>
      </c>
      <c r="F76" s="21">
        <v>37.889800000000001</v>
      </c>
      <c r="G76" s="22">
        <f>+D76*(E76+F76)</f>
        <v>11024.8226</v>
      </c>
      <c r="H76" s="303"/>
      <c r="I76" s="23"/>
      <c r="J76" s="341"/>
      <c r="K76" s="342"/>
      <c r="L76" s="263">
        <f>SUM(G76:G80,J76:J80)</f>
        <v>284728.32260000001</v>
      </c>
      <c r="M76" s="26">
        <v>284728.32000000001</v>
      </c>
      <c r="N76" s="421"/>
      <c r="O76" s="77"/>
      <c r="P76" s="77"/>
      <c r="Q76" s="384"/>
      <c r="R76" s="422"/>
      <c r="S76" s="399"/>
      <c r="T76" s="399"/>
    </row>
    <row r="77" spans="1:21" s="81" customFormat="1" ht="15.75" customHeight="1">
      <c r="A77" s="389"/>
      <c r="B77" s="83"/>
      <c r="C77" s="84" t="s">
        <v>26</v>
      </c>
      <c r="D77" s="37">
        <v>0</v>
      </c>
      <c r="E77" s="38">
        <f>32.332-28.8628</f>
        <v>3.4692000000000007</v>
      </c>
      <c r="F77" s="38">
        <f>37.8898-33.8306</f>
        <v>4.0592000000000041</v>
      </c>
      <c r="G77" s="39">
        <f>ROUND(D77*(E77+F77),2)</f>
        <v>0</v>
      </c>
      <c r="H77" s="270"/>
      <c r="I77" s="41"/>
      <c r="J77" s="41"/>
      <c r="K77" s="271"/>
      <c r="L77" s="272"/>
      <c r="M77" s="102"/>
      <c r="N77" s="423"/>
      <c r="O77" s="406"/>
      <c r="P77" s="406"/>
      <c r="Q77" s="424"/>
      <c r="R77" s="422"/>
      <c r="S77" s="399"/>
      <c r="T77" s="399"/>
    </row>
    <row r="78" spans="1:21" s="81" customFormat="1" ht="15.75" customHeight="1">
      <c r="A78" s="389"/>
      <c r="B78" s="83"/>
      <c r="C78" s="48" t="s">
        <v>124</v>
      </c>
      <c r="D78" s="37">
        <v>33019</v>
      </c>
      <c r="E78" s="41">
        <f>6.508-5.8291</f>
        <v>0.67889999999999961</v>
      </c>
      <c r="F78" s="38"/>
      <c r="G78" s="39">
        <f>ROUND(D78*(E78),2)</f>
        <v>22416.6</v>
      </c>
      <c r="H78" s="270"/>
      <c r="I78" s="41"/>
      <c r="J78" s="41"/>
      <c r="K78" s="271"/>
      <c r="L78" s="272"/>
      <c r="M78" s="102"/>
      <c r="N78" s="423"/>
      <c r="O78" s="406"/>
      <c r="P78" s="406"/>
      <c r="Q78" s="424"/>
      <c r="R78" s="422"/>
      <c r="S78" s="399"/>
      <c r="T78" s="399"/>
    </row>
    <row r="79" spans="1:21" s="81" customFormat="1" ht="15.75" customHeight="1">
      <c r="A79" s="389"/>
      <c r="B79" s="83"/>
      <c r="C79" s="48" t="s">
        <v>125</v>
      </c>
      <c r="D79" s="37">
        <v>92</v>
      </c>
      <c r="E79" s="41">
        <v>6.508</v>
      </c>
      <c r="F79" s="38"/>
      <c r="G79" s="39">
        <f>ROUND(D79*(E79),2)</f>
        <v>598.74</v>
      </c>
      <c r="H79" s="270"/>
      <c r="I79" s="41"/>
      <c r="J79" s="41"/>
      <c r="K79" s="271"/>
      <c r="L79" s="272"/>
      <c r="M79" s="102"/>
      <c r="N79" s="423"/>
      <c r="O79" s="406"/>
      <c r="P79" s="406"/>
      <c r="Q79" s="425"/>
      <c r="R79" s="422"/>
      <c r="S79" s="399"/>
      <c r="T79" s="399"/>
    </row>
    <row r="80" spans="1:21" s="81" customFormat="1" ht="15.75" customHeight="1" thickBot="1">
      <c r="A80" s="411"/>
      <c r="B80" s="412"/>
      <c r="C80" s="99" t="s">
        <v>29</v>
      </c>
      <c r="D80" s="413">
        <v>38520</v>
      </c>
      <c r="E80" s="56">
        <v>6.508</v>
      </c>
      <c r="F80" s="281"/>
      <c r="G80" s="414">
        <f>ROUND(D80*(E80),2)</f>
        <v>250688.16</v>
      </c>
      <c r="H80" s="280"/>
      <c r="I80" s="281"/>
      <c r="J80" s="281"/>
      <c r="K80" s="282"/>
      <c r="L80" s="204"/>
      <c r="M80" s="371"/>
      <c r="N80" s="426"/>
      <c r="O80" s="416"/>
      <c r="P80" s="416"/>
      <c r="Q80" s="417"/>
      <c r="R80" s="422"/>
      <c r="S80" s="399"/>
      <c r="T80" s="399"/>
    </row>
    <row r="81" spans="1:20" s="81" customFormat="1" ht="15.75" customHeight="1">
      <c r="A81" s="376"/>
      <c r="B81" s="427" t="s">
        <v>74</v>
      </c>
      <c r="C81" s="377" t="s">
        <v>73</v>
      </c>
      <c r="D81" s="378">
        <v>18</v>
      </c>
      <c r="E81" s="21">
        <v>32.332000000000001</v>
      </c>
      <c r="F81" s="21">
        <v>37.889800000000001</v>
      </c>
      <c r="G81" s="22">
        <f>ROUND(D81*(E81+F81),2)</f>
        <v>1263.99</v>
      </c>
      <c r="H81" s="303"/>
      <c r="I81" s="23"/>
      <c r="J81" s="23">
        <v>0</v>
      </c>
      <c r="K81" s="342"/>
      <c r="L81" s="263">
        <f>SUM(G81:G87,J81:J87)</f>
        <v>22151.27</v>
      </c>
      <c r="M81" s="26">
        <v>22151.27</v>
      </c>
      <c r="N81" s="421"/>
      <c r="O81" s="77"/>
      <c r="P81" s="77"/>
      <c r="Q81" s="384"/>
      <c r="R81" s="422"/>
      <c r="S81" s="399"/>
      <c r="T81" s="399"/>
    </row>
    <row r="82" spans="1:20" s="81" customFormat="1" ht="15.75" customHeight="1">
      <c r="A82" s="389"/>
      <c r="B82" s="98" t="s">
        <v>75</v>
      </c>
      <c r="C82" s="84" t="s">
        <v>26</v>
      </c>
      <c r="D82" s="37"/>
      <c r="E82" s="38">
        <f>32.332-28.8628</f>
        <v>3.4692000000000007</v>
      </c>
      <c r="F82" s="38">
        <f>37.8898-33.8306</f>
        <v>4.0592000000000041</v>
      </c>
      <c r="G82" s="39">
        <f>ROUND(D82*(E82+F82),2)</f>
        <v>0</v>
      </c>
      <c r="H82" s="270"/>
      <c r="I82" s="41"/>
      <c r="J82" s="41"/>
      <c r="K82" s="354"/>
      <c r="L82" s="272"/>
      <c r="M82" s="102"/>
      <c r="N82" s="423"/>
      <c r="O82" s="406"/>
      <c r="P82" s="406"/>
      <c r="Q82" s="424"/>
      <c r="R82" s="422"/>
      <c r="S82" s="399"/>
      <c r="T82" s="399"/>
    </row>
    <row r="83" spans="1:20" s="81" customFormat="1" ht="15.75" customHeight="1">
      <c r="A83" s="389"/>
      <c r="B83" s="83"/>
      <c r="C83" s="99" t="s">
        <v>33</v>
      </c>
      <c r="D83" s="428">
        <v>7</v>
      </c>
      <c r="E83" s="101">
        <v>363.77</v>
      </c>
      <c r="F83" s="38">
        <v>37.889800000000001</v>
      </c>
      <c r="G83" s="39">
        <f>ROUND(D83*(E83+F83),2)</f>
        <v>2811.62</v>
      </c>
      <c r="H83" s="270"/>
      <c r="I83" s="41"/>
      <c r="J83" s="41"/>
      <c r="K83" s="271"/>
      <c r="L83" s="272"/>
      <c r="M83" s="102"/>
      <c r="N83" s="423"/>
      <c r="O83" s="406"/>
      <c r="P83" s="406"/>
      <c r="Q83" s="424"/>
      <c r="R83" s="422"/>
      <c r="S83" s="399"/>
      <c r="T83" s="399"/>
    </row>
    <row r="84" spans="1:20" s="81" customFormat="1" ht="15.75" customHeight="1">
      <c r="A84" s="389"/>
      <c r="B84" s="83"/>
      <c r="C84" s="48" t="s">
        <v>76</v>
      </c>
      <c r="D84" s="37">
        <v>5</v>
      </c>
      <c r="E84" s="41">
        <f>363.77-283.85</f>
        <v>79.919999999999959</v>
      </c>
      <c r="F84" s="38"/>
      <c r="G84" s="39">
        <f>ROUND(D84*(E84+F84),2)</f>
        <v>399.6</v>
      </c>
      <c r="H84" s="270"/>
      <c r="I84" s="41"/>
      <c r="J84" s="41"/>
      <c r="K84" s="271"/>
      <c r="L84" s="272"/>
      <c r="M84" s="102"/>
      <c r="N84" s="423"/>
      <c r="O84" s="406"/>
      <c r="P84" s="406"/>
      <c r="Q84" s="424"/>
      <c r="R84" s="422"/>
      <c r="S84" s="399"/>
      <c r="T84" s="399"/>
    </row>
    <row r="85" spans="1:20" s="81" customFormat="1" ht="15.75" customHeight="1">
      <c r="A85" s="389"/>
      <c r="B85" s="83"/>
      <c r="C85" s="48" t="s">
        <v>124</v>
      </c>
      <c r="D85" s="37">
        <v>2205.3000000000002</v>
      </c>
      <c r="E85" s="41">
        <f>6.508-5.8291</f>
        <v>0.67889999999999961</v>
      </c>
      <c r="F85" s="38"/>
      <c r="G85" s="39">
        <f>ROUND(D85*(E85+F85),2)-0.01</f>
        <v>1497.17</v>
      </c>
      <c r="H85" s="270"/>
      <c r="I85" s="41"/>
      <c r="J85" s="41"/>
      <c r="K85" s="271"/>
      <c r="L85" s="272"/>
      <c r="M85" s="102"/>
      <c r="N85" s="423"/>
      <c r="O85" s="406"/>
      <c r="P85" s="406"/>
      <c r="Q85" s="424"/>
      <c r="R85" s="422"/>
      <c r="S85" s="399"/>
      <c r="T85" s="399"/>
    </row>
    <row r="86" spans="1:20" s="81" customFormat="1" ht="15.75" customHeight="1">
      <c r="A86" s="389"/>
      <c r="B86" s="83"/>
      <c r="C86" s="48" t="s">
        <v>125</v>
      </c>
      <c r="D86" s="37">
        <v>6</v>
      </c>
      <c r="E86" s="41">
        <v>6.508</v>
      </c>
      <c r="F86" s="38"/>
      <c r="G86" s="39">
        <f>ROUND(D86*E86,2)</f>
        <v>39.049999999999997</v>
      </c>
      <c r="H86" s="270"/>
      <c r="I86" s="41"/>
      <c r="J86" s="41"/>
      <c r="K86" s="271"/>
      <c r="L86" s="272"/>
      <c r="M86" s="102"/>
      <c r="N86" s="423"/>
      <c r="O86" s="406"/>
      <c r="P86" s="406"/>
      <c r="Q86" s="425"/>
      <c r="R86" s="422"/>
      <c r="S86" s="399"/>
      <c r="T86" s="399"/>
    </row>
    <row r="87" spans="1:20" s="81" customFormat="1" ht="15" customHeight="1" thickBot="1">
      <c r="A87" s="411"/>
      <c r="B87" s="412"/>
      <c r="C87" s="99" t="s">
        <v>29</v>
      </c>
      <c r="D87" s="413">
        <v>2480</v>
      </c>
      <c r="E87" s="56">
        <v>6.508</v>
      </c>
      <c r="F87" s="281"/>
      <c r="G87" s="414">
        <f t="shared" ref="G87:G94" si="7">ROUND(D87*(E87+F87),2)</f>
        <v>16139.84</v>
      </c>
      <c r="H87" s="280"/>
      <c r="I87" s="281"/>
      <c r="J87" s="281"/>
      <c r="K87" s="282"/>
      <c r="L87" s="204"/>
      <c r="M87" s="371"/>
      <c r="N87" s="426"/>
      <c r="O87" s="416"/>
      <c r="P87" s="416"/>
      <c r="Q87" s="417"/>
      <c r="R87" s="422"/>
      <c r="S87" s="399"/>
      <c r="T87" s="399"/>
    </row>
    <row r="88" spans="1:20" s="81" customFormat="1" ht="15" customHeight="1">
      <c r="A88" s="376"/>
      <c r="B88" s="420" t="s">
        <v>77</v>
      </c>
      <c r="C88" s="377" t="s">
        <v>73</v>
      </c>
      <c r="D88" s="378">
        <v>2</v>
      </c>
      <c r="E88" s="21">
        <v>32.332000000000001</v>
      </c>
      <c r="F88" s="21">
        <v>37.889800000000001</v>
      </c>
      <c r="G88" s="22">
        <f t="shared" si="7"/>
        <v>140.44</v>
      </c>
      <c r="H88" s="303"/>
      <c r="I88" s="23">
        <v>183.82</v>
      </c>
      <c r="J88" s="381">
        <f>H88*I88</f>
        <v>0</v>
      </c>
      <c r="K88" s="342"/>
      <c r="L88" s="382">
        <f>+SUM(G88:G94,J88:J94)</f>
        <v>5262.07</v>
      </c>
      <c r="M88" s="26">
        <v>5262.07</v>
      </c>
      <c r="N88" s="421"/>
      <c r="O88" s="77"/>
      <c r="P88" s="77"/>
      <c r="Q88" s="384"/>
      <c r="R88" s="422"/>
      <c r="S88" s="399"/>
      <c r="T88" s="399"/>
    </row>
    <row r="89" spans="1:20" s="81" customFormat="1" ht="15" customHeight="1">
      <c r="A89" s="389"/>
      <c r="B89" s="83"/>
      <c r="C89" s="84" t="s">
        <v>26</v>
      </c>
      <c r="D89" s="37"/>
      <c r="E89" s="38">
        <v>3.4692000000000007</v>
      </c>
      <c r="F89" s="38"/>
      <c r="G89" s="39">
        <f t="shared" si="7"/>
        <v>0</v>
      </c>
      <c r="H89" s="270"/>
      <c r="I89" s="41"/>
      <c r="J89" s="402"/>
      <c r="K89" s="354"/>
      <c r="L89" s="429"/>
      <c r="M89" s="102"/>
      <c r="N89" s="430"/>
      <c r="O89" s="431"/>
      <c r="P89" s="431"/>
      <c r="Q89" s="424"/>
      <c r="R89" s="422"/>
      <c r="S89" s="399"/>
      <c r="T89" s="399"/>
    </row>
    <row r="90" spans="1:20" s="81" customFormat="1" ht="15" customHeight="1">
      <c r="A90" s="389"/>
      <c r="B90" s="98" t="s">
        <v>32</v>
      </c>
      <c r="C90" s="99" t="s">
        <v>33</v>
      </c>
      <c r="D90" s="37">
        <v>5</v>
      </c>
      <c r="E90" s="101">
        <v>363.77</v>
      </c>
      <c r="F90" s="38">
        <v>37.889800000000001</v>
      </c>
      <c r="G90" s="39">
        <f t="shared" si="7"/>
        <v>2008.3</v>
      </c>
      <c r="H90" s="270"/>
      <c r="I90" s="41"/>
      <c r="J90" s="41"/>
      <c r="K90" s="271"/>
      <c r="L90" s="272"/>
      <c r="M90" s="102"/>
      <c r="N90" s="430"/>
      <c r="O90" s="431"/>
      <c r="P90" s="431"/>
      <c r="Q90" s="424"/>
      <c r="R90" s="422"/>
      <c r="S90" s="399"/>
      <c r="T90" s="399"/>
    </row>
    <row r="91" spans="1:20" s="81" customFormat="1" ht="15" customHeight="1">
      <c r="A91" s="389"/>
      <c r="B91" s="83"/>
      <c r="C91" s="48" t="s">
        <v>78</v>
      </c>
      <c r="D91" s="37">
        <v>8</v>
      </c>
      <c r="E91" s="41">
        <f>363.77-283.85</f>
        <v>79.919999999999959</v>
      </c>
      <c r="F91" s="38"/>
      <c r="G91" s="39">
        <f>ROUND(D91*(E91+F91),2)</f>
        <v>639.36</v>
      </c>
      <c r="H91" s="270"/>
      <c r="I91" s="41"/>
      <c r="J91" s="41"/>
      <c r="K91" s="271"/>
      <c r="L91" s="272"/>
      <c r="M91" s="102"/>
      <c r="N91" s="430"/>
      <c r="O91" s="431"/>
      <c r="P91" s="431"/>
      <c r="Q91" s="424"/>
      <c r="R91" s="422"/>
      <c r="S91" s="399"/>
      <c r="T91" s="399"/>
    </row>
    <row r="92" spans="1:20" s="81" customFormat="1" ht="15" customHeight="1">
      <c r="A92" s="389"/>
      <c r="B92" s="83"/>
      <c r="C92" s="48" t="s">
        <v>124</v>
      </c>
      <c r="D92" s="37">
        <v>338.8</v>
      </c>
      <c r="E92" s="41">
        <f>6.508-5.8291</f>
        <v>0.67889999999999961</v>
      </c>
      <c r="F92" s="38"/>
      <c r="G92" s="39">
        <f>ROUND(D92*(E92+F92),2)</f>
        <v>230.01</v>
      </c>
      <c r="H92" s="270"/>
      <c r="I92" s="41"/>
      <c r="J92" s="41"/>
      <c r="K92" s="271"/>
      <c r="L92" s="272"/>
      <c r="M92" s="102"/>
      <c r="N92" s="430"/>
      <c r="O92" s="431"/>
      <c r="P92" s="431"/>
      <c r="Q92" s="424"/>
      <c r="R92" s="422"/>
      <c r="S92" s="399"/>
      <c r="T92" s="399"/>
    </row>
    <row r="93" spans="1:20" s="81" customFormat="1" ht="15" customHeight="1">
      <c r="A93" s="389"/>
      <c r="B93" s="83"/>
      <c r="C93" s="48" t="s">
        <v>125</v>
      </c>
      <c r="D93" s="37">
        <v>0.8</v>
      </c>
      <c r="E93" s="41">
        <v>6.508</v>
      </c>
      <c r="F93" s="38"/>
      <c r="G93" s="39">
        <f t="shared" si="7"/>
        <v>5.21</v>
      </c>
      <c r="H93" s="432"/>
      <c r="I93" s="207"/>
      <c r="J93" s="207"/>
      <c r="K93" s="362"/>
      <c r="L93" s="433"/>
      <c r="M93" s="63"/>
      <c r="N93" s="434"/>
      <c r="O93" s="435"/>
      <c r="P93" s="435"/>
      <c r="Q93" s="425"/>
      <c r="R93" s="422"/>
      <c r="S93" s="399"/>
      <c r="T93" s="399"/>
    </row>
    <row r="94" spans="1:20" s="81" customFormat="1" ht="15" customHeight="1" thickBot="1">
      <c r="A94" s="411"/>
      <c r="B94" s="412"/>
      <c r="C94" s="99" t="s">
        <v>29</v>
      </c>
      <c r="D94" s="413">
        <v>344</v>
      </c>
      <c r="E94" s="56">
        <v>6.508</v>
      </c>
      <c r="F94" s="281"/>
      <c r="G94" s="414">
        <f t="shared" si="7"/>
        <v>2238.75</v>
      </c>
      <c r="H94" s="280"/>
      <c r="I94" s="281"/>
      <c r="J94" s="281"/>
      <c r="K94" s="282"/>
      <c r="L94" s="204"/>
      <c r="M94" s="371"/>
      <c r="N94" s="426"/>
      <c r="O94" s="416"/>
      <c r="P94" s="416"/>
      <c r="Q94" s="417"/>
      <c r="R94" s="436"/>
      <c r="S94" s="399"/>
      <c r="T94" s="399"/>
    </row>
    <row r="95" spans="1:20" s="81" customFormat="1" ht="15" customHeight="1">
      <c r="A95" s="437"/>
      <c r="B95" s="438" t="s">
        <v>38</v>
      </c>
      <c r="C95" s="439"/>
      <c r="D95" s="378"/>
      <c r="E95" s="23"/>
      <c r="F95" s="23"/>
      <c r="G95" s="22"/>
      <c r="H95" s="303"/>
      <c r="I95" s="23"/>
      <c r="J95" s="23"/>
      <c r="K95" s="304"/>
      <c r="L95" s="382">
        <f>+SUM(G95:G98,J95:J98)</f>
        <v>5275.9900000000007</v>
      </c>
      <c r="M95" s="26">
        <v>5275.99</v>
      </c>
      <c r="N95" s="421"/>
      <c r="O95" s="77"/>
      <c r="P95" s="77"/>
      <c r="Q95" s="77">
        <f>+L95-M95</f>
        <v>0</v>
      </c>
      <c r="R95" s="440"/>
      <c r="S95" s="399"/>
      <c r="T95" s="399"/>
    </row>
    <row r="96" spans="1:20" s="81" customFormat="1" ht="15" customHeight="1">
      <c r="A96" s="441"/>
      <c r="B96" s="442"/>
      <c r="C96" s="48" t="s">
        <v>124</v>
      </c>
      <c r="D96" s="37">
        <v>994</v>
      </c>
      <c r="E96" s="41">
        <f>6.508-5.8291</f>
        <v>0.67889999999999961</v>
      </c>
      <c r="F96" s="41"/>
      <c r="G96" s="39">
        <f>ROUND(D96*E96,2)</f>
        <v>674.83</v>
      </c>
      <c r="H96" s="260"/>
      <c r="I96" s="261"/>
      <c r="J96" s="261"/>
      <c r="K96" s="262"/>
      <c r="L96" s="394"/>
      <c r="M96" s="90"/>
      <c r="N96" s="443"/>
      <c r="O96" s="94"/>
      <c r="P96" s="94"/>
      <c r="Q96" s="94"/>
      <c r="R96" s="422"/>
      <c r="S96" s="399"/>
      <c r="T96" s="399"/>
    </row>
    <row r="97" spans="1:20" s="81" customFormat="1">
      <c r="A97" s="441"/>
      <c r="B97" s="444"/>
      <c r="C97" s="48" t="s">
        <v>125</v>
      </c>
      <c r="D97" s="37">
        <v>2</v>
      </c>
      <c r="E97" s="41">
        <v>6.508</v>
      </c>
      <c r="F97" s="41"/>
      <c r="G97" s="39">
        <f t="shared" ref="G97:G107" si="8">ROUND(D97*E97,2)</f>
        <v>13.02</v>
      </c>
      <c r="H97" s="432"/>
      <c r="I97" s="207"/>
      <c r="J97" s="207"/>
      <c r="K97" s="362"/>
      <c r="L97" s="433"/>
      <c r="M97" s="63"/>
      <c r="N97" s="423"/>
      <c r="O97" s="406"/>
      <c r="P97" s="406"/>
      <c r="Q97" s="406"/>
      <c r="R97" s="422"/>
      <c r="S97" s="399"/>
      <c r="T97" s="399"/>
    </row>
    <row r="98" spans="1:20" s="81" customFormat="1" ht="15" customHeight="1" thickBot="1">
      <c r="A98" s="445"/>
      <c r="B98" s="446"/>
      <c r="C98" s="99" t="s">
        <v>29</v>
      </c>
      <c r="D98" s="413">
        <v>705</v>
      </c>
      <c r="E98" s="56">
        <v>6.508</v>
      </c>
      <c r="F98" s="281"/>
      <c r="G98" s="414">
        <f t="shared" si="8"/>
        <v>4588.1400000000003</v>
      </c>
      <c r="H98" s="280"/>
      <c r="I98" s="281"/>
      <c r="J98" s="281"/>
      <c r="K98" s="282"/>
      <c r="L98" s="204"/>
      <c r="M98" s="371"/>
      <c r="N98" s="434"/>
      <c r="O98" s="435"/>
      <c r="P98" s="435"/>
      <c r="Q98" s="435"/>
      <c r="R98" s="422"/>
      <c r="S98" s="399"/>
      <c r="T98" s="399"/>
    </row>
    <row r="99" spans="1:20" s="81" customFormat="1" ht="15" customHeight="1">
      <c r="A99" s="437"/>
      <c r="B99" s="438" t="s">
        <v>122</v>
      </c>
      <c r="C99" s="439"/>
      <c r="D99" s="378"/>
      <c r="E99" s="23"/>
      <c r="F99" s="23"/>
      <c r="G99" s="22"/>
      <c r="H99" s="303"/>
      <c r="I99" s="23"/>
      <c r="J99" s="23"/>
      <c r="K99" s="304"/>
      <c r="L99" s="382">
        <f>+SUM(G99:G102,J99:J102)</f>
        <v>241.36</v>
      </c>
      <c r="M99" s="26">
        <v>241.36</v>
      </c>
      <c r="N99" s="421"/>
      <c r="O99" s="77"/>
      <c r="P99" s="77"/>
      <c r="Q99" s="77"/>
      <c r="R99" s="440"/>
      <c r="S99" s="399"/>
      <c r="T99" s="399"/>
    </row>
    <row r="100" spans="1:20" s="81" customFormat="1" ht="15" customHeight="1" thickBot="1">
      <c r="A100" s="441"/>
      <c r="B100" s="442"/>
      <c r="C100" s="48" t="s">
        <v>124</v>
      </c>
      <c r="D100" s="37">
        <v>20</v>
      </c>
      <c r="E100" s="41">
        <f>6.508-5.8291</f>
        <v>0.67889999999999961</v>
      </c>
      <c r="F100" s="41"/>
      <c r="G100" s="414">
        <f t="shared" si="8"/>
        <v>13.58</v>
      </c>
      <c r="H100" s="260"/>
      <c r="I100" s="261"/>
      <c r="J100" s="261"/>
      <c r="K100" s="262"/>
      <c r="L100" s="394"/>
      <c r="M100" s="90"/>
      <c r="N100" s="443"/>
      <c r="O100" s="94"/>
      <c r="P100" s="94"/>
      <c r="Q100" s="94"/>
      <c r="R100" s="422"/>
      <c r="S100" s="399"/>
      <c r="T100" s="399"/>
    </row>
    <row r="101" spans="1:20" s="81" customFormat="1" ht="15" customHeight="1" thickBot="1">
      <c r="A101" s="441"/>
      <c r="B101" s="444"/>
      <c r="C101" s="48" t="s">
        <v>125</v>
      </c>
      <c r="D101" s="37">
        <v>0</v>
      </c>
      <c r="E101" s="41">
        <v>6.508</v>
      </c>
      <c r="F101" s="41"/>
      <c r="G101" s="414">
        <f t="shared" si="8"/>
        <v>0</v>
      </c>
      <c r="H101" s="432"/>
      <c r="I101" s="207"/>
      <c r="J101" s="207"/>
      <c r="K101" s="362"/>
      <c r="L101" s="433"/>
      <c r="M101" s="63"/>
      <c r="N101" s="423"/>
      <c r="O101" s="406"/>
      <c r="P101" s="406"/>
      <c r="Q101" s="406"/>
      <c r="R101" s="422"/>
      <c r="S101" s="399"/>
      <c r="T101" s="399"/>
    </row>
    <row r="102" spans="1:20" s="81" customFormat="1" ht="15" customHeight="1" thickBot="1">
      <c r="A102" s="445"/>
      <c r="B102" s="446"/>
      <c r="C102" s="99" t="s">
        <v>29</v>
      </c>
      <c r="D102" s="413">
        <v>35</v>
      </c>
      <c r="E102" s="56">
        <v>6.508</v>
      </c>
      <c r="F102" s="281"/>
      <c r="G102" s="414">
        <f t="shared" si="8"/>
        <v>227.78</v>
      </c>
      <c r="H102" s="280"/>
      <c r="I102" s="281"/>
      <c r="J102" s="281"/>
      <c r="K102" s="282"/>
      <c r="L102" s="204"/>
      <c r="M102" s="371"/>
      <c r="N102" s="434"/>
      <c r="O102" s="435"/>
      <c r="P102" s="435"/>
      <c r="Q102" s="435"/>
      <c r="R102" s="422"/>
      <c r="S102" s="399"/>
      <c r="T102" s="399"/>
    </row>
    <row r="103" spans="1:20" s="81" customFormat="1" ht="15" customHeight="1">
      <c r="A103" s="447"/>
      <c r="B103" s="438" t="s">
        <v>79</v>
      </c>
      <c r="C103" s="48" t="s">
        <v>124</v>
      </c>
      <c r="D103" s="448">
        <v>4895</v>
      </c>
      <c r="E103" s="41">
        <f>6.508-5.8291</f>
        <v>0.67889999999999961</v>
      </c>
      <c r="F103" s="261"/>
      <c r="G103" s="449">
        <f>ROUND(D103*E103,2)-0.01</f>
        <v>3323.2099999999996</v>
      </c>
      <c r="H103" s="303"/>
      <c r="I103" s="23"/>
      <c r="J103" s="23"/>
      <c r="K103" s="304"/>
      <c r="L103" s="263">
        <f>SUM(G103:G105)</f>
        <v>36019.409999999996</v>
      </c>
      <c r="M103" s="26">
        <v>36019.410000000003</v>
      </c>
      <c r="N103" s="421"/>
      <c r="O103" s="77"/>
      <c r="P103" s="77"/>
      <c r="Q103" s="384"/>
      <c r="R103" s="422"/>
      <c r="S103" s="399"/>
      <c r="T103" s="399"/>
    </row>
    <row r="104" spans="1:20" s="81" customFormat="1" ht="15" customHeight="1">
      <c r="A104" s="450"/>
      <c r="B104" s="442"/>
      <c r="C104" s="48" t="s">
        <v>125</v>
      </c>
      <c r="D104" s="448">
        <v>12</v>
      </c>
      <c r="E104" s="41">
        <v>6.508</v>
      </c>
      <c r="F104" s="261"/>
      <c r="G104" s="449">
        <f t="shared" si="8"/>
        <v>78.099999999999994</v>
      </c>
      <c r="H104" s="260"/>
      <c r="I104" s="261"/>
      <c r="J104" s="261"/>
      <c r="K104" s="262"/>
      <c r="L104" s="286"/>
      <c r="M104" s="90"/>
      <c r="N104" s="423"/>
      <c r="O104" s="406"/>
      <c r="P104" s="406"/>
      <c r="Q104" s="407"/>
      <c r="R104" s="422"/>
      <c r="S104" s="399"/>
      <c r="T104" s="399"/>
    </row>
    <row r="105" spans="1:20" s="81" customFormat="1" ht="15" customHeight="1" thickBot="1">
      <c r="A105" s="451"/>
      <c r="B105" s="446"/>
      <c r="C105" s="99" t="s">
        <v>29</v>
      </c>
      <c r="D105" s="452">
        <v>5012</v>
      </c>
      <c r="E105" s="56">
        <v>6.508</v>
      </c>
      <c r="F105" s="207"/>
      <c r="G105" s="453">
        <f t="shared" si="8"/>
        <v>32618.1</v>
      </c>
      <c r="H105" s="280"/>
      <c r="I105" s="281"/>
      <c r="J105" s="281"/>
      <c r="K105" s="282"/>
      <c r="L105" s="204"/>
      <c r="M105" s="371"/>
      <c r="N105" s="426"/>
      <c r="O105" s="416"/>
      <c r="P105" s="416"/>
      <c r="Q105" s="417"/>
      <c r="R105" s="422"/>
      <c r="S105" s="399"/>
      <c r="T105" s="399"/>
    </row>
    <row r="106" spans="1:20" s="81" customFormat="1" ht="15" customHeight="1">
      <c r="A106" s="692"/>
      <c r="B106" s="438" t="s">
        <v>80</v>
      </c>
      <c r="C106" s="48" t="s">
        <v>119</v>
      </c>
      <c r="D106" s="378">
        <v>7.2</v>
      </c>
      <c r="E106" s="454">
        <v>5.9451000000000001</v>
      </c>
      <c r="F106" s="23"/>
      <c r="G106" s="22">
        <f>ROUND(D106*E106,2)+0.01</f>
        <v>42.809999999999995</v>
      </c>
      <c r="H106" s="303"/>
      <c r="I106" s="23"/>
      <c r="J106" s="23"/>
      <c r="K106" s="304"/>
      <c r="L106" s="263">
        <f>SUM(G106:G107)</f>
        <v>17901.890000000003</v>
      </c>
      <c r="M106" s="26">
        <v>17901.89</v>
      </c>
      <c r="N106" s="421"/>
      <c r="O106" s="77"/>
      <c r="P106" s="77"/>
      <c r="Q106" s="384"/>
      <c r="R106" s="422" t="s">
        <v>81</v>
      </c>
      <c r="S106" s="399"/>
      <c r="T106" s="399"/>
    </row>
    <row r="107" spans="1:20" s="81" customFormat="1" ht="15" customHeight="1">
      <c r="A107" s="693"/>
      <c r="B107" s="442"/>
      <c r="C107" s="48" t="s">
        <v>121</v>
      </c>
      <c r="D107" s="37">
        <v>3004</v>
      </c>
      <c r="E107" s="455">
        <v>5.9451000000000001</v>
      </c>
      <c r="F107" s="41"/>
      <c r="G107" s="39">
        <f t="shared" si="8"/>
        <v>17859.080000000002</v>
      </c>
      <c r="H107" s="270"/>
      <c r="I107" s="41"/>
      <c r="J107" s="41"/>
      <c r="K107" s="271"/>
      <c r="L107" s="272"/>
      <c r="M107" s="102"/>
      <c r="N107" s="423"/>
      <c r="O107" s="406"/>
      <c r="P107" s="406"/>
      <c r="Q107" s="407"/>
      <c r="R107" s="422"/>
      <c r="S107" s="399"/>
      <c r="T107" s="399"/>
    </row>
    <row r="108" spans="1:20" s="81" customFormat="1" ht="15" customHeight="1" thickBot="1">
      <c r="A108" s="694"/>
      <c r="B108" s="446"/>
      <c r="C108" s="456"/>
      <c r="D108" s="413"/>
      <c r="E108" s="281"/>
      <c r="F108" s="281"/>
      <c r="G108" s="414"/>
      <c r="H108" s="280"/>
      <c r="I108" s="281"/>
      <c r="J108" s="281"/>
      <c r="K108" s="282"/>
      <c r="L108" s="204"/>
      <c r="M108" s="371"/>
      <c r="N108" s="426"/>
      <c r="O108" s="416"/>
      <c r="P108" s="416"/>
      <c r="Q108" s="417"/>
      <c r="R108" s="422"/>
      <c r="S108" s="399"/>
      <c r="T108" s="399"/>
    </row>
    <row r="109" spans="1:20" s="81" customFormat="1" ht="15" customHeight="1">
      <c r="A109" s="437"/>
      <c r="B109" s="438" t="s">
        <v>82</v>
      </c>
      <c r="C109" s="377" t="s">
        <v>73</v>
      </c>
      <c r="D109" s="378">
        <v>36</v>
      </c>
      <c r="E109" s="21">
        <v>32.332000000000001</v>
      </c>
      <c r="F109" s="21">
        <v>37.889800000000001</v>
      </c>
      <c r="G109" s="22">
        <f>+D109*(E109+F109)</f>
        <v>2527.9848000000002</v>
      </c>
      <c r="H109" s="303"/>
      <c r="I109" s="23"/>
      <c r="J109" s="341"/>
      <c r="K109" s="342"/>
      <c r="L109" s="263">
        <f>SUM(G109:G113,J109:J113)</f>
        <v>76113.624800000005</v>
      </c>
      <c r="M109" s="26">
        <v>76113.62</v>
      </c>
      <c r="N109" s="421"/>
      <c r="O109" s="77"/>
      <c r="P109" s="77"/>
      <c r="Q109" s="384"/>
      <c r="R109" s="422"/>
      <c r="S109" s="399"/>
      <c r="T109" s="399"/>
    </row>
    <row r="110" spans="1:20" s="81" customFormat="1" ht="15" customHeight="1">
      <c r="A110" s="441"/>
      <c r="B110" s="442"/>
      <c r="C110" s="36" t="s">
        <v>26</v>
      </c>
      <c r="D110" s="37">
        <v>0</v>
      </c>
      <c r="E110" s="38">
        <v>3.4692000000000007</v>
      </c>
      <c r="F110" s="38">
        <f>37.8898-33.8306</f>
        <v>4.0592000000000041</v>
      </c>
      <c r="G110" s="39">
        <f>ROUND(D110*(E110+F110),2)</f>
        <v>0</v>
      </c>
      <c r="H110" s="457"/>
      <c r="I110" s="199"/>
      <c r="J110" s="199"/>
      <c r="K110" s="458"/>
      <c r="L110" s="459"/>
      <c r="M110" s="44"/>
      <c r="N110" s="430"/>
      <c r="O110" s="431"/>
      <c r="P110" s="431"/>
      <c r="Q110" s="424"/>
      <c r="R110" s="422"/>
      <c r="S110" s="399"/>
      <c r="T110" s="399"/>
    </row>
    <row r="111" spans="1:20" s="81" customFormat="1" ht="15" customHeight="1">
      <c r="A111" s="441"/>
      <c r="B111" s="442"/>
      <c r="C111" s="48" t="s">
        <v>124</v>
      </c>
      <c r="D111" s="37">
        <v>9739</v>
      </c>
      <c r="E111" s="41">
        <f>6.508-5.8291</f>
        <v>0.67889999999999961</v>
      </c>
      <c r="F111" s="38"/>
      <c r="G111" s="39">
        <f>ROUND(D111*(E111),2)</f>
        <v>6611.81</v>
      </c>
      <c r="H111" s="270"/>
      <c r="I111" s="41"/>
      <c r="J111" s="41"/>
      <c r="K111" s="271"/>
      <c r="L111" s="272"/>
      <c r="M111" s="102"/>
      <c r="N111" s="430"/>
      <c r="O111" s="431"/>
      <c r="P111" s="431"/>
      <c r="Q111" s="424"/>
      <c r="R111" s="422"/>
      <c r="S111" s="399"/>
      <c r="T111" s="399"/>
    </row>
    <row r="112" spans="1:20" s="81" customFormat="1" ht="15" customHeight="1">
      <c r="A112" s="441"/>
      <c r="B112" s="442"/>
      <c r="C112" s="48" t="s">
        <v>125</v>
      </c>
      <c r="D112" s="37">
        <v>25</v>
      </c>
      <c r="E112" s="41">
        <v>6.508</v>
      </c>
      <c r="F112" s="38"/>
      <c r="G112" s="39">
        <f>ROUND(D112*(E112),2)</f>
        <v>162.69999999999999</v>
      </c>
      <c r="H112" s="270"/>
      <c r="I112" s="41"/>
      <c r="J112" s="41"/>
      <c r="K112" s="271"/>
      <c r="L112" s="272"/>
      <c r="M112" s="102"/>
      <c r="N112" s="434"/>
      <c r="O112" s="435"/>
      <c r="P112" s="435"/>
      <c r="Q112" s="425"/>
      <c r="R112" s="422"/>
      <c r="S112" s="399"/>
      <c r="T112" s="399"/>
    </row>
    <row r="113" spans="1:21" s="81" customFormat="1" ht="15" customHeight="1" thickBot="1">
      <c r="A113" s="460"/>
      <c r="B113" s="461"/>
      <c r="C113" s="99" t="s">
        <v>29</v>
      </c>
      <c r="D113" s="462">
        <v>10266</v>
      </c>
      <c r="E113" s="56">
        <v>6.508</v>
      </c>
      <c r="F113" s="311"/>
      <c r="G113" s="110">
        <f>ROUND(D113*(E113),2)</f>
        <v>66811.13</v>
      </c>
      <c r="H113" s="310"/>
      <c r="I113" s="311"/>
      <c r="J113" s="311"/>
      <c r="K113" s="312"/>
      <c r="L113" s="313"/>
      <c r="M113" s="115"/>
      <c r="N113" s="463"/>
      <c r="O113" s="464"/>
      <c r="P113" s="464"/>
      <c r="Q113" s="465"/>
      <c r="R113" s="466"/>
      <c r="S113" s="467"/>
      <c r="T113" s="399"/>
    </row>
    <row r="114" spans="1:21" s="81" customFormat="1" ht="15" customHeight="1" thickTop="1">
      <c r="A114" s="437"/>
      <c r="B114" s="438" t="s">
        <v>83</v>
      </c>
      <c r="C114" s="377" t="s">
        <v>73</v>
      </c>
      <c r="D114" s="378">
        <v>1</v>
      </c>
      <c r="E114" s="21">
        <v>32.332000000000001</v>
      </c>
      <c r="F114" s="21">
        <v>37.889800000000001</v>
      </c>
      <c r="G114" s="22">
        <f>+D114*(E114+F114)</f>
        <v>70.221800000000002</v>
      </c>
      <c r="H114" s="303"/>
      <c r="I114" s="23"/>
      <c r="J114" s="341"/>
      <c r="K114" s="342"/>
      <c r="L114" s="263">
        <f>SUM(G114:G118,J114:J118)</f>
        <v>437.47180000000003</v>
      </c>
      <c r="M114" s="26">
        <v>437.47</v>
      </c>
      <c r="N114" s="421"/>
      <c r="O114" s="77"/>
      <c r="P114" s="77"/>
      <c r="Q114" s="384"/>
      <c r="R114" s="422"/>
      <c r="S114" s="399"/>
      <c r="T114" s="399"/>
    </row>
    <row r="115" spans="1:21" s="81" customFormat="1" ht="15" customHeight="1">
      <c r="A115" s="441"/>
      <c r="B115" s="442"/>
      <c r="C115" s="36" t="s">
        <v>26</v>
      </c>
      <c r="D115" s="37">
        <v>0</v>
      </c>
      <c r="E115" s="38">
        <v>3.4692000000000007</v>
      </c>
      <c r="F115" s="38">
        <f>37.8898-33.8306</f>
        <v>4.0592000000000041</v>
      </c>
      <c r="G115" s="39">
        <f>ROUND(D115*(E115+F115),2)</f>
        <v>0</v>
      </c>
      <c r="H115" s="457"/>
      <c r="I115" s="199"/>
      <c r="J115" s="199"/>
      <c r="K115" s="458"/>
      <c r="L115" s="459"/>
      <c r="M115" s="44"/>
      <c r="N115" s="430"/>
      <c r="O115" s="431"/>
      <c r="P115" s="431"/>
      <c r="Q115" s="424"/>
      <c r="R115" s="422"/>
      <c r="S115" s="399"/>
      <c r="T115" s="399"/>
    </row>
    <row r="116" spans="1:21" s="81" customFormat="1" ht="15" customHeight="1">
      <c r="A116" s="441"/>
      <c r="B116" s="442"/>
      <c r="C116" s="48" t="s">
        <v>124</v>
      </c>
      <c r="D116" s="37">
        <v>51.1</v>
      </c>
      <c r="E116" s="41">
        <f>6.508-5.8291</f>
        <v>0.67889999999999961</v>
      </c>
      <c r="F116" s="38"/>
      <c r="G116" s="39">
        <f>ROUND(D116*(E116),2)</f>
        <v>34.69</v>
      </c>
      <c r="H116" s="270"/>
      <c r="I116" s="41"/>
      <c r="J116" s="41"/>
      <c r="K116" s="271"/>
      <c r="L116" s="272"/>
      <c r="M116" s="102"/>
      <c r="N116" s="430"/>
      <c r="O116" s="431"/>
      <c r="P116" s="431"/>
      <c r="Q116" s="424"/>
      <c r="R116" s="422"/>
      <c r="S116" s="399"/>
      <c r="T116" s="399"/>
    </row>
    <row r="117" spans="1:21" s="81" customFormat="1" ht="15" customHeight="1">
      <c r="A117" s="441"/>
      <c r="B117" s="442"/>
      <c r="C117" s="48" t="s">
        <v>125</v>
      </c>
      <c r="D117" s="37">
        <v>0.1</v>
      </c>
      <c r="E117" s="41">
        <v>6.508</v>
      </c>
      <c r="F117" s="38"/>
      <c r="G117" s="39">
        <f>ROUND(D117*(E117),2)</f>
        <v>0.65</v>
      </c>
      <c r="H117" s="270"/>
      <c r="I117" s="41"/>
      <c r="J117" s="41"/>
      <c r="K117" s="271"/>
      <c r="L117" s="272"/>
      <c r="M117" s="102"/>
      <c r="N117" s="434"/>
      <c r="O117" s="435"/>
      <c r="P117" s="435"/>
      <c r="Q117" s="425"/>
      <c r="R117" s="422"/>
      <c r="S117" s="399"/>
      <c r="T117" s="399"/>
    </row>
    <row r="118" spans="1:21" s="81" customFormat="1" ht="15.75" customHeight="1" thickBot="1">
      <c r="A118" s="460"/>
      <c r="B118" s="461"/>
      <c r="C118" s="99" t="s">
        <v>29</v>
      </c>
      <c r="D118" s="462">
        <v>51</v>
      </c>
      <c r="E118" s="56">
        <v>6.508</v>
      </c>
      <c r="F118" s="311"/>
      <c r="G118" s="110">
        <f>ROUND(D118*(E118),2)</f>
        <v>331.91</v>
      </c>
      <c r="H118" s="310"/>
      <c r="I118" s="311"/>
      <c r="J118" s="311"/>
      <c r="K118" s="312"/>
      <c r="L118" s="313"/>
      <c r="M118" s="115"/>
      <c r="N118" s="463"/>
      <c r="O118" s="464"/>
      <c r="P118" s="464"/>
      <c r="Q118" s="465"/>
      <c r="R118" s="422"/>
      <c r="S118" s="399"/>
      <c r="T118" s="399"/>
    </row>
    <row r="119" spans="1:21" s="81" customFormat="1" ht="15.75" customHeight="1" thickTop="1">
      <c r="A119" s="447"/>
      <c r="B119" s="438" t="s">
        <v>126</v>
      </c>
      <c r="C119" s="48" t="s">
        <v>124</v>
      </c>
      <c r="D119" s="448">
        <v>0</v>
      </c>
      <c r="E119" s="41">
        <f>6.508-5.8291</f>
        <v>0.67889999999999961</v>
      </c>
      <c r="F119" s="261"/>
      <c r="G119" s="449">
        <f>ROUND(D119*E119,2)</f>
        <v>0</v>
      </c>
      <c r="H119" s="303"/>
      <c r="I119" s="23"/>
      <c r="J119" s="23"/>
      <c r="K119" s="304"/>
      <c r="L119" s="263">
        <f>SUM(G119:G121)</f>
        <v>84.6</v>
      </c>
      <c r="M119" s="26">
        <v>84.6</v>
      </c>
      <c r="N119" s="421"/>
      <c r="O119" s="77"/>
      <c r="P119" s="77"/>
      <c r="Q119" s="384"/>
      <c r="R119" s="422"/>
      <c r="S119" s="399"/>
      <c r="T119" s="399"/>
    </row>
    <row r="120" spans="1:21" s="81" customFormat="1" ht="15.75" customHeight="1">
      <c r="A120" s="450"/>
      <c r="B120" s="442"/>
      <c r="C120" s="48" t="s">
        <v>125</v>
      </c>
      <c r="D120" s="448">
        <v>0</v>
      </c>
      <c r="E120" s="41">
        <v>6.508</v>
      </c>
      <c r="F120" s="261"/>
      <c r="G120" s="449">
        <f t="shared" ref="G120:G121" si="9">ROUND(D120*E120,2)</f>
        <v>0</v>
      </c>
      <c r="H120" s="260"/>
      <c r="I120" s="261"/>
      <c r="J120" s="261"/>
      <c r="K120" s="262"/>
      <c r="L120" s="286"/>
      <c r="M120" s="90"/>
      <c r="N120" s="423"/>
      <c r="O120" s="406"/>
      <c r="P120" s="406"/>
      <c r="Q120" s="407"/>
      <c r="R120" s="422"/>
      <c r="S120" s="399"/>
      <c r="T120" s="399"/>
    </row>
    <row r="121" spans="1:21" s="81" customFormat="1" ht="15.75" customHeight="1" thickBot="1">
      <c r="A121" s="451"/>
      <c r="B121" s="446"/>
      <c r="C121" s="99" t="s">
        <v>29</v>
      </c>
      <c r="D121" s="452">
        <v>13</v>
      </c>
      <c r="E121" s="56">
        <v>6.508</v>
      </c>
      <c r="F121" s="207"/>
      <c r="G121" s="453">
        <f t="shared" si="9"/>
        <v>84.6</v>
      </c>
      <c r="H121" s="280"/>
      <c r="I121" s="281"/>
      <c r="J121" s="281"/>
      <c r="K121" s="282"/>
      <c r="L121" s="204"/>
      <c r="M121" s="371"/>
      <c r="N121" s="426"/>
      <c r="O121" s="416"/>
      <c r="P121" s="416"/>
      <c r="Q121" s="417"/>
      <c r="R121" s="422"/>
      <c r="S121" s="399"/>
      <c r="T121" s="399"/>
    </row>
    <row r="122" spans="1:21" s="81" customFormat="1" ht="15.75" customHeight="1" thickBot="1">
      <c r="A122" s="686"/>
      <c r="B122" s="469"/>
      <c r="C122" s="470"/>
      <c r="D122" s="471"/>
      <c r="E122" s="472"/>
      <c r="F122" s="473"/>
      <c r="G122" s="474"/>
      <c r="H122" s="473"/>
      <c r="I122" s="473"/>
      <c r="J122" s="473"/>
      <c r="K122" s="473"/>
      <c r="L122" s="473"/>
      <c r="M122" s="475"/>
      <c r="N122" s="399"/>
      <c r="O122" s="399"/>
      <c r="P122" s="399"/>
      <c r="Q122" s="399"/>
      <c r="R122" s="422"/>
      <c r="S122" s="399"/>
      <c r="T122" s="399"/>
    </row>
    <row r="123" spans="1:21" s="81" customFormat="1" ht="15" customHeight="1" thickTop="1">
      <c r="A123" s="476"/>
      <c r="B123" s="158"/>
      <c r="C123" s="322"/>
      <c r="D123" s="477"/>
      <c r="E123" s="163"/>
      <c r="F123" s="163"/>
      <c r="G123" s="478"/>
      <c r="H123" s="163"/>
      <c r="I123" s="163"/>
      <c r="J123" s="163"/>
      <c r="K123" s="163"/>
      <c r="L123" s="163"/>
      <c r="M123" s="164"/>
      <c r="N123" s="479"/>
      <c r="O123" s="479"/>
      <c r="P123" s="479"/>
      <c r="Q123" s="479"/>
      <c r="R123" s="480"/>
      <c r="S123" s="479"/>
      <c r="T123" s="399"/>
    </row>
    <row r="124" spans="1:21" ht="21.75" thickBot="1">
      <c r="A124" s="171" t="s">
        <v>84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3"/>
      <c r="N124" s="2"/>
      <c r="O124" s="2"/>
      <c r="P124" s="2"/>
      <c r="Q124" s="2"/>
      <c r="R124" s="2"/>
      <c r="S124" s="2"/>
      <c r="T124" s="2"/>
    </row>
    <row r="125" spans="1:21" ht="15.75" customHeight="1" thickTop="1" thickBot="1">
      <c r="A125" s="1540" t="s">
        <v>1</v>
      </c>
      <c r="B125" s="1542" t="s">
        <v>2</v>
      </c>
      <c r="C125" s="1544" t="s">
        <v>3</v>
      </c>
      <c r="D125" s="1546" t="s">
        <v>4</v>
      </c>
      <c r="E125" s="1546"/>
      <c r="F125" s="1546"/>
      <c r="G125" s="1546"/>
      <c r="H125" s="1547" t="s">
        <v>5</v>
      </c>
      <c r="I125" s="1548"/>
      <c r="J125" s="1548"/>
      <c r="K125" s="1549"/>
      <c r="L125" s="1524" t="s">
        <v>6</v>
      </c>
      <c r="M125" s="1511" t="s">
        <v>7</v>
      </c>
      <c r="N125" s="1551" t="s">
        <v>8</v>
      </c>
      <c r="O125" s="1551"/>
      <c r="P125" s="1551"/>
      <c r="Q125" s="1552" t="s">
        <v>18</v>
      </c>
      <c r="R125" s="481" t="s">
        <v>85</v>
      </c>
      <c r="S125" s="482" t="s">
        <v>20</v>
      </c>
      <c r="T125" s="482" t="s">
        <v>21</v>
      </c>
    </row>
    <row r="126" spans="1:21" ht="27" thickTop="1" thickBot="1">
      <c r="A126" s="1541"/>
      <c r="B126" s="1543"/>
      <c r="C126" s="1545" t="s">
        <v>10</v>
      </c>
      <c r="D126" s="483" t="s">
        <v>11</v>
      </c>
      <c r="E126" s="484" t="s">
        <v>12</v>
      </c>
      <c r="F126" s="484" t="s">
        <v>13</v>
      </c>
      <c r="G126" s="485" t="s">
        <v>14</v>
      </c>
      <c r="H126" s="483" t="s">
        <v>11</v>
      </c>
      <c r="I126" s="486" t="s">
        <v>15</v>
      </c>
      <c r="J126" s="485"/>
      <c r="K126" s="487" t="s">
        <v>16</v>
      </c>
      <c r="L126" s="1525"/>
      <c r="M126" s="1550"/>
      <c r="N126" s="488" t="s">
        <v>14</v>
      </c>
      <c r="O126" s="485"/>
      <c r="P126" s="489" t="s">
        <v>18</v>
      </c>
      <c r="Q126" s="490" t="s">
        <v>19</v>
      </c>
      <c r="R126" s="491"/>
      <c r="S126" s="492"/>
      <c r="T126" s="492"/>
    </row>
    <row r="127" spans="1:21">
      <c r="A127" s="493">
        <v>501</v>
      </c>
      <c r="B127" s="494" t="s">
        <v>86</v>
      </c>
      <c r="C127" s="71"/>
      <c r="D127" s="495">
        <v>37</v>
      </c>
      <c r="E127" s="21">
        <v>32.332000000000001</v>
      </c>
      <c r="F127" s="21">
        <v>37.889800000000001</v>
      </c>
      <c r="G127" s="185">
        <f>ROUND(D127*(E127+F127),2)</f>
        <v>2598.21</v>
      </c>
      <c r="H127" s="496"/>
      <c r="I127" s="73">
        <v>0.85</v>
      </c>
      <c r="J127" s="73">
        <f>+H127*I127</f>
        <v>0</v>
      </c>
      <c r="K127" s="497"/>
      <c r="L127" s="498">
        <f>+SUM(G127:G134,C134)+J127+J129</f>
        <v>60683.726000000002</v>
      </c>
      <c r="M127" s="26">
        <v>60683.73</v>
      </c>
      <c r="N127" s="499"/>
      <c r="O127" s="500"/>
      <c r="P127" s="501" t="s">
        <v>87</v>
      </c>
      <c r="Q127" s="304">
        <f t="shared" ref="Q127:Q145" si="10">C127+G127+J127-M127-N127-O127</f>
        <v>-58085.520000000004</v>
      </c>
      <c r="R127" s="502" t="s">
        <v>88</v>
      </c>
      <c r="S127" s="503"/>
      <c r="T127" s="504"/>
      <c r="U127" s="33">
        <f>+C127+L127-M127</f>
        <v>-4.0000000008149073E-3</v>
      </c>
    </row>
    <row r="128" spans="1:21">
      <c r="A128" s="505"/>
      <c r="B128" s="506"/>
      <c r="C128" s="507"/>
      <c r="D128" s="508">
        <v>0</v>
      </c>
      <c r="E128" s="38">
        <f>32.332-28.8628</f>
        <v>3.4692000000000007</v>
      </c>
      <c r="F128" s="38">
        <f>37.8898-33.8306</f>
        <v>4.0592000000000041</v>
      </c>
      <c r="G128" s="50">
        <f>ROUND(D128*(E128+F128),2)</f>
        <v>0</v>
      </c>
      <c r="H128" s="448"/>
      <c r="I128" s="509"/>
      <c r="J128" s="409"/>
      <c r="K128" s="510"/>
      <c r="L128" s="511"/>
      <c r="M128" s="512"/>
      <c r="N128" s="513"/>
      <c r="O128" s="514"/>
      <c r="P128" s="515"/>
      <c r="Q128" s="262"/>
      <c r="R128" s="502"/>
      <c r="S128" s="503"/>
      <c r="T128" s="504"/>
      <c r="U128" s="33"/>
    </row>
    <row r="129" spans="1:21">
      <c r="A129" s="505"/>
      <c r="B129" s="516" t="s">
        <v>89</v>
      </c>
      <c r="C129" s="512" t="s">
        <v>90</v>
      </c>
      <c r="D129" s="508">
        <v>20</v>
      </c>
      <c r="E129" s="101">
        <v>363.77</v>
      </c>
      <c r="F129" s="38">
        <v>37.889800000000001</v>
      </c>
      <c r="G129" s="50">
        <f>D129*(E129+F129)</f>
        <v>8033.195999999999</v>
      </c>
      <c r="H129" s="270"/>
      <c r="I129" s="41">
        <v>128.56</v>
      </c>
      <c r="J129" s="409">
        <f>+H129*I129</f>
        <v>0</v>
      </c>
      <c r="K129" s="510"/>
      <c r="L129" s="517"/>
      <c r="M129" s="99"/>
      <c r="N129" s="518"/>
      <c r="O129" s="519"/>
      <c r="P129" s="515" t="s">
        <v>87</v>
      </c>
      <c r="Q129" s="271">
        <f>+G129+J129-M129-N129-O129</f>
        <v>8033.195999999999</v>
      </c>
      <c r="R129" s="502" t="s">
        <v>88</v>
      </c>
      <c r="S129" s="503"/>
      <c r="T129" s="504"/>
    </row>
    <row r="130" spans="1:21">
      <c r="A130" s="505"/>
      <c r="B130" s="506" t="s">
        <v>91</v>
      </c>
      <c r="C130" s="507"/>
      <c r="D130" s="508">
        <v>19</v>
      </c>
      <c r="E130" s="41">
        <f>363.77-283.85</f>
        <v>79.919999999999959</v>
      </c>
      <c r="F130" s="38"/>
      <c r="G130" s="50">
        <f>ROUND(D130*(E130+F130),2)</f>
        <v>1518.48</v>
      </c>
      <c r="H130" s="432"/>
      <c r="I130" s="362"/>
      <c r="J130" s="409"/>
      <c r="K130" s="510"/>
      <c r="L130" s="517"/>
      <c r="M130" s="520"/>
      <c r="N130" s="521"/>
      <c r="O130" s="522"/>
      <c r="P130" s="523"/>
      <c r="Q130" s="362"/>
      <c r="R130" s="502"/>
      <c r="S130" s="503"/>
      <c r="T130" s="504"/>
    </row>
    <row r="131" spans="1:21">
      <c r="A131" s="505"/>
      <c r="B131" s="506" t="s">
        <v>91</v>
      </c>
      <c r="C131" s="507"/>
      <c r="D131" s="508"/>
      <c r="E131" s="38"/>
      <c r="F131" s="41"/>
      <c r="G131" s="50">
        <f>D131*(E131+F131)</f>
        <v>0</v>
      </c>
      <c r="H131" s="432"/>
      <c r="I131" s="362"/>
      <c r="J131" s="409"/>
      <c r="K131" s="510"/>
      <c r="L131" s="517"/>
      <c r="M131" s="520"/>
      <c r="N131" s="521"/>
      <c r="O131" s="522"/>
      <c r="P131" s="523"/>
      <c r="Q131" s="362"/>
      <c r="R131" s="502"/>
      <c r="S131" s="503"/>
      <c r="T131" s="504"/>
    </row>
    <row r="132" spans="1:21">
      <c r="A132" s="505"/>
      <c r="B132" s="506" t="s">
        <v>92</v>
      </c>
      <c r="C132" s="48" t="s">
        <v>124</v>
      </c>
      <c r="D132" s="508">
        <v>7638</v>
      </c>
      <c r="E132" s="41">
        <f>6.3785-5.6595</f>
        <v>0.71899999999999942</v>
      </c>
      <c r="F132" s="41">
        <f>+E132</f>
        <v>0.71899999999999942</v>
      </c>
      <c r="G132" s="39">
        <f>ROUNDDOWN(D132*E132,2)</f>
        <v>5491.72</v>
      </c>
      <c r="H132" s="432"/>
      <c r="I132" s="362"/>
      <c r="J132" s="41"/>
      <c r="K132" s="510"/>
      <c r="L132" s="517"/>
      <c r="M132" s="520"/>
      <c r="N132" s="521"/>
      <c r="O132" s="522"/>
      <c r="P132" s="523"/>
      <c r="Q132" s="362"/>
      <c r="R132" s="502"/>
      <c r="S132" s="503"/>
      <c r="T132" s="504"/>
    </row>
    <row r="133" spans="1:21">
      <c r="A133" s="505"/>
      <c r="B133" s="506"/>
      <c r="C133" s="48" t="s">
        <v>125</v>
      </c>
      <c r="D133" s="508">
        <v>286</v>
      </c>
      <c r="E133" s="41">
        <v>6.3784999999999998</v>
      </c>
      <c r="F133" s="41">
        <f>+E133</f>
        <v>6.3784999999999998</v>
      </c>
      <c r="G133" s="39">
        <f>ROUND(D133*E133,2)</f>
        <v>1824.25</v>
      </c>
      <c r="H133" s="432"/>
      <c r="I133" s="362"/>
      <c r="J133" s="207"/>
      <c r="K133" s="524"/>
      <c r="L133" s="517"/>
      <c r="M133" s="520"/>
      <c r="N133" s="521"/>
      <c r="O133" s="522"/>
      <c r="P133" s="523"/>
      <c r="Q133" s="362"/>
      <c r="R133" s="502"/>
      <c r="S133" s="503"/>
      <c r="T133" s="504"/>
    </row>
    <row r="134" spans="1:21" ht="15.75" thickBot="1">
      <c r="A134" s="525"/>
      <c r="B134" s="526"/>
      <c r="C134" s="99" t="s">
        <v>29</v>
      </c>
      <c r="D134" s="55">
        <v>6462</v>
      </c>
      <c r="E134" s="56">
        <v>6.3784999999999998</v>
      </c>
      <c r="F134" s="57">
        <f>+E134</f>
        <v>6.3784999999999998</v>
      </c>
      <c r="G134" s="58">
        <f>ROUND(D134*E134,2)</f>
        <v>41217.870000000003</v>
      </c>
      <c r="H134" s="248"/>
      <c r="I134" s="203"/>
      <c r="J134" s="60"/>
      <c r="K134" s="61"/>
      <c r="L134" s="249"/>
      <c r="M134" s="54"/>
      <c r="N134" s="527"/>
      <c r="O134" s="528"/>
      <c r="P134" s="529" t="s">
        <v>87</v>
      </c>
      <c r="Q134" s="282">
        <f>+G134+J134-M134-N134-O134</f>
        <v>41217.870000000003</v>
      </c>
      <c r="R134" s="530" t="s">
        <v>88</v>
      </c>
      <c r="S134" s="531">
        <f>SUM(N127:N134)+O127:O134</f>
        <v>0</v>
      </c>
      <c r="T134" s="531">
        <f>SUM(Q127:Q134)</f>
        <v>-8834.4540000000052</v>
      </c>
      <c r="U134" s="33"/>
    </row>
    <row r="135" spans="1:21" ht="15.75" thickTop="1">
      <c r="A135" s="339" t="s">
        <v>93</v>
      </c>
      <c r="B135" s="532" t="s">
        <v>94</v>
      </c>
      <c r="C135" s="71">
        <f>+[1]дек!U51</f>
        <v>-6.0000000303261913E-4</v>
      </c>
      <c r="D135" s="213">
        <v>40</v>
      </c>
      <c r="E135" s="21">
        <v>32.332000000000001</v>
      </c>
      <c r="F135" s="21">
        <v>37.889800000000001</v>
      </c>
      <c r="G135" s="214">
        <f>ROUND(D135*(E135+F135),2)</f>
        <v>2808.87</v>
      </c>
      <c r="H135" s="496"/>
      <c r="I135" s="73">
        <v>0.85</v>
      </c>
      <c r="J135" s="73">
        <f>H135*I135</f>
        <v>0</v>
      </c>
      <c r="K135" s="497"/>
      <c r="L135" s="533">
        <f>+SUM(G135:G142,)+J135+J137</f>
        <v>56952.51</v>
      </c>
      <c r="M135" s="26">
        <v>56952.51</v>
      </c>
      <c r="N135" s="534"/>
      <c r="O135" s="535"/>
      <c r="P135" s="536" t="s">
        <v>87</v>
      </c>
      <c r="Q135" s="537">
        <f t="shared" si="10"/>
        <v>-54143.640600000006</v>
      </c>
      <c r="R135" s="538" t="s">
        <v>95</v>
      </c>
      <c r="S135" s="539"/>
      <c r="T135" s="540"/>
      <c r="U135" s="33"/>
    </row>
    <row r="136" spans="1:21">
      <c r="A136" s="353"/>
      <c r="B136" s="541"/>
      <c r="C136" s="542" t="s">
        <v>96</v>
      </c>
      <c r="D136" s="234">
        <v>0</v>
      </c>
      <c r="E136" s="38">
        <f>32.332-28.8628</f>
        <v>3.4692000000000007</v>
      </c>
      <c r="F136" s="38">
        <f>37.8898-33.8306</f>
        <v>4.0592000000000041</v>
      </c>
      <c r="G136" s="235">
        <f>ROUND(D136*(E136+F136),2)</f>
        <v>0</v>
      </c>
      <c r="H136" s="448"/>
      <c r="I136" s="509"/>
      <c r="J136" s="509"/>
      <c r="K136" s="543"/>
      <c r="L136" s="544"/>
      <c r="M136" s="545"/>
      <c r="N136" s="546"/>
      <c r="O136" s="547"/>
      <c r="P136" s="548"/>
      <c r="Q136" s="549"/>
      <c r="R136" s="550"/>
      <c r="S136" s="551"/>
      <c r="T136" s="552"/>
      <c r="U136" s="33"/>
    </row>
    <row r="137" spans="1:21">
      <c r="A137" s="353"/>
      <c r="B137" s="516" t="s">
        <v>32</v>
      </c>
      <c r="C137" s="99" t="s">
        <v>90</v>
      </c>
      <c r="D137" s="234">
        <v>31</v>
      </c>
      <c r="E137" s="101">
        <v>363.77</v>
      </c>
      <c r="F137" s="38">
        <v>37.889800000000001</v>
      </c>
      <c r="G137" s="235">
        <f>ROUND(D137*(E137+F137),2)</f>
        <v>12451.45</v>
      </c>
      <c r="H137" s="270"/>
      <c r="I137" s="41">
        <v>128.56</v>
      </c>
      <c r="J137" s="41">
        <f>ROUND(H137*I137,2)</f>
        <v>0</v>
      </c>
      <c r="K137" s="510"/>
      <c r="L137" s="553"/>
      <c r="M137" s="554"/>
      <c r="N137" s="555"/>
      <c r="O137" s="556"/>
      <c r="P137" s="557" t="s">
        <v>87</v>
      </c>
      <c r="Q137" s="558">
        <f>+G137+J137-M137-N137-O137</f>
        <v>12451.45</v>
      </c>
      <c r="R137" s="550" t="s">
        <v>95</v>
      </c>
      <c r="S137" s="551"/>
      <c r="T137" s="552"/>
    </row>
    <row r="138" spans="1:21">
      <c r="A138" s="353"/>
      <c r="B138" s="541"/>
      <c r="C138" s="84" t="s">
        <v>97</v>
      </c>
      <c r="D138" s="234">
        <v>31</v>
      </c>
      <c r="E138" s="41">
        <f>363.77-283.85</f>
        <v>79.919999999999959</v>
      </c>
      <c r="F138" s="38"/>
      <c r="G138" s="50">
        <f>ROUND(D138*E138,2)</f>
        <v>2477.52</v>
      </c>
      <c r="H138" s="432"/>
      <c r="I138" s="362"/>
      <c r="J138" s="41"/>
      <c r="K138" s="510"/>
      <c r="L138" s="559"/>
      <c r="M138" s="560"/>
      <c r="N138" s="561"/>
      <c r="O138" s="562"/>
      <c r="P138" s="563"/>
      <c r="Q138" s="564"/>
      <c r="R138" s="550"/>
      <c r="S138" s="551"/>
      <c r="T138" s="552"/>
    </row>
    <row r="139" spans="1:21">
      <c r="A139" s="353"/>
      <c r="B139" s="541"/>
      <c r="C139" s="84" t="s">
        <v>97</v>
      </c>
      <c r="D139" s="234"/>
      <c r="E139" s="38"/>
      <c r="F139" s="240"/>
      <c r="G139" s="50">
        <f>D139*(E139+F139)</f>
        <v>0</v>
      </c>
      <c r="H139" s="432"/>
      <c r="I139" s="362"/>
      <c r="J139" s="41"/>
      <c r="K139" s="510"/>
      <c r="L139" s="559"/>
      <c r="M139" s="560"/>
      <c r="N139" s="561"/>
      <c r="O139" s="562"/>
      <c r="P139" s="563"/>
      <c r="Q139" s="564"/>
      <c r="R139" s="550"/>
      <c r="S139" s="551"/>
      <c r="T139" s="552"/>
    </row>
    <row r="140" spans="1:21">
      <c r="A140" s="353"/>
      <c r="B140" s="541"/>
      <c r="C140" s="48" t="s">
        <v>124</v>
      </c>
      <c r="D140" s="37">
        <v>5207</v>
      </c>
      <c r="E140" s="41">
        <f>6.3785-5.6595</f>
        <v>0.71899999999999942</v>
      </c>
      <c r="F140" s="41">
        <f>+E140</f>
        <v>0.71899999999999942</v>
      </c>
      <c r="G140" s="235">
        <f>ROUND(D140*E140,2)</f>
        <v>3743.83</v>
      </c>
      <c r="H140" s="565"/>
      <c r="I140" s="564"/>
      <c r="J140" s="566"/>
      <c r="K140" s="567"/>
      <c r="L140" s="559"/>
      <c r="M140" s="560"/>
      <c r="N140" s="561"/>
      <c r="O140" s="562"/>
      <c r="P140" s="563"/>
      <c r="Q140" s="564"/>
      <c r="R140" s="550"/>
      <c r="S140" s="551"/>
      <c r="T140" s="552"/>
      <c r="U140" s="352"/>
    </row>
    <row r="141" spans="1:21">
      <c r="A141" s="353"/>
      <c r="B141" s="541"/>
      <c r="C141" s="48" t="s">
        <v>125</v>
      </c>
      <c r="D141" s="37">
        <v>236</v>
      </c>
      <c r="E141" s="41">
        <v>6.3784999999999998</v>
      </c>
      <c r="F141" s="41">
        <f>+E141</f>
        <v>6.3784999999999998</v>
      </c>
      <c r="G141" s="235">
        <f>ROUND(D141*E141,2)</f>
        <v>1505.33</v>
      </c>
      <c r="H141" s="565"/>
      <c r="I141" s="564"/>
      <c r="J141" s="566"/>
      <c r="K141" s="567"/>
      <c r="L141" s="559"/>
      <c r="M141" s="560"/>
      <c r="N141" s="561"/>
      <c r="O141" s="562"/>
      <c r="P141" s="563"/>
      <c r="Q141" s="564"/>
      <c r="R141" s="550"/>
      <c r="S141" s="551"/>
      <c r="T141" s="552"/>
      <c r="U141" s="33"/>
    </row>
    <row r="142" spans="1:21" ht="15.75" thickBot="1">
      <c r="A142" s="369"/>
      <c r="B142" s="568"/>
      <c r="C142" s="99" t="s">
        <v>29</v>
      </c>
      <c r="D142" s="246">
        <v>5325</v>
      </c>
      <c r="E142" s="56">
        <v>6.3784999999999998</v>
      </c>
      <c r="F142" s="57">
        <f>+E142</f>
        <v>6.3784999999999998</v>
      </c>
      <c r="G142" s="247">
        <f>ROUND(D142*E142,2)</f>
        <v>33965.51</v>
      </c>
      <c r="H142" s="248"/>
      <c r="I142" s="203"/>
      <c r="J142" s="60"/>
      <c r="K142" s="61"/>
      <c r="L142" s="204"/>
      <c r="M142" s="560"/>
      <c r="N142" s="561"/>
      <c r="O142" s="528"/>
      <c r="P142" s="529" t="s">
        <v>87</v>
      </c>
      <c r="Q142" s="564">
        <f>+G142+J142-M142-N142-O142</f>
        <v>33965.51</v>
      </c>
      <c r="R142" s="550" t="s">
        <v>95</v>
      </c>
      <c r="S142" s="569">
        <f>SUM(N135:N142)+O135:O142</f>
        <v>0</v>
      </c>
      <c r="T142" s="570">
        <f>SUM(Q137:Q142)</f>
        <v>46416.960000000006</v>
      </c>
    </row>
    <row r="143" spans="1:21" ht="15.75" hidden="1" outlineLevel="1" thickBot="1">
      <c r="A143" s="571"/>
      <c r="B143" s="572" t="s">
        <v>98</v>
      </c>
      <c r="C143" s="573" t="s">
        <v>99</v>
      </c>
      <c r="D143" s="574">
        <v>0</v>
      </c>
      <c r="E143" s="575">
        <f>3.193-2.9732</f>
        <v>0.21980000000000022</v>
      </c>
      <c r="F143" s="575">
        <f>3.193-2.9732</f>
        <v>0.21980000000000022</v>
      </c>
      <c r="G143" s="576">
        <f>D143*E143*70%+D143*F143*30%</f>
        <v>0</v>
      </c>
      <c r="H143" s="577"/>
      <c r="I143" s="578"/>
      <c r="J143" s="579"/>
      <c r="K143" s="579"/>
      <c r="L143" s="580"/>
      <c r="M143" s="581"/>
      <c r="N143" s="582"/>
      <c r="O143" s="535"/>
      <c r="P143" s="536"/>
      <c r="Q143" s="583"/>
      <c r="R143" s="584"/>
      <c r="S143" s="569"/>
      <c r="T143" s="585"/>
    </row>
    <row r="144" spans="1:21" s="81" customFormat="1" ht="16.5" hidden="1" customHeight="1" outlineLevel="1" thickBot="1">
      <c r="A144" s="586" t="s">
        <v>100</v>
      </c>
      <c r="B144" s="587" t="s">
        <v>98</v>
      </c>
      <c r="C144" s="588">
        <f>+[1]авг!C52</f>
        <v>0</v>
      </c>
      <c r="D144" s="589">
        <v>0</v>
      </c>
      <c r="E144" s="575">
        <v>3.1930000000000001</v>
      </c>
      <c r="F144" s="575">
        <f>+E144</f>
        <v>3.1930000000000001</v>
      </c>
      <c r="G144" s="576">
        <f>D144*E144*70%+D144*F144*30%</f>
        <v>0</v>
      </c>
      <c r="H144" s="579"/>
      <c r="I144" s="579"/>
      <c r="J144" s="579"/>
      <c r="K144" s="579"/>
      <c r="L144" s="579">
        <f>+C144+G144+G143</f>
        <v>0</v>
      </c>
      <c r="M144" s="590">
        <v>0</v>
      </c>
      <c r="N144" s="500"/>
      <c r="O144" s="528"/>
      <c r="P144" s="529" t="s">
        <v>87</v>
      </c>
      <c r="Q144" s="591">
        <f t="shared" si="10"/>
        <v>0</v>
      </c>
      <c r="R144" s="592" t="s">
        <v>101</v>
      </c>
      <c r="S144" s="77">
        <f>SUM(N144:N144)+SUM(O144:O144)</f>
        <v>0</v>
      </c>
      <c r="T144" s="593">
        <f>SUM(Q144:Q144)</f>
        <v>0</v>
      </c>
    </row>
    <row r="145" spans="1:21" ht="15.75" collapsed="1" thickTop="1">
      <c r="A145" s="505">
        <v>115</v>
      </c>
      <c r="B145" s="494" t="s">
        <v>102</v>
      </c>
      <c r="C145" s="71">
        <f>+[1]дек!U57</f>
        <v>0</v>
      </c>
      <c r="D145" s="495">
        <v>8</v>
      </c>
      <c r="E145" s="21">
        <v>32.332000000000001</v>
      </c>
      <c r="F145" s="21">
        <v>37.889800000000001</v>
      </c>
      <c r="G145" s="185">
        <f>ROUND(D145*(E145+F145),2)</f>
        <v>561.77</v>
      </c>
      <c r="H145" s="496"/>
      <c r="I145" s="73">
        <v>0.85</v>
      </c>
      <c r="J145" s="73">
        <f>+H145*I145</f>
        <v>0</v>
      </c>
      <c r="K145" s="497"/>
      <c r="L145" s="498">
        <f>SUM(G145:G151)+SUM(J145:J150)</f>
        <v>17603.61</v>
      </c>
      <c r="M145" s="26">
        <v>17603.61</v>
      </c>
      <c r="N145" s="594"/>
      <c r="O145" s="535"/>
      <c r="P145" s="536" t="s">
        <v>87</v>
      </c>
      <c r="Q145" s="595">
        <f t="shared" si="10"/>
        <v>-17041.84</v>
      </c>
      <c r="R145" s="502" t="s">
        <v>88</v>
      </c>
      <c r="S145" s="503"/>
      <c r="T145" s="504"/>
    </row>
    <row r="146" spans="1:21">
      <c r="A146" s="505"/>
      <c r="B146" s="506"/>
      <c r="C146" s="542"/>
      <c r="D146" s="508"/>
      <c r="E146" s="38">
        <f>32.332-28.8628</f>
        <v>3.4692000000000007</v>
      </c>
      <c r="F146" s="38">
        <f>37.8898-33.8306</f>
        <v>4.0592000000000041</v>
      </c>
      <c r="G146" s="50">
        <f>ROUND(D146*(E146+F146),2)</f>
        <v>0</v>
      </c>
      <c r="H146" s="596"/>
      <c r="I146" s="409"/>
      <c r="J146" s="509"/>
      <c r="K146" s="543"/>
      <c r="L146" s="511"/>
      <c r="M146" s="99"/>
      <c r="N146" s="513"/>
      <c r="O146" s="514"/>
      <c r="P146" s="515"/>
      <c r="Q146" s="262"/>
      <c r="R146" s="502"/>
      <c r="S146" s="503"/>
      <c r="T146" s="504"/>
    </row>
    <row r="147" spans="1:21">
      <c r="A147" s="505"/>
      <c r="B147" s="516" t="s">
        <v>103</v>
      </c>
      <c r="C147" s="99" t="s">
        <v>90</v>
      </c>
      <c r="D147" s="508">
        <v>17</v>
      </c>
      <c r="E147" s="101">
        <v>363.77</v>
      </c>
      <c r="F147" s="38">
        <v>37.889800000000001</v>
      </c>
      <c r="G147" s="50">
        <f>ROUND(D147*(E147+F147),2)</f>
        <v>6828.22</v>
      </c>
      <c r="H147" s="270"/>
      <c r="I147" s="41">
        <v>128.56</v>
      </c>
      <c r="J147" s="409">
        <f>+H147*I147</f>
        <v>0</v>
      </c>
      <c r="K147" s="510"/>
      <c r="L147" s="597"/>
      <c r="M147" s="99"/>
      <c r="N147" s="518"/>
      <c r="O147" s="519"/>
      <c r="P147" s="515" t="s">
        <v>87</v>
      </c>
      <c r="Q147" s="271">
        <f>+G147+J147-M147-N147-O147</f>
        <v>6828.22</v>
      </c>
      <c r="R147" s="502" t="s">
        <v>88</v>
      </c>
      <c r="S147" s="503"/>
      <c r="T147" s="504"/>
    </row>
    <row r="148" spans="1:21">
      <c r="A148" s="505"/>
      <c r="B148" s="506"/>
      <c r="C148" s="390" t="s">
        <v>97</v>
      </c>
      <c r="D148" s="508">
        <v>19</v>
      </c>
      <c r="E148" s="41">
        <f>363.77-283.85</f>
        <v>79.919999999999959</v>
      </c>
      <c r="F148" s="38"/>
      <c r="G148" s="50">
        <f>D148*(E148+F148)</f>
        <v>1518.4799999999991</v>
      </c>
      <c r="H148" s="432"/>
      <c r="I148" s="362"/>
      <c r="J148" s="41"/>
      <c r="K148" s="510"/>
      <c r="L148" s="597"/>
      <c r="M148" s="99"/>
      <c r="N148" s="521"/>
      <c r="O148" s="522"/>
      <c r="P148" s="523"/>
      <c r="Q148" s="362"/>
      <c r="R148" s="502"/>
      <c r="S148" s="503"/>
      <c r="T148" s="504"/>
    </row>
    <row r="149" spans="1:21">
      <c r="A149" s="505"/>
      <c r="B149" s="506"/>
      <c r="C149" s="48" t="s">
        <v>124</v>
      </c>
      <c r="D149" s="37">
        <v>1776</v>
      </c>
      <c r="E149" s="41">
        <f>6.3785-5.6595</f>
        <v>0.71899999999999942</v>
      </c>
      <c r="F149" s="297">
        <f t="shared" ref="F149:F151" si="11">+E149</f>
        <v>0.71899999999999942</v>
      </c>
      <c r="G149" s="39">
        <f>ROUND(D149*(E149+F149)/2,2)</f>
        <v>1276.94</v>
      </c>
      <c r="H149" s="432"/>
      <c r="I149" s="362"/>
      <c r="J149" s="41"/>
      <c r="K149" s="510"/>
      <c r="L149" s="597"/>
      <c r="M149" s="99"/>
      <c r="N149" s="521"/>
      <c r="O149" s="522"/>
      <c r="P149" s="523"/>
      <c r="Q149" s="362"/>
      <c r="R149" s="502"/>
      <c r="S149" s="503"/>
      <c r="T149" s="504"/>
    </row>
    <row r="150" spans="1:21">
      <c r="A150" s="505"/>
      <c r="B150" s="506"/>
      <c r="C150" s="48" t="s">
        <v>125</v>
      </c>
      <c r="D150" s="37">
        <v>49</v>
      </c>
      <c r="E150" s="41">
        <v>6.3784999999999998</v>
      </c>
      <c r="F150" s="298">
        <f t="shared" si="11"/>
        <v>6.3784999999999998</v>
      </c>
      <c r="G150" s="39">
        <f>ROUND(D150*E150,2)</f>
        <v>312.55</v>
      </c>
      <c r="H150" s="432"/>
      <c r="I150" s="362"/>
      <c r="J150" s="41"/>
      <c r="K150" s="510"/>
      <c r="L150" s="597"/>
      <c r="M150" s="99"/>
      <c r="N150" s="521"/>
      <c r="O150" s="522"/>
      <c r="P150" s="523"/>
      <c r="Q150" s="362"/>
      <c r="R150" s="502"/>
      <c r="S150" s="503"/>
      <c r="T150" s="504"/>
    </row>
    <row r="151" spans="1:21" ht="15.75" thickBot="1">
      <c r="A151" s="505"/>
      <c r="B151" s="526"/>
      <c r="C151" s="99" t="s">
        <v>29</v>
      </c>
      <c r="D151" s="55">
        <v>1114</v>
      </c>
      <c r="E151" s="56">
        <v>6.3784999999999998</v>
      </c>
      <c r="F151" s="57">
        <f t="shared" si="11"/>
        <v>6.3784999999999998</v>
      </c>
      <c r="G151" s="414">
        <f>ROUND(D151*E151,2)</f>
        <v>7105.65</v>
      </c>
      <c r="H151" s="248"/>
      <c r="I151" s="203"/>
      <c r="J151" s="60"/>
      <c r="K151" s="61"/>
      <c r="L151" s="249"/>
      <c r="M151" s="54"/>
      <c r="N151" s="527"/>
      <c r="O151" s="528"/>
      <c r="P151" s="529" t="s">
        <v>87</v>
      </c>
      <c r="Q151" s="58">
        <f>+G151+J151-M151-N151-O151</f>
        <v>7105.65</v>
      </c>
      <c r="R151" s="502" t="s">
        <v>88</v>
      </c>
      <c r="S151" s="598">
        <f>SUM(N145:N151)+O145:O151</f>
        <v>0</v>
      </c>
      <c r="T151" s="598">
        <f>SUM(Q145:Q151)</f>
        <v>-3107.9699999999993</v>
      </c>
    </row>
    <row r="152" spans="1:21">
      <c r="A152" s="493"/>
      <c r="B152" s="494" t="s">
        <v>104</v>
      </c>
      <c r="C152" s="71">
        <f>+[1]дек!U66</f>
        <v>0</v>
      </c>
      <c r="D152" s="495">
        <v>33</v>
      </c>
      <c r="E152" s="21">
        <v>32.332000000000001</v>
      </c>
      <c r="F152" s="21">
        <v>37.889800000000001</v>
      </c>
      <c r="G152" s="185">
        <f>ROUND(D152*(E152+F152),2)</f>
        <v>2317.3200000000002</v>
      </c>
      <c r="H152" s="496"/>
      <c r="I152" s="73">
        <v>0.85</v>
      </c>
      <c r="J152" s="73">
        <f>+H152*I152</f>
        <v>0</v>
      </c>
      <c r="K152" s="497"/>
      <c r="L152" s="439">
        <f>SUM(G152:G159)+SUM(J152:J158)</f>
        <v>24664.460000000003</v>
      </c>
      <c r="M152" s="26">
        <v>24664.46</v>
      </c>
      <c r="N152" s="499"/>
      <c r="O152" s="500"/>
      <c r="P152" s="501" t="s">
        <v>87</v>
      </c>
      <c r="Q152" s="185">
        <f t="shared" ref="Q152" si="12">C152+G152+J152-M152-N152-O152</f>
        <v>-22347.14</v>
      </c>
      <c r="R152" s="502" t="s">
        <v>88</v>
      </c>
      <c r="S152" s="503"/>
      <c r="T152" s="504"/>
    </row>
    <row r="153" spans="1:21">
      <c r="A153" s="505"/>
      <c r="B153" s="506"/>
      <c r="C153" s="599" t="s">
        <v>96</v>
      </c>
      <c r="D153" s="234">
        <v>0</v>
      </c>
      <c r="E153" s="38">
        <f>32.332-28.8628</f>
        <v>3.4692000000000007</v>
      </c>
      <c r="F153" s="38">
        <f>37.8898-33.8306</f>
        <v>4.0592000000000041</v>
      </c>
      <c r="G153" s="235">
        <f>ROUND(D153*(E153+F153),2)</f>
        <v>0</v>
      </c>
      <c r="H153" s="448"/>
      <c r="I153" s="509"/>
      <c r="J153" s="409"/>
      <c r="K153" s="510"/>
      <c r="L153" s="48"/>
      <c r="M153" s="512"/>
      <c r="N153" s="513"/>
      <c r="O153" s="514"/>
      <c r="P153" s="515"/>
      <c r="Q153" s="262"/>
      <c r="R153" s="502"/>
      <c r="S153" s="503"/>
      <c r="T153" s="504"/>
    </row>
    <row r="154" spans="1:21">
      <c r="A154" s="505"/>
      <c r="B154" s="516" t="s">
        <v>89</v>
      </c>
      <c r="C154" s="512" t="s">
        <v>90</v>
      </c>
      <c r="D154" s="508">
        <v>16</v>
      </c>
      <c r="E154" s="101">
        <v>363.77</v>
      </c>
      <c r="F154" s="38">
        <v>37.889800000000001</v>
      </c>
      <c r="G154" s="50">
        <f>ROUND(D154*(E154+F154),2)</f>
        <v>6426.56</v>
      </c>
      <c r="H154" s="270"/>
      <c r="I154" s="41">
        <v>128.56</v>
      </c>
      <c r="J154" s="409">
        <f>ROUND(H154*I154,2)</f>
        <v>0</v>
      </c>
      <c r="K154" s="510"/>
      <c r="L154" s="600"/>
      <c r="M154" s="99"/>
      <c r="N154" s="518"/>
      <c r="O154" s="519"/>
      <c r="P154" s="515" t="s">
        <v>87</v>
      </c>
      <c r="Q154" s="271">
        <f>+G154+J154-M154-N154-O154</f>
        <v>6426.56</v>
      </c>
      <c r="R154" s="502" t="s">
        <v>88</v>
      </c>
      <c r="S154" s="503"/>
      <c r="T154" s="504"/>
    </row>
    <row r="155" spans="1:21">
      <c r="A155" s="505"/>
      <c r="B155" s="541"/>
      <c r="C155" s="84" t="s">
        <v>97</v>
      </c>
      <c r="D155" s="508">
        <v>0</v>
      </c>
      <c r="E155" s="41">
        <f>363.77-283.85</f>
        <v>79.919999999999959</v>
      </c>
      <c r="F155" s="38"/>
      <c r="G155" s="50">
        <f>ROUND(D155*(E155+F155),2)</f>
        <v>0</v>
      </c>
      <c r="H155" s="432"/>
      <c r="I155" s="362"/>
      <c r="J155" s="41"/>
      <c r="K155" s="510"/>
      <c r="L155" s="600"/>
      <c r="M155" s="520"/>
      <c r="N155" s="521"/>
      <c r="O155" s="522"/>
      <c r="P155" s="523"/>
      <c r="Q155" s="362"/>
      <c r="R155" s="502"/>
      <c r="S155" s="503"/>
      <c r="T155" s="504"/>
    </row>
    <row r="156" spans="1:21">
      <c r="A156" s="505"/>
      <c r="B156" s="541"/>
      <c r="C156" s="84" t="s">
        <v>97</v>
      </c>
      <c r="D156" s="508">
        <v>0</v>
      </c>
      <c r="E156" s="41"/>
      <c r="F156" s="41"/>
      <c r="G156" s="50">
        <f>D156*(E156+F156)</f>
        <v>0</v>
      </c>
      <c r="H156" s="432"/>
      <c r="I156" s="362"/>
      <c r="J156" s="41"/>
      <c r="K156" s="510"/>
      <c r="L156" s="600"/>
      <c r="M156" s="520"/>
      <c r="N156" s="521"/>
      <c r="O156" s="522"/>
      <c r="P156" s="523"/>
      <c r="Q156" s="362"/>
      <c r="R156" s="502"/>
      <c r="S156" s="503"/>
      <c r="T156" s="504"/>
    </row>
    <row r="157" spans="1:21">
      <c r="A157" s="505"/>
      <c r="B157" s="506"/>
      <c r="C157" s="48" t="s">
        <v>124</v>
      </c>
      <c r="D157" s="37">
        <v>2191</v>
      </c>
      <c r="E157" s="41">
        <f>6.3785-5.6595</f>
        <v>0.71899999999999942</v>
      </c>
      <c r="F157" s="41">
        <f>+E157</f>
        <v>0.71899999999999942</v>
      </c>
      <c r="G157" s="39">
        <f>ROUND(D157*(E157),2)</f>
        <v>1575.33</v>
      </c>
      <c r="H157" s="432"/>
      <c r="I157" s="362"/>
      <c r="J157" s="41"/>
      <c r="K157" s="510"/>
      <c r="L157" s="600"/>
      <c r="M157" s="520"/>
      <c r="N157" s="521"/>
      <c r="O157" s="522"/>
      <c r="P157" s="523"/>
      <c r="Q157" s="362"/>
      <c r="R157" s="502"/>
      <c r="S157" s="503"/>
      <c r="T157" s="504"/>
    </row>
    <row r="158" spans="1:21">
      <c r="A158" s="505"/>
      <c r="B158" s="506"/>
      <c r="C158" s="48" t="s">
        <v>125</v>
      </c>
      <c r="D158" s="37">
        <v>95</v>
      </c>
      <c r="E158" s="41">
        <v>6.3784999999999998</v>
      </c>
      <c r="F158" s="41">
        <f>+E158</f>
        <v>6.3784999999999998</v>
      </c>
      <c r="G158" s="39">
        <f>ROUND(D158*(E158),2)</f>
        <v>605.96</v>
      </c>
      <c r="H158" s="432"/>
      <c r="I158" s="362"/>
      <c r="J158" s="41"/>
      <c r="K158" s="510"/>
      <c r="L158" s="600"/>
      <c r="M158" s="520"/>
      <c r="N158" s="521"/>
      <c r="O158" s="522"/>
      <c r="P158" s="523"/>
      <c r="Q158" s="362"/>
      <c r="R158" s="502"/>
      <c r="S158" s="503"/>
      <c r="T158" s="504"/>
      <c r="U158" s="33"/>
    </row>
    <row r="159" spans="1:21" ht="15.75" thickBot="1">
      <c r="A159" s="525"/>
      <c r="B159" s="526"/>
      <c r="C159" s="99" t="s">
        <v>29</v>
      </c>
      <c r="D159" s="55">
        <v>2154</v>
      </c>
      <c r="E159" s="56">
        <v>6.3784999999999998</v>
      </c>
      <c r="F159" s="281">
        <f>+E159</f>
        <v>6.3784999999999998</v>
      </c>
      <c r="G159" s="414">
        <f>ROUND(D159*(E159),2)</f>
        <v>13739.29</v>
      </c>
      <c r="H159" s="248"/>
      <c r="I159" s="203"/>
      <c r="J159" s="60"/>
      <c r="K159" s="61"/>
      <c r="L159" s="204"/>
      <c r="M159" s="54"/>
      <c r="N159" s="527"/>
      <c r="O159" s="528"/>
      <c r="P159" s="529" t="s">
        <v>87</v>
      </c>
      <c r="Q159" s="362">
        <f>+G159+J159-M159-N159-O159</f>
        <v>13739.29</v>
      </c>
      <c r="R159" s="502" t="s">
        <v>88</v>
      </c>
      <c r="S159" s="598">
        <f>SUM(N152:N159)+O152:O159</f>
        <v>0</v>
      </c>
      <c r="T159" s="598">
        <f>SUM(Q152:Q159)</f>
        <v>-2181.2899999999972</v>
      </c>
    </row>
    <row r="160" spans="1:21" ht="15.75" thickTop="1">
      <c r="A160" s="493">
        <v>115</v>
      </c>
      <c r="B160" s="494" t="s">
        <v>105</v>
      </c>
      <c r="C160" s="71">
        <f>+[1]дек!U72</f>
        <v>0</v>
      </c>
      <c r="D160" s="495">
        <v>12</v>
      </c>
      <c r="E160" s="21">
        <v>32.332000000000001</v>
      </c>
      <c r="F160" s="21">
        <v>37.889800000000001</v>
      </c>
      <c r="G160" s="185">
        <f>ROUND(D160*(E160+F160),2)</f>
        <v>842.66</v>
      </c>
      <c r="H160" s="496"/>
      <c r="I160" s="73">
        <v>0.85</v>
      </c>
      <c r="J160" s="73">
        <f>+H160*I160</f>
        <v>0</v>
      </c>
      <c r="K160" s="601"/>
      <c r="L160" s="498">
        <f>SUM(G160:G167)+SUM(J160:J166)</f>
        <v>28340.959999999999</v>
      </c>
      <c r="M160" s="26">
        <v>28340.959999999999</v>
      </c>
      <c r="N160" s="499"/>
      <c r="O160" s="500"/>
      <c r="P160" s="501" t="s">
        <v>87</v>
      </c>
      <c r="Q160" s="595">
        <f t="shared" ref="Q160" si="13">C160+G160+J160-M160-N160-O160</f>
        <v>-27498.3</v>
      </c>
    </row>
    <row r="161" spans="1:21">
      <c r="A161" s="505"/>
      <c r="B161" s="506"/>
      <c r="C161" s="507" t="s">
        <v>96</v>
      </c>
      <c r="D161" s="234">
        <v>0</v>
      </c>
      <c r="E161" s="38">
        <f>32.332-28.8628</f>
        <v>3.4692000000000007</v>
      </c>
      <c r="F161" s="38">
        <f>37.8898-33.8306</f>
        <v>4.0592000000000041</v>
      </c>
      <c r="G161" s="235">
        <f>ROUND(D161*(E161+F161),2)</f>
        <v>0</v>
      </c>
      <c r="H161" s="448"/>
      <c r="I161" s="509"/>
      <c r="J161" s="199"/>
      <c r="K161" s="517"/>
      <c r="L161" s="511"/>
      <c r="M161" s="512"/>
      <c r="N161" s="513"/>
      <c r="O161" s="514"/>
      <c r="P161" s="515"/>
      <c r="Q161" s="262"/>
      <c r="U161" s="33"/>
    </row>
    <row r="162" spans="1:21">
      <c r="A162" s="505"/>
      <c r="B162" s="516" t="s">
        <v>89</v>
      </c>
      <c r="C162" s="512" t="s">
        <v>90</v>
      </c>
      <c r="D162" s="508">
        <v>3</v>
      </c>
      <c r="E162" s="101">
        <v>363.77</v>
      </c>
      <c r="F162" s="38">
        <v>37.889800000000001</v>
      </c>
      <c r="G162" s="50">
        <f>ROUND(D162*(E162+F162),2)</f>
        <v>1204.98</v>
      </c>
      <c r="H162" s="270"/>
      <c r="I162" s="41">
        <v>128.56</v>
      </c>
      <c r="J162" s="207">
        <f>+H162*I162</f>
        <v>0</v>
      </c>
      <c r="K162" s="517"/>
      <c r="L162" s="517"/>
      <c r="M162" s="99"/>
      <c r="N162" s="518"/>
      <c r="O162" s="519"/>
      <c r="P162" s="515" t="s">
        <v>87</v>
      </c>
      <c r="Q162" s="271">
        <f>+G162+J162-M162-N162-O162</f>
        <v>1204.98</v>
      </c>
    </row>
    <row r="163" spans="1:21">
      <c r="A163" s="505"/>
      <c r="B163" s="541"/>
      <c r="C163" s="84" t="s">
        <v>97</v>
      </c>
      <c r="D163" s="508">
        <v>2</v>
      </c>
      <c r="E163" s="41">
        <f>363.77-283.85</f>
        <v>79.919999999999959</v>
      </c>
      <c r="F163" s="38"/>
      <c r="G163" s="50">
        <f>ROUND(D163*(E163+F163),2)</f>
        <v>159.84</v>
      </c>
      <c r="H163" s="432"/>
      <c r="I163" s="362"/>
      <c r="J163" s="207"/>
      <c r="K163" s="517"/>
      <c r="L163" s="517"/>
      <c r="M163" s="520"/>
      <c r="N163" s="521"/>
      <c r="O163" s="522"/>
      <c r="P163" s="523"/>
      <c r="Q163" s="362"/>
    </row>
    <row r="164" spans="1:21">
      <c r="A164" s="505"/>
      <c r="B164" s="541"/>
      <c r="C164" s="84"/>
      <c r="D164" s="508"/>
      <c r="E164" s="41"/>
      <c r="F164" s="41"/>
      <c r="G164" s="50"/>
      <c r="H164" s="432"/>
      <c r="I164" s="362"/>
      <c r="J164" s="207"/>
      <c r="K164" s="517"/>
      <c r="L164" s="517"/>
      <c r="M164" s="520"/>
      <c r="N164" s="521"/>
      <c r="O164" s="522"/>
      <c r="P164" s="523"/>
      <c r="Q164" s="362"/>
    </row>
    <row r="165" spans="1:21">
      <c r="A165" s="505"/>
      <c r="B165" s="506"/>
      <c r="C165" s="48" t="s">
        <v>124</v>
      </c>
      <c r="D165" s="37">
        <v>3798</v>
      </c>
      <c r="E165" s="41">
        <f>6.3785-5.6595</f>
        <v>0.71899999999999942</v>
      </c>
      <c r="F165" s="41">
        <f t="shared" ref="F165:F170" si="14">+E165</f>
        <v>0.71899999999999942</v>
      </c>
      <c r="G165" s="39">
        <f>ROUND(D165*E165,2)</f>
        <v>2730.76</v>
      </c>
      <c r="H165" s="432"/>
      <c r="I165" s="362"/>
      <c r="J165" s="207"/>
      <c r="K165" s="517"/>
      <c r="L165" s="517"/>
      <c r="M165" s="520"/>
      <c r="N165" s="521"/>
      <c r="O165" s="522"/>
      <c r="P165" s="523"/>
      <c r="Q165" s="362"/>
    </row>
    <row r="166" spans="1:21">
      <c r="A166" s="505"/>
      <c r="B166" s="506"/>
      <c r="C166" s="48" t="s">
        <v>125</v>
      </c>
      <c r="D166" s="37">
        <v>156</v>
      </c>
      <c r="E166" s="41">
        <v>6.3784999999999998</v>
      </c>
      <c r="F166" s="41">
        <f t="shared" si="14"/>
        <v>6.3784999999999998</v>
      </c>
      <c r="G166" s="39">
        <f>ROUND(D166*E166,2)</f>
        <v>995.05</v>
      </c>
      <c r="H166" s="432"/>
      <c r="I166" s="362"/>
      <c r="J166" s="207"/>
      <c r="K166" s="517"/>
      <c r="L166" s="517"/>
      <c r="M166" s="520"/>
      <c r="N166" s="521"/>
      <c r="O166" s="522"/>
      <c r="P166" s="523"/>
      <c r="Q166" s="362"/>
      <c r="U166" s="33"/>
    </row>
    <row r="167" spans="1:21" ht="15.75" thickBot="1">
      <c r="A167" s="525"/>
      <c r="B167" s="526"/>
      <c r="C167" s="99" t="s">
        <v>29</v>
      </c>
      <c r="D167" s="55">
        <v>3513</v>
      </c>
      <c r="E167" s="56">
        <v>6.3784999999999998</v>
      </c>
      <c r="F167" s="281">
        <f t="shared" si="14"/>
        <v>6.3784999999999998</v>
      </c>
      <c r="G167" s="58">
        <f>ROUND(D167*E167,2)</f>
        <v>22407.67</v>
      </c>
      <c r="H167" s="248"/>
      <c r="I167" s="203"/>
      <c r="J167" s="60"/>
      <c r="K167" s="61"/>
      <c r="L167" s="249"/>
      <c r="M167" s="54"/>
      <c r="N167" s="521"/>
      <c r="O167" s="528"/>
      <c r="P167" s="529" t="s">
        <v>87</v>
      </c>
      <c r="Q167" s="362">
        <f>+G167+J167-M167-N167-O167</f>
        <v>22407.67</v>
      </c>
    </row>
    <row r="168" spans="1:21">
      <c r="A168" s="493">
        <v>301</v>
      </c>
      <c r="B168" s="602" t="s">
        <v>106</v>
      </c>
      <c r="C168" s="48" t="s">
        <v>124</v>
      </c>
      <c r="D168" s="184">
        <v>809.33</v>
      </c>
      <c r="E168" s="41">
        <f>6.3785-5.6595</f>
        <v>0.71899999999999942</v>
      </c>
      <c r="F168" s="23">
        <f t="shared" si="14"/>
        <v>0.71899999999999942</v>
      </c>
      <c r="G168" s="185">
        <f>ROUND(D168*(E168),2)-0.01</f>
        <v>581.9</v>
      </c>
      <c r="H168" s="23"/>
      <c r="I168" s="23"/>
      <c r="J168" s="23"/>
      <c r="K168" s="23"/>
      <c r="L168" s="603">
        <f>SUM(G168:G170)</f>
        <v>6503.58</v>
      </c>
      <c r="M168" s="187">
        <v>6503.58</v>
      </c>
      <c r="N168" s="604"/>
      <c r="O168" s="500"/>
      <c r="P168" s="501"/>
      <c r="Q168" s="605"/>
    </row>
    <row r="169" spans="1:21">
      <c r="A169" s="505"/>
      <c r="B169" s="506"/>
      <c r="C169" s="48" t="s">
        <v>125</v>
      </c>
      <c r="D169" s="49">
        <v>39.380000000000003</v>
      </c>
      <c r="E169" s="41">
        <v>6.3784999999999998</v>
      </c>
      <c r="F169" s="41">
        <f t="shared" si="14"/>
        <v>6.3784999999999998</v>
      </c>
      <c r="G169" s="50">
        <f>ROUND(D169*(E169),2)</f>
        <v>251.19</v>
      </c>
      <c r="H169" s="41"/>
      <c r="I169" s="41"/>
      <c r="J169" s="41"/>
      <c r="K169" s="41"/>
      <c r="L169" s="606"/>
      <c r="M169" s="606"/>
      <c r="N169" s="607"/>
      <c r="O169" s="608"/>
      <c r="P169" s="609"/>
      <c r="Q169" s="610"/>
    </row>
    <row r="170" spans="1:21" ht="15.75" thickBot="1">
      <c r="A170" s="611"/>
      <c r="B170" s="612"/>
      <c r="C170" s="99" t="s">
        <v>29</v>
      </c>
      <c r="D170" s="613">
        <v>889</v>
      </c>
      <c r="E170" s="56">
        <v>6.3784999999999998</v>
      </c>
      <c r="F170" s="281">
        <f t="shared" si="14"/>
        <v>6.3784999999999998</v>
      </c>
      <c r="G170" s="58">
        <f>ROUND(D170*(E170),2)</f>
        <v>5670.49</v>
      </c>
      <c r="H170" s="57"/>
      <c r="I170" s="57"/>
      <c r="J170" s="57"/>
      <c r="K170" s="57"/>
      <c r="L170" s="614"/>
      <c r="M170" s="606"/>
      <c r="N170" s="615"/>
      <c r="O170" s="615"/>
      <c r="P170" s="615"/>
      <c r="Q170" s="616"/>
    </row>
    <row r="171" spans="1:21">
      <c r="A171" s="617"/>
      <c r="B171" s="602" t="s">
        <v>107</v>
      </c>
      <c r="C171" s="618" t="s">
        <v>73</v>
      </c>
      <c r="D171" s="619">
        <v>5</v>
      </c>
      <c r="E171" s="21">
        <v>32.332000000000001</v>
      </c>
      <c r="F171" s="21">
        <v>37.889800000000001</v>
      </c>
      <c r="G171" s="185">
        <f>ROUND(D171*(E171+F171),2)</f>
        <v>351.11</v>
      </c>
      <c r="H171" s="620"/>
      <c r="I171" s="620"/>
      <c r="J171" s="620"/>
      <c r="K171" s="620"/>
      <c r="L171" s="603">
        <f>SUM(G171:G175,J171:J175)</f>
        <v>6255.2300000000005</v>
      </c>
      <c r="M171" s="187">
        <v>6255.23</v>
      </c>
      <c r="N171" s="621"/>
      <c r="O171" s="621"/>
      <c r="P171" s="621"/>
      <c r="Q171" s="622"/>
    </row>
    <row r="172" spans="1:21">
      <c r="A172" s="611"/>
      <c r="B172" s="612"/>
      <c r="C172" s="542" t="s">
        <v>96</v>
      </c>
      <c r="D172" s="234">
        <v>0</v>
      </c>
      <c r="E172" s="38">
        <f>32.332-28.8628</f>
        <v>3.4692000000000007</v>
      </c>
      <c r="F172" s="38">
        <f>37.8898-33.8306</f>
        <v>4.0592000000000041</v>
      </c>
      <c r="G172" s="235">
        <f>ROUND(D172*(E172+F172),2)</f>
        <v>0</v>
      </c>
      <c r="H172" s="298"/>
      <c r="I172" s="298"/>
      <c r="J172" s="298"/>
      <c r="K172" s="298"/>
      <c r="L172" s="606"/>
      <c r="M172" s="606"/>
      <c r="N172" s="615"/>
      <c r="O172" s="615"/>
      <c r="P172" s="615"/>
      <c r="Q172" s="616"/>
    </row>
    <row r="173" spans="1:21">
      <c r="A173" s="611"/>
      <c r="B173" s="612"/>
      <c r="C173" s="48" t="s">
        <v>124</v>
      </c>
      <c r="D173" s="623">
        <v>804</v>
      </c>
      <c r="E173" s="41">
        <f>6.3785-5.6595</f>
        <v>0.71899999999999942</v>
      </c>
      <c r="F173" s="41">
        <f>+E173</f>
        <v>0.71899999999999942</v>
      </c>
      <c r="G173" s="50">
        <f>ROUND(D173*(E173),2)-0.01</f>
        <v>578.07000000000005</v>
      </c>
      <c r="H173" s="298"/>
      <c r="I173" s="298"/>
      <c r="J173" s="298"/>
      <c r="K173" s="298"/>
      <c r="L173" s="614"/>
      <c r="M173" s="606"/>
      <c r="N173" s="615"/>
      <c r="O173" s="615"/>
      <c r="P173" s="615"/>
      <c r="Q173" s="616"/>
    </row>
    <row r="174" spans="1:21">
      <c r="A174" s="611"/>
      <c r="B174" s="612"/>
      <c r="C174" s="48" t="s">
        <v>125</v>
      </c>
      <c r="D174" s="623">
        <v>35</v>
      </c>
      <c r="E174" s="41">
        <v>6.3784999999999998</v>
      </c>
      <c r="F174" s="41">
        <f>+E174</f>
        <v>6.3784999999999998</v>
      </c>
      <c r="G174" s="39">
        <f>ROUND(D174*(E174),2)</f>
        <v>223.25</v>
      </c>
      <c r="H174" s="298"/>
      <c r="I174" s="298"/>
      <c r="J174" s="298"/>
      <c r="K174" s="298"/>
      <c r="L174" s="614"/>
      <c r="M174" s="273"/>
      <c r="N174" s="615"/>
      <c r="O174" s="615"/>
      <c r="P174" s="615"/>
      <c r="Q174" s="616"/>
    </row>
    <row r="175" spans="1:21" ht="15.75" thickBot="1">
      <c r="A175" s="624"/>
      <c r="B175" s="526"/>
      <c r="C175" s="99" t="s">
        <v>29</v>
      </c>
      <c r="D175" s="625">
        <v>800</v>
      </c>
      <c r="E175" s="56">
        <v>6.3784999999999998</v>
      </c>
      <c r="F175" s="281">
        <f>+E175</f>
        <v>6.3784999999999998</v>
      </c>
      <c r="G175" s="414">
        <f>ROUND(D175*(E175),2)</f>
        <v>5102.8</v>
      </c>
      <c r="H175" s="41"/>
      <c r="I175" s="41"/>
      <c r="J175" s="41"/>
      <c r="K175" s="41"/>
      <c r="L175" s="606"/>
      <c r="M175" s="606"/>
      <c r="N175" s="626"/>
      <c r="O175" s="626"/>
      <c r="P175" s="626"/>
      <c r="Q175" s="627"/>
    </row>
    <row r="176" spans="1:21" ht="15.75" thickTop="1">
      <c r="A176" s="493"/>
      <c r="B176" s="494" t="s">
        <v>108</v>
      </c>
      <c r="C176" s="71">
        <f>+[1]дек!U87</f>
        <v>0</v>
      </c>
      <c r="D176" s="495">
        <v>5</v>
      </c>
      <c r="E176" s="21">
        <v>32.332000000000001</v>
      </c>
      <c r="F176" s="21">
        <v>37.889800000000001</v>
      </c>
      <c r="G176" s="185">
        <f>ROUND(D176*(E176+F176),2)</f>
        <v>351.11</v>
      </c>
      <c r="H176" s="496"/>
      <c r="I176" s="73">
        <v>0.85</v>
      </c>
      <c r="J176" s="73">
        <f>+H176*I176</f>
        <v>0</v>
      </c>
      <c r="K176" s="628"/>
      <c r="L176" s="629">
        <f>SUM(G176:G182)+SUM(J176:J181)</f>
        <v>3808.48</v>
      </c>
      <c r="M176" s="630">
        <v>3808.48</v>
      </c>
      <c r="N176" s="594"/>
      <c r="O176" s="631"/>
      <c r="P176" s="515" t="s">
        <v>87</v>
      </c>
      <c r="Q176" s="595">
        <f t="shared" ref="Q176:Q178" si="15">C176+G176+J176-M176-N176-O176</f>
        <v>-3457.37</v>
      </c>
    </row>
    <row r="177" spans="1:17">
      <c r="A177" s="505"/>
      <c r="B177" s="506"/>
      <c r="C177" s="542" t="s">
        <v>96</v>
      </c>
      <c r="D177" s="234">
        <v>0</v>
      </c>
      <c r="E177" s="38">
        <f>32.332-28.8628</f>
        <v>3.4692000000000007</v>
      </c>
      <c r="F177" s="38">
        <f>37.8898-33.8306</f>
        <v>4.0592000000000041</v>
      </c>
      <c r="G177" s="235">
        <f>ROUND(D177*(E177+F177),2)</f>
        <v>0</v>
      </c>
      <c r="H177" s="448"/>
      <c r="I177" s="509"/>
      <c r="J177" s="409"/>
      <c r="K177" s="510"/>
      <c r="L177" s="632"/>
      <c r="M177" s="512"/>
      <c r="N177" s="513"/>
      <c r="O177" s="514"/>
      <c r="P177" s="515"/>
      <c r="Q177" s="262"/>
    </row>
    <row r="178" spans="1:17">
      <c r="A178" s="505"/>
      <c r="B178" s="516" t="s">
        <v>109</v>
      </c>
      <c r="C178" s="633"/>
      <c r="D178" s="508"/>
      <c r="E178" s="101">
        <v>363.77</v>
      </c>
      <c r="F178" s="41">
        <v>33.830599999999997</v>
      </c>
      <c r="G178" s="50">
        <f>D178*(E178+F178)</f>
        <v>0</v>
      </c>
      <c r="H178" s="270"/>
      <c r="I178" s="41">
        <v>128.56</v>
      </c>
      <c r="J178" s="409">
        <f>ROUND(H178*I178,2)</f>
        <v>0</v>
      </c>
      <c r="K178" s="510"/>
      <c r="L178" s="597"/>
      <c r="M178" s="99"/>
      <c r="N178" s="518"/>
      <c r="O178" s="519"/>
      <c r="P178" s="515" t="s">
        <v>87</v>
      </c>
      <c r="Q178" s="271">
        <f t="shared" si="15"/>
        <v>0</v>
      </c>
    </row>
    <row r="179" spans="1:17">
      <c r="A179" s="505"/>
      <c r="B179" s="541"/>
      <c r="C179" s="84" t="s">
        <v>97</v>
      </c>
      <c r="D179" s="508"/>
      <c r="E179" s="41">
        <f>363.77-283.85</f>
        <v>79.919999999999959</v>
      </c>
      <c r="F179" s="41"/>
      <c r="G179" s="50">
        <f>D179*(E179+F179)</f>
        <v>0</v>
      </c>
      <c r="H179" s="432"/>
      <c r="I179" s="362"/>
      <c r="J179" s="207"/>
      <c r="K179" s="510"/>
      <c r="L179" s="597"/>
      <c r="M179" s="520"/>
      <c r="N179" s="521"/>
      <c r="O179" s="522"/>
      <c r="P179" s="523"/>
      <c r="Q179" s="362"/>
    </row>
    <row r="180" spans="1:17">
      <c r="A180" s="505"/>
      <c r="B180" s="506"/>
      <c r="C180" s="48" t="s">
        <v>124</v>
      </c>
      <c r="D180" s="37">
        <v>435</v>
      </c>
      <c r="E180" s="41">
        <f>6.3785-5.6595</f>
        <v>0.71899999999999942</v>
      </c>
      <c r="F180" s="41">
        <f>+E180</f>
        <v>0.71899999999999942</v>
      </c>
      <c r="G180" s="39">
        <f>ROUND(D180*(E180),2)</f>
        <v>312.77</v>
      </c>
      <c r="H180" s="432"/>
      <c r="I180" s="362"/>
      <c r="J180" s="207"/>
      <c r="K180" s="510"/>
      <c r="L180" s="597"/>
      <c r="M180" s="520"/>
      <c r="N180" s="521"/>
      <c r="O180" s="522"/>
      <c r="P180" s="523"/>
      <c r="Q180" s="362"/>
    </row>
    <row r="181" spans="1:17">
      <c r="A181" s="505"/>
      <c r="B181" s="506"/>
      <c r="C181" s="48" t="s">
        <v>125</v>
      </c>
      <c r="D181" s="37">
        <v>21</v>
      </c>
      <c r="E181" s="41">
        <v>6.3784999999999998</v>
      </c>
      <c r="F181" s="41">
        <f>+E181</f>
        <v>6.3784999999999998</v>
      </c>
      <c r="G181" s="39">
        <f t="shared" ref="G181:G186" si="16">ROUND(D181*(E181),2)</f>
        <v>133.94999999999999</v>
      </c>
      <c r="H181" s="432"/>
      <c r="I181" s="362"/>
      <c r="J181" s="207"/>
      <c r="K181" s="510"/>
      <c r="L181" s="597"/>
      <c r="M181" s="520"/>
      <c r="N181" s="521"/>
      <c r="O181" s="522"/>
      <c r="P181" s="523"/>
      <c r="Q181" s="362"/>
    </row>
    <row r="182" spans="1:17" ht="15.75" thickBot="1">
      <c r="A182" s="525"/>
      <c r="B182" s="526"/>
      <c r="C182" s="99" t="s">
        <v>29</v>
      </c>
      <c r="D182" s="55">
        <v>472</v>
      </c>
      <c r="E182" s="56">
        <v>6.3784999999999998</v>
      </c>
      <c r="F182" s="281">
        <f>+E182</f>
        <v>6.3784999999999998</v>
      </c>
      <c r="G182" s="414">
        <f t="shared" si="16"/>
        <v>3010.65</v>
      </c>
      <c r="H182" s="248"/>
      <c r="I182" s="203"/>
      <c r="J182" s="60"/>
      <c r="K182" s="61"/>
      <c r="L182" s="249"/>
      <c r="M182" s="54"/>
      <c r="N182" s="527"/>
      <c r="O182" s="528"/>
      <c r="P182" s="529" t="s">
        <v>87</v>
      </c>
      <c r="Q182" s="282">
        <f>+G182+J182-M182-N182-O182</f>
        <v>3010.65</v>
      </c>
    </row>
    <row r="183" spans="1:17">
      <c r="A183" s="493"/>
      <c r="B183" s="602" t="s">
        <v>110</v>
      </c>
      <c r="C183" s="48" t="s">
        <v>124</v>
      </c>
      <c r="D183" s="184">
        <v>142</v>
      </c>
      <c r="E183" s="41">
        <f>6.3785-5.6595</f>
        <v>0.71899999999999942</v>
      </c>
      <c r="F183" s="23">
        <f t="shared" ref="F183:F185" si="17">+E183</f>
        <v>0.71899999999999942</v>
      </c>
      <c r="G183" s="185">
        <f>ROUND(D183*(E183),2)</f>
        <v>102.1</v>
      </c>
      <c r="H183" s="620"/>
      <c r="I183" s="620"/>
      <c r="J183" s="620"/>
      <c r="K183" s="634"/>
      <c r="L183" s="603">
        <f>SUM(G183:G186)</f>
        <v>1314.0100000000002</v>
      </c>
      <c r="M183" s="187">
        <v>1314.01</v>
      </c>
      <c r="N183" s="604"/>
      <c r="O183" s="635"/>
      <c r="P183" s="636"/>
      <c r="Q183" s="605"/>
    </row>
    <row r="184" spans="1:17">
      <c r="A184" s="505"/>
      <c r="B184" s="506"/>
      <c r="C184" s="48" t="s">
        <v>125</v>
      </c>
      <c r="D184" s="49">
        <v>8</v>
      </c>
      <c r="E184" s="41">
        <v>6.3784999999999998</v>
      </c>
      <c r="F184" s="41">
        <f t="shared" si="17"/>
        <v>6.3784999999999998</v>
      </c>
      <c r="G184" s="50">
        <f>ROUND(D184*(E184),2)-0.01</f>
        <v>51.02</v>
      </c>
      <c r="H184" s="296"/>
      <c r="I184" s="298"/>
      <c r="J184" s="298"/>
      <c r="K184" s="637"/>
      <c r="L184" s="606"/>
      <c r="M184" s="606"/>
      <c r="N184" s="607"/>
      <c r="O184" s="608"/>
      <c r="P184" s="609"/>
      <c r="Q184" s="610"/>
    </row>
    <row r="185" spans="1:17" ht="15.75" thickBot="1">
      <c r="A185" s="611"/>
      <c r="B185" s="506"/>
      <c r="C185" s="99" t="s">
        <v>29</v>
      </c>
      <c r="D185" s="296">
        <v>182</v>
      </c>
      <c r="E185" s="56">
        <v>6.3784999999999998</v>
      </c>
      <c r="F185" s="41">
        <f t="shared" si="17"/>
        <v>6.3784999999999998</v>
      </c>
      <c r="G185" s="50">
        <f t="shared" si="16"/>
        <v>1160.8900000000001</v>
      </c>
      <c r="H185" s="296"/>
      <c r="I185" s="298"/>
      <c r="J185" s="298"/>
      <c r="K185" s="637"/>
      <c r="L185" s="614"/>
      <c r="M185" s="606"/>
      <c r="N185" s="615"/>
      <c r="O185" s="615"/>
      <c r="P185" s="615"/>
      <c r="Q185" s="616"/>
    </row>
    <row r="186" spans="1:17" ht="15.75" thickBot="1">
      <c r="A186" s="638"/>
      <c r="B186" s="639" t="s">
        <v>111</v>
      </c>
      <c r="C186" s="640"/>
      <c r="D186" s="641"/>
      <c r="E186" s="311"/>
      <c r="F186" s="109"/>
      <c r="G186" s="642">
        <f t="shared" si="16"/>
        <v>0</v>
      </c>
      <c r="H186" s="643"/>
      <c r="I186" s="109"/>
      <c r="J186" s="109"/>
      <c r="K186" s="644"/>
      <c r="L186" s="640"/>
      <c r="M186" s="640"/>
      <c r="N186" s="2"/>
      <c r="O186" s="2"/>
      <c r="P186" s="2"/>
      <c r="Q186" s="2"/>
    </row>
    <row r="187" spans="1:17" ht="15.75" thickTop="1">
      <c r="A187" s="645"/>
      <c r="B187" s="602" t="s">
        <v>112</v>
      </c>
      <c r="C187" s="48" t="s">
        <v>124</v>
      </c>
      <c r="D187" s="184">
        <v>733</v>
      </c>
      <c r="E187" s="41">
        <f>6.3785-5.6595</f>
        <v>0.71899999999999942</v>
      </c>
      <c r="F187" s="23">
        <f t="shared" ref="F187:F191" si="18">+E187</f>
        <v>0.71899999999999942</v>
      </c>
      <c r="G187" s="185">
        <f>ROUND(D187*(E187),2)-0.01</f>
        <v>527.02</v>
      </c>
      <c r="H187" s="620"/>
      <c r="I187" s="620"/>
      <c r="J187" s="620"/>
      <c r="K187" s="634"/>
      <c r="L187" s="603">
        <f>SUM(G187:G190)</f>
        <v>5381.06</v>
      </c>
      <c r="M187" s="187">
        <v>5381.06</v>
      </c>
      <c r="N187" s="604"/>
      <c r="O187" s="635"/>
      <c r="P187" s="636"/>
      <c r="Q187" s="605"/>
    </row>
    <row r="188" spans="1:17">
      <c r="A188" s="645"/>
      <c r="B188" s="506"/>
      <c r="C188" s="48" t="s">
        <v>125</v>
      </c>
      <c r="D188" s="49">
        <v>32</v>
      </c>
      <c r="E188" s="41">
        <v>6.3784999999999998</v>
      </c>
      <c r="F188" s="41">
        <f t="shared" si="18"/>
        <v>6.3784999999999998</v>
      </c>
      <c r="G188" s="50">
        <f t="shared" ref="G188:G189" si="19">ROUND(D188*(E188),2)</f>
        <v>204.11</v>
      </c>
      <c r="H188" s="296"/>
      <c r="I188" s="298"/>
      <c r="J188" s="298"/>
      <c r="K188" s="637"/>
      <c r="L188" s="606"/>
      <c r="M188" s="606"/>
      <c r="N188" s="607"/>
      <c r="O188" s="608"/>
      <c r="P188" s="609"/>
      <c r="Q188" s="610"/>
    </row>
    <row r="189" spans="1:17" ht="15.75" thickBot="1">
      <c r="A189" s="645"/>
      <c r="B189" s="506"/>
      <c r="C189" s="99" t="s">
        <v>29</v>
      </c>
      <c r="D189" s="296">
        <v>729</v>
      </c>
      <c r="E189" s="56">
        <v>6.3784999999999998</v>
      </c>
      <c r="F189" s="41">
        <f t="shared" si="18"/>
        <v>6.3784999999999998</v>
      </c>
      <c r="G189" s="50">
        <f t="shared" si="19"/>
        <v>4649.93</v>
      </c>
      <c r="H189" s="296"/>
      <c r="I189" s="298"/>
      <c r="J189" s="298"/>
      <c r="K189" s="637"/>
      <c r="L189" s="614"/>
      <c r="M189" s="606"/>
      <c r="N189" s="615"/>
      <c r="O189" s="615"/>
      <c r="P189" s="615"/>
      <c r="Q189" s="616"/>
    </row>
    <row r="190" spans="1:17" ht="15.75" thickBot="1">
      <c r="A190" s="645"/>
      <c r="B190" s="639"/>
      <c r="C190" s="646"/>
      <c r="D190" s="647"/>
      <c r="E190" s="648"/>
      <c r="F190" s="646"/>
      <c r="G190" s="648"/>
      <c r="H190" s="646"/>
      <c r="I190" s="646"/>
      <c r="J190" s="646"/>
      <c r="K190" s="646"/>
      <c r="L190" s="646"/>
      <c r="M190" s="646"/>
      <c r="N190" s="615"/>
      <c r="O190" s="615"/>
      <c r="P190" s="615"/>
      <c r="Q190" s="615"/>
    </row>
    <row r="191" spans="1:17" ht="15.75" thickTop="1">
      <c r="A191" s="645"/>
      <c r="B191" s="602" t="s">
        <v>127</v>
      </c>
      <c r="C191" s="48" t="s">
        <v>124</v>
      </c>
      <c r="D191" s="184"/>
      <c r="E191" s="41"/>
      <c r="F191" s="23">
        <f t="shared" si="18"/>
        <v>0</v>
      </c>
      <c r="G191" s="185">
        <f>ROUND(D191*(E191),2)</f>
        <v>0</v>
      </c>
      <c r="H191" s="620"/>
      <c r="I191" s="620"/>
      <c r="J191" s="620"/>
      <c r="K191" s="634"/>
      <c r="L191" s="603">
        <f>SUM(G191:G194)</f>
        <v>13.39</v>
      </c>
      <c r="M191" s="187">
        <v>13.39</v>
      </c>
      <c r="N191" s="604"/>
      <c r="O191" s="635"/>
      <c r="P191" s="636"/>
      <c r="Q191" s="605"/>
    </row>
    <row r="192" spans="1:17">
      <c r="A192" s="645"/>
      <c r="B192" s="506"/>
      <c r="C192" s="48" t="s">
        <v>125</v>
      </c>
      <c r="D192" s="49">
        <v>0.1</v>
      </c>
      <c r="E192" s="41">
        <v>6.3784999999999998</v>
      </c>
      <c r="F192" s="41">
        <f>+E192</f>
        <v>6.3784999999999998</v>
      </c>
      <c r="G192" s="50">
        <f>ROUND(D192*(E192),2)-0.01</f>
        <v>0.63</v>
      </c>
      <c r="H192" s="296"/>
      <c r="I192" s="298"/>
      <c r="J192" s="298"/>
      <c r="K192" s="637"/>
      <c r="L192" s="606"/>
      <c r="M192" s="606"/>
      <c r="N192" s="607"/>
      <c r="O192" s="608"/>
      <c r="P192" s="609"/>
      <c r="Q192" s="610"/>
    </row>
    <row r="193" spans="1:20">
      <c r="A193" s="645"/>
      <c r="B193" s="506"/>
      <c r="C193" s="99" t="s">
        <v>29</v>
      </c>
      <c r="D193" s="296">
        <v>2</v>
      </c>
      <c r="E193" s="41">
        <v>6.3784999999999998</v>
      </c>
      <c r="F193" s="41">
        <f t="shared" ref="F193" si="20">+E193</f>
        <v>6.3784999999999998</v>
      </c>
      <c r="G193" s="50">
        <f t="shared" ref="G193" si="21">ROUND(D193*(E193),2)</f>
        <v>12.76</v>
      </c>
      <c r="H193" s="296"/>
      <c r="I193" s="298"/>
      <c r="J193" s="298"/>
      <c r="K193" s="637"/>
      <c r="L193" s="614"/>
      <c r="M193" s="606"/>
      <c r="N193" s="615"/>
      <c r="O193" s="615"/>
      <c r="P193" s="615"/>
      <c r="Q193" s="616"/>
    </row>
    <row r="194" spans="1:20" ht="15.75" thickBot="1">
      <c r="A194" s="645"/>
      <c r="B194" s="639"/>
      <c r="C194" s="646"/>
      <c r="D194" s="647"/>
      <c r="E194" s="648"/>
      <c r="F194" s="646"/>
      <c r="G194" s="648"/>
      <c r="H194" s="646"/>
      <c r="I194" s="646"/>
      <c r="J194" s="646"/>
      <c r="K194" s="646"/>
      <c r="L194" s="646"/>
      <c r="M194" s="646"/>
      <c r="N194" s="615"/>
      <c r="O194" s="615"/>
      <c r="P194" s="615"/>
      <c r="Q194" s="615"/>
    </row>
    <row r="195" spans="1:20" ht="15.75" thickTop="1">
      <c r="A195" s="645"/>
      <c r="B195" s="602" t="s">
        <v>128</v>
      </c>
      <c r="C195" s="48" t="s">
        <v>124</v>
      </c>
      <c r="D195" s="184"/>
      <c r="E195" s="41"/>
      <c r="F195" s="23">
        <f t="shared" ref="F195" si="22">+E195</f>
        <v>0</v>
      </c>
      <c r="G195" s="185">
        <f>ROUND(D195*(E195),2)</f>
        <v>0</v>
      </c>
      <c r="H195" s="620"/>
      <c r="I195" s="620"/>
      <c r="J195" s="620"/>
      <c r="K195" s="634"/>
      <c r="L195" s="603">
        <f>SUM(G195:G198)</f>
        <v>73.349999999999994</v>
      </c>
      <c r="M195" s="187">
        <v>73.349999999999994</v>
      </c>
      <c r="N195" s="604"/>
      <c r="O195" s="635"/>
      <c r="P195" s="636"/>
      <c r="Q195" s="605"/>
    </row>
    <row r="196" spans="1:20">
      <c r="A196" s="645"/>
      <c r="B196" s="506"/>
      <c r="C196" s="48" t="s">
        <v>125</v>
      </c>
      <c r="D196" s="49">
        <v>0.5</v>
      </c>
      <c r="E196" s="41">
        <v>6.3784999999999998</v>
      </c>
      <c r="F196" s="41">
        <f>+E196</f>
        <v>6.3784999999999998</v>
      </c>
      <c r="G196" s="50">
        <f>ROUND(D196*(E196),2)</f>
        <v>3.19</v>
      </c>
      <c r="H196" s="296"/>
      <c r="I196" s="298"/>
      <c r="J196" s="298"/>
      <c r="K196" s="637"/>
      <c r="L196" s="606"/>
      <c r="M196" s="606"/>
      <c r="N196" s="607"/>
      <c r="O196" s="608"/>
      <c r="P196" s="609"/>
      <c r="Q196" s="610"/>
    </row>
    <row r="197" spans="1:20">
      <c r="A197" s="645"/>
      <c r="B197" s="506"/>
      <c r="C197" s="99" t="s">
        <v>29</v>
      </c>
      <c r="D197" s="296">
        <v>11</v>
      </c>
      <c r="E197" s="41">
        <v>6.3784999999999998</v>
      </c>
      <c r="F197" s="41">
        <f t="shared" ref="F197" si="23">+E197</f>
        <v>6.3784999999999998</v>
      </c>
      <c r="G197" s="50">
        <f t="shared" ref="G197" si="24">ROUND(D197*(E197),2)</f>
        <v>70.16</v>
      </c>
      <c r="H197" s="296"/>
      <c r="I197" s="298"/>
      <c r="J197" s="298"/>
      <c r="K197" s="637"/>
      <c r="L197" s="614"/>
      <c r="M197" s="606"/>
      <c r="N197" s="615"/>
      <c r="O197" s="615"/>
      <c r="P197" s="615"/>
      <c r="Q197" s="616"/>
    </row>
    <row r="198" spans="1:20" ht="15.75" thickBot="1">
      <c r="A198" s="645"/>
      <c r="B198" s="639"/>
      <c r="C198" s="646"/>
      <c r="D198" s="647"/>
      <c r="E198" s="648"/>
      <c r="F198" s="646"/>
      <c r="G198" s="648"/>
      <c r="H198" s="646"/>
      <c r="I198" s="646"/>
      <c r="J198" s="646"/>
      <c r="K198" s="646"/>
      <c r="L198" s="646"/>
      <c r="M198" s="646"/>
      <c r="N198" s="615"/>
      <c r="O198" s="615"/>
      <c r="P198" s="615"/>
      <c r="Q198" s="615"/>
    </row>
    <row r="199" spans="1:20" ht="15.75" thickTop="1">
      <c r="A199" s="695"/>
      <c r="B199" s="615"/>
      <c r="C199" s="615"/>
      <c r="D199" s="696"/>
      <c r="E199" s="473"/>
      <c r="F199" s="615"/>
      <c r="G199" s="473"/>
      <c r="H199" s="615"/>
      <c r="I199" s="615"/>
      <c r="J199" s="615"/>
      <c r="K199" s="615"/>
      <c r="L199" s="615"/>
      <c r="M199" s="615"/>
      <c r="N199" s="615"/>
      <c r="O199" s="615"/>
      <c r="P199" s="615"/>
      <c r="Q199" s="615"/>
    </row>
    <row r="200" spans="1:20" ht="15.75" thickBot="1">
      <c r="A200" s="695"/>
      <c r="B200" s="615"/>
      <c r="C200" s="615"/>
      <c r="D200" s="696"/>
      <c r="E200" s="473"/>
      <c r="F200" s="615"/>
      <c r="G200" s="473"/>
      <c r="H200" s="615"/>
      <c r="I200" s="615"/>
      <c r="J200" s="615"/>
      <c r="K200" s="615"/>
      <c r="L200" s="615"/>
      <c r="M200" s="615"/>
      <c r="N200" s="615"/>
      <c r="O200" s="615"/>
      <c r="P200" s="615"/>
      <c r="Q200" s="615"/>
    </row>
    <row r="201" spans="1:20" s="81" customFormat="1" ht="15" customHeight="1" thickTop="1">
      <c r="A201" s="476"/>
      <c r="B201" s="158"/>
      <c r="C201" s="322"/>
      <c r="D201" s="477"/>
      <c r="E201" s="163"/>
      <c r="F201" s="163"/>
      <c r="G201" s="478"/>
      <c r="H201" s="163"/>
      <c r="I201" s="163"/>
      <c r="J201" s="163"/>
      <c r="K201" s="163"/>
      <c r="L201" s="163"/>
      <c r="M201" s="164"/>
      <c r="N201" s="479"/>
      <c r="O201" s="479"/>
      <c r="P201" s="479"/>
      <c r="Q201" s="479"/>
      <c r="R201" s="422"/>
      <c r="S201" s="399"/>
      <c r="T201" s="399"/>
    </row>
    <row r="202" spans="1:20" ht="21.75" thickBot="1">
      <c r="A202" s="171" t="s">
        <v>113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  <c r="N202" s="2"/>
      <c r="O202" s="2"/>
      <c r="P202" s="2"/>
      <c r="Q202" s="2"/>
    </row>
    <row r="203" spans="1:20" ht="15.75" customHeight="1" thickTop="1" thickBot="1">
      <c r="A203" s="1555" t="s">
        <v>1</v>
      </c>
      <c r="B203" s="1543" t="s">
        <v>2</v>
      </c>
      <c r="C203" s="1545" t="s">
        <v>3</v>
      </c>
      <c r="D203" s="1546" t="s">
        <v>4</v>
      </c>
      <c r="E203" s="1546"/>
      <c r="F203" s="1546"/>
      <c r="G203" s="1546"/>
      <c r="H203" s="1547"/>
      <c r="I203" s="1548"/>
      <c r="J203" s="1548"/>
      <c r="K203" s="1549"/>
      <c r="L203" s="1524" t="s">
        <v>6</v>
      </c>
      <c r="M203" s="1511" t="s">
        <v>7</v>
      </c>
      <c r="N203" s="1551" t="s">
        <v>8</v>
      </c>
      <c r="O203" s="1551"/>
      <c r="P203" s="1551"/>
      <c r="Q203" s="1552"/>
      <c r="R203" s="481"/>
      <c r="S203" s="482" t="s">
        <v>20</v>
      </c>
      <c r="T203" s="482" t="s">
        <v>21</v>
      </c>
    </row>
    <row r="204" spans="1:20" ht="26.25" thickBot="1">
      <c r="A204" s="1556"/>
      <c r="B204" s="1557"/>
      <c r="C204" s="1558" t="s">
        <v>10</v>
      </c>
      <c r="D204" s="483" t="s">
        <v>11</v>
      </c>
      <c r="E204" s="649" t="s">
        <v>12</v>
      </c>
      <c r="F204" s="649" t="s">
        <v>13</v>
      </c>
      <c r="G204" s="650" t="s">
        <v>14</v>
      </c>
      <c r="H204" s="651" t="s">
        <v>11</v>
      </c>
      <c r="I204" s="652" t="s">
        <v>15</v>
      </c>
      <c r="J204" s="653"/>
      <c r="K204" s="654" t="s">
        <v>16</v>
      </c>
      <c r="L204" s="1525"/>
      <c r="M204" s="1554"/>
      <c r="N204" s="655"/>
      <c r="O204" s="653"/>
      <c r="P204" s="656" t="s">
        <v>18</v>
      </c>
      <c r="Q204" s="657" t="s">
        <v>19</v>
      </c>
      <c r="R204" s="491"/>
      <c r="S204" s="492"/>
      <c r="T204" s="492"/>
    </row>
    <row r="205" spans="1:20" ht="15.75">
      <c r="A205" s="658"/>
      <c r="B205" s="659" t="s">
        <v>55</v>
      </c>
      <c r="C205" s="48" t="s">
        <v>118</v>
      </c>
      <c r="D205" s="259">
        <v>1388.9</v>
      </c>
      <c r="E205" s="41">
        <f>6.3785-5.6595</f>
        <v>0.71899999999999942</v>
      </c>
      <c r="F205" s="620">
        <f t="shared" ref="F205:F206" si="25">+E205</f>
        <v>0.71899999999999942</v>
      </c>
      <c r="G205" s="214">
        <f>ROUND(D205*E205,2)-0.01</f>
        <v>998.61</v>
      </c>
      <c r="H205" s="303"/>
      <c r="I205" s="23"/>
      <c r="J205" s="23"/>
      <c r="K205" s="23"/>
      <c r="L205" s="603">
        <f>SUM(G205:G207)</f>
        <v>11621.369999999999</v>
      </c>
      <c r="M205" s="187">
        <v>11621.37</v>
      </c>
      <c r="N205" s="660"/>
      <c r="O205" s="217"/>
      <c r="P205" s="661"/>
      <c r="Q205" s="219"/>
    </row>
    <row r="206" spans="1:20" ht="15.75">
      <c r="A206" s="662"/>
      <c r="B206" s="35"/>
      <c r="C206" s="48" t="s">
        <v>119</v>
      </c>
      <c r="D206" s="269">
        <v>55.74</v>
      </c>
      <c r="E206" s="41">
        <v>6.3784999999999998</v>
      </c>
      <c r="F206" s="298">
        <f t="shared" si="25"/>
        <v>6.3784999999999998</v>
      </c>
      <c r="G206" s="235">
        <f>ROUND(D206*E206,2)</f>
        <v>355.54</v>
      </c>
      <c r="H206" s="270"/>
      <c r="I206" s="41"/>
      <c r="J206" s="41"/>
      <c r="K206" s="41"/>
      <c r="L206" s="606"/>
      <c r="M206" s="606"/>
      <c r="N206" s="663"/>
      <c r="O206" s="237"/>
      <c r="P206" s="275"/>
      <c r="Q206" s="238"/>
    </row>
    <row r="207" spans="1:20" ht="15.75" thickBot="1">
      <c r="A207" s="664"/>
      <c r="B207" s="665"/>
      <c r="C207" s="99" t="s">
        <v>29</v>
      </c>
      <c r="D207" s="613">
        <v>1609.66</v>
      </c>
      <c r="E207" s="56">
        <v>6.3784999999999998</v>
      </c>
      <c r="F207" s="57"/>
      <c r="G207" s="247">
        <f>ROUND(D207*E207,2)</f>
        <v>10267.219999999999</v>
      </c>
      <c r="H207" s="613"/>
      <c r="I207" s="57"/>
      <c r="J207" s="57"/>
      <c r="K207" s="57"/>
      <c r="L207" s="614"/>
      <c r="M207" s="606"/>
      <c r="N207" s="57"/>
      <c r="O207" s="57"/>
      <c r="P207" s="57"/>
      <c r="Q207" s="666"/>
    </row>
    <row r="208" spans="1:20">
      <c r="A208" s="667"/>
      <c r="B208" s="659" t="s">
        <v>116</v>
      </c>
      <c r="C208" s="668" t="s">
        <v>73</v>
      </c>
      <c r="D208" s="669">
        <v>8</v>
      </c>
      <c r="E208" s="21">
        <v>32.332000000000001</v>
      </c>
      <c r="F208" s="21">
        <v>37.889800000000001</v>
      </c>
      <c r="G208" s="214">
        <f>+D208*(E208+F208)</f>
        <v>561.77440000000001</v>
      </c>
      <c r="H208" s="687">
        <v>5</v>
      </c>
      <c r="I208" s="688">
        <v>35.612400000000001</v>
      </c>
      <c r="J208" s="670">
        <f>ROUND(H208*I208,2)</f>
        <v>178.06</v>
      </c>
      <c r="K208" s="689">
        <v>42736</v>
      </c>
      <c r="L208" s="603">
        <f>SUM(G208:G214)+SUM(J208:J212)</f>
        <v>12617.0944</v>
      </c>
      <c r="M208" s="187">
        <v>12617.09</v>
      </c>
      <c r="N208" s="670"/>
      <c r="O208" s="670"/>
      <c r="P208" s="670"/>
      <c r="Q208" s="670"/>
    </row>
    <row r="209" spans="1:18">
      <c r="A209" s="671"/>
      <c r="B209" s="672"/>
      <c r="C209" s="48"/>
      <c r="D209" s="673"/>
      <c r="E209" s="41"/>
      <c r="F209" s="298"/>
      <c r="G209" s="235">
        <f>+D209*E209</f>
        <v>0</v>
      </c>
      <c r="H209" s="687">
        <v>5</v>
      </c>
      <c r="I209" s="688">
        <v>35.612400000000001</v>
      </c>
      <c r="J209" s="670">
        <f>ROUND(H209*I209,2)</f>
        <v>178.06</v>
      </c>
      <c r="K209" s="689">
        <v>42767</v>
      </c>
      <c r="L209" s="606"/>
      <c r="M209" s="606"/>
      <c r="N209" s="298"/>
      <c r="O209" s="298"/>
      <c r="P209" s="298"/>
      <c r="Q209" s="298"/>
    </row>
    <row r="210" spans="1:18">
      <c r="A210" s="671"/>
      <c r="B210" s="442"/>
      <c r="C210" s="48"/>
      <c r="D210" s="673"/>
      <c r="E210" s="41"/>
      <c r="F210" s="298"/>
      <c r="G210" s="235">
        <f>ROUND(D210*E210,2)</f>
        <v>0</v>
      </c>
      <c r="H210" s="687">
        <v>5</v>
      </c>
      <c r="I210" s="688">
        <v>0.76700000000000002</v>
      </c>
      <c r="J210" s="670">
        <f>ROUND(H210*I210,2)</f>
        <v>3.84</v>
      </c>
      <c r="K210" s="689">
        <v>42767</v>
      </c>
      <c r="L210" s="614">
        <f>SUM(G210:G211)</f>
        <v>0</v>
      </c>
      <c r="M210" s="606"/>
      <c r="N210" s="298"/>
      <c r="O210" s="298"/>
      <c r="P210" s="298"/>
      <c r="Q210" s="298"/>
    </row>
    <row r="211" spans="1:18">
      <c r="A211" s="671"/>
      <c r="B211" s="35"/>
      <c r="C211" s="606"/>
      <c r="D211" s="673"/>
      <c r="E211" s="41"/>
      <c r="F211" s="298"/>
      <c r="G211" s="235">
        <f>ROUND(D211*E211,2)</f>
        <v>0</v>
      </c>
      <c r="H211" s="270"/>
      <c r="I211" s="41"/>
      <c r="J211" s="670"/>
      <c r="K211" s="670"/>
      <c r="L211" s="614"/>
      <c r="M211" s="273"/>
      <c r="N211" s="298"/>
      <c r="O211" s="298"/>
      <c r="P211" s="298"/>
      <c r="Q211" s="298"/>
    </row>
    <row r="212" spans="1:18" ht="15.75">
      <c r="A212" s="674"/>
      <c r="B212" s="672"/>
      <c r="C212" s="48" t="s">
        <v>118</v>
      </c>
      <c r="D212" s="269">
        <v>1464.3</v>
      </c>
      <c r="E212" s="41">
        <f>6.3785-5.6595</f>
        <v>0.71899999999999942</v>
      </c>
      <c r="F212" s="298">
        <f t="shared" ref="F212:F213" si="26">+E212</f>
        <v>0.71899999999999942</v>
      </c>
      <c r="G212" s="235">
        <f>ROUND(D212*E212,2)-0.01</f>
        <v>1052.82</v>
      </c>
      <c r="H212" s="270"/>
      <c r="I212" s="41"/>
      <c r="J212" s="670"/>
      <c r="K212" s="670"/>
      <c r="L212" s="606"/>
      <c r="M212" s="606"/>
      <c r="N212" s="663"/>
      <c r="O212" s="237"/>
      <c r="P212" s="275"/>
      <c r="Q212" s="237"/>
    </row>
    <row r="213" spans="1:18" ht="15.75">
      <c r="A213" s="674"/>
      <c r="B213" s="35"/>
      <c r="C213" s="48" t="s">
        <v>119</v>
      </c>
      <c r="D213" s="269">
        <v>55.8</v>
      </c>
      <c r="E213" s="41">
        <v>6.3784999999999998</v>
      </c>
      <c r="F213" s="298">
        <f t="shared" si="26"/>
        <v>6.3784999999999998</v>
      </c>
      <c r="G213" s="235">
        <f>ROUND(D213*E213,2)-0.01</f>
        <v>355.91</v>
      </c>
      <c r="H213" s="270"/>
      <c r="I213" s="41"/>
      <c r="J213" s="41"/>
      <c r="K213" s="41"/>
      <c r="L213" s="614"/>
      <c r="M213" s="606"/>
      <c r="N213" s="663"/>
      <c r="O213" s="237"/>
      <c r="P213" s="275"/>
      <c r="Q213" s="237"/>
    </row>
    <row r="214" spans="1:18" ht="15.75" thickBot="1">
      <c r="A214" s="675"/>
      <c r="B214" s="676"/>
      <c r="C214" s="107" t="s">
        <v>29</v>
      </c>
      <c r="D214" s="643">
        <v>1612.7</v>
      </c>
      <c r="E214" s="56">
        <v>6.3784999999999998</v>
      </c>
      <c r="F214" s="109"/>
      <c r="G214" s="309">
        <f>ROUND(D214*E214,2)+0.02</f>
        <v>10286.630000000001</v>
      </c>
      <c r="H214" s="643"/>
      <c r="I214" s="109"/>
      <c r="J214" s="109"/>
      <c r="K214" s="109"/>
      <c r="L214" s="677"/>
      <c r="M214" s="314"/>
      <c r="N214" s="109"/>
      <c r="O214" s="109"/>
      <c r="P214" s="109"/>
      <c r="Q214" s="109"/>
      <c r="R214" s="2"/>
    </row>
    <row r="215" spans="1:18" ht="16.5" thickTop="1">
      <c r="A215" s="658"/>
      <c r="B215" s="659" t="s">
        <v>117</v>
      </c>
      <c r="C215" s="690" t="s">
        <v>118</v>
      </c>
      <c r="D215" s="259">
        <v>404</v>
      </c>
      <c r="E215" s="41">
        <f>6.3785-5.6595</f>
        <v>0.71899999999999942</v>
      </c>
      <c r="F215" s="691">
        <f>+E215</f>
        <v>0.71899999999999942</v>
      </c>
      <c r="G215" s="214">
        <f>ROUND(D215*E215,2)</f>
        <v>290.48</v>
      </c>
      <c r="H215" s="303"/>
      <c r="I215" s="23"/>
      <c r="J215" s="23"/>
      <c r="K215" s="23"/>
      <c r="L215" s="603">
        <f>SUM(G215:G217)</f>
        <v>3339.4</v>
      </c>
      <c r="M215" s="187">
        <v>3339.4</v>
      </c>
      <c r="N215" s="660"/>
      <c r="O215" s="217"/>
      <c r="P215" s="661"/>
      <c r="Q215" s="219"/>
      <c r="R215" s="324"/>
    </row>
    <row r="216" spans="1:18" ht="15.75">
      <c r="A216" s="662"/>
      <c r="B216" s="35"/>
      <c r="C216" s="48" t="s">
        <v>119</v>
      </c>
      <c r="D216" s="269">
        <v>15.9</v>
      </c>
      <c r="E216" s="41">
        <v>6.3784999999999998</v>
      </c>
      <c r="F216" s="298">
        <f t="shared" ref="F216" si="27">+E216</f>
        <v>6.3784999999999998</v>
      </c>
      <c r="G216" s="235">
        <f>ROUND(D216*E216,2)</f>
        <v>101.42</v>
      </c>
      <c r="H216" s="270"/>
      <c r="I216" s="41"/>
      <c r="J216" s="41"/>
      <c r="K216" s="41"/>
      <c r="L216" s="606"/>
      <c r="M216" s="606"/>
      <c r="N216" s="663"/>
      <c r="O216" s="237"/>
      <c r="P216" s="275"/>
      <c r="Q216" s="238"/>
    </row>
    <row r="217" spans="1:18" ht="15.75" thickBot="1">
      <c r="A217" s="664"/>
      <c r="B217" s="665"/>
      <c r="C217" s="99" t="s">
        <v>29</v>
      </c>
      <c r="D217" s="613">
        <v>462.1</v>
      </c>
      <c r="E217" s="56">
        <v>6.3784999999999998</v>
      </c>
      <c r="F217" s="57"/>
      <c r="G217" s="247">
        <f>ROUND(D217*E217,2)</f>
        <v>2947.5</v>
      </c>
      <c r="H217" s="613"/>
      <c r="I217" s="57"/>
      <c r="J217" s="57"/>
      <c r="K217" s="57"/>
      <c r="L217" s="614"/>
      <c r="M217" s="606"/>
      <c r="N217" s="57"/>
      <c r="O217" s="57"/>
      <c r="P217" s="57"/>
      <c r="Q217" s="666"/>
    </row>
  </sheetData>
  <mergeCells count="40">
    <mergeCell ref="M203:M204"/>
    <mergeCell ref="N203:Q203"/>
    <mergeCell ref="A203:A204"/>
    <mergeCell ref="B203:B204"/>
    <mergeCell ref="C203:C204"/>
    <mergeCell ref="D203:G203"/>
    <mergeCell ref="H203:K203"/>
    <mergeCell ref="L203:L204"/>
    <mergeCell ref="M58:M59"/>
    <mergeCell ref="N58:Q58"/>
    <mergeCell ref="A125:A126"/>
    <mergeCell ref="B125:B126"/>
    <mergeCell ref="C125:C126"/>
    <mergeCell ref="D125:G125"/>
    <mergeCell ref="H125:K125"/>
    <mergeCell ref="L125:L126"/>
    <mergeCell ref="M125:M126"/>
    <mergeCell ref="N125:Q125"/>
    <mergeCell ref="A58:A59"/>
    <mergeCell ref="B58:B59"/>
    <mergeCell ref="C58:C59"/>
    <mergeCell ref="D58:G58"/>
    <mergeCell ref="H58:K58"/>
    <mergeCell ref="L58:L59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23"/>
  <sheetViews>
    <sheetView zoomScale="90" zoomScaleNormal="90" workbookViewId="0">
      <selection activeCell="E95" sqref="E95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+[1]март17!U4</f>
        <v>-2.2770500000624452</v>
      </c>
      <c r="D4" s="20">
        <v>41</v>
      </c>
      <c r="E4" s="21">
        <v>32.332000000000001</v>
      </c>
      <c r="F4" s="21">
        <v>37.889800000000001</v>
      </c>
      <c r="G4" s="22">
        <f>ROUND(D4*(E4+F4),2)</f>
        <v>2879.09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82079.899999999994</v>
      </c>
      <c r="M4" s="26">
        <v>82075.520000000004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2.1029499999276595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129</v>
      </c>
      <c r="D6" s="49">
        <v>16277</v>
      </c>
      <c r="E6" s="41">
        <f>5.8446-6.3785</f>
        <v>-0.53390000000000004</v>
      </c>
      <c r="F6" s="41">
        <f>+E6</f>
        <v>-0.53390000000000004</v>
      </c>
      <c r="G6" s="50">
        <f>ROUND(D6*E6,2)</f>
        <v>-8690.2900000000009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130</v>
      </c>
      <c r="D7" s="49">
        <v>437.8</v>
      </c>
      <c r="E7" s="41">
        <v>5.8445999999999998</v>
      </c>
      <c r="F7" s="41">
        <f>+E7</f>
        <v>5.8445999999999998</v>
      </c>
      <c r="G7" s="50">
        <f>ROUND(D7*E7,2)</f>
        <v>2558.77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14600.2</v>
      </c>
      <c r="E8" s="56">
        <v>5.8445999999999998</v>
      </c>
      <c r="F8" s="57">
        <f>+E8</f>
        <v>5.8445999999999998</v>
      </c>
      <c r="G8" s="58">
        <f>ROUND(D8*E8,2)</f>
        <v>85332.33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85332.33</v>
      </c>
      <c r="R8" s="66" t="s">
        <v>25</v>
      </c>
      <c r="S8" s="67">
        <f>SUM(O4:O8)</f>
        <v>0</v>
      </c>
      <c r="T8" s="68">
        <f>SUM(Q4:Q8)</f>
        <v>85332.33</v>
      </c>
    </row>
    <row r="9" spans="1:21" s="81" customFormat="1">
      <c r="A9" s="69" t="s">
        <v>30</v>
      </c>
      <c r="B9" s="70" t="s">
        <v>31</v>
      </c>
      <c r="C9" s="71">
        <f>+[1]март17!U9</f>
        <v>3.0112000000008265</v>
      </c>
      <c r="D9" s="72">
        <v>55</v>
      </c>
      <c r="E9" s="21">
        <v>32.332000000000001</v>
      </c>
      <c r="F9" s="21">
        <v>37.889800000000001</v>
      </c>
      <c r="G9" s="22">
        <f>ROUND(D9*(E9+F9),2)</f>
        <v>3862.2</v>
      </c>
      <c r="H9" s="72"/>
      <c r="I9" s="21">
        <v>4.5999999999999996</v>
      </c>
      <c r="J9" s="73">
        <f>+H9*I9</f>
        <v>0</v>
      </c>
      <c r="K9" s="24"/>
      <c r="L9" s="74">
        <f>SUM(G9:G16,J9:J15)</f>
        <v>30071.440000000002</v>
      </c>
      <c r="M9" s="26">
        <v>30072.48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1.9712000000035914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13</v>
      </c>
      <c r="E11" s="101">
        <v>352.37</v>
      </c>
      <c r="F11" s="38">
        <v>37.889800000000001</v>
      </c>
      <c r="G11" s="39">
        <f>ROUND(D11*(E11+F11),2)</f>
        <v>5073.38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36</v>
      </c>
      <c r="E12" s="41">
        <f>352.37-363.77</f>
        <v>-11.399999999999977</v>
      </c>
      <c r="F12" s="38"/>
      <c r="G12" s="50">
        <f>+D12*(E12+F12)</f>
        <v>-410.39999999999918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129</v>
      </c>
      <c r="D14" s="49">
        <v>4592</v>
      </c>
      <c r="E14" s="41">
        <f>5.8446-6.3785</f>
        <v>-0.53390000000000004</v>
      </c>
      <c r="F14" s="41">
        <f>+E14</f>
        <v>-0.53390000000000004</v>
      </c>
      <c r="G14" s="50">
        <f>ROUND(D14*E14*70%+D14*F14*30%,2)</f>
        <v>-2451.67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130</v>
      </c>
      <c r="D15" s="49">
        <v>119.2</v>
      </c>
      <c r="E15" s="41">
        <v>5.8445999999999998</v>
      </c>
      <c r="F15" s="41">
        <f>+E15</f>
        <v>5.8445999999999998</v>
      </c>
      <c r="G15" s="50">
        <f>ROUND(D15*E15*70%+D15*F15*30%,2)</f>
        <v>696.68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3986.8</v>
      </c>
      <c r="E16" s="56">
        <v>5.8445999999999998</v>
      </c>
      <c r="F16" s="109">
        <f>+E16</f>
        <v>5.8445999999999998</v>
      </c>
      <c r="G16" s="110">
        <f>ROUND(D16*E16*70%+D16*F16*30%,2)</f>
        <v>23301.25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/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182" t="s">
        <v>45</v>
      </c>
      <c r="B27" s="183" t="s">
        <v>46</v>
      </c>
      <c r="C27" s="71">
        <f>+[1]март17!U27</f>
        <v>1.9980879999639001</v>
      </c>
      <c r="D27" s="184">
        <v>37.54</v>
      </c>
      <c r="E27" s="21">
        <v>32.332000000000001</v>
      </c>
      <c r="F27" s="21">
        <v>37.889800000000001</v>
      </c>
      <c r="G27" s="185">
        <f>ROUND(D27*(E27+F27),2)</f>
        <v>2636.13</v>
      </c>
      <c r="H27" s="184">
        <v>0</v>
      </c>
      <c r="I27">
        <v>22.478999999999999</v>
      </c>
      <c r="J27" s="23">
        <f>H27*I27</f>
        <v>0</v>
      </c>
      <c r="K27" s="679">
        <v>42705</v>
      </c>
      <c r="L27" s="25">
        <f>SUM(G27:G31)+J27+J29</f>
        <v>118072.47</v>
      </c>
      <c r="M27" s="187">
        <v>118074.22</v>
      </c>
      <c r="N27" s="188"/>
      <c r="O27" s="23">
        <v>3998.87</v>
      </c>
      <c r="P27" s="189" t="s">
        <v>47</v>
      </c>
      <c r="Q27" s="23">
        <f t="shared" ref="Q27:Q32" si="0">C27+G27+J27-M27-N27-O27</f>
        <v>-119434.96191200003</v>
      </c>
      <c r="R27" s="190" t="s">
        <v>48</v>
      </c>
      <c r="S27" s="176"/>
      <c r="U27" s="33">
        <f>+C27+L27-M27</f>
        <v>0.24808799996390007</v>
      </c>
    </row>
    <row r="28" spans="1:21">
      <c r="A28" s="191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680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191"/>
      <c r="B29" s="192"/>
      <c r="C29" s="48" t="s">
        <v>129</v>
      </c>
      <c r="D29" s="49">
        <v>24095</v>
      </c>
      <c r="E29" s="41">
        <f>5.8446-6.3785</f>
        <v>-0.53390000000000004</v>
      </c>
      <c r="F29" s="41">
        <f>+E29</f>
        <v>-0.53390000000000004</v>
      </c>
      <c r="G29" s="50">
        <f>ROUND(D29*F29,2)</f>
        <v>-12864.32</v>
      </c>
      <c r="H29" s="193"/>
      <c r="I29" s="194"/>
      <c r="J29" s="194"/>
      <c r="K29" s="680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191"/>
      <c r="B30" s="192"/>
      <c r="C30" s="48" t="s">
        <v>130</v>
      </c>
      <c r="D30" s="49">
        <v>232</v>
      </c>
      <c r="E30" s="41">
        <v>5.8445999999999998</v>
      </c>
      <c r="F30" s="41">
        <f>+E30</f>
        <v>5.8445999999999998</v>
      </c>
      <c r="G30" s="50">
        <f>ROUND(D30*E30,2)</f>
        <v>1355.95</v>
      </c>
      <c r="H30" s="193"/>
      <c r="I30" s="194"/>
      <c r="J30" s="194"/>
      <c r="K30" s="680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201"/>
      <c r="B31" s="202" t="s">
        <v>49</v>
      </c>
      <c r="C31" s="99" t="s">
        <v>29</v>
      </c>
      <c r="D31" s="55">
        <v>21720</v>
      </c>
      <c r="E31" s="56">
        <v>5.8445999999999998</v>
      </c>
      <c r="F31" s="57">
        <f>+E31</f>
        <v>5.8445999999999998</v>
      </c>
      <c r="G31" s="58">
        <f>ROUND(D31*E31,2)</f>
        <v>126944.71</v>
      </c>
      <c r="H31" s="59"/>
      <c r="I31" s="60"/>
      <c r="J31" s="60"/>
      <c r="K31" s="681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58234.700000000012</v>
      </c>
      <c r="R31" s="209" t="s">
        <v>50</v>
      </c>
      <c r="S31" s="210">
        <f>SUM(O27:O31)</f>
        <v>72708.87999999999</v>
      </c>
      <c r="T31" s="210">
        <f>SUM(Q27:Q31)</f>
        <v>-61200.261912000016</v>
      </c>
    </row>
    <row r="32" spans="1:21">
      <c r="A32" s="211" t="s">
        <v>51</v>
      </c>
      <c r="B32" s="212" t="s">
        <v>52</v>
      </c>
      <c r="C32" s="71">
        <f>+[1]март17!U32</f>
        <v>-2.2460000545834191E-3</v>
      </c>
      <c r="D32" s="213">
        <v>86.91</v>
      </c>
      <c r="E32" s="21">
        <v>32.332000000000001</v>
      </c>
      <c r="F32" s="21">
        <v>37.889800000000001</v>
      </c>
      <c r="G32" s="214">
        <f>ROUND(D32*(E32+F32),2)</f>
        <v>6102.98</v>
      </c>
      <c r="H32" s="213">
        <v>0</v>
      </c>
      <c r="I32">
        <v>22.478999999999999</v>
      </c>
      <c r="J32" s="215">
        <f t="shared" ref="J32" si="1">H32*I32</f>
        <v>0</v>
      </c>
      <c r="K32" s="679">
        <v>42705</v>
      </c>
      <c r="L32" s="216">
        <f>SUM(G32:G39)+SUM(J32:J39)</f>
        <v>46444.45</v>
      </c>
      <c r="M32" s="187">
        <v>46446.11</v>
      </c>
      <c r="N32" s="188"/>
      <c r="O32" s="217">
        <v>4253.6899999999996</v>
      </c>
      <c r="P32" s="218" t="s">
        <v>47</v>
      </c>
      <c r="Q32" s="219">
        <f t="shared" si="0"/>
        <v>-44596.822246000054</v>
      </c>
      <c r="R32" s="220" t="s">
        <v>53</v>
      </c>
      <c r="S32" s="221"/>
      <c r="T32" s="222"/>
      <c r="U32" s="33">
        <f>+C32+L32-M32</f>
        <v>-1.6622460000580759</v>
      </c>
    </row>
    <row r="33" spans="1:21">
      <c r="A33" s="223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223"/>
      <c r="B34" s="98" t="s">
        <v>32</v>
      </c>
      <c r="C34" s="99" t="s">
        <v>33</v>
      </c>
      <c r="D34" s="234">
        <v>65</v>
      </c>
      <c r="E34" s="101">
        <v>178.43</v>
      </c>
      <c r="F34" s="38">
        <v>37.889800000000001</v>
      </c>
      <c r="G34" s="235">
        <f>ROUND(D34*(E34+F34),2)</f>
        <v>14060.79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8604.19</v>
      </c>
      <c r="R34" s="232"/>
      <c r="S34" s="233"/>
      <c r="T34" s="224"/>
    </row>
    <row r="35" spans="1:21">
      <c r="A35" s="223"/>
      <c r="B35" s="224" t="s">
        <v>33</v>
      </c>
      <c r="C35" s="239" t="s">
        <v>26</v>
      </c>
      <c r="D35" s="234">
        <v>76.88</v>
      </c>
      <c r="E35" s="240">
        <f>178.43-184.87</f>
        <v>-6.4399999999999977</v>
      </c>
      <c r="F35" s="240"/>
      <c r="G35" s="235">
        <f>+ROUND(D35*E35,2)</f>
        <v>-495.11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223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223"/>
      <c r="B37" s="224"/>
      <c r="C37" s="48" t="s">
        <v>129</v>
      </c>
      <c r="D37" s="49">
        <v>5350</v>
      </c>
      <c r="E37" s="41">
        <f>5.8446-6.3785</f>
        <v>-0.53390000000000004</v>
      </c>
      <c r="F37" s="41">
        <f t="shared" ref="F37:F45" si="2">+E37</f>
        <v>-0.53390000000000004</v>
      </c>
      <c r="G37" s="50">
        <f>ROUND(D37*E37,2)+0.03</f>
        <v>-2856.3399999999997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223"/>
      <c r="B38" s="224"/>
      <c r="C38" s="48" t="s">
        <v>130</v>
      </c>
      <c r="D38" s="49">
        <v>53.7</v>
      </c>
      <c r="E38" s="41">
        <v>5.8445999999999998</v>
      </c>
      <c r="F38" s="41">
        <f t="shared" si="2"/>
        <v>5.8445999999999998</v>
      </c>
      <c r="G38" s="50">
        <f>ROUND(D38*E38,2)</f>
        <v>313.86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244"/>
      <c r="B39" s="245"/>
      <c r="C39" s="99" t="s">
        <v>29</v>
      </c>
      <c r="D39" s="246">
        <v>5016.3</v>
      </c>
      <c r="E39" s="56">
        <v>5.8445999999999998</v>
      </c>
      <c r="F39" s="57">
        <f t="shared" si="2"/>
        <v>5.8445999999999998</v>
      </c>
      <c r="G39" s="247">
        <f>ROUND(D39*E39*70%+D39*F39*30%,2)</f>
        <v>29318.27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13540.37</v>
      </c>
      <c r="R39" s="255" t="s">
        <v>54</v>
      </c>
      <c r="S39" s="256">
        <f>SUM(O32:O39)</f>
        <v>25488.190000000002</v>
      </c>
      <c r="T39" s="256">
        <f>SUM(Q32:Q39)</f>
        <v>-22452.262246000049</v>
      </c>
    </row>
    <row r="40" spans="1:21" ht="15.75">
      <c r="A40" s="257"/>
      <c r="B40" s="258" t="s">
        <v>55</v>
      </c>
      <c r="C40" s="48" t="s">
        <v>129</v>
      </c>
      <c r="D40" s="259">
        <v>1826.33</v>
      </c>
      <c r="E40" s="41">
        <f>5.8446-6.3785</f>
        <v>-0.53390000000000004</v>
      </c>
      <c r="F40" s="41">
        <f t="shared" si="2"/>
        <v>-0.53390000000000004</v>
      </c>
      <c r="G40" s="214">
        <f t="shared" ref="G40:G45" si="3">ROUND(D40*E40,2)</f>
        <v>-975.08</v>
      </c>
      <c r="H40" s="260"/>
      <c r="I40" s="261"/>
      <c r="J40" s="261"/>
      <c r="K40" s="262"/>
      <c r="L40" s="263">
        <f>SUM(G40:G42)</f>
        <v>8490.42</v>
      </c>
      <c r="M40" s="187">
        <v>8490.42</v>
      </c>
      <c r="N40" s="264"/>
      <c r="O40" s="229"/>
      <c r="P40" s="265"/>
      <c r="Q40" s="229"/>
      <c r="R40" s="242"/>
      <c r="S40" s="266"/>
      <c r="T40" s="266"/>
    </row>
    <row r="41" spans="1:21" ht="15.75">
      <c r="A41" s="267"/>
      <c r="B41" s="268"/>
      <c r="C41" s="48" t="s">
        <v>130</v>
      </c>
      <c r="D41" s="269">
        <v>17.149999999999999</v>
      </c>
      <c r="E41" s="41">
        <v>5.8445999999999998</v>
      </c>
      <c r="F41" s="41">
        <f t="shared" si="2"/>
        <v>5.8445999999999998</v>
      </c>
      <c r="G41" s="235">
        <f>ROUND(D41*E41,2)</f>
        <v>100.23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276"/>
      <c r="B42" s="277"/>
      <c r="C42" s="99" t="s">
        <v>29</v>
      </c>
      <c r="D42" s="279">
        <v>1602.38</v>
      </c>
      <c r="E42" s="56">
        <v>5.8445999999999998</v>
      </c>
      <c r="F42" s="57">
        <f t="shared" si="2"/>
        <v>5.8445999999999998</v>
      </c>
      <c r="G42" s="247">
        <f t="shared" si="3"/>
        <v>9365.27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285"/>
      <c r="B43" s="258" t="s">
        <v>56</v>
      </c>
      <c r="C43" s="48" t="s">
        <v>129</v>
      </c>
      <c r="D43" s="259">
        <v>260</v>
      </c>
      <c r="E43" s="41">
        <f>5.8446-6.3785</f>
        <v>-0.53390000000000004</v>
      </c>
      <c r="F43" s="41">
        <f t="shared" si="2"/>
        <v>-0.53390000000000004</v>
      </c>
      <c r="G43" s="214">
        <f>ROUND(D43*E43,2)</f>
        <v>-138.81</v>
      </c>
      <c r="H43" s="260"/>
      <c r="I43" s="261"/>
      <c r="J43" s="261"/>
      <c r="K43" s="262"/>
      <c r="L43" s="286">
        <f>SUM(G43:G45)</f>
        <v>1258.05</v>
      </c>
      <c r="M43" s="227">
        <v>1258.05</v>
      </c>
      <c r="N43" s="264"/>
      <c r="O43" s="229"/>
      <c r="P43" s="265"/>
      <c r="Q43" s="229"/>
      <c r="R43" s="287"/>
      <c r="S43" s="288"/>
      <c r="T43" s="288"/>
    </row>
    <row r="44" spans="1:21" ht="15.75">
      <c r="A44" s="289"/>
      <c r="B44" s="268"/>
      <c r="C44" s="48" t="s">
        <v>130</v>
      </c>
      <c r="D44" s="269">
        <v>2.1</v>
      </c>
      <c r="E44" s="41">
        <v>5.8445999999999998</v>
      </c>
      <c r="F44" s="41">
        <f t="shared" si="2"/>
        <v>5.8445999999999998</v>
      </c>
      <c r="G44" s="235">
        <f>ROUND(D44*E44,2)</f>
        <v>12.27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290"/>
      <c r="B45" s="277"/>
      <c r="C45" s="99" t="s">
        <v>29</v>
      </c>
      <c r="D45" s="279">
        <v>236.9</v>
      </c>
      <c r="E45" s="56">
        <v>5.8445999999999998</v>
      </c>
      <c r="F45" s="57">
        <f t="shared" si="2"/>
        <v>5.8445999999999998</v>
      </c>
      <c r="G45" s="247">
        <f t="shared" si="3"/>
        <v>1384.59</v>
      </c>
      <c r="H45" s="280"/>
      <c r="I45" s="281"/>
      <c r="J45" s="281"/>
      <c r="K45" s="6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285"/>
      <c r="B46" s="291" t="s">
        <v>57</v>
      </c>
      <c r="C46" s="292"/>
      <c r="D46" s="259">
        <v>0.66</v>
      </c>
      <c r="E46" s="21">
        <v>32.332000000000001</v>
      </c>
      <c r="F46" s="21">
        <v>37.889800000000001</v>
      </c>
      <c r="G46" s="214">
        <f>ROUND(D46*(E46+F46),2)</f>
        <v>46.35</v>
      </c>
      <c r="H46" s="213">
        <v>0</v>
      </c>
      <c r="I46">
        <v>22.478999999999999</v>
      </c>
      <c r="J46" s="215">
        <f t="shared" ref="J46" si="4">H46*I46</f>
        <v>0</v>
      </c>
      <c r="K46" s="679">
        <v>42705</v>
      </c>
      <c r="L46" s="294">
        <f>SUM(G46:G50)+J46+J48</f>
        <v>1129.1399999999999</v>
      </c>
      <c r="M46" s="227">
        <v>1129.1400000000001</v>
      </c>
      <c r="N46" s="264"/>
      <c r="O46" s="229"/>
      <c r="P46" s="265"/>
      <c r="Q46" s="229"/>
      <c r="R46" s="242"/>
      <c r="S46" s="266"/>
      <c r="T46" s="266"/>
    </row>
    <row r="47" spans="1:21" ht="15.75">
      <c r="A47" s="289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683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289"/>
      <c r="B48" s="268"/>
      <c r="C48" s="48" t="s">
        <v>129</v>
      </c>
      <c r="D48" s="296">
        <v>290.5</v>
      </c>
      <c r="E48" s="41">
        <f>5.8446-6.3785</f>
        <v>-0.53390000000000004</v>
      </c>
      <c r="F48" s="41">
        <f>+E48</f>
        <v>-0.53390000000000004</v>
      </c>
      <c r="G48" s="235">
        <f>ROUND(D48*E48,2)</f>
        <v>-155.1</v>
      </c>
      <c r="H48" s="270"/>
      <c r="I48" s="41"/>
      <c r="J48" s="41"/>
      <c r="K48" s="684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5.75">
      <c r="A49" s="289"/>
      <c r="B49" s="268"/>
      <c r="C49" s="48" t="s">
        <v>130</v>
      </c>
      <c r="D49" s="269">
        <v>2.2000000000000002</v>
      </c>
      <c r="E49" s="41">
        <v>5.8445999999999998</v>
      </c>
      <c r="F49" s="41">
        <f>+E49</f>
        <v>5.8445999999999998</v>
      </c>
      <c r="G49" s="235">
        <f>ROUND(D49*E49,2)</f>
        <v>12.86</v>
      </c>
      <c r="H49" s="270"/>
      <c r="I49" s="41"/>
      <c r="J49" s="41"/>
      <c r="K49" s="684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1" ht="16.5" thickBot="1">
      <c r="A50" s="290"/>
      <c r="B50" s="277"/>
      <c r="C50" s="99" t="s">
        <v>29</v>
      </c>
      <c r="D50" s="279">
        <v>209.6</v>
      </c>
      <c r="E50" s="56">
        <v>5.8445999999999998</v>
      </c>
      <c r="F50" s="57">
        <f>+E50</f>
        <v>5.8445999999999998</v>
      </c>
      <c r="G50" s="247">
        <f>ROUND(D50*E50,2)</f>
        <v>1225.03</v>
      </c>
      <c r="H50" s="280"/>
      <c r="I50" s="281"/>
      <c r="J50" s="281"/>
      <c r="K50" s="6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1" ht="15.75">
      <c r="A51" s="299"/>
      <c r="B51" s="258" t="s">
        <v>58</v>
      </c>
      <c r="C51" s="48" t="s">
        <v>59</v>
      </c>
      <c r="D51" s="259">
        <v>0.38</v>
      </c>
      <c r="E51" s="21">
        <v>32.332000000000001</v>
      </c>
      <c r="F51" s="21">
        <v>37.889800000000001</v>
      </c>
      <c r="G51" s="214">
        <f>ROUND(D51*(E51+F51),2)</f>
        <v>26.68</v>
      </c>
      <c r="H51" s="213">
        <v>0</v>
      </c>
      <c r="I51">
        <v>22.478999999999999</v>
      </c>
      <c r="J51" s="215">
        <f t="shared" ref="J51" si="5">H51*I51</f>
        <v>0</v>
      </c>
      <c r="K51" s="679">
        <v>42705</v>
      </c>
      <c r="L51" s="294">
        <f>SUM(G51:G55)+J51</f>
        <v>1164.6599999999999</v>
      </c>
      <c r="M51" s="227">
        <v>1164.6600000000001</v>
      </c>
      <c r="N51" s="264"/>
      <c r="O51" s="229"/>
      <c r="P51" s="265"/>
      <c r="Q51" s="229"/>
      <c r="R51" s="242"/>
      <c r="S51" s="266"/>
      <c r="T51" s="266"/>
    </row>
    <row r="52" spans="1:21" ht="15.75">
      <c r="A52" s="300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1">
      <c r="A53" s="300"/>
      <c r="B53" s="268"/>
      <c r="C53" s="48" t="s">
        <v>129</v>
      </c>
      <c r="D53" s="296">
        <v>230.9</v>
      </c>
      <c r="E53" s="41">
        <f>5.8446-6.3785</f>
        <v>-0.53390000000000004</v>
      </c>
      <c r="F53" s="41">
        <f>+E53</f>
        <v>-0.53390000000000004</v>
      </c>
      <c r="G53" s="235">
        <f>ROUND(D53*E53,2)</f>
        <v>-123.28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5.75">
      <c r="A54" s="300"/>
      <c r="B54" s="268"/>
      <c r="C54" s="48" t="s">
        <v>130</v>
      </c>
      <c r="D54" s="269">
        <v>2.2999999999999998</v>
      </c>
      <c r="E54" s="41">
        <v>5.8445999999999998</v>
      </c>
      <c r="F54" s="41">
        <f>+E54</f>
        <v>5.8445999999999998</v>
      </c>
      <c r="G54" s="235">
        <f>ROUND(D54*E54,2)</f>
        <v>13.44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1" ht="16.5" thickBot="1">
      <c r="A55" s="301"/>
      <c r="B55" s="277"/>
      <c r="C55" s="99" t="s">
        <v>29</v>
      </c>
      <c r="D55" s="279">
        <v>213.5</v>
      </c>
      <c r="E55" s="56">
        <v>5.8445999999999998</v>
      </c>
      <c r="F55" s="57">
        <f>+E55</f>
        <v>5.8445999999999998</v>
      </c>
      <c r="G55" s="247">
        <f>ROUND(D55*E55,2)</f>
        <v>1247.82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1" ht="16.5" thickTop="1">
      <c r="A56" s="320"/>
      <c r="B56" s="321"/>
      <c r="C56" s="322"/>
      <c r="D56" s="323"/>
      <c r="E56" s="163"/>
      <c r="F56" s="324"/>
      <c r="G56" s="325"/>
      <c r="H56" s="163"/>
      <c r="I56" s="163"/>
      <c r="J56" s="163"/>
      <c r="K56" s="163"/>
      <c r="L56" s="163"/>
      <c r="M56" s="326"/>
      <c r="N56" s="327"/>
      <c r="O56" s="328"/>
      <c r="P56" s="329"/>
      <c r="Q56" s="328"/>
      <c r="R56" s="330"/>
      <c r="S56" s="331"/>
      <c r="T56" s="266"/>
    </row>
    <row r="57" spans="1:21" ht="21.75" thickBot="1">
      <c r="A57" s="171" t="s">
        <v>60</v>
      </c>
      <c r="B57" s="2"/>
      <c r="C57" s="3"/>
      <c r="D57" s="2"/>
      <c r="E57" s="2"/>
      <c r="F57" s="2"/>
      <c r="G57" s="332"/>
      <c r="H57" s="332"/>
      <c r="I57" s="332"/>
      <c r="J57" s="2"/>
      <c r="K57" s="2"/>
      <c r="L57" s="2"/>
      <c r="M57" s="3"/>
      <c r="N57" s="2"/>
      <c r="O57" s="2"/>
      <c r="P57" s="2"/>
      <c r="Q57" s="2"/>
      <c r="R57" s="2"/>
      <c r="S57" s="2"/>
    </row>
    <row r="58" spans="1:21" ht="15" customHeight="1" thickTop="1">
      <c r="A58" s="1553" t="s">
        <v>1</v>
      </c>
      <c r="B58" s="1516" t="s">
        <v>2</v>
      </c>
      <c r="C58" s="1518" t="s">
        <v>3</v>
      </c>
      <c r="D58" s="1532" t="s">
        <v>4</v>
      </c>
      <c r="E58" s="1532"/>
      <c r="F58" s="1532"/>
      <c r="G58" s="1532"/>
      <c r="H58" s="1533" t="s">
        <v>5</v>
      </c>
      <c r="I58" s="1534"/>
      <c r="J58" s="1534"/>
      <c r="K58" s="1534"/>
      <c r="L58" s="1524" t="s">
        <v>6</v>
      </c>
      <c r="M58" s="1537" t="s">
        <v>7</v>
      </c>
      <c r="N58" s="1538" t="s">
        <v>8</v>
      </c>
      <c r="O58" s="1538"/>
      <c r="P58" s="1538"/>
      <c r="Q58" s="1539"/>
      <c r="R58" s="5"/>
      <c r="S58" s="5"/>
      <c r="T58" s="5" t="s">
        <v>61</v>
      </c>
      <c r="U58" t="s">
        <v>21</v>
      </c>
    </row>
    <row r="59" spans="1:21" ht="27" customHeight="1" thickBot="1">
      <c r="A59" s="1531"/>
      <c r="B59" s="1517"/>
      <c r="C59" s="1519" t="s">
        <v>10</v>
      </c>
      <c r="D59" s="333" t="s">
        <v>11</v>
      </c>
      <c r="E59" s="7" t="s">
        <v>12</v>
      </c>
      <c r="F59" s="7" t="s">
        <v>13</v>
      </c>
      <c r="G59" s="334" t="s">
        <v>14</v>
      </c>
      <c r="H59" s="335" t="s">
        <v>11</v>
      </c>
      <c r="I59" s="333" t="s">
        <v>15</v>
      </c>
      <c r="J59" s="336" t="s">
        <v>14</v>
      </c>
      <c r="K59" s="11" t="s">
        <v>16</v>
      </c>
      <c r="L59" s="1525"/>
      <c r="M59" s="1511"/>
      <c r="N59" s="337" t="s">
        <v>62</v>
      </c>
      <c r="O59" s="338" t="s">
        <v>44</v>
      </c>
      <c r="P59" s="13" t="s">
        <v>18</v>
      </c>
      <c r="Q59" s="14" t="s">
        <v>19</v>
      </c>
    </row>
    <row r="60" spans="1:21" ht="14.25" customHeight="1">
      <c r="A60" s="339" t="s">
        <v>63</v>
      </c>
      <c r="B60" s="18" t="s">
        <v>64</v>
      </c>
      <c r="C60" s="71">
        <f>+[1]март17!U60</f>
        <v>-0.80649999977322295</v>
      </c>
      <c r="D60" s="340">
        <v>52</v>
      </c>
      <c r="E60" s="21">
        <v>32.332000000000001</v>
      </c>
      <c r="F60" s="21">
        <v>37.889800000000001</v>
      </c>
      <c r="G60" s="185">
        <f>ROUND(D60*(E60+F60),2)</f>
        <v>3651.53</v>
      </c>
      <c r="H60" s="184"/>
      <c r="I60" s="23"/>
      <c r="J60" s="341">
        <v>0</v>
      </c>
      <c r="K60" s="342"/>
      <c r="L60" s="343">
        <f>SUM(G60:G65,J60:J64)</f>
        <v>196562.05</v>
      </c>
      <c r="M60" s="344">
        <v>196565.26</v>
      </c>
      <c r="N60" s="345"/>
      <c r="O60" s="346">
        <v>7157.88</v>
      </c>
      <c r="P60" s="347" t="s">
        <v>24</v>
      </c>
      <c r="Q60" s="348">
        <f t="shared" ref="Q60:Q66" si="6">C60+G60+J60-M60-N60-O60</f>
        <v>-200072.41649999979</v>
      </c>
      <c r="R60" s="349" t="s">
        <v>65</v>
      </c>
      <c r="S60" s="350" t="s">
        <v>20</v>
      </c>
      <c r="T60" s="351" t="s">
        <v>21</v>
      </c>
      <c r="U60" s="352">
        <f>+L60-M60+C60</f>
        <v>-4.0164999997941777</v>
      </c>
    </row>
    <row r="61" spans="1:21" ht="14.25" customHeight="1">
      <c r="A61" s="353"/>
      <c r="B61" s="35"/>
      <c r="C61" s="84" t="s">
        <v>26</v>
      </c>
      <c r="D61" s="37">
        <v>0</v>
      </c>
      <c r="E61" s="38">
        <f>32.332-28.8628</f>
        <v>3.4692000000000007</v>
      </c>
      <c r="F61" s="38">
        <f>37.8898-33.8306</f>
        <v>4.0592000000000041</v>
      </c>
      <c r="G61" s="39">
        <f>ROUND(D61*(E61+F61),2)</f>
        <v>0</v>
      </c>
      <c r="H61" s="49"/>
      <c r="I61" s="271"/>
      <c r="J61" s="101"/>
      <c r="K61" s="354"/>
      <c r="L61" s="355"/>
      <c r="M61" s="356"/>
      <c r="N61" s="357"/>
      <c r="O61" s="358"/>
      <c r="P61" s="359"/>
      <c r="Q61" s="360"/>
      <c r="R61" s="349"/>
      <c r="S61" s="350"/>
      <c r="T61" s="351"/>
      <c r="U61" s="352"/>
    </row>
    <row r="62" spans="1:21">
      <c r="A62" s="353"/>
      <c r="B62" s="35"/>
      <c r="C62" s="48"/>
      <c r="D62" s="49">
        <v>0</v>
      </c>
      <c r="E62" s="41">
        <f>4.4128-4.4153</f>
        <v>-2.5000000000003908E-3</v>
      </c>
      <c r="F62" s="41">
        <f>+E62</f>
        <v>-2.5000000000003908E-3</v>
      </c>
      <c r="G62" s="50">
        <f>ROUND(D62*E62*70%+D62*F62*30%,2)</f>
        <v>0</v>
      </c>
      <c r="H62" s="49"/>
      <c r="I62" s="271">
        <v>0</v>
      </c>
      <c r="J62" s="41">
        <f>H62*I62</f>
        <v>0</v>
      </c>
      <c r="K62" s="354"/>
      <c r="L62" s="355"/>
      <c r="M62" s="356"/>
      <c r="N62" s="357"/>
      <c r="O62" s="358"/>
      <c r="P62" s="359"/>
      <c r="Q62" s="360"/>
      <c r="R62" s="349"/>
      <c r="S62" s="350"/>
      <c r="T62" s="351"/>
      <c r="U62" s="352"/>
    </row>
    <row r="63" spans="1:21">
      <c r="A63" s="353"/>
      <c r="B63" s="35"/>
      <c r="C63" s="48" t="s">
        <v>129</v>
      </c>
      <c r="D63" s="49">
        <v>41162</v>
      </c>
      <c r="E63" s="41">
        <f>5.9451-6.508</f>
        <v>-0.56289999999999996</v>
      </c>
      <c r="F63" s="38">
        <f>+E63</f>
        <v>-0.56289999999999996</v>
      </c>
      <c r="G63" s="50">
        <f>ROUND(+D63*E63,2)</f>
        <v>-23170.09</v>
      </c>
      <c r="H63" s="49"/>
      <c r="I63" s="271"/>
      <c r="J63" s="41"/>
      <c r="K63" s="354"/>
      <c r="L63" s="355"/>
      <c r="M63" s="356"/>
      <c r="N63" s="357"/>
      <c r="O63" s="358"/>
      <c r="P63" s="359"/>
      <c r="Q63" s="360"/>
      <c r="R63" s="349"/>
      <c r="S63" s="350"/>
      <c r="T63" s="351"/>
      <c r="U63" s="352"/>
    </row>
    <row r="64" spans="1:21">
      <c r="A64" s="353"/>
      <c r="B64" s="35"/>
      <c r="C64" s="48" t="s">
        <v>130</v>
      </c>
      <c r="D64" s="49">
        <v>86</v>
      </c>
      <c r="E64" s="41">
        <v>5.9451000000000001</v>
      </c>
      <c r="F64" s="41">
        <f>+E64</f>
        <v>5.9451000000000001</v>
      </c>
      <c r="G64" s="50">
        <f>ROUND(D64*E64,2)</f>
        <v>511.28</v>
      </c>
      <c r="H64" s="361"/>
      <c r="I64" s="362"/>
      <c r="J64" s="207"/>
      <c r="K64" s="363"/>
      <c r="L64" s="364"/>
      <c r="M64" s="365"/>
      <c r="N64" s="366"/>
      <c r="O64" s="367"/>
      <c r="P64" s="368"/>
      <c r="Q64" s="360"/>
      <c r="R64" s="349"/>
      <c r="S64" s="350"/>
      <c r="T64" s="351"/>
      <c r="U64" s="352"/>
    </row>
    <row r="65" spans="1:21" ht="15.75" thickBot="1">
      <c r="A65" s="369"/>
      <c r="B65" s="53" t="s">
        <v>66</v>
      </c>
      <c r="C65" s="99" t="s">
        <v>29</v>
      </c>
      <c r="D65" s="55">
        <v>36260</v>
      </c>
      <c r="E65" s="56">
        <v>5.9451000000000001</v>
      </c>
      <c r="F65" s="370">
        <f>+E65</f>
        <v>5.9451000000000001</v>
      </c>
      <c r="G65" s="58">
        <f>ROUND(D65*E65,2)</f>
        <v>215569.33</v>
      </c>
      <c r="H65" s="248"/>
      <c r="I65" s="203"/>
      <c r="J65" s="60"/>
      <c r="K65" s="203"/>
      <c r="L65" s="204"/>
      <c r="M65" s="371"/>
      <c r="N65" s="372"/>
      <c r="O65" s="373">
        <v>165882.5</v>
      </c>
      <c r="P65" s="374" t="s">
        <v>24</v>
      </c>
      <c r="Q65" s="373">
        <f>G65+J65-M65-N65-O65</f>
        <v>49686.829999999987</v>
      </c>
      <c r="R65" s="349" t="s">
        <v>65</v>
      </c>
      <c r="S65" s="375">
        <f>SUM(O60:O65)</f>
        <v>173040.38</v>
      </c>
      <c r="T65" s="375">
        <f>SUM(Q60:Q65)</f>
        <v>-150385.5864999998</v>
      </c>
    </row>
    <row r="66" spans="1:21" s="81" customFormat="1" ht="15" customHeight="1">
      <c r="A66" s="376">
        <v>301</v>
      </c>
      <c r="B66" s="70" t="s">
        <v>67</v>
      </c>
      <c r="C66" s="377"/>
      <c r="D66" s="378">
        <v>532</v>
      </c>
      <c r="E66" s="21">
        <v>32.332000000000001</v>
      </c>
      <c r="F66" s="21">
        <v>37.889800000000001</v>
      </c>
      <c r="G66" s="379">
        <f>ROUND(D66*(E66+F66),2)</f>
        <v>37358</v>
      </c>
      <c r="H66" s="380"/>
      <c r="I66" s="381">
        <v>183.82</v>
      </c>
      <c r="J66" s="381">
        <f>H66*I66</f>
        <v>0</v>
      </c>
      <c r="K66" s="342"/>
      <c r="L66" s="382">
        <f>+SUM(G66:G75,J66:J74)</f>
        <v>210503.35999999996</v>
      </c>
      <c r="M66" s="26">
        <v>210503.36</v>
      </c>
      <c r="N66" s="383"/>
      <c r="O66" s="77"/>
      <c r="P66" s="77" t="s">
        <v>68</v>
      </c>
      <c r="Q66" s="384">
        <f t="shared" si="6"/>
        <v>-173145.36</v>
      </c>
      <c r="R66" s="385" t="s">
        <v>69</v>
      </c>
      <c r="S66" s="386"/>
      <c r="T66" s="387"/>
      <c r="U66" s="388"/>
    </row>
    <row r="67" spans="1:21" s="81" customFormat="1" ht="12.75">
      <c r="A67" s="389"/>
      <c r="B67" s="83"/>
      <c r="C67" s="390" t="s">
        <v>26</v>
      </c>
      <c r="D67" s="37">
        <v>0</v>
      </c>
      <c r="E67" s="38">
        <f>32.332-28.8628</f>
        <v>3.4692000000000007</v>
      </c>
      <c r="F67" s="38">
        <v>0</v>
      </c>
      <c r="G67" s="39">
        <f>ROUND(D67*(E67+F67),2)</f>
        <v>0</v>
      </c>
      <c r="H67" s="391"/>
      <c r="I67" s="392"/>
      <c r="J67" s="392"/>
      <c r="K67" s="393"/>
      <c r="L67" s="394"/>
      <c r="M67" s="90"/>
      <c r="N67" s="395"/>
      <c r="O67" s="94"/>
      <c r="P67" s="94"/>
      <c r="Q67" s="396"/>
      <c r="R67" s="397"/>
      <c r="S67" s="398"/>
      <c r="T67" s="399"/>
    </row>
    <row r="68" spans="1:21" s="81" customFormat="1" ht="12.75">
      <c r="A68" s="389"/>
      <c r="B68" s="98" t="s">
        <v>32</v>
      </c>
      <c r="C68" s="99" t="s">
        <v>33</v>
      </c>
      <c r="D68" s="37">
        <v>279</v>
      </c>
      <c r="E68" s="101">
        <v>352.37</v>
      </c>
      <c r="F68" s="38">
        <v>37.889800000000001</v>
      </c>
      <c r="G68" s="400">
        <f>ROUND(D68*(E68+F68),2)</f>
        <v>108882.48</v>
      </c>
      <c r="H68" s="401"/>
      <c r="I68" s="402"/>
      <c r="J68" s="402"/>
      <c r="K68" s="403"/>
      <c r="L68" s="404"/>
      <c r="M68" s="102"/>
      <c r="N68" s="405"/>
      <c r="O68" s="406"/>
      <c r="P68" s="406" t="s">
        <v>68</v>
      </c>
      <c r="Q68" s="407">
        <f>+G68+J68-M68-N68-O68</f>
        <v>108882.48</v>
      </c>
      <c r="R68" s="397" t="s">
        <v>69</v>
      </c>
      <c r="S68" s="398"/>
      <c r="T68" s="399"/>
    </row>
    <row r="69" spans="1:21" s="81" customFormat="1" ht="15" customHeight="1">
      <c r="A69" s="389"/>
      <c r="B69" s="98"/>
      <c r="C69" s="84"/>
      <c r="D69" s="37">
        <v>335</v>
      </c>
      <c r="E69" s="41">
        <f>352.37-363.77</f>
        <v>-11.399999999999977</v>
      </c>
      <c r="F69" s="38">
        <v>0</v>
      </c>
      <c r="G69" s="400">
        <f>+D69*(E69+F69)</f>
        <v>-3818.9999999999923</v>
      </c>
      <c r="H69" s="401"/>
      <c r="I69" s="402"/>
      <c r="J69" s="402"/>
      <c r="K69" s="408"/>
      <c r="L69" s="404"/>
      <c r="M69" s="102"/>
      <c r="N69" s="405"/>
      <c r="O69" s="406"/>
      <c r="P69" s="406"/>
      <c r="Q69" s="407"/>
      <c r="R69" s="397"/>
      <c r="S69" s="398"/>
      <c r="T69" s="399"/>
    </row>
    <row r="70" spans="1:21" s="81" customFormat="1" ht="15" customHeight="1">
      <c r="A70" s="389"/>
      <c r="B70" s="83"/>
      <c r="C70" s="84"/>
      <c r="D70" s="37"/>
      <c r="E70" s="41"/>
      <c r="F70" s="38"/>
      <c r="G70" s="400"/>
      <c r="H70" s="401"/>
      <c r="I70" s="402"/>
      <c r="J70" s="402"/>
      <c r="K70" s="408"/>
      <c r="L70" s="404"/>
      <c r="M70" s="102"/>
      <c r="N70" s="405"/>
      <c r="O70" s="406"/>
      <c r="P70" s="406"/>
      <c r="Q70" s="407"/>
      <c r="R70" s="397"/>
      <c r="S70" s="398"/>
      <c r="T70" s="399"/>
    </row>
    <row r="71" spans="1:21" s="81" customFormat="1" ht="15" customHeight="1">
      <c r="A71" s="389"/>
      <c r="B71" s="83" t="s">
        <v>70</v>
      </c>
      <c r="C71" s="84"/>
      <c r="D71" s="37"/>
      <c r="E71" s="41"/>
      <c r="F71" s="38">
        <v>33.830599999999997</v>
      </c>
      <c r="G71" s="400"/>
      <c r="H71" s="401"/>
      <c r="I71" s="402"/>
      <c r="J71" s="402"/>
      <c r="K71" s="408"/>
      <c r="L71" s="404"/>
      <c r="M71" s="102"/>
      <c r="N71" s="405"/>
      <c r="O71" s="406"/>
      <c r="P71" s="406"/>
      <c r="Q71" s="407"/>
      <c r="R71" s="397"/>
      <c r="S71" s="398"/>
      <c r="T71" s="399"/>
    </row>
    <row r="72" spans="1:21" s="81" customFormat="1" ht="15" customHeight="1">
      <c r="A72" s="389"/>
      <c r="B72" s="83"/>
      <c r="C72" s="48"/>
      <c r="D72" s="37">
        <v>0</v>
      </c>
      <c r="E72" s="41">
        <f>4.4128-4.4153</f>
        <v>-2.5000000000003908E-3</v>
      </c>
      <c r="F72" s="38"/>
      <c r="G72" s="39">
        <f>ROUND(D72*(E72+F72),2)</f>
        <v>0</v>
      </c>
      <c r="H72" s="37"/>
      <c r="I72" s="409"/>
      <c r="J72" s="409"/>
      <c r="K72" s="408"/>
      <c r="L72" s="404"/>
      <c r="M72" s="102"/>
      <c r="N72" s="405"/>
      <c r="O72" s="406"/>
      <c r="P72" s="406"/>
      <c r="Q72" s="407"/>
      <c r="R72" s="397"/>
      <c r="S72" s="398"/>
      <c r="T72" s="399"/>
    </row>
    <row r="73" spans="1:21" s="81" customFormat="1" ht="15" customHeight="1">
      <c r="A73" s="389"/>
      <c r="B73" s="83"/>
      <c r="C73" s="48" t="s">
        <v>129</v>
      </c>
      <c r="D73" s="37">
        <v>19647</v>
      </c>
      <c r="E73" s="41">
        <f>5.9451-6.508</f>
        <v>-0.56289999999999996</v>
      </c>
      <c r="F73" s="38">
        <f>+E73</f>
        <v>-0.56289999999999996</v>
      </c>
      <c r="G73" s="39">
        <f>ROUND(D73*E73,2)+0.01</f>
        <v>-11059.289999999999</v>
      </c>
      <c r="H73" s="37"/>
      <c r="I73" s="409"/>
      <c r="J73" s="409"/>
      <c r="K73" s="408"/>
      <c r="L73" s="404"/>
      <c r="M73" s="102"/>
      <c r="N73" s="405"/>
      <c r="O73" s="406"/>
      <c r="P73" s="406"/>
      <c r="Q73" s="407"/>
      <c r="R73" s="397"/>
      <c r="S73" s="398"/>
      <c r="T73" s="399"/>
    </row>
    <row r="74" spans="1:21" s="81" customFormat="1" ht="15" customHeight="1">
      <c r="A74" s="389"/>
      <c r="B74" s="83"/>
      <c r="C74" s="48" t="s">
        <v>130</v>
      </c>
      <c r="D74" s="37">
        <v>32</v>
      </c>
      <c r="E74" s="41">
        <v>5.9451000000000001</v>
      </c>
      <c r="F74" s="41">
        <f>+E74</f>
        <v>5.9451000000000001</v>
      </c>
      <c r="G74" s="39">
        <f>ROUND(D74*E74,2)</f>
        <v>190.24</v>
      </c>
      <c r="H74" s="37"/>
      <c r="I74" s="409"/>
      <c r="J74" s="409"/>
      <c r="K74" s="410"/>
      <c r="L74" s="404"/>
      <c r="M74" s="102"/>
      <c r="N74" s="405"/>
      <c r="O74" s="406"/>
      <c r="P74" s="406"/>
      <c r="Q74" s="407"/>
      <c r="R74" s="397"/>
      <c r="S74" s="398"/>
      <c r="T74" s="399"/>
    </row>
    <row r="75" spans="1:21" s="81" customFormat="1" ht="15.75" customHeight="1" thickBot="1">
      <c r="A75" s="411"/>
      <c r="B75" s="412"/>
      <c r="C75" s="99" t="s">
        <v>29</v>
      </c>
      <c r="D75" s="413">
        <v>13280</v>
      </c>
      <c r="E75" s="56">
        <v>5.9451000000000001</v>
      </c>
      <c r="F75" s="370">
        <f>+E75</f>
        <v>5.9451000000000001</v>
      </c>
      <c r="G75" s="414">
        <f>ROUND(D75*E75,2)</f>
        <v>78950.929999999993</v>
      </c>
      <c r="H75" s="248"/>
      <c r="I75" s="60"/>
      <c r="J75" s="60"/>
      <c r="K75" s="203"/>
      <c r="L75" s="204"/>
      <c r="M75" s="371"/>
      <c r="N75" s="415"/>
      <c r="O75" s="416"/>
      <c r="P75" s="416" t="s">
        <v>68</v>
      </c>
      <c r="Q75" s="417">
        <f>+G75+J75-M75-N75-O75</f>
        <v>78950.929999999993</v>
      </c>
      <c r="R75" s="418" t="s">
        <v>69</v>
      </c>
      <c r="S75" s="419">
        <f>SUM(O66:O75)</f>
        <v>0</v>
      </c>
      <c r="T75" s="419">
        <f>SUM(Q66:Q75)</f>
        <v>14688.050000000003</v>
      </c>
    </row>
    <row r="76" spans="1:21" s="81" customFormat="1" ht="15.75" customHeight="1">
      <c r="A76" s="376"/>
      <c r="B76" s="420" t="s">
        <v>72</v>
      </c>
      <c r="C76" s="377" t="s">
        <v>73</v>
      </c>
      <c r="D76" s="378">
        <v>138</v>
      </c>
      <c r="E76" s="21">
        <v>32.332000000000001</v>
      </c>
      <c r="F76" s="21">
        <v>37.889800000000001</v>
      </c>
      <c r="G76" s="22">
        <f>+D76*(E76+F76)</f>
        <v>9690.608400000001</v>
      </c>
      <c r="H76" s="303"/>
      <c r="I76" s="23"/>
      <c r="J76" s="341"/>
      <c r="K76" s="342"/>
      <c r="L76" s="263">
        <f>SUM(G76:G80,J76:J80)</f>
        <v>182110.9884</v>
      </c>
      <c r="M76" s="26">
        <v>182110.99</v>
      </c>
      <c r="N76" s="421"/>
      <c r="O76" s="77"/>
      <c r="P76" s="77"/>
      <c r="Q76" s="384"/>
      <c r="R76" s="422"/>
      <c r="S76" s="399"/>
      <c r="T76" s="399"/>
    </row>
    <row r="77" spans="1:21" s="81" customFormat="1" ht="15.75" customHeight="1">
      <c r="A77" s="389"/>
      <c r="B77" s="83"/>
      <c r="C77" s="84" t="s">
        <v>26</v>
      </c>
      <c r="D77" s="37">
        <v>0</v>
      </c>
      <c r="E77" s="38">
        <f>32.332-28.8628</f>
        <v>3.4692000000000007</v>
      </c>
      <c r="F77" s="38">
        <f>37.8898-33.8306</f>
        <v>4.0592000000000041</v>
      </c>
      <c r="G77" s="39">
        <f>ROUND(D77*(E77+F77),2)</f>
        <v>0</v>
      </c>
      <c r="H77" s="270"/>
      <c r="I77" s="41"/>
      <c r="J77" s="41"/>
      <c r="K77" s="271"/>
      <c r="L77" s="272"/>
      <c r="M77" s="102"/>
      <c r="N77" s="423"/>
      <c r="O77" s="406"/>
      <c r="P77" s="406"/>
      <c r="Q77" s="424"/>
      <c r="R77" s="422"/>
      <c r="S77" s="399"/>
      <c r="T77" s="399"/>
    </row>
    <row r="78" spans="1:21" s="81" customFormat="1" ht="15.75" customHeight="1">
      <c r="A78" s="389"/>
      <c r="B78" s="83"/>
      <c r="C78" s="48" t="s">
        <v>129</v>
      </c>
      <c r="D78" s="37">
        <v>38612</v>
      </c>
      <c r="E78" s="41">
        <f>5.9451-6.508</f>
        <v>-0.56289999999999996</v>
      </c>
      <c r="F78" s="38"/>
      <c r="G78" s="39">
        <f>ROUND(D78*(E78),2)-0.01</f>
        <v>-21734.699999999997</v>
      </c>
      <c r="H78" s="270"/>
      <c r="I78" s="41"/>
      <c r="J78" s="41"/>
      <c r="K78" s="271"/>
      <c r="L78" s="272"/>
      <c r="M78" s="102"/>
      <c r="N78" s="423"/>
      <c r="O78" s="406"/>
      <c r="P78" s="406"/>
      <c r="Q78" s="424"/>
      <c r="R78" s="422"/>
      <c r="S78" s="399"/>
      <c r="T78" s="399"/>
    </row>
    <row r="79" spans="1:21" s="81" customFormat="1" ht="15.75" customHeight="1">
      <c r="A79" s="389"/>
      <c r="B79" s="83"/>
      <c r="C79" s="48" t="s">
        <v>130</v>
      </c>
      <c r="D79" s="37">
        <v>78</v>
      </c>
      <c r="E79" s="41">
        <v>5.9451000000000001</v>
      </c>
      <c r="F79" s="38"/>
      <c r="G79" s="39">
        <f>ROUND(D79*(E79),2)</f>
        <v>463.72</v>
      </c>
      <c r="H79" s="270"/>
      <c r="I79" s="41"/>
      <c r="J79" s="41"/>
      <c r="K79" s="271"/>
      <c r="L79" s="272"/>
      <c r="M79" s="102"/>
      <c r="N79" s="423"/>
      <c r="O79" s="406"/>
      <c r="P79" s="406"/>
      <c r="Q79" s="425"/>
      <c r="R79" s="422"/>
      <c r="S79" s="399"/>
      <c r="T79" s="399"/>
    </row>
    <row r="80" spans="1:21" s="81" customFormat="1" ht="15.75" customHeight="1" thickBot="1">
      <c r="A80" s="411"/>
      <c r="B80" s="412"/>
      <c r="C80" s="99" t="s">
        <v>29</v>
      </c>
      <c r="D80" s="413">
        <v>32580</v>
      </c>
      <c r="E80" s="56">
        <v>5.9451000000000001</v>
      </c>
      <c r="F80" s="281"/>
      <c r="G80" s="414">
        <f>ROUND(D80*(E80),2)</f>
        <v>193691.36</v>
      </c>
      <c r="H80" s="280"/>
      <c r="I80" s="281"/>
      <c r="J80" s="281"/>
      <c r="K80" s="282"/>
      <c r="L80" s="204"/>
      <c r="M80" s="371"/>
      <c r="N80" s="426"/>
      <c r="O80" s="416"/>
      <c r="P80" s="416"/>
      <c r="Q80" s="417"/>
      <c r="R80" s="422"/>
      <c r="S80" s="399"/>
      <c r="T80" s="399"/>
    </row>
    <row r="81" spans="1:20" s="81" customFormat="1" ht="15.75" customHeight="1">
      <c r="A81" s="376"/>
      <c r="B81" s="427" t="s">
        <v>74</v>
      </c>
      <c r="C81" s="377" t="s">
        <v>73</v>
      </c>
      <c r="D81" s="378">
        <v>14</v>
      </c>
      <c r="E81" s="21">
        <v>32.332000000000001</v>
      </c>
      <c r="F81" s="21">
        <v>37.889800000000001</v>
      </c>
      <c r="G81" s="22">
        <f>ROUND(D81*(E81+F81),2)</f>
        <v>983.11</v>
      </c>
      <c r="H81" s="303"/>
      <c r="I81" s="23"/>
      <c r="J81" s="23">
        <v>0</v>
      </c>
      <c r="K81" s="342"/>
      <c r="L81" s="263">
        <f>SUM(G81:G87,J81:J87)</f>
        <v>15194.630000000001</v>
      </c>
      <c r="M81" s="26">
        <v>15194.63</v>
      </c>
      <c r="N81" s="421"/>
      <c r="O81" s="77"/>
      <c r="P81" s="77"/>
      <c r="Q81" s="384"/>
      <c r="R81" s="422"/>
      <c r="S81" s="399"/>
      <c r="T81" s="399"/>
    </row>
    <row r="82" spans="1:20" s="81" customFormat="1" ht="15.75" customHeight="1">
      <c r="A82" s="389"/>
      <c r="B82" s="98" t="s">
        <v>75</v>
      </c>
      <c r="C82" s="84" t="s">
        <v>26</v>
      </c>
      <c r="D82" s="37"/>
      <c r="E82" s="38">
        <f>32.332-28.8628</f>
        <v>3.4692000000000007</v>
      </c>
      <c r="F82" s="38">
        <f>37.8898-33.8306</f>
        <v>4.0592000000000041</v>
      </c>
      <c r="G82" s="39">
        <f>ROUND(D82*(E82+F82),2)</f>
        <v>0</v>
      </c>
      <c r="H82" s="270"/>
      <c r="I82" s="41"/>
      <c r="J82" s="41"/>
      <c r="K82" s="354"/>
      <c r="L82" s="272"/>
      <c r="M82" s="102"/>
      <c r="N82" s="423"/>
      <c r="O82" s="406"/>
      <c r="P82" s="406"/>
      <c r="Q82" s="424"/>
      <c r="R82" s="422"/>
      <c r="S82" s="399"/>
      <c r="T82" s="399"/>
    </row>
    <row r="83" spans="1:20" s="81" customFormat="1" ht="15.75" customHeight="1">
      <c r="A83" s="389"/>
      <c r="B83" s="83"/>
      <c r="C83" s="99" t="s">
        <v>33</v>
      </c>
      <c r="D83" s="428">
        <v>6</v>
      </c>
      <c r="E83" s="101">
        <v>352.37</v>
      </c>
      <c r="F83" s="38">
        <v>37.889800000000001</v>
      </c>
      <c r="G83" s="39">
        <f>ROUND(D83*(E83+F83),2)</f>
        <v>2341.56</v>
      </c>
      <c r="H83" s="270"/>
      <c r="I83" s="41"/>
      <c r="J83" s="41"/>
      <c r="K83" s="271"/>
      <c r="L83" s="272"/>
      <c r="M83" s="102"/>
      <c r="N83" s="423"/>
      <c r="O83" s="406"/>
      <c r="P83" s="406"/>
      <c r="Q83" s="424"/>
      <c r="R83" s="422"/>
      <c r="S83" s="399"/>
      <c r="T83" s="399"/>
    </row>
    <row r="84" spans="1:20" s="81" customFormat="1" ht="15.75" customHeight="1">
      <c r="A84" s="389"/>
      <c r="B84" s="83"/>
      <c r="C84" s="48" t="s">
        <v>76</v>
      </c>
      <c r="D84" s="37">
        <v>7</v>
      </c>
      <c r="E84" s="41">
        <f>352.37-363.77</f>
        <v>-11.399999999999977</v>
      </c>
      <c r="F84" s="38"/>
      <c r="G84" s="39">
        <f>ROUND(D84*(E84+F84),2)</f>
        <v>-79.8</v>
      </c>
      <c r="H84" s="270"/>
      <c r="I84" s="41"/>
      <c r="J84" s="41"/>
      <c r="K84" s="271"/>
      <c r="L84" s="272"/>
      <c r="M84" s="102"/>
      <c r="N84" s="423"/>
      <c r="O84" s="406"/>
      <c r="P84" s="406"/>
      <c r="Q84" s="424"/>
      <c r="R84" s="422"/>
      <c r="S84" s="399"/>
      <c r="T84" s="399"/>
    </row>
    <row r="85" spans="1:20" s="81" customFormat="1" ht="15.75" customHeight="1">
      <c r="A85" s="389"/>
      <c r="B85" s="83"/>
      <c r="C85" s="48" t="s">
        <v>129</v>
      </c>
      <c r="D85" s="37">
        <v>2486</v>
      </c>
      <c r="E85" s="41">
        <f>5.9451-6.508</f>
        <v>-0.56289999999999996</v>
      </c>
      <c r="F85" s="38"/>
      <c r="G85" s="39">
        <f>ROUND(D85*(E85+F85),2)+0.01</f>
        <v>-1399.36</v>
      </c>
      <c r="H85" s="270"/>
      <c r="I85" s="41"/>
      <c r="J85" s="41"/>
      <c r="K85" s="271"/>
      <c r="L85" s="272"/>
      <c r="M85" s="102"/>
      <c r="N85" s="423"/>
      <c r="O85" s="406"/>
      <c r="P85" s="406"/>
      <c r="Q85" s="424"/>
      <c r="R85" s="422"/>
      <c r="S85" s="399"/>
      <c r="T85" s="399"/>
    </row>
    <row r="86" spans="1:20" s="81" customFormat="1" ht="15.75" customHeight="1">
      <c r="A86" s="389"/>
      <c r="B86" s="83"/>
      <c r="C86" s="48" t="s">
        <v>130</v>
      </c>
      <c r="D86" s="37">
        <v>5.4</v>
      </c>
      <c r="E86" s="41">
        <v>5.9451000000000001</v>
      </c>
      <c r="F86" s="38"/>
      <c r="G86" s="39">
        <f>ROUND(D86*E86,2)</f>
        <v>32.1</v>
      </c>
      <c r="H86" s="270"/>
      <c r="I86" s="41"/>
      <c r="J86" s="41"/>
      <c r="K86" s="271"/>
      <c r="L86" s="272"/>
      <c r="M86" s="102"/>
      <c r="N86" s="423"/>
      <c r="O86" s="406"/>
      <c r="P86" s="406"/>
      <c r="Q86" s="425"/>
      <c r="R86" s="422"/>
      <c r="S86" s="399"/>
      <c r="T86" s="399"/>
    </row>
    <row r="87" spans="1:20" s="81" customFormat="1" ht="15" customHeight="1" thickBot="1">
      <c r="A87" s="411"/>
      <c r="B87" s="412"/>
      <c r="C87" s="99" t="s">
        <v>29</v>
      </c>
      <c r="D87" s="413">
        <v>2240</v>
      </c>
      <c r="E87" s="56">
        <v>5.9451000000000001</v>
      </c>
      <c r="F87" s="281"/>
      <c r="G87" s="414">
        <f t="shared" ref="G87:G94" si="7">ROUND(D87*(E87+F87),2)</f>
        <v>13317.02</v>
      </c>
      <c r="H87" s="280"/>
      <c r="I87" s="281"/>
      <c r="J87" s="281"/>
      <c r="K87" s="282"/>
      <c r="L87" s="204"/>
      <c r="M87" s="371"/>
      <c r="N87" s="426"/>
      <c r="O87" s="416"/>
      <c r="P87" s="416"/>
      <c r="Q87" s="417"/>
      <c r="R87" s="422"/>
      <c r="S87" s="399"/>
      <c r="T87" s="399"/>
    </row>
    <row r="88" spans="1:20" s="81" customFormat="1" ht="15" customHeight="1">
      <c r="A88" s="376"/>
      <c r="B88" s="420" t="s">
        <v>77</v>
      </c>
      <c r="C88" s="377" t="s">
        <v>73</v>
      </c>
      <c r="D88" s="378">
        <v>2</v>
      </c>
      <c r="E88" s="21">
        <v>32.332000000000001</v>
      </c>
      <c r="F88" s="21">
        <v>37.889800000000001</v>
      </c>
      <c r="G88" s="22">
        <f t="shared" si="7"/>
        <v>140.44</v>
      </c>
      <c r="H88" s="303"/>
      <c r="I88" s="23">
        <v>183.82</v>
      </c>
      <c r="J88" s="381">
        <f>H88*I88</f>
        <v>0</v>
      </c>
      <c r="K88" s="342"/>
      <c r="L88" s="382">
        <f>+SUM(G88:G94,J88:J94)</f>
        <v>3393.25</v>
      </c>
      <c r="M88" s="26">
        <v>3393.25</v>
      </c>
      <c r="N88" s="421"/>
      <c r="O88" s="77"/>
      <c r="P88" s="77"/>
      <c r="Q88" s="384"/>
      <c r="R88" s="422"/>
      <c r="S88" s="399"/>
      <c r="T88" s="399"/>
    </row>
    <row r="89" spans="1:20" s="81" customFormat="1" ht="15" customHeight="1">
      <c r="A89" s="389"/>
      <c r="B89" s="83"/>
      <c r="C89" s="84" t="s">
        <v>26</v>
      </c>
      <c r="D89" s="37"/>
      <c r="E89" s="38">
        <v>3.4692000000000007</v>
      </c>
      <c r="F89" s="38"/>
      <c r="G89" s="39">
        <f t="shared" si="7"/>
        <v>0</v>
      </c>
      <c r="H89" s="270"/>
      <c r="I89" s="41"/>
      <c r="J89" s="402"/>
      <c r="K89" s="354"/>
      <c r="L89" s="429"/>
      <c r="M89" s="102"/>
      <c r="N89" s="430"/>
      <c r="O89" s="431"/>
      <c r="P89" s="431"/>
      <c r="Q89" s="424"/>
      <c r="R89" s="422"/>
      <c r="S89" s="399"/>
      <c r="T89" s="399"/>
    </row>
    <row r="90" spans="1:20" s="81" customFormat="1" ht="15" customHeight="1">
      <c r="A90" s="389"/>
      <c r="B90" s="98" t="s">
        <v>32</v>
      </c>
      <c r="C90" s="99" t="s">
        <v>33</v>
      </c>
      <c r="D90" s="37">
        <v>4</v>
      </c>
      <c r="E90" s="101">
        <v>352.37</v>
      </c>
      <c r="F90" s="38">
        <v>37.889800000000001</v>
      </c>
      <c r="G90" s="39">
        <f t="shared" si="7"/>
        <v>1561.04</v>
      </c>
      <c r="H90" s="270"/>
      <c r="I90" s="41"/>
      <c r="J90" s="41"/>
      <c r="K90" s="271"/>
      <c r="L90" s="272"/>
      <c r="M90" s="102"/>
      <c r="N90" s="430"/>
      <c r="O90" s="431"/>
      <c r="P90" s="431"/>
      <c r="Q90" s="424"/>
      <c r="R90" s="422"/>
      <c r="S90" s="399"/>
      <c r="T90" s="399"/>
    </row>
    <row r="91" spans="1:20" s="81" customFormat="1" ht="15" customHeight="1">
      <c r="A91" s="389"/>
      <c r="B91" s="83"/>
      <c r="C91" s="48" t="s">
        <v>78</v>
      </c>
      <c r="D91" s="37">
        <v>5</v>
      </c>
      <c r="E91" s="41">
        <f>352.37-363.77</f>
        <v>-11.399999999999977</v>
      </c>
      <c r="F91" s="38"/>
      <c r="G91" s="39">
        <f>ROUND(D91*(E91+F91),2)</f>
        <v>-57</v>
      </c>
      <c r="H91" s="270"/>
      <c r="I91" s="41"/>
      <c r="J91" s="41"/>
      <c r="K91" s="271"/>
      <c r="L91" s="272"/>
      <c r="M91" s="102"/>
      <c r="N91" s="430"/>
      <c r="O91" s="431"/>
      <c r="P91" s="431"/>
      <c r="Q91" s="424"/>
      <c r="R91" s="422"/>
      <c r="S91" s="399"/>
      <c r="T91" s="399"/>
    </row>
    <row r="92" spans="1:20" s="81" customFormat="1" ht="15" customHeight="1">
      <c r="A92" s="389"/>
      <c r="B92" s="83"/>
      <c r="C92" s="48" t="s">
        <v>129</v>
      </c>
      <c r="D92" s="37">
        <v>344.8</v>
      </c>
      <c r="E92" s="41">
        <f>5.9451-6.508</f>
        <v>-0.56289999999999996</v>
      </c>
      <c r="F92" s="38"/>
      <c r="G92" s="39">
        <f>ROUND(D92*(E92+F92),2)</f>
        <v>-194.09</v>
      </c>
      <c r="H92" s="270"/>
      <c r="I92" s="41"/>
      <c r="J92" s="41"/>
      <c r="K92" s="271"/>
      <c r="L92" s="272"/>
      <c r="M92" s="102"/>
      <c r="N92" s="430"/>
      <c r="O92" s="431"/>
      <c r="P92" s="431"/>
      <c r="Q92" s="424"/>
      <c r="R92" s="422"/>
      <c r="S92" s="399"/>
      <c r="T92" s="399"/>
    </row>
    <row r="93" spans="1:20" s="81" customFormat="1" ht="15" customHeight="1">
      <c r="A93" s="389"/>
      <c r="B93" s="83"/>
      <c r="C93" s="48" t="s">
        <v>130</v>
      </c>
      <c r="D93" s="37">
        <v>0.8</v>
      </c>
      <c r="E93" s="41">
        <v>5.9451000000000001</v>
      </c>
      <c r="F93" s="38"/>
      <c r="G93" s="39">
        <f t="shared" si="7"/>
        <v>4.76</v>
      </c>
      <c r="H93" s="432"/>
      <c r="I93" s="207"/>
      <c r="J93" s="207"/>
      <c r="K93" s="362"/>
      <c r="L93" s="433"/>
      <c r="M93" s="63"/>
      <c r="N93" s="434"/>
      <c r="O93" s="435"/>
      <c r="P93" s="435"/>
      <c r="Q93" s="425"/>
      <c r="R93" s="422"/>
      <c r="S93" s="399"/>
      <c r="T93" s="399"/>
    </row>
    <row r="94" spans="1:20" s="81" customFormat="1" ht="15" customHeight="1" thickBot="1">
      <c r="A94" s="411"/>
      <c r="B94" s="412"/>
      <c r="C94" s="99" t="s">
        <v>29</v>
      </c>
      <c r="D94" s="413">
        <v>326</v>
      </c>
      <c r="E94" s="56">
        <v>5.9451000000000001</v>
      </c>
      <c r="F94" s="281"/>
      <c r="G94" s="414">
        <f t="shared" si="7"/>
        <v>1938.1</v>
      </c>
      <c r="H94" s="280"/>
      <c r="I94" s="281"/>
      <c r="J94" s="281"/>
      <c r="K94" s="282"/>
      <c r="L94" s="204"/>
      <c r="M94" s="371"/>
      <c r="N94" s="426"/>
      <c r="O94" s="416"/>
      <c r="P94" s="416"/>
      <c r="Q94" s="417"/>
      <c r="R94" s="436"/>
      <c r="S94" s="399"/>
      <c r="T94" s="399"/>
    </row>
    <row r="95" spans="1:20" s="81" customFormat="1" ht="15" customHeight="1">
      <c r="A95" s="437"/>
      <c r="B95" s="438" t="s">
        <v>38</v>
      </c>
      <c r="C95" s="439"/>
      <c r="D95" s="378"/>
      <c r="E95" s="23"/>
      <c r="F95" s="23"/>
      <c r="G95" s="22"/>
      <c r="H95" s="303"/>
      <c r="I95" s="23"/>
      <c r="J95" s="23"/>
      <c r="K95" s="304"/>
      <c r="L95" s="382">
        <f>+SUM(G95:G98,J95:J98)</f>
        <v>2859.9399999999996</v>
      </c>
      <c r="M95" s="26">
        <v>2859.94</v>
      </c>
      <c r="N95" s="421"/>
      <c r="O95" s="77"/>
      <c r="P95" s="77"/>
      <c r="Q95" s="77">
        <f>+L95-M95</f>
        <v>0</v>
      </c>
      <c r="R95" s="440"/>
      <c r="S95" s="399"/>
      <c r="T95" s="399"/>
    </row>
    <row r="96" spans="1:20" s="81" customFormat="1" ht="15" customHeight="1">
      <c r="A96" s="441"/>
      <c r="B96" s="442"/>
      <c r="C96" s="48" t="s">
        <v>129</v>
      </c>
      <c r="D96" s="37">
        <v>707</v>
      </c>
      <c r="E96" s="41">
        <f>5.9451-6.508</f>
        <v>-0.56289999999999996</v>
      </c>
      <c r="F96" s="41"/>
      <c r="G96" s="39">
        <f>ROUND(D96*E96,2)-0.01</f>
        <v>-397.98</v>
      </c>
      <c r="H96" s="260"/>
      <c r="I96" s="261"/>
      <c r="J96" s="261"/>
      <c r="K96" s="262"/>
      <c r="L96" s="394"/>
      <c r="M96" s="90"/>
      <c r="N96" s="443"/>
      <c r="O96" s="94"/>
      <c r="P96" s="94"/>
      <c r="Q96" s="94"/>
      <c r="R96" s="422"/>
      <c r="S96" s="399"/>
      <c r="T96" s="399"/>
    </row>
    <row r="97" spans="1:20" s="81" customFormat="1">
      <c r="A97" s="441"/>
      <c r="B97" s="444"/>
      <c r="C97" s="48" t="s">
        <v>130</v>
      </c>
      <c r="D97" s="37">
        <v>1</v>
      </c>
      <c r="E97" s="41">
        <v>5.9451000000000001</v>
      </c>
      <c r="F97" s="41"/>
      <c r="G97" s="39">
        <f t="shared" ref="G97:G107" si="8">ROUND(D97*E97,2)</f>
        <v>5.95</v>
      </c>
      <c r="H97" s="432"/>
      <c r="I97" s="207"/>
      <c r="J97" s="207"/>
      <c r="K97" s="362"/>
      <c r="L97" s="433"/>
      <c r="M97" s="63"/>
      <c r="N97" s="423"/>
      <c r="O97" s="406"/>
      <c r="P97" s="406"/>
      <c r="Q97" s="406"/>
      <c r="R97" s="422"/>
      <c r="S97" s="399"/>
      <c r="T97" s="399"/>
    </row>
    <row r="98" spans="1:20" s="81" customFormat="1" ht="15" customHeight="1" thickBot="1">
      <c r="A98" s="445"/>
      <c r="B98" s="446"/>
      <c r="C98" s="99" t="s">
        <v>29</v>
      </c>
      <c r="D98" s="413">
        <v>547</v>
      </c>
      <c r="E98" s="56">
        <v>5.9451000000000001</v>
      </c>
      <c r="F98" s="281"/>
      <c r="G98" s="414">
        <f t="shared" si="8"/>
        <v>3251.97</v>
      </c>
      <c r="H98" s="280"/>
      <c r="I98" s="281"/>
      <c r="J98" s="281"/>
      <c r="K98" s="282"/>
      <c r="L98" s="204"/>
      <c r="M98" s="371"/>
      <c r="N98" s="434"/>
      <c r="O98" s="435"/>
      <c r="P98" s="435"/>
      <c r="Q98" s="435"/>
      <c r="R98" s="422"/>
      <c r="S98" s="399"/>
      <c r="T98" s="399"/>
    </row>
    <row r="99" spans="1:20" s="81" customFormat="1" ht="15" customHeight="1">
      <c r="A99" s="437"/>
      <c r="B99" s="438" t="s">
        <v>122</v>
      </c>
      <c r="C99" s="439"/>
      <c r="D99" s="378"/>
      <c r="E99" s="23"/>
      <c r="F99" s="23"/>
      <c r="G99" s="22"/>
      <c r="H99" s="303"/>
      <c r="I99" s="23"/>
      <c r="J99" s="23"/>
      <c r="K99" s="304"/>
      <c r="L99" s="382">
        <f>+SUM(G99:G102,J99:J102)</f>
        <v>723.43999999999994</v>
      </c>
      <c r="M99" s="26">
        <v>723.44</v>
      </c>
      <c r="N99" s="421"/>
      <c r="O99" s="77"/>
      <c r="P99" s="77"/>
      <c r="Q99" s="77"/>
      <c r="R99" s="440"/>
      <c r="S99" s="399"/>
      <c r="T99" s="399"/>
    </row>
    <row r="100" spans="1:20" s="81" customFormat="1" ht="15" customHeight="1" thickBot="1">
      <c r="A100" s="441"/>
      <c r="B100" s="442"/>
      <c r="C100" s="48" t="s">
        <v>129</v>
      </c>
      <c r="D100" s="37">
        <v>35</v>
      </c>
      <c r="E100" s="41">
        <f>5.9451-6.508</f>
        <v>-0.56289999999999996</v>
      </c>
      <c r="F100" s="41"/>
      <c r="G100" s="414">
        <f t="shared" si="8"/>
        <v>-19.7</v>
      </c>
      <c r="H100" s="260"/>
      <c r="I100" s="261"/>
      <c r="J100" s="261"/>
      <c r="K100" s="262"/>
      <c r="L100" s="394"/>
      <c r="M100" s="90"/>
      <c r="N100" s="443"/>
      <c r="O100" s="94"/>
      <c r="P100" s="94"/>
      <c r="Q100" s="94"/>
      <c r="R100" s="422"/>
      <c r="S100" s="399"/>
      <c r="T100" s="399"/>
    </row>
    <row r="101" spans="1:20" s="81" customFormat="1" ht="15" customHeight="1" thickBot="1">
      <c r="A101" s="441"/>
      <c r="B101" s="444"/>
      <c r="C101" s="48" t="s">
        <v>130</v>
      </c>
      <c r="D101" s="37">
        <v>0</v>
      </c>
      <c r="E101" s="41">
        <v>5.9451000000000001</v>
      </c>
      <c r="F101" s="41"/>
      <c r="G101" s="414">
        <f t="shared" si="8"/>
        <v>0</v>
      </c>
      <c r="H101" s="432"/>
      <c r="I101" s="207"/>
      <c r="J101" s="207"/>
      <c r="K101" s="362"/>
      <c r="L101" s="433"/>
      <c r="M101" s="63"/>
      <c r="N101" s="423"/>
      <c r="O101" s="406"/>
      <c r="P101" s="406"/>
      <c r="Q101" s="406"/>
      <c r="R101" s="422"/>
      <c r="S101" s="399"/>
      <c r="T101" s="399"/>
    </row>
    <row r="102" spans="1:20" s="81" customFormat="1" ht="15" customHeight="1" thickBot="1">
      <c r="A102" s="445"/>
      <c r="B102" s="446"/>
      <c r="C102" s="99" t="s">
        <v>29</v>
      </c>
      <c r="D102" s="413">
        <v>125</v>
      </c>
      <c r="E102" s="56">
        <v>5.9451000000000001</v>
      </c>
      <c r="F102" s="281"/>
      <c r="G102" s="414">
        <f t="shared" si="8"/>
        <v>743.14</v>
      </c>
      <c r="H102" s="280"/>
      <c r="I102" s="281"/>
      <c r="J102" s="281"/>
      <c r="K102" s="282"/>
      <c r="L102" s="204"/>
      <c r="M102" s="371"/>
      <c r="N102" s="434"/>
      <c r="O102" s="435"/>
      <c r="P102" s="435"/>
      <c r="Q102" s="435"/>
      <c r="R102" s="422"/>
      <c r="S102" s="399"/>
      <c r="T102" s="399"/>
    </row>
    <row r="103" spans="1:20" s="81" customFormat="1" ht="15" customHeight="1">
      <c r="A103" s="447"/>
      <c r="B103" s="438" t="s">
        <v>79</v>
      </c>
      <c r="C103" s="48" t="s">
        <v>129</v>
      </c>
      <c r="D103" s="448">
        <v>5024</v>
      </c>
      <c r="E103" s="41">
        <f>5.9451-6.508</f>
        <v>-0.56289999999999996</v>
      </c>
      <c r="F103" s="261"/>
      <c r="G103" s="449">
        <f>ROUND(D103*E103,2)+0.01</f>
        <v>-2828</v>
      </c>
      <c r="H103" s="303"/>
      <c r="I103" s="23"/>
      <c r="J103" s="23"/>
      <c r="K103" s="304"/>
      <c r="L103" s="263">
        <f>SUM(G103:G105)</f>
        <v>22741.87</v>
      </c>
      <c r="M103" s="26">
        <v>22741.87</v>
      </c>
      <c r="N103" s="421"/>
      <c r="O103" s="77"/>
      <c r="P103" s="77"/>
      <c r="Q103" s="384"/>
      <c r="R103" s="422"/>
      <c r="S103" s="399"/>
      <c r="T103" s="399"/>
    </row>
    <row r="104" spans="1:20" s="81" customFormat="1" ht="15" customHeight="1">
      <c r="A104" s="450"/>
      <c r="B104" s="442"/>
      <c r="C104" s="48" t="s">
        <v>130</v>
      </c>
      <c r="D104" s="448">
        <v>10</v>
      </c>
      <c r="E104" s="41">
        <v>5.9451000000000001</v>
      </c>
      <c r="F104" s="261"/>
      <c r="G104" s="449">
        <f t="shared" si="8"/>
        <v>59.45</v>
      </c>
      <c r="H104" s="260"/>
      <c r="I104" s="261"/>
      <c r="J104" s="261"/>
      <c r="K104" s="262"/>
      <c r="L104" s="286"/>
      <c r="M104" s="90"/>
      <c r="N104" s="423"/>
      <c r="O104" s="406"/>
      <c r="P104" s="406"/>
      <c r="Q104" s="407"/>
      <c r="R104" s="422"/>
      <c r="S104" s="399"/>
      <c r="T104" s="399"/>
    </row>
    <row r="105" spans="1:20" s="81" customFormat="1" ht="15" customHeight="1" thickBot="1">
      <c r="A105" s="451"/>
      <c r="B105" s="446"/>
      <c r="C105" s="99" t="s">
        <v>29</v>
      </c>
      <c r="D105" s="452">
        <v>4291</v>
      </c>
      <c r="E105" s="56">
        <v>5.9451000000000001</v>
      </c>
      <c r="F105" s="207"/>
      <c r="G105" s="453">
        <f t="shared" si="8"/>
        <v>25510.42</v>
      </c>
      <c r="H105" s="280"/>
      <c r="I105" s="281"/>
      <c r="J105" s="281"/>
      <c r="K105" s="282"/>
      <c r="L105" s="204"/>
      <c r="M105" s="371"/>
      <c r="N105" s="426"/>
      <c r="O105" s="416"/>
      <c r="P105" s="416"/>
      <c r="Q105" s="417"/>
      <c r="R105" s="422"/>
      <c r="S105" s="399"/>
      <c r="T105" s="399"/>
    </row>
    <row r="106" spans="1:20" s="81" customFormat="1" ht="15" customHeight="1">
      <c r="A106" s="447"/>
      <c r="B106" s="438" t="s">
        <v>80</v>
      </c>
      <c r="C106" s="48" t="s">
        <v>131</v>
      </c>
      <c r="D106" s="378">
        <v>7.7</v>
      </c>
      <c r="E106" s="454">
        <v>6.3118999999999996</v>
      </c>
      <c r="F106" s="23"/>
      <c r="G106" s="22">
        <f>ROUND(D106*E106,2)</f>
        <v>48.6</v>
      </c>
      <c r="H106" s="303"/>
      <c r="I106" s="23"/>
      <c r="J106" s="23"/>
      <c r="K106" s="304"/>
      <c r="L106" s="263">
        <f>SUM(G106:G107)</f>
        <v>20347.669999999998</v>
      </c>
      <c r="M106" s="26">
        <v>20347.669999999998</v>
      </c>
      <c r="N106" s="421"/>
      <c r="O106" s="77"/>
      <c r="P106" s="77"/>
      <c r="Q106" s="384"/>
      <c r="R106" s="422"/>
      <c r="S106" s="399"/>
      <c r="T106" s="399"/>
    </row>
    <row r="107" spans="1:20" s="81" customFormat="1" ht="15" customHeight="1">
      <c r="A107" s="450"/>
      <c r="B107" s="442"/>
      <c r="C107" s="48" t="s">
        <v>132</v>
      </c>
      <c r="D107" s="37">
        <v>3216</v>
      </c>
      <c r="E107" s="455">
        <v>6.3118999999999996</v>
      </c>
      <c r="F107" s="41"/>
      <c r="G107" s="39">
        <f t="shared" si="8"/>
        <v>20299.07</v>
      </c>
      <c r="H107" s="270"/>
      <c r="I107" s="41"/>
      <c r="J107" s="41"/>
      <c r="K107" s="271"/>
      <c r="L107" s="272"/>
      <c r="M107" s="102"/>
      <c r="N107" s="423"/>
      <c r="O107" s="406"/>
      <c r="P107" s="406"/>
      <c r="Q107" s="407"/>
      <c r="R107" s="422"/>
      <c r="S107" s="399"/>
      <c r="T107" s="399"/>
    </row>
    <row r="108" spans="1:20" s="81" customFormat="1" ht="15" customHeight="1" thickBot="1">
      <c r="A108" s="451"/>
      <c r="B108" s="446"/>
      <c r="C108" s="456"/>
      <c r="D108" s="413"/>
      <c r="E108" s="281"/>
      <c r="F108" s="281"/>
      <c r="G108" s="414"/>
      <c r="H108" s="280"/>
      <c r="I108" s="281"/>
      <c r="J108" s="281"/>
      <c r="K108" s="282"/>
      <c r="L108" s="204"/>
      <c r="M108" s="371"/>
      <c r="N108" s="426"/>
      <c r="O108" s="416"/>
      <c r="P108" s="416"/>
      <c r="Q108" s="417"/>
      <c r="R108" s="422"/>
      <c r="S108" s="399"/>
      <c r="T108" s="399"/>
    </row>
    <row r="109" spans="1:20" s="81" customFormat="1" ht="15" customHeight="1">
      <c r="A109" s="437"/>
      <c r="B109" s="438" t="s">
        <v>82</v>
      </c>
      <c r="C109" s="377" t="s">
        <v>73</v>
      </c>
      <c r="D109" s="378">
        <v>26</v>
      </c>
      <c r="E109" s="21">
        <v>32.332000000000001</v>
      </c>
      <c r="F109" s="21">
        <v>37.889800000000001</v>
      </c>
      <c r="G109" s="22">
        <f>+D109*(E109+F109)</f>
        <v>1825.7668000000001</v>
      </c>
      <c r="H109" s="303"/>
      <c r="I109" s="23"/>
      <c r="J109" s="341"/>
      <c r="K109" s="342"/>
      <c r="L109" s="263">
        <f>SUM(G109:G113,J109:J113)</f>
        <v>54497.066800000001</v>
      </c>
      <c r="M109" s="26">
        <v>54497.07</v>
      </c>
      <c r="N109" s="421"/>
      <c r="O109" s="77"/>
      <c r="P109" s="77"/>
      <c r="Q109" s="384"/>
      <c r="R109" s="422"/>
      <c r="S109" s="399"/>
      <c r="T109" s="399"/>
    </row>
    <row r="110" spans="1:20" s="81" customFormat="1" ht="15" customHeight="1">
      <c r="A110" s="441"/>
      <c r="B110" s="442"/>
      <c r="C110" s="36" t="s">
        <v>26</v>
      </c>
      <c r="D110" s="37">
        <v>0</v>
      </c>
      <c r="E110" s="38">
        <v>3.4692000000000007</v>
      </c>
      <c r="F110" s="38">
        <f>37.8898-33.8306</f>
        <v>4.0592000000000041</v>
      </c>
      <c r="G110" s="39">
        <f>ROUND(D110*(E110+F110),2)</f>
        <v>0</v>
      </c>
      <c r="H110" s="457"/>
      <c r="I110" s="199"/>
      <c r="J110" s="199"/>
      <c r="K110" s="458"/>
      <c r="L110" s="459"/>
      <c r="M110" s="44"/>
      <c r="N110" s="430"/>
      <c r="O110" s="431"/>
      <c r="P110" s="431"/>
      <c r="Q110" s="424"/>
      <c r="R110" s="422"/>
      <c r="S110" s="399"/>
      <c r="T110" s="399"/>
    </row>
    <row r="111" spans="1:20" s="81" customFormat="1" ht="15" customHeight="1">
      <c r="A111" s="441"/>
      <c r="B111" s="442"/>
      <c r="C111" s="48" t="s">
        <v>129</v>
      </c>
      <c r="D111" s="37">
        <v>10291</v>
      </c>
      <c r="E111" s="41">
        <f>5.9451-6.508</f>
        <v>-0.56289999999999996</v>
      </c>
      <c r="F111" s="38"/>
      <c r="G111" s="39">
        <f>ROUND(D111*(E111),2)-0.01</f>
        <v>-5792.81</v>
      </c>
      <c r="H111" s="270"/>
      <c r="I111" s="41"/>
      <c r="J111" s="41"/>
      <c r="K111" s="271"/>
      <c r="L111" s="272"/>
      <c r="M111" s="102"/>
      <c r="N111" s="430"/>
      <c r="O111" s="431"/>
      <c r="P111" s="431"/>
      <c r="Q111" s="424"/>
      <c r="R111" s="422"/>
      <c r="S111" s="399"/>
      <c r="T111" s="399"/>
    </row>
    <row r="112" spans="1:20" s="81" customFormat="1" ht="15" customHeight="1">
      <c r="A112" s="441"/>
      <c r="B112" s="442"/>
      <c r="C112" s="48" t="s">
        <v>130</v>
      </c>
      <c r="D112" s="37">
        <v>24</v>
      </c>
      <c r="E112" s="41">
        <v>5.9451000000000001</v>
      </c>
      <c r="F112" s="38"/>
      <c r="G112" s="39">
        <f>ROUND(D112*(E112),2)</f>
        <v>142.68</v>
      </c>
      <c r="H112" s="270"/>
      <c r="I112" s="41"/>
      <c r="J112" s="41"/>
      <c r="K112" s="271"/>
      <c r="L112" s="272"/>
      <c r="M112" s="102"/>
      <c r="N112" s="434"/>
      <c r="O112" s="435"/>
      <c r="P112" s="435"/>
      <c r="Q112" s="425"/>
      <c r="R112" s="422"/>
      <c r="S112" s="399"/>
      <c r="T112" s="399"/>
    </row>
    <row r="113" spans="1:20" s="81" customFormat="1" ht="15" customHeight="1" thickBot="1">
      <c r="A113" s="460"/>
      <c r="B113" s="461"/>
      <c r="C113" s="99" t="s">
        <v>29</v>
      </c>
      <c r="D113" s="462">
        <v>9810</v>
      </c>
      <c r="E113" s="56">
        <v>5.9451000000000001</v>
      </c>
      <c r="F113" s="311"/>
      <c r="G113" s="110">
        <f>ROUND(D113*(E113),2)</f>
        <v>58321.43</v>
      </c>
      <c r="H113" s="310"/>
      <c r="I113" s="311"/>
      <c r="J113" s="311"/>
      <c r="K113" s="312"/>
      <c r="L113" s="313"/>
      <c r="M113" s="115"/>
      <c r="N113" s="463"/>
      <c r="O113" s="464"/>
      <c r="P113" s="464"/>
      <c r="Q113" s="465"/>
      <c r="R113" s="466"/>
      <c r="S113" s="467"/>
      <c r="T113" s="399"/>
    </row>
    <row r="114" spans="1:20" s="81" customFormat="1" ht="15" customHeight="1" thickTop="1">
      <c r="A114" s="437"/>
      <c r="B114" s="438" t="s">
        <v>83</v>
      </c>
      <c r="C114" s="377" t="s">
        <v>73</v>
      </c>
      <c r="D114" s="378">
        <v>1</v>
      </c>
      <c r="E114" s="21">
        <v>32.332000000000001</v>
      </c>
      <c r="F114" s="21">
        <v>37.889800000000001</v>
      </c>
      <c r="G114" s="22">
        <f>+D114*(E114+F114)</f>
        <v>70.221800000000002</v>
      </c>
      <c r="H114" s="303"/>
      <c r="I114" s="23"/>
      <c r="J114" s="341"/>
      <c r="K114" s="342"/>
      <c r="L114" s="263">
        <f>SUM(G114:G118,J114:J118)</f>
        <v>392.8218</v>
      </c>
      <c r="M114" s="26">
        <v>392.82</v>
      </c>
      <c r="N114" s="421"/>
      <c r="O114" s="77"/>
      <c r="P114" s="77"/>
      <c r="Q114" s="384"/>
      <c r="R114" s="422"/>
      <c r="S114" s="399"/>
      <c r="T114" s="399"/>
    </row>
    <row r="115" spans="1:20" s="81" customFormat="1" ht="15" customHeight="1">
      <c r="A115" s="441"/>
      <c r="B115" s="442"/>
      <c r="C115" s="36" t="s">
        <v>26</v>
      </c>
      <c r="D115" s="37">
        <v>0</v>
      </c>
      <c r="E115" s="38">
        <v>3.4692000000000007</v>
      </c>
      <c r="F115" s="38">
        <f>37.8898-33.8306</f>
        <v>4.0592000000000041</v>
      </c>
      <c r="G115" s="39">
        <f>ROUND(D115*(E115+F115),2)</f>
        <v>0</v>
      </c>
      <c r="H115" s="457"/>
      <c r="I115" s="199"/>
      <c r="J115" s="199"/>
      <c r="K115" s="458"/>
      <c r="L115" s="459"/>
      <c r="M115" s="44"/>
      <c r="N115" s="430"/>
      <c r="O115" s="431"/>
      <c r="P115" s="431"/>
      <c r="Q115" s="424"/>
      <c r="R115" s="422"/>
      <c r="S115" s="399"/>
      <c r="T115" s="399"/>
    </row>
    <row r="116" spans="1:20" s="81" customFormat="1" ht="15" customHeight="1">
      <c r="A116" s="441"/>
      <c r="B116" s="442"/>
      <c r="C116" s="48" t="s">
        <v>129</v>
      </c>
      <c r="D116" s="37">
        <v>51.1</v>
      </c>
      <c r="E116" s="41">
        <f>5.9451-6.508</f>
        <v>-0.56289999999999996</v>
      </c>
      <c r="F116" s="38"/>
      <c r="G116" s="39">
        <f>ROUND(D116*(E116),2)+0.01</f>
        <v>-28.75</v>
      </c>
      <c r="H116" s="270"/>
      <c r="I116" s="41"/>
      <c r="J116" s="41"/>
      <c r="K116" s="271"/>
      <c r="L116" s="272"/>
      <c r="M116" s="102"/>
      <c r="N116" s="430"/>
      <c r="O116" s="431"/>
      <c r="P116" s="431"/>
      <c r="Q116" s="424"/>
      <c r="R116" s="422"/>
      <c r="S116" s="399"/>
      <c r="T116" s="399"/>
    </row>
    <row r="117" spans="1:20" s="81" customFormat="1" ht="15" customHeight="1">
      <c r="A117" s="441"/>
      <c r="B117" s="442"/>
      <c r="C117" s="48" t="s">
        <v>130</v>
      </c>
      <c r="D117" s="37">
        <v>0.1</v>
      </c>
      <c r="E117" s="41">
        <v>5.9451000000000001</v>
      </c>
      <c r="F117" s="38"/>
      <c r="G117" s="39">
        <f>ROUND(D117*(E117),2)</f>
        <v>0.59</v>
      </c>
      <c r="H117" s="270"/>
      <c r="I117" s="41"/>
      <c r="J117" s="41"/>
      <c r="K117" s="271"/>
      <c r="L117" s="272"/>
      <c r="M117" s="102"/>
      <c r="N117" s="434"/>
      <c r="O117" s="435"/>
      <c r="P117" s="435"/>
      <c r="Q117" s="425"/>
      <c r="R117" s="422"/>
      <c r="S117" s="399"/>
      <c r="T117" s="399"/>
    </row>
    <row r="118" spans="1:20" s="81" customFormat="1" ht="15.75" customHeight="1" thickBot="1">
      <c r="A118" s="460"/>
      <c r="B118" s="461"/>
      <c r="C118" s="99" t="s">
        <v>29</v>
      </c>
      <c r="D118" s="462">
        <v>59</v>
      </c>
      <c r="E118" s="56">
        <v>5.9451000000000001</v>
      </c>
      <c r="F118" s="311"/>
      <c r="G118" s="110">
        <f>ROUND(D118*(E118),2)</f>
        <v>350.76</v>
      </c>
      <c r="H118" s="310"/>
      <c r="I118" s="311"/>
      <c r="J118" s="311"/>
      <c r="K118" s="312"/>
      <c r="L118" s="313"/>
      <c r="M118" s="115"/>
      <c r="N118" s="463"/>
      <c r="O118" s="464"/>
      <c r="P118" s="464"/>
      <c r="Q118" s="465"/>
      <c r="R118" s="422"/>
      <c r="S118" s="399"/>
      <c r="T118" s="399"/>
    </row>
    <row r="119" spans="1:20" s="81" customFormat="1" ht="15.75" customHeight="1" thickTop="1">
      <c r="A119" s="447"/>
      <c r="B119" s="438" t="s">
        <v>126</v>
      </c>
      <c r="C119" s="48" t="s">
        <v>129</v>
      </c>
      <c r="D119" s="448">
        <v>13</v>
      </c>
      <c r="E119" s="41">
        <f>5.9451-6.508</f>
        <v>-0.56289999999999996</v>
      </c>
      <c r="F119" s="261"/>
      <c r="G119" s="449">
        <f>ROUND(D119*E119,2)</f>
        <v>-7.32</v>
      </c>
      <c r="H119" s="303"/>
      <c r="I119" s="23"/>
      <c r="J119" s="23"/>
      <c r="K119" s="304"/>
      <c r="L119" s="263">
        <f>SUM(G119:G121)</f>
        <v>528.92999999999995</v>
      </c>
      <c r="M119" s="26">
        <v>528.92999999999995</v>
      </c>
      <c r="N119" s="421"/>
      <c r="O119" s="77"/>
      <c r="P119" s="77"/>
      <c r="Q119" s="384"/>
      <c r="R119" s="422"/>
      <c r="S119" s="399"/>
      <c r="T119" s="399"/>
    </row>
    <row r="120" spans="1:20" s="81" customFormat="1" ht="15.75" customHeight="1">
      <c r="A120" s="450"/>
      <c r="B120" s="442"/>
      <c r="C120" s="48" t="s">
        <v>130</v>
      </c>
      <c r="D120" s="448">
        <v>0.2</v>
      </c>
      <c r="E120" s="41">
        <v>5.9451000000000001</v>
      </c>
      <c r="F120" s="261"/>
      <c r="G120" s="449">
        <f t="shared" ref="G120:G121" si="9">ROUND(D120*E120,2)</f>
        <v>1.19</v>
      </c>
      <c r="H120" s="260"/>
      <c r="I120" s="261"/>
      <c r="J120" s="261"/>
      <c r="K120" s="262"/>
      <c r="L120" s="286"/>
      <c r="M120" s="90"/>
      <c r="N120" s="423"/>
      <c r="O120" s="406"/>
      <c r="P120" s="406"/>
      <c r="Q120" s="407"/>
      <c r="R120" s="422"/>
      <c r="S120" s="399"/>
      <c r="T120" s="399"/>
    </row>
    <row r="121" spans="1:20" s="81" customFormat="1" ht="15.75" customHeight="1" thickBot="1">
      <c r="A121" s="697"/>
      <c r="B121" s="698"/>
      <c r="C121" s="99" t="s">
        <v>29</v>
      </c>
      <c r="D121" s="596">
        <v>90</v>
      </c>
      <c r="E121" s="101">
        <v>5.9451000000000001</v>
      </c>
      <c r="F121" s="41"/>
      <c r="G121" s="39">
        <f t="shared" si="9"/>
        <v>535.05999999999995</v>
      </c>
      <c r="H121" s="280"/>
      <c r="I121" s="281"/>
      <c r="J121" s="281"/>
      <c r="K121" s="282"/>
      <c r="L121" s="204"/>
      <c r="M121" s="371"/>
      <c r="N121" s="426"/>
      <c r="O121" s="416"/>
      <c r="P121" s="416"/>
      <c r="Q121" s="417"/>
      <c r="R121" s="422"/>
      <c r="S121" s="399"/>
      <c r="T121" s="399"/>
    </row>
    <row r="122" spans="1:20" s="81" customFormat="1" ht="15.75" customHeight="1">
      <c r="A122" s="468"/>
      <c r="B122" s="699" t="s">
        <v>133</v>
      </c>
      <c r="C122" s="700" t="s">
        <v>129</v>
      </c>
      <c r="D122" s="471">
        <v>0</v>
      </c>
      <c r="E122" s="261">
        <f>5.9451-6.508</f>
        <v>-0.56289999999999996</v>
      </c>
      <c r="F122" s="473"/>
      <c r="G122" s="449">
        <f>ROUND(D122*E122,2)</f>
        <v>0</v>
      </c>
      <c r="H122" s="303"/>
      <c r="I122" s="23"/>
      <c r="J122" s="23"/>
      <c r="K122" s="304"/>
      <c r="L122" s="263">
        <f>SUM(G122:G124)</f>
        <v>2788.85</v>
      </c>
      <c r="M122" s="26">
        <v>2788.85</v>
      </c>
      <c r="N122" s="421"/>
      <c r="O122" s="77"/>
      <c r="P122" s="77"/>
      <c r="Q122" s="384"/>
      <c r="R122" s="422"/>
      <c r="S122" s="399"/>
      <c r="T122" s="399"/>
    </row>
    <row r="123" spans="1:20" s="81" customFormat="1" ht="15.75" customHeight="1">
      <c r="A123" s="468"/>
      <c r="B123" s="469"/>
      <c r="C123" s="48" t="s">
        <v>130</v>
      </c>
      <c r="D123" s="471">
        <v>1.1000000000000001</v>
      </c>
      <c r="E123" s="41">
        <v>5.9451000000000001</v>
      </c>
      <c r="F123" s="473"/>
      <c r="G123" s="449">
        <f t="shared" ref="G123:G124" si="10">ROUND(D123*E123,2)</f>
        <v>6.54</v>
      </c>
      <c r="H123" s="260"/>
      <c r="I123" s="261"/>
      <c r="J123" s="261"/>
      <c r="K123" s="262"/>
      <c r="L123" s="286"/>
      <c r="M123" s="90"/>
      <c r="N123" s="423"/>
      <c r="O123" s="406"/>
      <c r="P123" s="406"/>
      <c r="Q123" s="407"/>
      <c r="R123" s="422"/>
      <c r="S123" s="399"/>
      <c r="T123" s="399"/>
    </row>
    <row r="124" spans="1:20" s="81" customFormat="1" ht="15.75" customHeight="1" thickBot="1">
      <c r="A124" s="701"/>
      <c r="B124" s="702"/>
      <c r="C124" s="99" t="s">
        <v>29</v>
      </c>
      <c r="D124" s="703">
        <v>468</v>
      </c>
      <c r="E124" s="101">
        <v>5.9451000000000001</v>
      </c>
      <c r="F124" s="704"/>
      <c r="G124" s="39">
        <f t="shared" si="10"/>
        <v>2782.31</v>
      </c>
      <c r="H124" s="280"/>
      <c r="I124" s="281"/>
      <c r="J124" s="281"/>
      <c r="K124" s="282"/>
      <c r="L124" s="204"/>
      <c r="M124" s="371"/>
      <c r="N124" s="426"/>
      <c r="O124" s="416"/>
      <c r="P124" s="416"/>
      <c r="Q124" s="417"/>
      <c r="R124" s="422"/>
      <c r="S124" s="399"/>
      <c r="T124" s="399"/>
    </row>
    <row r="125" spans="1:20" s="81" customFormat="1" ht="15.75" customHeight="1">
      <c r="A125" s="468"/>
      <c r="B125" s="699" t="s">
        <v>134</v>
      </c>
      <c r="C125" s="700" t="s">
        <v>129</v>
      </c>
      <c r="D125" s="471">
        <v>0</v>
      </c>
      <c r="E125" s="261">
        <f>5.9451-6.508</f>
        <v>-0.56289999999999996</v>
      </c>
      <c r="F125" s="473"/>
      <c r="G125" s="449">
        <f>ROUND(D125*E125,2)</f>
        <v>0</v>
      </c>
      <c r="H125" s="303"/>
      <c r="I125" s="23"/>
      <c r="J125" s="23"/>
      <c r="K125" s="304"/>
      <c r="L125" s="263">
        <f>SUM(G125:G127)</f>
        <v>1036.8300000000002</v>
      </c>
      <c r="M125" s="26">
        <v>1036.83</v>
      </c>
      <c r="N125" s="421"/>
      <c r="O125" s="77"/>
      <c r="P125" s="77"/>
      <c r="Q125" s="384"/>
      <c r="R125" s="422"/>
      <c r="S125" s="399"/>
      <c r="T125" s="399"/>
    </row>
    <row r="126" spans="1:20" s="81" customFormat="1" ht="15.75" customHeight="1">
      <c r="A126" s="468"/>
      <c r="B126" s="469"/>
      <c r="C126" s="48" t="s">
        <v>130</v>
      </c>
      <c r="D126" s="471">
        <v>0.4</v>
      </c>
      <c r="E126" s="41">
        <v>5.9451000000000001</v>
      </c>
      <c r="F126" s="473"/>
      <c r="G126" s="449">
        <f t="shared" ref="G126:G127" si="11">ROUND(D126*E126,2)</f>
        <v>2.38</v>
      </c>
      <c r="H126" s="260"/>
      <c r="I126" s="261"/>
      <c r="J126" s="261"/>
      <c r="K126" s="262"/>
      <c r="L126" s="286"/>
      <c r="M126" s="90"/>
      <c r="N126" s="423"/>
      <c r="O126" s="406"/>
      <c r="P126" s="406"/>
      <c r="Q126" s="407"/>
      <c r="R126" s="422"/>
      <c r="S126" s="399"/>
      <c r="T126" s="399"/>
    </row>
    <row r="127" spans="1:20" s="81" customFormat="1" ht="15.75" customHeight="1" thickBot="1">
      <c r="A127" s="701"/>
      <c r="B127" s="702"/>
      <c r="C127" s="99" t="s">
        <v>29</v>
      </c>
      <c r="D127" s="703">
        <v>174</v>
      </c>
      <c r="E127" s="101">
        <v>5.9451000000000001</v>
      </c>
      <c r="F127" s="704"/>
      <c r="G127" s="39">
        <f t="shared" si="11"/>
        <v>1034.45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22"/>
      <c r="S127" s="399"/>
      <c r="T127" s="399"/>
    </row>
    <row r="128" spans="1:20" s="81" customFormat="1" ht="15.75" customHeight="1" thickBot="1">
      <c r="A128" s="686"/>
      <c r="B128" s="469"/>
      <c r="C128" s="470"/>
      <c r="D128" s="471"/>
      <c r="E128" s="472"/>
      <c r="F128" s="473"/>
      <c r="G128" s="474"/>
      <c r="H128" s="473"/>
      <c r="I128" s="473"/>
      <c r="J128" s="473"/>
      <c r="K128" s="473"/>
      <c r="L128" s="473"/>
      <c r="M128" s="475"/>
      <c r="N128" s="399"/>
      <c r="O128" s="399"/>
      <c r="P128" s="399"/>
      <c r="Q128" s="399"/>
      <c r="R128" s="422"/>
      <c r="S128" s="399"/>
      <c r="T128" s="399"/>
    </row>
    <row r="129" spans="1:21" s="81" customFormat="1" ht="15" customHeight="1" thickTop="1">
      <c r="A129" s="476"/>
      <c r="B129" s="158"/>
      <c r="C129" s="322"/>
      <c r="D129" s="477"/>
      <c r="E129" s="163"/>
      <c r="F129" s="163"/>
      <c r="G129" s="478"/>
      <c r="H129" s="163"/>
      <c r="I129" s="163"/>
      <c r="J129" s="163"/>
      <c r="K129" s="163"/>
      <c r="L129" s="163"/>
      <c r="M129" s="164"/>
      <c r="N129" s="479"/>
      <c r="O129" s="479"/>
      <c r="P129" s="479"/>
      <c r="Q129" s="479"/>
      <c r="R129" s="480"/>
      <c r="S129" s="479"/>
      <c r="T129" s="399"/>
    </row>
    <row r="130" spans="1:21" ht="21.75" thickBot="1">
      <c r="A130" s="171" t="s">
        <v>84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  <c r="N130" s="2"/>
      <c r="O130" s="2"/>
      <c r="P130" s="2"/>
      <c r="Q130" s="2"/>
      <c r="R130" s="2"/>
      <c r="S130" s="2"/>
      <c r="T130" s="2"/>
    </row>
    <row r="131" spans="1:21" ht="15.75" customHeight="1" thickTop="1" thickBot="1">
      <c r="A131" s="1540" t="s">
        <v>1</v>
      </c>
      <c r="B131" s="1542" t="s">
        <v>2</v>
      </c>
      <c r="C131" s="1544" t="s">
        <v>3</v>
      </c>
      <c r="D131" s="1546" t="s">
        <v>4</v>
      </c>
      <c r="E131" s="1546"/>
      <c r="F131" s="1546"/>
      <c r="G131" s="1546"/>
      <c r="H131" s="1547" t="s">
        <v>5</v>
      </c>
      <c r="I131" s="1548"/>
      <c r="J131" s="1548"/>
      <c r="K131" s="1549"/>
      <c r="L131" s="1524" t="s">
        <v>6</v>
      </c>
      <c r="M131" s="1511" t="s">
        <v>7</v>
      </c>
      <c r="N131" s="1551" t="s">
        <v>8</v>
      </c>
      <c r="O131" s="1551"/>
      <c r="P131" s="1551"/>
      <c r="Q131" s="1552" t="s">
        <v>18</v>
      </c>
      <c r="R131" s="481" t="s">
        <v>85</v>
      </c>
      <c r="S131" s="482" t="s">
        <v>20</v>
      </c>
      <c r="T131" s="482" t="s">
        <v>21</v>
      </c>
    </row>
    <row r="132" spans="1:21" ht="27" thickTop="1" thickBot="1">
      <c r="A132" s="1541"/>
      <c r="B132" s="1543"/>
      <c r="C132" s="1545" t="s">
        <v>10</v>
      </c>
      <c r="D132" s="483" t="s">
        <v>11</v>
      </c>
      <c r="E132" s="484" t="s">
        <v>12</v>
      </c>
      <c r="F132" s="484" t="s">
        <v>13</v>
      </c>
      <c r="G132" s="485" t="s">
        <v>14</v>
      </c>
      <c r="H132" s="483" t="s">
        <v>11</v>
      </c>
      <c r="I132" s="486" t="s">
        <v>15</v>
      </c>
      <c r="J132" s="485"/>
      <c r="K132" s="487" t="s">
        <v>16</v>
      </c>
      <c r="L132" s="1525"/>
      <c r="M132" s="1550"/>
      <c r="N132" s="488" t="s">
        <v>14</v>
      </c>
      <c r="O132" s="485"/>
      <c r="P132" s="489" t="s">
        <v>18</v>
      </c>
      <c r="Q132" s="490" t="s">
        <v>19</v>
      </c>
      <c r="R132" s="491"/>
      <c r="S132" s="492"/>
      <c r="T132" s="492"/>
    </row>
    <row r="133" spans="1:21">
      <c r="A133" s="493">
        <v>501</v>
      </c>
      <c r="B133" s="494" t="s">
        <v>86</v>
      </c>
      <c r="C133" s="71"/>
      <c r="D133" s="495">
        <v>9</v>
      </c>
      <c r="E133" s="21">
        <v>32.332000000000001</v>
      </c>
      <c r="F133" s="21">
        <v>37.889800000000001</v>
      </c>
      <c r="G133" s="185">
        <f>ROUND(D133*(E133+F133),2)</f>
        <v>632</v>
      </c>
      <c r="H133" s="496"/>
      <c r="I133" s="73">
        <v>0.85</v>
      </c>
      <c r="J133" s="73">
        <f>+H133*I133</f>
        <v>0</v>
      </c>
      <c r="K133" s="497"/>
      <c r="L133" s="498">
        <f>+SUM(G133:G140,C140)+J133+J135</f>
        <v>47993.556400000001</v>
      </c>
      <c r="M133" s="26">
        <v>47993.56</v>
      </c>
      <c r="N133" s="499"/>
      <c r="O133" s="500"/>
      <c r="P133" s="501" t="s">
        <v>87</v>
      </c>
      <c r="Q133" s="304">
        <f t="shared" ref="Q133:Q151" si="12">C133+G133+J133-M133-N133-O133</f>
        <v>-47361.56</v>
      </c>
      <c r="R133" s="502" t="s">
        <v>88</v>
      </c>
      <c r="S133" s="503"/>
      <c r="T133" s="504"/>
      <c r="U133" s="33">
        <f>+C133+L133-M133</f>
        <v>-3.599999996367842E-3</v>
      </c>
    </row>
    <row r="134" spans="1:21">
      <c r="A134" s="505"/>
      <c r="B134" s="506"/>
      <c r="C134" s="507"/>
      <c r="D134" s="508">
        <v>0</v>
      </c>
      <c r="E134" s="38">
        <f>32.332-28.8628</f>
        <v>3.4692000000000007</v>
      </c>
      <c r="F134" s="38">
        <f>37.8898-33.8306</f>
        <v>4.0592000000000041</v>
      </c>
      <c r="G134" s="50">
        <f>ROUND(D134*(E134+F134),2)</f>
        <v>0</v>
      </c>
      <c r="H134" s="448"/>
      <c r="I134" s="509"/>
      <c r="J134" s="409"/>
      <c r="K134" s="510"/>
      <c r="L134" s="511"/>
      <c r="M134" s="512"/>
      <c r="N134" s="513"/>
      <c r="O134" s="514"/>
      <c r="P134" s="515"/>
      <c r="Q134" s="262"/>
      <c r="R134" s="502"/>
      <c r="S134" s="503"/>
      <c r="T134" s="504"/>
      <c r="U134" s="33"/>
    </row>
    <row r="135" spans="1:21">
      <c r="A135" s="505"/>
      <c r="B135" s="516" t="s">
        <v>89</v>
      </c>
      <c r="C135" s="512" t="s">
        <v>90</v>
      </c>
      <c r="D135" s="508">
        <v>18</v>
      </c>
      <c r="E135" s="101">
        <v>352.37</v>
      </c>
      <c r="F135" s="38">
        <v>37.889800000000001</v>
      </c>
      <c r="G135" s="50">
        <f>D135*(E135+F135)</f>
        <v>7024.6763999999994</v>
      </c>
      <c r="H135" s="270"/>
      <c r="I135" s="41">
        <v>128.56</v>
      </c>
      <c r="J135" s="409">
        <f>+H135*I135</f>
        <v>0</v>
      </c>
      <c r="K135" s="510"/>
      <c r="L135" s="517"/>
      <c r="M135" s="99"/>
      <c r="N135" s="518"/>
      <c r="O135" s="519"/>
      <c r="P135" s="515" t="s">
        <v>87</v>
      </c>
      <c r="Q135" s="271">
        <f>+G135+J135-M135-N135-O135</f>
        <v>7024.6763999999994</v>
      </c>
      <c r="R135" s="502" t="s">
        <v>88</v>
      </c>
      <c r="S135" s="503"/>
      <c r="T135" s="504"/>
    </row>
    <row r="136" spans="1:21">
      <c r="A136" s="505"/>
      <c r="B136" s="506" t="s">
        <v>91</v>
      </c>
      <c r="C136" s="507"/>
      <c r="D136" s="508">
        <v>20</v>
      </c>
      <c r="E136" s="41">
        <f>352.37-363.77</f>
        <v>-11.399999999999977</v>
      </c>
      <c r="F136" s="38"/>
      <c r="G136" s="50">
        <f>ROUND(D136*(E136+F136),2)</f>
        <v>-228</v>
      </c>
      <c r="H136" s="432"/>
      <c r="I136" s="362"/>
      <c r="J136" s="409"/>
      <c r="K136" s="510"/>
      <c r="L136" s="517"/>
      <c r="M136" s="520"/>
      <c r="N136" s="521"/>
      <c r="O136" s="522"/>
      <c r="P136" s="523"/>
      <c r="Q136" s="362"/>
      <c r="R136" s="502"/>
      <c r="S136" s="503"/>
      <c r="T136" s="504"/>
    </row>
    <row r="137" spans="1:21">
      <c r="A137" s="505"/>
      <c r="B137" s="506" t="s">
        <v>91</v>
      </c>
      <c r="C137" s="507"/>
      <c r="D137" s="508"/>
      <c r="E137" s="38"/>
      <c r="F137" s="41"/>
      <c r="G137" s="50">
        <f>D137*(E137+F137)</f>
        <v>0</v>
      </c>
      <c r="H137" s="432"/>
      <c r="I137" s="362"/>
      <c r="J137" s="409"/>
      <c r="K137" s="510"/>
      <c r="L137" s="517"/>
      <c r="M137" s="520"/>
      <c r="N137" s="521"/>
      <c r="O137" s="522"/>
      <c r="P137" s="523"/>
      <c r="Q137" s="362"/>
      <c r="R137" s="502"/>
      <c r="S137" s="503"/>
      <c r="T137" s="504"/>
    </row>
    <row r="138" spans="1:21">
      <c r="A138" s="505"/>
      <c r="B138" s="506" t="s">
        <v>92</v>
      </c>
      <c r="C138" s="48" t="s">
        <v>129</v>
      </c>
      <c r="D138" s="508">
        <v>6748</v>
      </c>
      <c r="E138" s="41">
        <f>5.8446-6.3785</f>
        <v>-0.53390000000000004</v>
      </c>
      <c r="F138" s="41">
        <f>+E138</f>
        <v>-0.53390000000000004</v>
      </c>
      <c r="G138" s="39">
        <f>ROUNDDOWN(D138*E138,2)-0.01</f>
        <v>-3602.76</v>
      </c>
      <c r="H138" s="432"/>
      <c r="I138" s="362"/>
      <c r="J138" s="41"/>
      <c r="K138" s="510"/>
      <c r="L138" s="517"/>
      <c r="M138" s="520"/>
      <c r="N138" s="521"/>
      <c r="O138" s="522"/>
      <c r="P138" s="523"/>
      <c r="Q138" s="362"/>
      <c r="R138" s="502"/>
      <c r="S138" s="503"/>
      <c r="T138" s="504"/>
    </row>
    <row r="139" spans="1:21">
      <c r="A139" s="505"/>
      <c r="B139" s="506"/>
      <c r="C139" s="48" t="s">
        <v>130</v>
      </c>
      <c r="D139" s="508">
        <v>321</v>
      </c>
      <c r="E139" s="41">
        <v>5.8445999999999998</v>
      </c>
      <c r="F139" s="41">
        <f>+E139</f>
        <v>5.8445999999999998</v>
      </c>
      <c r="G139" s="39">
        <f>ROUND(D139*E139,2)-0.01</f>
        <v>1876.11</v>
      </c>
      <c r="H139" s="432"/>
      <c r="I139" s="362"/>
      <c r="J139" s="207"/>
      <c r="K139" s="524"/>
      <c r="L139" s="517"/>
      <c r="M139" s="520"/>
      <c r="N139" s="521"/>
      <c r="O139" s="522"/>
      <c r="P139" s="523"/>
      <c r="Q139" s="362"/>
      <c r="R139" s="502"/>
      <c r="S139" s="503"/>
      <c r="T139" s="504"/>
    </row>
    <row r="140" spans="1:21" ht="15.75" thickBot="1">
      <c r="A140" s="525"/>
      <c r="B140" s="526"/>
      <c r="C140" s="99" t="s">
        <v>29</v>
      </c>
      <c r="D140" s="55">
        <v>7236</v>
      </c>
      <c r="E140" s="56">
        <v>5.8445999999999998</v>
      </c>
      <c r="F140" s="57">
        <f>+E140</f>
        <v>5.8445999999999998</v>
      </c>
      <c r="G140" s="58">
        <f>ROUND(D140*E140,2)</f>
        <v>42291.53</v>
      </c>
      <c r="H140" s="248"/>
      <c r="I140" s="203"/>
      <c r="J140" s="60"/>
      <c r="K140" s="61"/>
      <c r="L140" s="249"/>
      <c r="M140" s="54"/>
      <c r="N140" s="527"/>
      <c r="O140" s="528"/>
      <c r="P140" s="529" t="s">
        <v>87</v>
      </c>
      <c r="Q140" s="282">
        <f>+G140+J140-M140-N140-O140</f>
        <v>42291.53</v>
      </c>
      <c r="R140" s="530" t="s">
        <v>88</v>
      </c>
      <c r="S140" s="531">
        <f>SUM(N133:N140)+O133:O140</f>
        <v>0</v>
      </c>
      <c r="T140" s="531">
        <f>SUM(Q133:Q140)</f>
        <v>1954.6463999999978</v>
      </c>
      <c r="U140" s="33"/>
    </row>
    <row r="141" spans="1:21" ht="15.75" thickTop="1">
      <c r="A141" s="339" t="s">
        <v>93</v>
      </c>
      <c r="B141" s="532" t="s">
        <v>94</v>
      </c>
      <c r="C141" s="71">
        <f>+[1]дек!U51</f>
        <v>-6.0000000303261913E-4</v>
      </c>
      <c r="D141" s="213">
        <v>42</v>
      </c>
      <c r="E141" s="21">
        <v>32.332000000000001</v>
      </c>
      <c r="F141" s="21">
        <v>37.889800000000001</v>
      </c>
      <c r="G141" s="214">
        <f>ROUND(D141*(E141+F141),2)</f>
        <v>2949.32</v>
      </c>
      <c r="H141" s="496"/>
      <c r="I141" s="73">
        <v>0.85</v>
      </c>
      <c r="J141" s="73">
        <f>H141*I141</f>
        <v>0</v>
      </c>
      <c r="K141" s="497"/>
      <c r="L141" s="533">
        <f>+SUM(G141:G148,)+J141+J143</f>
        <v>46782.19</v>
      </c>
      <c r="M141" s="26">
        <v>46782.19</v>
      </c>
      <c r="N141" s="534"/>
      <c r="O141" s="535"/>
      <c r="P141" s="536" t="s">
        <v>87</v>
      </c>
      <c r="Q141" s="537">
        <f t="shared" si="12"/>
        <v>-43832.870600000002</v>
      </c>
      <c r="R141" s="538" t="s">
        <v>95</v>
      </c>
      <c r="S141" s="539"/>
      <c r="T141" s="540"/>
      <c r="U141" s="33"/>
    </row>
    <row r="142" spans="1:21">
      <c r="A142" s="353"/>
      <c r="B142" s="541"/>
      <c r="C142" s="542" t="s">
        <v>96</v>
      </c>
      <c r="D142" s="234">
        <v>0</v>
      </c>
      <c r="E142" s="38">
        <f>32.332-28.8628</f>
        <v>3.4692000000000007</v>
      </c>
      <c r="F142" s="38">
        <f>37.8898-33.8306</f>
        <v>4.0592000000000041</v>
      </c>
      <c r="G142" s="235">
        <f>ROUND(D142*(E142+F142),2)</f>
        <v>0</v>
      </c>
      <c r="H142" s="448"/>
      <c r="I142" s="509"/>
      <c r="J142" s="509"/>
      <c r="K142" s="543"/>
      <c r="L142" s="544"/>
      <c r="M142" s="545"/>
      <c r="N142" s="546"/>
      <c r="O142" s="547"/>
      <c r="P142" s="548"/>
      <c r="Q142" s="549"/>
      <c r="R142" s="550"/>
      <c r="S142" s="551"/>
      <c r="T142" s="552"/>
      <c r="U142" s="33"/>
    </row>
    <row r="143" spans="1:21">
      <c r="A143" s="353"/>
      <c r="B143" s="516" t="s">
        <v>32</v>
      </c>
      <c r="C143" s="99" t="s">
        <v>90</v>
      </c>
      <c r="D143" s="234">
        <v>30</v>
      </c>
      <c r="E143" s="101">
        <v>352.37</v>
      </c>
      <c r="F143" s="38">
        <v>37.889800000000001</v>
      </c>
      <c r="G143" s="235">
        <f>ROUND(D143*(E143+F143),2)</f>
        <v>11707.79</v>
      </c>
      <c r="H143" s="270"/>
      <c r="I143" s="41">
        <v>128.56</v>
      </c>
      <c r="J143" s="41">
        <f>ROUND(H143*I143,2)</f>
        <v>0</v>
      </c>
      <c r="K143" s="510"/>
      <c r="L143" s="553"/>
      <c r="M143" s="554"/>
      <c r="N143" s="555"/>
      <c r="O143" s="556"/>
      <c r="P143" s="557" t="s">
        <v>87</v>
      </c>
      <c r="Q143" s="558">
        <f>+G143+J143-M143-N143-O143</f>
        <v>11707.79</v>
      </c>
      <c r="R143" s="550" t="s">
        <v>95</v>
      </c>
      <c r="S143" s="551"/>
      <c r="T143" s="552"/>
    </row>
    <row r="144" spans="1:21">
      <c r="A144" s="353"/>
      <c r="B144" s="541"/>
      <c r="C144" s="84" t="s">
        <v>97</v>
      </c>
      <c r="D144" s="234">
        <v>31</v>
      </c>
      <c r="E144" s="41">
        <f>352.37-363.77</f>
        <v>-11.399999999999977</v>
      </c>
      <c r="F144" s="38"/>
      <c r="G144" s="50">
        <f>ROUND(D144*E144,2)</f>
        <v>-353.4</v>
      </c>
      <c r="H144" s="432"/>
      <c r="I144" s="362"/>
      <c r="J144" s="41"/>
      <c r="K144" s="510"/>
      <c r="L144" s="559"/>
      <c r="M144" s="560"/>
      <c r="N144" s="561"/>
      <c r="O144" s="562"/>
      <c r="P144" s="563"/>
      <c r="Q144" s="564"/>
      <c r="R144" s="550"/>
      <c r="S144" s="551"/>
      <c r="T144" s="552"/>
    </row>
    <row r="145" spans="1:21">
      <c r="A145" s="353"/>
      <c r="B145" s="541"/>
      <c r="C145" s="84" t="s">
        <v>97</v>
      </c>
      <c r="D145" s="234"/>
      <c r="E145" s="38"/>
      <c r="F145" s="240"/>
      <c r="G145" s="50">
        <f>D145*(E145+F145)</f>
        <v>0</v>
      </c>
      <c r="H145" s="432"/>
      <c r="I145" s="362"/>
      <c r="J145" s="41"/>
      <c r="K145" s="510"/>
      <c r="L145" s="559"/>
      <c r="M145" s="560"/>
      <c r="N145" s="561"/>
      <c r="O145" s="562"/>
      <c r="P145" s="563"/>
      <c r="Q145" s="564"/>
      <c r="R145" s="550"/>
      <c r="S145" s="551"/>
      <c r="T145" s="552"/>
    </row>
    <row r="146" spans="1:21">
      <c r="A146" s="353"/>
      <c r="B146" s="541"/>
      <c r="C146" s="48" t="s">
        <v>129</v>
      </c>
      <c r="D146" s="37">
        <v>5561</v>
      </c>
      <c r="E146" s="41">
        <f>5.8446-6.3785</f>
        <v>-0.53390000000000004</v>
      </c>
      <c r="F146" s="41">
        <f>+E146</f>
        <v>-0.53390000000000004</v>
      </c>
      <c r="G146" s="235">
        <f>ROUND(D146*E146,2)</f>
        <v>-2969.02</v>
      </c>
      <c r="H146" s="565"/>
      <c r="I146" s="564"/>
      <c r="J146" s="566"/>
      <c r="K146" s="567"/>
      <c r="L146" s="559"/>
      <c r="M146" s="560"/>
      <c r="N146" s="561"/>
      <c r="O146" s="562"/>
      <c r="P146" s="563"/>
      <c r="Q146" s="564"/>
      <c r="R146" s="550"/>
      <c r="S146" s="551"/>
      <c r="T146" s="552"/>
      <c r="U146" s="352"/>
    </row>
    <row r="147" spans="1:21">
      <c r="A147" s="353"/>
      <c r="B147" s="541"/>
      <c r="C147" s="48" t="s">
        <v>130</v>
      </c>
      <c r="D147" s="37">
        <v>257</v>
      </c>
      <c r="E147" s="41">
        <v>5.8445999999999998</v>
      </c>
      <c r="F147" s="41">
        <f>+E147</f>
        <v>5.8445999999999998</v>
      </c>
      <c r="G147" s="235">
        <f>ROUND(D147*E147,2)</f>
        <v>1502.06</v>
      </c>
      <c r="H147" s="565"/>
      <c r="I147" s="564"/>
      <c r="J147" s="566"/>
      <c r="K147" s="567"/>
      <c r="L147" s="559"/>
      <c r="M147" s="560"/>
      <c r="N147" s="561"/>
      <c r="O147" s="562"/>
      <c r="P147" s="563"/>
      <c r="Q147" s="564"/>
      <c r="R147" s="550"/>
      <c r="S147" s="551"/>
      <c r="T147" s="552"/>
      <c r="U147" s="33"/>
    </row>
    <row r="148" spans="1:21" ht="15.75" thickBot="1">
      <c r="A148" s="369"/>
      <c r="B148" s="568"/>
      <c r="C148" s="99" t="s">
        <v>29</v>
      </c>
      <c r="D148" s="246">
        <v>5808</v>
      </c>
      <c r="E148" s="56">
        <v>5.8445999999999998</v>
      </c>
      <c r="F148" s="57">
        <f>+E148</f>
        <v>5.8445999999999998</v>
      </c>
      <c r="G148" s="247">
        <f>ROUND(D148*E148,2)</f>
        <v>33945.440000000002</v>
      </c>
      <c r="H148" s="248"/>
      <c r="I148" s="203"/>
      <c r="J148" s="60"/>
      <c r="K148" s="61"/>
      <c r="L148" s="204"/>
      <c r="M148" s="560"/>
      <c r="N148" s="561"/>
      <c r="O148" s="528"/>
      <c r="P148" s="529" t="s">
        <v>87</v>
      </c>
      <c r="Q148" s="564">
        <f>+G148+J148-M148-N148-O148</f>
        <v>33945.440000000002</v>
      </c>
      <c r="R148" s="550" t="s">
        <v>95</v>
      </c>
      <c r="S148" s="569">
        <f>SUM(N141:N148)+O141:O148</f>
        <v>0</v>
      </c>
      <c r="T148" s="570">
        <f>SUM(Q143:Q148)</f>
        <v>45653.23</v>
      </c>
    </row>
    <row r="149" spans="1:21" ht="15.75" hidden="1" outlineLevel="1" thickBot="1">
      <c r="A149" s="571"/>
      <c r="B149" s="572" t="s">
        <v>98</v>
      </c>
      <c r="C149" s="573" t="s">
        <v>99</v>
      </c>
      <c r="D149" s="574">
        <v>0</v>
      </c>
      <c r="E149" s="575">
        <f>3.193-2.9732</f>
        <v>0.21980000000000022</v>
      </c>
      <c r="F149" s="575">
        <f>3.193-2.9732</f>
        <v>0.21980000000000022</v>
      </c>
      <c r="G149" s="576">
        <f>D149*E149*70%+D149*F149*30%</f>
        <v>0</v>
      </c>
      <c r="H149" s="577"/>
      <c r="I149" s="578"/>
      <c r="J149" s="579"/>
      <c r="K149" s="579"/>
      <c r="L149" s="580"/>
      <c r="M149" s="581"/>
      <c r="N149" s="582"/>
      <c r="O149" s="535"/>
      <c r="P149" s="536"/>
      <c r="Q149" s="583"/>
      <c r="R149" s="584"/>
      <c r="S149" s="569"/>
      <c r="T149" s="585"/>
    </row>
    <row r="150" spans="1:21" s="81" customFormat="1" ht="16.5" hidden="1" customHeight="1" outlineLevel="1" thickBot="1">
      <c r="A150" s="586" t="s">
        <v>100</v>
      </c>
      <c r="B150" s="587" t="s">
        <v>98</v>
      </c>
      <c r="C150" s="588">
        <f>+[1]авг!C52</f>
        <v>0</v>
      </c>
      <c r="D150" s="589">
        <v>0</v>
      </c>
      <c r="E150" s="575">
        <v>3.1930000000000001</v>
      </c>
      <c r="F150" s="575">
        <f>+E150</f>
        <v>3.1930000000000001</v>
      </c>
      <c r="G150" s="576">
        <f>D150*E150*70%+D150*F150*30%</f>
        <v>0</v>
      </c>
      <c r="H150" s="579"/>
      <c r="I150" s="579"/>
      <c r="J150" s="579"/>
      <c r="K150" s="579"/>
      <c r="L150" s="579">
        <f>+C150+G150+G149</f>
        <v>0</v>
      </c>
      <c r="M150" s="590">
        <v>0</v>
      </c>
      <c r="N150" s="500"/>
      <c r="O150" s="528"/>
      <c r="P150" s="529" t="s">
        <v>87</v>
      </c>
      <c r="Q150" s="591">
        <f t="shared" si="12"/>
        <v>0</v>
      </c>
      <c r="R150" s="592" t="s">
        <v>101</v>
      </c>
      <c r="S150" s="77">
        <f>SUM(N150:N150)+SUM(O150:O150)</f>
        <v>0</v>
      </c>
      <c r="T150" s="593">
        <f>SUM(Q150:Q150)</f>
        <v>0</v>
      </c>
    </row>
    <row r="151" spans="1:21" ht="15.75" collapsed="1" thickTop="1">
      <c r="A151" s="505">
        <v>115</v>
      </c>
      <c r="B151" s="494" t="s">
        <v>102</v>
      </c>
      <c r="C151" s="71">
        <f>+[1]дек!U57</f>
        <v>0</v>
      </c>
      <c r="D151" s="495">
        <v>15</v>
      </c>
      <c r="E151" s="21">
        <v>32.332000000000001</v>
      </c>
      <c r="F151" s="21">
        <v>37.889800000000001</v>
      </c>
      <c r="G151" s="185">
        <f>ROUND(D151*(E151+F151),2)</f>
        <v>1053.33</v>
      </c>
      <c r="H151" s="496"/>
      <c r="I151" s="73">
        <v>0.85</v>
      </c>
      <c r="J151" s="73">
        <f>+H151*I151</f>
        <v>0</v>
      </c>
      <c r="K151" s="497"/>
      <c r="L151" s="498">
        <f>SUM(G151:G157)+SUM(J151:J156)</f>
        <v>24300.83</v>
      </c>
      <c r="M151" s="26">
        <v>24300.83</v>
      </c>
      <c r="N151" s="594"/>
      <c r="O151" s="535"/>
      <c r="P151" s="536" t="s">
        <v>87</v>
      </c>
      <c r="Q151" s="595">
        <f t="shared" si="12"/>
        <v>-23247.5</v>
      </c>
      <c r="R151" s="502" t="s">
        <v>88</v>
      </c>
      <c r="S151" s="503"/>
      <c r="T151" s="504"/>
    </row>
    <row r="152" spans="1:21">
      <c r="A152" s="505"/>
      <c r="B152" s="506"/>
      <c r="C152" s="542"/>
      <c r="D152" s="508"/>
      <c r="E152" s="38">
        <f>32.332-28.8628</f>
        <v>3.4692000000000007</v>
      </c>
      <c r="F152" s="38">
        <f>37.8898-33.8306</f>
        <v>4.0592000000000041</v>
      </c>
      <c r="G152" s="50">
        <f>ROUND(D152*(E152+F152),2)</f>
        <v>0</v>
      </c>
      <c r="H152" s="596"/>
      <c r="I152" s="409"/>
      <c r="J152" s="509"/>
      <c r="K152" s="543"/>
      <c r="L152" s="511"/>
      <c r="M152" s="99"/>
      <c r="N152" s="513"/>
      <c r="O152" s="514"/>
      <c r="P152" s="515"/>
      <c r="Q152" s="262"/>
      <c r="R152" s="502"/>
      <c r="S152" s="503"/>
      <c r="T152" s="504"/>
    </row>
    <row r="153" spans="1:21">
      <c r="A153" s="505"/>
      <c r="B153" s="516" t="s">
        <v>103</v>
      </c>
      <c r="C153" s="99" t="s">
        <v>90</v>
      </c>
      <c r="D153" s="508">
        <v>22</v>
      </c>
      <c r="E153" s="101">
        <v>352.37</v>
      </c>
      <c r="F153" s="38">
        <v>37.889800000000001</v>
      </c>
      <c r="G153" s="50">
        <f>ROUND(D153*(E153+F153),2)</f>
        <v>8585.7199999999993</v>
      </c>
      <c r="H153" s="270"/>
      <c r="I153" s="41">
        <v>128.56</v>
      </c>
      <c r="J153" s="409">
        <f>+H153*I153</f>
        <v>0</v>
      </c>
      <c r="K153" s="510"/>
      <c r="L153" s="597"/>
      <c r="M153" s="99"/>
      <c r="N153" s="518"/>
      <c r="O153" s="519"/>
      <c r="P153" s="515" t="s">
        <v>87</v>
      </c>
      <c r="Q153" s="271">
        <f>+G153+J153-M153-N153-O153</f>
        <v>8585.7199999999993</v>
      </c>
      <c r="R153" s="502" t="s">
        <v>88</v>
      </c>
      <c r="S153" s="503"/>
      <c r="T153" s="504"/>
    </row>
    <row r="154" spans="1:21">
      <c r="A154" s="505"/>
      <c r="B154" s="506"/>
      <c r="C154" s="390" t="s">
        <v>97</v>
      </c>
      <c r="D154" s="508">
        <v>17</v>
      </c>
      <c r="E154" s="41">
        <f>352.37-363.77</f>
        <v>-11.399999999999977</v>
      </c>
      <c r="F154" s="38"/>
      <c r="G154" s="50">
        <f>D154*(E154+F154)</f>
        <v>-193.79999999999961</v>
      </c>
      <c r="H154" s="432"/>
      <c r="I154" s="362"/>
      <c r="J154" s="41"/>
      <c r="K154" s="510"/>
      <c r="L154" s="597"/>
      <c r="M154" s="99"/>
      <c r="N154" s="521"/>
      <c r="O154" s="522"/>
      <c r="P154" s="523"/>
      <c r="Q154" s="362"/>
      <c r="R154" s="502"/>
      <c r="S154" s="503"/>
      <c r="T154" s="504"/>
    </row>
    <row r="155" spans="1:21">
      <c r="A155" s="505"/>
      <c r="B155" s="506"/>
      <c r="C155" s="48" t="s">
        <v>129</v>
      </c>
      <c r="D155" s="37">
        <v>1163</v>
      </c>
      <c r="E155" s="41">
        <f>5.8446-6.3785</f>
        <v>-0.53390000000000004</v>
      </c>
      <c r="F155" s="297">
        <f t="shared" ref="F155:F157" si="13">+E155</f>
        <v>-0.53390000000000004</v>
      </c>
      <c r="G155" s="39">
        <f>ROUND(D155*(E155+F155)/2,2)+0.01</f>
        <v>-620.91999999999996</v>
      </c>
      <c r="H155" s="432"/>
      <c r="I155" s="362"/>
      <c r="J155" s="41"/>
      <c r="K155" s="510"/>
      <c r="L155" s="597"/>
      <c r="M155" s="99"/>
      <c r="N155" s="521"/>
      <c r="O155" s="522"/>
      <c r="P155" s="523"/>
      <c r="Q155" s="362"/>
      <c r="R155" s="502"/>
      <c r="S155" s="503"/>
      <c r="T155" s="504"/>
    </row>
    <row r="156" spans="1:21">
      <c r="A156" s="505"/>
      <c r="B156" s="506"/>
      <c r="C156" s="48" t="s">
        <v>130</v>
      </c>
      <c r="D156" s="37">
        <v>113</v>
      </c>
      <c r="E156" s="41">
        <v>5.8445999999999998</v>
      </c>
      <c r="F156" s="298">
        <f t="shared" si="13"/>
        <v>5.8445999999999998</v>
      </c>
      <c r="G156" s="39">
        <f>ROUND(D156*E156,2)</f>
        <v>660.44</v>
      </c>
      <c r="H156" s="432"/>
      <c r="I156" s="362"/>
      <c r="J156" s="41"/>
      <c r="K156" s="510"/>
      <c r="L156" s="597"/>
      <c r="M156" s="99"/>
      <c r="N156" s="521"/>
      <c r="O156" s="522"/>
      <c r="P156" s="523"/>
      <c r="Q156" s="362"/>
      <c r="R156" s="502"/>
      <c r="S156" s="503"/>
      <c r="T156" s="504"/>
    </row>
    <row r="157" spans="1:21" ht="15.75" thickBot="1">
      <c r="A157" s="505"/>
      <c r="B157" s="526"/>
      <c r="C157" s="99" t="s">
        <v>29</v>
      </c>
      <c r="D157" s="55">
        <v>2535</v>
      </c>
      <c r="E157" s="56">
        <v>5.8445999999999998</v>
      </c>
      <c r="F157" s="57">
        <f t="shared" si="13"/>
        <v>5.8445999999999998</v>
      </c>
      <c r="G157" s="414">
        <f>ROUND(D157*E157,2)</f>
        <v>14816.06</v>
      </c>
      <c r="H157" s="248"/>
      <c r="I157" s="203"/>
      <c r="J157" s="60"/>
      <c r="K157" s="61"/>
      <c r="L157" s="249"/>
      <c r="M157" s="54"/>
      <c r="N157" s="527"/>
      <c r="O157" s="528"/>
      <c r="P157" s="529" t="s">
        <v>87</v>
      </c>
      <c r="Q157" s="58">
        <f>+G157+J157-M157-N157-O157</f>
        <v>14816.06</v>
      </c>
      <c r="R157" s="502" t="s">
        <v>88</v>
      </c>
      <c r="S157" s="598">
        <f>SUM(N151:N157)+O151:O157</f>
        <v>0</v>
      </c>
      <c r="T157" s="598">
        <f>SUM(Q151:Q157)</f>
        <v>154.27999999999884</v>
      </c>
    </row>
    <row r="158" spans="1:21">
      <c r="A158" s="493"/>
      <c r="B158" s="494" t="s">
        <v>104</v>
      </c>
      <c r="C158" s="71">
        <f>+[1]дек!U66</f>
        <v>0</v>
      </c>
      <c r="D158" s="495">
        <v>35</v>
      </c>
      <c r="E158" s="21">
        <v>32.332000000000001</v>
      </c>
      <c r="F158" s="21">
        <v>37.889800000000001</v>
      </c>
      <c r="G158" s="185">
        <f>ROUND(D158*(E158+F158),2)</f>
        <v>2457.7600000000002</v>
      </c>
      <c r="H158" s="496"/>
      <c r="I158" s="73">
        <v>0.85</v>
      </c>
      <c r="J158" s="73">
        <f>+H158*I158</f>
        <v>0</v>
      </c>
      <c r="K158" s="497"/>
      <c r="L158" s="439">
        <f>SUM(G158:G165)+SUM(J158:J164)</f>
        <v>20085.510000000002</v>
      </c>
      <c r="M158" s="26">
        <v>20085.509999999998</v>
      </c>
      <c r="N158" s="499"/>
      <c r="O158" s="500"/>
      <c r="P158" s="501" t="s">
        <v>87</v>
      </c>
      <c r="Q158" s="185">
        <f t="shared" ref="Q158" si="14">C158+G158+J158-M158-N158-O158</f>
        <v>-17627.75</v>
      </c>
      <c r="R158" s="502" t="s">
        <v>88</v>
      </c>
      <c r="S158" s="503"/>
      <c r="T158" s="504"/>
    </row>
    <row r="159" spans="1:21">
      <c r="A159" s="505"/>
      <c r="B159" s="506"/>
      <c r="C159" s="599" t="s">
        <v>96</v>
      </c>
      <c r="D159" s="234">
        <v>0</v>
      </c>
      <c r="E159" s="38">
        <f>32.332-28.8628</f>
        <v>3.4692000000000007</v>
      </c>
      <c r="F159" s="38">
        <f>37.8898-33.8306</f>
        <v>4.0592000000000041</v>
      </c>
      <c r="G159" s="235">
        <f>ROUND(D159*(E159+F159),2)</f>
        <v>0</v>
      </c>
      <c r="H159" s="448"/>
      <c r="I159" s="509"/>
      <c r="J159" s="409"/>
      <c r="K159" s="510"/>
      <c r="L159" s="48"/>
      <c r="M159" s="512"/>
      <c r="N159" s="513"/>
      <c r="O159" s="514"/>
      <c r="P159" s="515"/>
      <c r="Q159" s="262"/>
      <c r="R159" s="502"/>
      <c r="S159" s="503"/>
      <c r="T159" s="504"/>
    </row>
    <row r="160" spans="1:21">
      <c r="A160" s="505"/>
      <c r="B160" s="516" t="s">
        <v>89</v>
      </c>
      <c r="C160" s="512" t="s">
        <v>90</v>
      </c>
      <c r="D160" s="508">
        <v>10</v>
      </c>
      <c r="E160" s="101">
        <v>352.37</v>
      </c>
      <c r="F160" s="38">
        <v>37.889800000000001</v>
      </c>
      <c r="G160" s="50">
        <f>ROUND(D160*(E160+F160),2)</f>
        <v>3902.6</v>
      </c>
      <c r="H160" s="270"/>
      <c r="I160" s="41">
        <v>128.56</v>
      </c>
      <c r="J160" s="409">
        <f>ROUND(H160*I160,2)</f>
        <v>0</v>
      </c>
      <c r="K160" s="510"/>
      <c r="L160" s="600"/>
      <c r="M160" s="99"/>
      <c r="N160" s="518"/>
      <c r="O160" s="519"/>
      <c r="P160" s="515" t="s">
        <v>87</v>
      </c>
      <c r="Q160" s="271">
        <f>+G160+J160-M160-N160-O160</f>
        <v>3902.6</v>
      </c>
      <c r="R160" s="502" t="s">
        <v>88</v>
      </c>
      <c r="S160" s="503"/>
      <c r="T160" s="504"/>
    </row>
    <row r="161" spans="1:21">
      <c r="A161" s="505"/>
      <c r="B161" s="541"/>
      <c r="C161" s="84" t="s">
        <v>97</v>
      </c>
      <c r="D161" s="508">
        <v>16</v>
      </c>
      <c r="E161" s="41">
        <f>352.37-363.77</f>
        <v>-11.399999999999977</v>
      </c>
      <c r="F161" s="38"/>
      <c r="G161" s="50">
        <f>ROUND(D161*(E161+F161),2)</f>
        <v>-182.4</v>
      </c>
      <c r="H161" s="432"/>
      <c r="I161" s="362"/>
      <c r="J161" s="41"/>
      <c r="K161" s="510"/>
      <c r="L161" s="600"/>
      <c r="M161" s="520"/>
      <c r="N161" s="521"/>
      <c r="O161" s="522"/>
      <c r="P161" s="523"/>
      <c r="Q161" s="362"/>
      <c r="R161" s="502"/>
      <c r="S161" s="503"/>
      <c r="T161" s="504"/>
    </row>
    <row r="162" spans="1:21">
      <c r="A162" s="505"/>
      <c r="B162" s="541"/>
      <c r="C162" s="84" t="s">
        <v>97</v>
      </c>
      <c r="D162" s="508">
        <v>0</v>
      </c>
      <c r="E162" s="41"/>
      <c r="F162" s="41"/>
      <c r="G162" s="50">
        <f>D162*(E162+F162)</f>
        <v>0</v>
      </c>
      <c r="H162" s="432"/>
      <c r="I162" s="362"/>
      <c r="J162" s="41"/>
      <c r="K162" s="510"/>
      <c r="L162" s="600"/>
      <c r="M162" s="520"/>
      <c r="N162" s="521"/>
      <c r="O162" s="522"/>
      <c r="P162" s="523"/>
      <c r="Q162" s="362"/>
      <c r="R162" s="502"/>
      <c r="S162" s="503"/>
      <c r="T162" s="504"/>
    </row>
    <row r="163" spans="1:21">
      <c r="A163" s="505"/>
      <c r="B163" s="506"/>
      <c r="C163" s="48" t="s">
        <v>129</v>
      </c>
      <c r="D163" s="37">
        <v>2249</v>
      </c>
      <c r="E163" s="41">
        <f>5.8446-6.3785</f>
        <v>-0.53390000000000004</v>
      </c>
      <c r="F163" s="297">
        <f t="shared" ref="F163:F165" si="15">+E163</f>
        <v>-0.53390000000000004</v>
      </c>
      <c r="G163" s="39">
        <f>ROUND(D163*(E163),2)-0.01</f>
        <v>-1200.75</v>
      </c>
      <c r="H163" s="432"/>
      <c r="I163" s="362"/>
      <c r="J163" s="41"/>
      <c r="K163" s="510"/>
      <c r="L163" s="600"/>
      <c r="M163" s="520"/>
      <c r="N163" s="521"/>
      <c r="O163" s="522"/>
      <c r="P163" s="523"/>
      <c r="Q163" s="362"/>
      <c r="R163" s="502"/>
      <c r="S163" s="503"/>
      <c r="T163" s="504"/>
    </row>
    <row r="164" spans="1:21">
      <c r="A164" s="505"/>
      <c r="B164" s="506"/>
      <c r="C164" s="48" t="s">
        <v>130</v>
      </c>
      <c r="D164" s="37">
        <v>110</v>
      </c>
      <c r="E164" s="41">
        <v>5.8445999999999998</v>
      </c>
      <c r="F164" s="298">
        <f t="shared" si="15"/>
        <v>5.8445999999999998</v>
      </c>
      <c r="G164" s="39">
        <f>ROUND(D164*(E164),2)</f>
        <v>642.91</v>
      </c>
      <c r="H164" s="432"/>
      <c r="I164" s="362"/>
      <c r="J164" s="41"/>
      <c r="K164" s="510"/>
      <c r="L164" s="600"/>
      <c r="M164" s="520"/>
      <c r="N164" s="521"/>
      <c r="O164" s="522"/>
      <c r="P164" s="523"/>
      <c r="Q164" s="362"/>
      <c r="R164" s="502"/>
      <c r="S164" s="503"/>
      <c r="T164" s="504"/>
      <c r="U164" s="33"/>
    </row>
    <row r="165" spans="1:21" ht="15.75" thickBot="1">
      <c r="A165" s="525"/>
      <c r="B165" s="526"/>
      <c r="C165" s="99" t="s">
        <v>29</v>
      </c>
      <c r="D165" s="55">
        <v>2475</v>
      </c>
      <c r="E165" s="56">
        <v>5.8445999999999998</v>
      </c>
      <c r="F165" s="57">
        <f t="shared" si="15"/>
        <v>5.8445999999999998</v>
      </c>
      <c r="G165" s="414">
        <f>ROUND(D165*(E165),2)</f>
        <v>14465.39</v>
      </c>
      <c r="H165" s="248"/>
      <c r="I165" s="203"/>
      <c r="J165" s="60"/>
      <c r="K165" s="61"/>
      <c r="L165" s="204"/>
      <c r="M165" s="54"/>
      <c r="N165" s="527"/>
      <c r="O165" s="528"/>
      <c r="P165" s="529" t="s">
        <v>87</v>
      </c>
      <c r="Q165" s="362">
        <f>+G165+J165-M165-N165-O165</f>
        <v>14465.39</v>
      </c>
      <c r="R165" s="502" t="s">
        <v>88</v>
      </c>
      <c r="S165" s="598">
        <f>SUM(N158:N165)+O158:O165</f>
        <v>0</v>
      </c>
      <c r="T165" s="598">
        <f>SUM(Q158:Q165)</f>
        <v>740.23999999999978</v>
      </c>
    </row>
    <row r="166" spans="1:21" ht="15.75" thickTop="1">
      <c r="A166" s="493">
        <v>115</v>
      </c>
      <c r="B166" s="494" t="s">
        <v>105</v>
      </c>
      <c r="C166" s="71">
        <f>+[1]дек!U72</f>
        <v>0</v>
      </c>
      <c r="D166" s="495">
        <v>13</v>
      </c>
      <c r="E166" s="21">
        <v>32.332000000000001</v>
      </c>
      <c r="F166" s="21">
        <v>37.889800000000001</v>
      </c>
      <c r="G166" s="185">
        <f>ROUND(D166*(E166+F166),2)</f>
        <v>912.88</v>
      </c>
      <c r="H166" s="496"/>
      <c r="I166" s="73">
        <v>0.85</v>
      </c>
      <c r="J166" s="73">
        <f>+H166*I166</f>
        <v>0</v>
      </c>
      <c r="K166" s="601"/>
      <c r="L166" s="498">
        <f>SUM(G166:G173)+SUM(J166:J172)</f>
        <v>22878.68</v>
      </c>
      <c r="M166" s="26">
        <v>22878.68</v>
      </c>
      <c r="N166" s="499"/>
      <c r="O166" s="500"/>
      <c r="P166" s="501" t="s">
        <v>87</v>
      </c>
      <c r="Q166" s="595">
        <f t="shared" ref="Q166" si="16">C166+G166+J166-M166-N166-O166</f>
        <v>-21965.8</v>
      </c>
    </row>
    <row r="167" spans="1:21">
      <c r="A167" s="505"/>
      <c r="B167" s="506"/>
      <c r="C167" s="507" t="s">
        <v>96</v>
      </c>
      <c r="D167" s="234">
        <v>0</v>
      </c>
      <c r="E167" s="38">
        <f>32.332-28.8628</f>
        <v>3.4692000000000007</v>
      </c>
      <c r="F167" s="38">
        <f>37.8898-33.8306</f>
        <v>4.0592000000000041</v>
      </c>
      <c r="G167" s="235">
        <f>ROUND(D167*(E167+F167),2)</f>
        <v>0</v>
      </c>
      <c r="H167" s="448"/>
      <c r="I167" s="509"/>
      <c r="J167" s="199"/>
      <c r="K167" s="517"/>
      <c r="L167" s="511"/>
      <c r="M167" s="512"/>
      <c r="N167" s="513"/>
      <c r="O167" s="514"/>
      <c r="P167" s="515"/>
      <c r="Q167" s="262"/>
      <c r="U167" s="33"/>
    </row>
    <row r="168" spans="1:21">
      <c r="A168" s="505"/>
      <c r="B168" s="516" t="s">
        <v>89</v>
      </c>
      <c r="C168" s="512" t="s">
        <v>90</v>
      </c>
      <c r="D168" s="508">
        <v>3</v>
      </c>
      <c r="E168" s="101">
        <v>352.37</v>
      </c>
      <c r="F168" s="38">
        <v>37.889800000000001</v>
      </c>
      <c r="G168" s="50">
        <f>ROUND(D168*(E168+F168),2)</f>
        <v>1170.78</v>
      </c>
      <c r="H168" s="270"/>
      <c r="I168" s="41">
        <v>128.56</v>
      </c>
      <c r="J168" s="207">
        <f>+H168*I168</f>
        <v>0</v>
      </c>
      <c r="K168" s="517"/>
      <c r="L168" s="517"/>
      <c r="M168" s="99"/>
      <c r="N168" s="518"/>
      <c r="O168" s="519"/>
      <c r="P168" s="515" t="s">
        <v>87</v>
      </c>
      <c r="Q168" s="271">
        <f>+G168+J168-M168-N168-O168</f>
        <v>1170.78</v>
      </c>
    </row>
    <row r="169" spans="1:21">
      <c r="A169" s="505"/>
      <c r="B169" s="541"/>
      <c r="C169" s="84" t="s">
        <v>97</v>
      </c>
      <c r="D169" s="508">
        <v>3</v>
      </c>
      <c r="E169" s="41">
        <f>352.37-363.77</f>
        <v>-11.399999999999977</v>
      </c>
      <c r="F169" s="38"/>
      <c r="G169" s="50">
        <f>ROUND(D169*(E169+F169),2)</f>
        <v>-34.200000000000003</v>
      </c>
      <c r="H169" s="432"/>
      <c r="I169" s="362"/>
      <c r="J169" s="207"/>
      <c r="K169" s="517"/>
      <c r="L169" s="517"/>
      <c r="M169" s="520"/>
      <c r="N169" s="521"/>
      <c r="O169" s="522"/>
      <c r="P169" s="523"/>
      <c r="Q169" s="362"/>
    </row>
    <row r="170" spans="1:21">
      <c r="A170" s="505"/>
      <c r="B170" s="541"/>
      <c r="C170" s="84"/>
      <c r="D170" s="508"/>
      <c r="E170" s="41"/>
      <c r="F170" s="41"/>
      <c r="G170" s="50"/>
      <c r="H170" s="432"/>
      <c r="I170" s="362"/>
      <c r="J170" s="207"/>
      <c r="K170" s="517"/>
      <c r="L170" s="517"/>
      <c r="M170" s="520"/>
      <c r="N170" s="521"/>
      <c r="O170" s="522"/>
      <c r="P170" s="523"/>
      <c r="Q170" s="362"/>
    </row>
    <row r="171" spans="1:21">
      <c r="A171" s="505"/>
      <c r="B171" s="506"/>
      <c r="C171" s="48" t="s">
        <v>129</v>
      </c>
      <c r="D171" s="37">
        <v>3669</v>
      </c>
      <c r="E171" s="41">
        <f>5.8446-6.3785</f>
        <v>-0.53390000000000004</v>
      </c>
      <c r="F171" s="41">
        <f t="shared" ref="F171:F176" si="17">+E171</f>
        <v>-0.53390000000000004</v>
      </c>
      <c r="G171" s="39">
        <f>ROUND(D171*E171,2)</f>
        <v>-1958.88</v>
      </c>
      <c r="H171" s="432"/>
      <c r="I171" s="362"/>
      <c r="J171" s="207"/>
      <c r="K171" s="517"/>
      <c r="L171" s="517"/>
      <c r="M171" s="520"/>
      <c r="N171" s="521"/>
      <c r="O171" s="522"/>
      <c r="P171" s="523"/>
      <c r="Q171" s="362"/>
    </row>
    <row r="172" spans="1:21">
      <c r="A172" s="505"/>
      <c r="B172" s="506"/>
      <c r="C172" s="48" t="s">
        <v>130</v>
      </c>
      <c r="D172" s="37">
        <v>165</v>
      </c>
      <c r="E172" s="41">
        <v>5.8445999999999998</v>
      </c>
      <c r="F172" s="41">
        <f t="shared" si="17"/>
        <v>5.8445999999999998</v>
      </c>
      <c r="G172" s="39">
        <f>ROUND(D172*E172,2)</f>
        <v>964.36</v>
      </c>
      <c r="H172" s="432"/>
      <c r="I172" s="362"/>
      <c r="J172" s="207"/>
      <c r="K172" s="517"/>
      <c r="L172" s="517"/>
      <c r="M172" s="520"/>
      <c r="N172" s="521"/>
      <c r="O172" s="522"/>
      <c r="P172" s="523"/>
      <c r="Q172" s="362"/>
      <c r="U172" s="33"/>
    </row>
    <row r="173" spans="1:21" ht="15.75" thickBot="1">
      <c r="A173" s="525"/>
      <c r="B173" s="526"/>
      <c r="C173" s="99" t="s">
        <v>29</v>
      </c>
      <c r="D173" s="55">
        <v>3734</v>
      </c>
      <c r="E173" s="56">
        <v>5.8445999999999998</v>
      </c>
      <c r="F173" s="281">
        <f t="shared" si="17"/>
        <v>5.8445999999999998</v>
      </c>
      <c r="G173" s="58">
        <f>ROUND(D173*E173,2)</f>
        <v>21823.74</v>
      </c>
      <c r="H173" s="248"/>
      <c r="I173" s="203"/>
      <c r="J173" s="60"/>
      <c r="K173" s="61"/>
      <c r="L173" s="249"/>
      <c r="M173" s="54"/>
      <c r="N173" s="521"/>
      <c r="O173" s="528"/>
      <c r="P173" s="529" t="s">
        <v>87</v>
      </c>
      <c r="Q173" s="362">
        <f>+G173+J173-M173-N173-O173</f>
        <v>21823.74</v>
      </c>
    </row>
    <row r="174" spans="1:21">
      <c r="A174" s="493">
        <v>301</v>
      </c>
      <c r="B174" s="602" t="s">
        <v>106</v>
      </c>
      <c r="C174" s="48" t="s">
        <v>129</v>
      </c>
      <c r="D174" s="184">
        <v>928.38</v>
      </c>
      <c r="E174" s="41">
        <f>5.8446-6.3785</f>
        <v>-0.53390000000000004</v>
      </c>
      <c r="F174" s="23">
        <f t="shared" si="17"/>
        <v>-0.53390000000000004</v>
      </c>
      <c r="G174" s="185">
        <f>ROUND(D174*(E174),2)</f>
        <v>-495.66</v>
      </c>
      <c r="H174" s="23"/>
      <c r="I174" s="23"/>
      <c r="J174" s="23"/>
      <c r="K174" s="23"/>
      <c r="L174" s="603">
        <f>SUM(G174:G176)</f>
        <v>5034.1499999999996</v>
      </c>
      <c r="M174" s="187">
        <v>5034.1499999999996</v>
      </c>
      <c r="N174" s="604"/>
      <c r="O174" s="500"/>
      <c r="P174" s="501"/>
      <c r="Q174" s="605"/>
    </row>
    <row r="175" spans="1:21">
      <c r="A175" s="505"/>
      <c r="B175" s="506"/>
      <c r="C175" s="48" t="s">
        <v>130</v>
      </c>
      <c r="D175" s="49">
        <v>40.14</v>
      </c>
      <c r="E175" s="41">
        <v>5.8445999999999998</v>
      </c>
      <c r="F175" s="41">
        <f t="shared" si="17"/>
        <v>5.8445999999999998</v>
      </c>
      <c r="G175" s="50">
        <f>ROUND(D175*(E175),2)</f>
        <v>234.6</v>
      </c>
      <c r="H175" s="41"/>
      <c r="I175" s="41"/>
      <c r="J175" s="41"/>
      <c r="K175" s="41"/>
      <c r="L175" s="606"/>
      <c r="M175" s="606"/>
      <c r="N175" s="607"/>
      <c r="O175" s="608"/>
      <c r="P175" s="609"/>
      <c r="Q175" s="610"/>
    </row>
    <row r="176" spans="1:21" ht="15.75" thickBot="1">
      <c r="A176" s="611"/>
      <c r="B176" s="612"/>
      <c r="C176" s="99" t="s">
        <v>29</v>
      </c>
      <c r="D176" s="613">
        <v>906</v>
      </c>
      <c r="E176" s="56">
        <v>5.8445999999999998</v>
      </c>
      <c r="F176" s="281">
        <f t="shared" si="17"/>
        <v>5.8445999999999998</v>
      </c>
      <c r="G176" s="58">
        <f>ROUND(D176*(E176),2)</f>
        <v>5295.21</v>
      </c>
      <c r="H176" s="57"/>
      <c r="I176" s="57"/>
      <c r="J176" s="57"/>
      <c r="K176" s="57"/>
      <c r="L176" s="614"/>
      <c r="M176" s="606"/>
      <c r="N176" s="615"/>
      <c r="O176" s="615"/>
      <c r="P176" s="615"/>
      <c r="Q176" s="616"/>
    </row>
    <row r="177" spans="1:17">
      <c r="A177" s="617"/>
      <c r="B177" s="602" t="s">
        <v>107</v>
      </c>
      <c r="C177" s="618" t="s">
        <v>73</v>
      </c>
      <c r="D177" s="619">
        <v>4</v>
      </c>
      <c r="E177" s="21">
        <v>32.332000000000001</v>
      </c>
      <c r="F177" s="21">
        <v>37.889800000000001</v>
      </c>
      <c r="G177" s="185">
        <f>ROUND(D177*(E177+F177),2)</f>
        <v>280.89</v>
      </c>
      <c r="H177" s="620"/>
      <c r="I177" s="620"/>
      <c r="J177" s="620"/>
      <c r="K177" s="620"/>
      <c r="L177" s="603">
        <f>SUM(G177:G181,J177:J181)</f>
        <v>4972.49</v>
      </c>
      <c r="M177" s="187">
        <v>4972.49</v>
      </c>
      <c r="N177" s="621"/>
      <c r="O177" s="621"/>
      <c r="P177" s="621"/>
      <c r="Q177" s="622"/>
    </row>
    <row r="178" spans="1:17">
      <c r="A178" s="611"/>
      <c r="B178" s="612"/>
      <c r="C178" s="542" t="s">
        <v>96</v>
      </c>
      <c r="D178" s="234">
        <v>0</v>
      </c>
      <c r="E178" s="38">
        <f>32.332-28.8628</f>
        <v>3.4692000000000007</v>
      </c>
      <c r="F178" s="38">
        <f>37.8898-33.8306</f>
        <v>4.0592000000000041</v>
      </c>
      <c r="G178" s="235">
        <f>ROUND(D178*(E178+F178),2)</f>
        <v>0</v>
      </c>
      <c r="H178" s="298"/>
      <c r="I178" s="298"/>
      <c r="J178" s="298"/>
      <c r="K178" s="298"/>
      <c r="L178" s="606"/>
      <c r="M178" s="606"/>
      <c r="N178" s="615"/>
      <c r="O178" s="615"/>
      <c r="P178" s="615"/>
      <c r="Q178" s="616"/>
    </row>
    <row r="179" spans="1:17">
      <c r="A179" s="611"/>
      <c r="B179" s="612"/>
      <c r="C179" s="48" t="s">
        <v>129</v>
      </c>
      <c r="D179" s="623">
        <v>835</v>
      </c>
      <c r="E179" s="41">
        <f>5.8446-6.3785</f>
        <v>-0.53390000000000004</v>
      </c>
      <c r="F179" s="41">
        <f>+E179</f>
        <v>-0.53390000000000004</v>
      </c>
      <c r="G179" s="50">
        <f>ROUND(D179*(E179),2)+0.01</f>
        <v>-445.8</v>
      </c>
      <c r="H179" s="298"/>
      <c r="I179" s="298"/>
      <c r="J179" s="298"/>
      <c r="K179" s="298"/>
      <c r="L179" s="614"/>
      <c r="M179" s="606"/>
      <c r="N179" s="615"/>
      <c r="O179" s="615"/>
      <c r="P179" s="615"/>
      <c r="Q179" s="616"/>
    </row>
    <row r="180" spans="1:17">
      <c r="A180" s="611"/>
      <c r="B180" s="612"/>
      <c r="C180" s="48" t="s">
        <v>130</v>
      </c>
      <c r="D180" s="623">
        <v>37</v>
      </c>
      <c r="E180" s="41">
        <v>5.8445999999999998</v>
      </c>
      <c r="F180" s="41">
        <f>+E180</f>
        <v>5.8445999999999998</v>
      </c>
      <c r="G180" s="39">
        <f>ROUND(D180*(E180),2)</f>
        <v>216.25</v>
      </c>
      <c r="H180" s="298"/>
      <c r="I180" s="298"/>
      <c r="J180" s="298"/>
      <c r="K180" s="298"/>
      <c r="L180" s="614"/>
      <c r="M180" s="273"/>
      <c r="N180" s="615"/>
      <c r="O180" s="615"/>
      <c r="P180" s="615"/>
      <c r="Q180" s="616"/>
    </row>
    <row r="181" spans="1:17" ht="15.75" thickBot="1">
      <c r="A181" s="624"/>
      <c r="B181" s="526"/>
      <c r="C181" s="99" t="s">
        <v>29</v>
      </c>
      <c r="D181" s="625">
        <v>842</v>
      </c>
      <c r="E181" s="56">
        <v>5.8445999999999998</v>
      </c>
      <c r="F181" s="281">
        <f>+E181</f>
        <v>5.8445999999999998</v>
      </c>
      <c r="G181" s="414">
        <f>ROUND(D181*(E181),2)</f>
        <v>4921.1499999999996</v>
      </c>
      <c r="H181" s="41"/>
      <c r="I181" s="41"/>
      <c r="J181" s="41"/>
      <c r="K181" s="41"/>
      <c r="L181" s="606"/>
      <c r="M181" s="606"/>
      <c r="N181" s="626"/>
      <c r="O181" s="626"/>
      <c r="P181" s="626"/>
      <c r="Q181" s="627"/>
    </row>
    <row r="182" spans="1:17" ht="15.75" thickTop="1">
      <c r="A182" s="493"/>
      <c r="B182" s="494" t="s">
        <v>108</v>
      </c>
      <c r="C182" s="71">
        <f>+[1]дек!U87</f>
        <v>0</v>
      </c>
      <c r="D182" s="495">
        <v>5</v>
      </c>
      <c r="E182" s="21">
        <v>32.332000000000001</v>
      </c>
      <c r="F182" s="21">
        <v>37.889800000000001</v>
      </c>
      <c r="G182" s="185">
        <f>ROUND(D182*(E182+F182),2)</f>
        <v>351.11</v>
      </c>
      <c r="H182" s="496"/>
      <c r="I182" s="73">
        <v>0.85</v>
      </c>
      <c r="J182" s="73">
        <f>+H182*I182</f>
        <v>0</v>
      </c>
      <c r="K182" s="628"/>
      <c r="L182" s="629">
        <f>SUM(G182:G188)+SUM(J182:J187)</f>
        <v>3168</v>
      </c>
      <c r="M182" s="630">
        <v>3168</v>
      </c>
      <c r="N182" s="594"/>
      <c r="O182" s="631"/>
      <c r="P182" s="515" t="s">
        <v>87</v>
      </c>
      <c r="Q182" s="595">
        <f t="shared" ref="Q182:Q184" si="18">C182+G182+J182-M182-N182-O182</f>
        <v>-2816.89</v>
      </c>
    </row>
    <row r="183" spans="1:17">
      <c r="A183" s="505"/>
      <c r="B183" s="506"/>
      <c r="C183" s="542" t="s">
        <v>96</v>
      </c>
      <c r="D183" s="234">
        <v>0</v>
      </c>
      <c r="E183" s="38">
        <f>32.332-28.8628</f>
        <v>3.4692000000000007</v>
      </c>
      <c r="F183" s="38">
        <f>37.8898-33.8306</f>
        <v>4.0592000000000041</v>
      </c>
      <c r="G183" s="235">
        <f>ROUND(D183*(E183+F183),2)</f>
        <v>0</v>
      </c>
      <c r="H183" s="448"/>
      <c r="I183" s="509"/>
      <c r="J183" s="409"/>
      <c r="K183" s="510"/>
      <c r="L183" s="632"/>
      <c r="M183" s="512"/>
      <c r="N183" s="513"/>
      <c r="O183" s="514"/>
      <c r="P183" s="515"/>
      <c r="Q183" s="262"/>
    </row>
    <row r="184" spans="1:17">
      <c r="A184" s="505"/>
      <c r="B184" s="516" t="s">
        <v>109</v>
      </c>
      <c r="C184" s="633"/>
      <c r="D184" s="508"/>
      <c r="E184" s="101">
        <v>363.77</v>
      </c>
      <c r="F184" s="41">
        <v>33.830599999999997</v>
      </c>
      <c r="G184" s="50">
        <f>D184*(E184+F184)</f>
        <v>0</v>
      </c>
      <c r="H184" s="270"/>
      <c r="I184" s="41">
        <v>128.56</v>
      </c>
      <c r="J184" s="409">
        <f>ROUND(H184*I184,2)</f>
        <v>0</v>
      </c>
      <c r="K184" s="510"/>
      <c r="L184" s="597"/>
      <c r="M184" s="99"/>
      <c r="N184" s="518"/>
      <c r="O184" s="519"/>
      <c r="P184" s="515" t="s">
        <v>87</v>
      </c>
      <c r="Q184" s="271">
        <f t="shared" si="18"/>
        <v>0</v>
      </c>
    </row>
    <row r="185" spans="1:17">
      <c r="A185" s="505"/>
      <c r="B185" s="541"/>
      <c r="C185" s="84" t="s">
        <v>97</v>
      </c>
      <c r="D185" s="508"/>
      <c r="E185" s="41">
        <f>363.77-283.85</f>
        <v>79.919999999999959</v>
      </c>
      <c r="F185" s="41"/>
      <c r="G185" s="50">
        <f>D185*(E185+F185)</f>
        <v>0</v>
      </c>
      <c r="H185" s="432"/>
      <c r="I185" s="362"/>
      <c r="J185" s="207"/>
      <c r="K185" s="510"/>
      <c r="L185" s="597"/>
      <c r="M185" s="520"/>
      <c r="N185" s="521"/>
      <c r="O185" s="522"/>
      <c r="P185" s="523"/>
      <c r="Q185" s="362"/>
    </row>
    <row r="186" spans="1:17">
      <c r="A186" s="505"/>
      <c r="B186" s="506"/>
      <c r="C186" s="48" t="s">
        <v>129</v>
      </c>
      <c r="D186" s="37">
        <v>493</v>
      </c>
      <c r="E186" s="41">
        <f>5.8446-6.3785</f>
        <v>-0.53390000000000004</v>
      </c>
      <c r="F186" s="41">
        <f>+E186</f>
        <v>-0.53390000000000004</v>
      </c>
      <c r="G186" s="39">
        <f>ROUND(D186*(E186),2)</f>
        <v>-263.20999999999998</v>
      </c>
      <c r="H186" s="432"/>
      <c r="I186" s="362"/>
      <c r="J186" s="207"/>
      <c r="K186" s="510"/>
      <c r="L186" s="597"/>
      <c r="M186" s="520"/>
      <c r="N186" s="521"/>
      <c r="O186" s="522"/>
      <c r="P186" s="523"/>
      <c r="Q186" s="362"/>
    </row>
    <row r="187" spans="1:17">
      <c r="A187" s="505"/>
      <c r="B187" s="506"/>
      <c r="C187" s="48" t="s">
        <v>130</v>
      </c>
      <c r="D187" s="37">
        <v>22</v>
      </c>
      <c r="E187" s="41">
        <v>5.8445999999999998</v>
      </c>
      <c r="F187" s="41">
        <f>+E187</f>
        <v>5.8445999999999998</v>
      </c>
      <c r="G187" s="39">
        <f t="shared" ref="G187:G192" si="19">ROUND(D187*(E187),2)</f>
        <v>128.58000000000001</v>
      </c>
      <c r="H187" s="432"/>
      <c r="I187" s="362"/>
      <c r="J187" s="207"/>
      <c r="K187" s="510"/>
      <c r="L187" s="597"/>
      <c r="M187" s="520"/>
      <c r="N187" s="521"/>
      <c r="O187" s="522"/>
      <c r="P187" s="523"/>
      <c r="Q187" s="362"/>
    </row>
    <row r="188" spans="1:17" ht="15.75" thickBot="1">
      <c r="A188" s="525"/>
      <c r="B188" s="526"/>
      <c r="C188" s="99" t="s">
        <v>29</v>
      </c>
      <c r="D188" s="55">
        <v>505</v>
      </c>
      <c r="E188" s="56">
        <v>5.8445999999999998</v>
      </c>
      <c r="F188" s="281">
        <f>+E188</f>
        <v>5.8445999999999998</v>
      </c>
      <c r="G188" s="414">
        <f t="shared" si="19"/>
        <v>2951.52</v>
      </c>
      <c r="H188" s="248"/>
      <c r="I188" s="203"/>
      <c r="J188" s="60"/>
      <c r="K188" s="61"/>
      <c r="L188" s="249"/>
      <c r="M188" s="54"/>
      <c r="N188" s="527"/>
      <c r="O188" s="528"/>
      <c r="P188" s="529" t="s">
        <v>87</v>
      </c>
      <c r="Q188" s="282">
        <f>+G188+J188-M188-N188-O188</f>
        <v>2951.52</v>
      </c>
    </row>
    <row r="189" spans="1:17">
      <c r="A189" s="493"/>
      <c r="B189" s="602" t="s">
        <v>110</v>
      </c>
      <c r="C189" s="48" t="s">
        <v>129</v>
      </c>
      <c r="D189" s="184">
        <v>190</v>
      </c>
      <c r="E189" s="41">
        <f>5.8446-6.3785</f>
        <v>-0.53390000000000004</v>
      </c>
      <c r="F189" s="23">
        <f t="shared" ref="F189:F191" si="20">+E189</f>
        <v>-0.53390000000000004</v>
      </c>
      <c r="G189" s="185">
        <f>ROUND(D189*(E189),2)</f>
        <v>-101.44</v>
      </c>
      <c r="H189" s="620"/>
      <c r="I189" s="620"/>
      <c r="J189" s="620"/>
      <c r="K189" s="634"/>
      <c r="L189" s="603">
        <f>SUM(G189:G192)</f>
        <v>1055.79</v>
      </c>
      <c r="M189" s="187">
        <v>1055.79</v>
      </c>
      <c r="N189" s="604"/>
      <c r="O189" s="635"/>
      <c r="P189" s="636"/>
      <c r="Q189" s="605"/>
    </row>
    <row r="190" spans="1:17">
      <c r="A190" s="505"/>
      <c r="B190" s="506"/>
      <c r="C190" s="48" t="s">
        <v>130</v>
      </c>
      <c r="D190" s="49">
        <v>8</v>
      </c>
      <c r="E190" s="41">
        <v>5.8445999999999998</v>
      </c>
      <c r="F190" s="41">
        <f t="shared" si="20"/>
        <v>5.8445999999999998</v>
      </c>
      <c r="G190" s="50">
        <f>ROUND(D190*(E190),2)</f>
        <v>46.76</v>
      </c>
      <c r="H190" s="296"/>
      <c r="I190" s="298"/>
      <c r="J190" s="298"/>
      <c r="K190" s="637"/>
      <c r="L190" s="606"/>
      <c r="M190" s="606"/>
      <c r="N190" s="607"/>
      <c r="O190" s="608"/>
      <c r="P190" s="609"/>
      <c r="Q190" s="610"/>
    </row>
    <row r="191" spans="1:17" ht="15.75" thickBot="1">
      <c r="A191" s="611"/>
      <c r="B191" s="506"/>
      <c r="C191" s="99" t="s">
        <v>29</v>
      </c>
      <c r="D191" s="296">
        <v>190</v>
      </c>
      <c r="E191" s="56">
        <v>5.8445999999999998</v>
      </c>
      <c r="F191" s="41">
        <f t="shared" si="20"/>
        <v>5.8445999999999998</v>
      </c>
      <c r="G191" s="50">
        <f t="shared" si="19"/>
        <v>1110.47</v>
      </c>
      <c r="H191" s="296"/>
      <c r="I191" s="298"/>
      <c r="J191" s="298"/>
      <c r="K191" s="637"/>
      <c r="L191" s="614"/>
      <c r="M191" s="606"/>
      <c r="N191" s="615"/>
      <c r="O191" s="615"/>
      <c r="P191" s="615"/>
      <c r="Q191" s="616"/>
    </row>
    <row r="192" spans="1:17" ht="15.75" thickBot="1">
      <c r="A192" s="638"/>
      <c r="B192" s="639" t="s">
        <v>111</v>
      </c>
      <c r="C192" s="640"/>
      <c r="D192" s="641"/>
      <c r="E192" s="311"/>
      <c r="F192" s="109"/>
      <c r="G192" s="642">
        <f t="shared" si="19"/>
        <v>0</v>
      </c>
      <c r="H192" s="643"/>
      <c r="I192" s="109"/>
      <c r="J192" s="109"/>
      <c r="K192" s="644"/>
      <c r="L192" s="640"/>
      <c r="M192" s="640"/>
      <c r="N192" s="2"/>
      <c r="O192" s="2"/>
      <c r="P192" s="2"/>
      <c r="Q192" s="2"/>
    </row>
    <row r="193" spans="1:20" ht="15.75" thickTop="1">
      <c r="A193" s="645"/>
      <c r="B193" s="602" t="s">
        <v>112</v>
      </c>
      <c r="C193" s="48" t="s">
        <v>129</v>
      </c>
      <c r="D193" s="184">
        <v>761</v>
      </c>
      <c r="E193" s="41">
        <f>5.8446-6.3785</f>
        <v>-0.53390000000000004</v>
      </c>
      <c r="F193" s="23">
        <f t="shared" ref="F193:F197" si="21">+E193</f>
        <v>-0.53390000000000004</v>
      </c>
      <c r="G193" s="185">
        <f>ROUND(D193*(E193),2)</f>
        <v>-406.3</v>
      </c>
      <c r="H193" s="620"/>
      <c r="I193" s="620"/>
      <c r="J193" s="620"/>
      <c r="K193" s="634"/>
      <c r="L193" s="603">
        <f>SUM(G193:G196)</f>
        <v>4573.2999999999993</v>
      </c>
      <c r="M193" s="187">
        <v>4573.3</v>
      </c>
      <c r="N193" s="604"/>
      <c r="O193" s="635"/>
      <c r="P193" s="636"/>
      <c r="Q193" s="605"/>
    </row>
    <row r="194" spans="1:20">
      <c r="A194" s="645"/>
      <c r="B194" s="506"/>
      <c r="C194" s="48" t="s">
        <v>130</v>
      </c>
      <c r="D194" s="49">
        <v>36</v>
      </c>
      <c r="E194" s="41">
        <v>5.8445999999999998</v>
      </c>
      <c r="F194" s="41">
        <f t="shared" si="21"/>
        <v>5.8445999999999998</v>
      </c>
      <c r="G194" s="50">
        <f t="shared" ref="G194:G195" si="22">ROUND(D194*(E194),2)</f>
        <v>210.41</v>
      </c>
      <c r="H194" s="296"/>
      <c r="I194" s="298"/>
      <c r="J194" s="298"/>
      <c r="K194" s="637"/>
      <c r="L194" s="606"/>
      <c r="M194" s="606"/>
      <c r="N194" s="607"/>
      <c r="O194" s="608"/>
      <c r="P194" s="609"/>
      <c r="Q194" s="610"/>
    </row>
    <row r="195" spans="1:20" ht="15.75" thickBot="1">
      <c r="A195" s="645"/>
      <c r="B195" s="506"/>
      <c r="C195" s="99" t="s">
        <v>29</v>
      </c>
      <c r="D195" s="296">
        <v>816</v>
      </c>
      <c r="E195" s="56">
        <v>5.8445999999999998</v>
      </c>
      <c r="F195" s="41">
        <f t="shared" si="21"/>
        <v>5.8445999999999998</v>
      </c>
      <c r="G195" s="50">
        <f t="shared" si="22"/>
        <v>4769.1899999999996</v>
      </c>
      <c r="H195" s="296"/>
      <c r="I195" s="298"/>
      <c r="J195" s="298"/>
      <c r="K195" s="637"/>
      <c r="L195" s="614"/>
      <c r="M195" s="606"/>
      <c r="N195" s="615"/>
      <c r="O195" s="615"/>
      <c r="P195" s="615"/>
      <c r="Q195" s="616"/>
    </row>
    <row r="196" spans="1:20" ht="15.75" thickBot="1">
      <c r="A196" s="645"/>
      <c r="B196" s="639"/>
      <c r="C196" s="646"/>
      <c r="D196" s="647"/>
      <c r="E196" s="648"/>
      <c r="F196" s="646"/>
      <c r="G196" s="648"/>
      <c r="H196" s="646"/>
      <c r="I196" s="646"/>
      <c r="J196" s="646"/>
      <c r="K196" s="646"/>
      <c r="L196" s="646"/>
      <c r="M196" s="646"/>
      <c r="N196" s="615"/>
      <c r="O196" s="615"/>
      <c r="P196" s="615"/>
      <c r="Q196" s="615"/>
    </row>
    <row r="197" spans="1:20" ht="15.75" thickTop="1">
      <c r="A197" s="645"/>
      <c r="B197" s="602" t="s">
        <v>127</v>
      </c>
      <c r="C197" s="48" t="s">
        <v>129</v>
      </c>
      <c r="D197" s="184">
        <v>2.1</v>
      </c>
      <c r="E197" s="41">
        <f>5.8446-6.3785</f>
        <v>-0.53390000000000004</v>
      </c>
      <c r="F197" s="23">
        <f t="shared" si="21"/>
        <v>-0.53390000000000004</v>
      </c>
      <c r="G197" s="185">
        <f>ROUND(D197*(E197),2)</f>
        <v>-1.1200000000000001</v>
      </c>
      <c r="H197" s="620"/>
      <c r="I197" s="620"/>
      <c r="J197" s="620"/>
      <c r="K197" s="634"/>
      <c r="L197" s="603">
        <f>SUM(G197:G200)</f>
        <v>2769.81</v>
      </c>
      <c r="M197" s="187">
        <v>2769.81</v>
      </c>
      <c r="N197" s="604"/>
      <c r="O197" s="635"/>
      <c r="P197" s="636"/>
      <c r="Q197" s="605"/>
    </row>
    <row r="198" spans="1:20">
      <c r="A198" s="645"/>
      <c r="B198" s="506"/>
      <c r="C198" s="48" t="s">
        <v>130</v>
      </c>
      <c r="D198" s="49">
        <v>20.100000000000001</v>
      </c>
      <c r="E198" s="41">
        <v>5.8445999999999998</v>
      </c>
      <c r="F198" s="41">
        <f>+E198</f>
        <v>5.8445999999999998</v>
      </c>
      <c r="G198" s="50">
        <f>ROUND(D198*(E198),2)</f>
        <v>117.48</v>
      </c>
      <c r="H198" s="296"/>
      <c r="I198" s="298"/>
      <c r="J198" s="298"/>
      <c r="K198" s="637"/>
      <c r="L198" s="606"/>
      <c r="M198" s="606"/>
      <c r="N198" s="607"/>
      <c r="O198" s="608"/>
      <c r="P198" s="609"/>
      <c r="Q198" s="610"/>
    </row>
    <row r="199" spans="1:20" ht="15.75" thickBot="1">
      <c r="A199" s="645"/>
      <c r="B199" s="506"/>
      <c r="C199" s="99" t="s">
        <v>29</v>
      </c>
      <c r="D199" s="296">
        <v>454</v>
      </c>
      <c r="E199" s="56">
        <v>5.8445999999999998</v>
      </c>
      <c r="F199" s="41">
        <f t="shared" ref="F199" si="23">+E199</f>
        <v>5.8445999999999998</v>
      </c>
      <c r="G199" s="50">
        <f t="shared" ref="G199" si="24">ROUND(D199*(E199),2)</f>
        <v>2653.45</v>
      </c>
      <c r="H199" s="296"/>
      <c r="I199" s="298"/>
      <c r="J199" s="298"/>
      <c r="K199" s="637"/>
      <c r="L199" s="614"/>
      <c r="M199" s="606"/>
      <c r="N199" s="615"/>
      <c r="O199" s="615"/>
      <c r="P199" s="615"/>
      <c r="Q199" s="616"/>
    </row>
    <row r="200" spans="1:20" ht="15.75" thickBot="1">
      <c r="A200" s="645"/>
      <c r="B200" s="639"/>
      <c r="C200" s="646"/>
      <c r="D200" s="647"/>
      <c r="E200" s="648"/>
      <c r="F200" s="646"/>
      <c r="G200" s="648"/>
      <c r="H200" s="646"/>
      <c r="I200" s="646"/>
      <c r="J200" s="646"/>
      <c r="K200" s="646"/>
      <c r="L200" s="646"/>
      <c r="M200" s="646"/>
      <c r="N200" s="615"/>
      <c r="O200" s="615"/>
      <c r="P200" s="615"/>
      <c r="Q200" s="615"/>
    </row>
    <row r="201" spans="1:20" ht="15.75" thickTop="1">
      <c r="A201" s="645"/>
      <c r="B201" s="602" t="s">
        <v>128</v>
      </c>
      <c r="C201" s="48" t="s">
        <v>129</v>
      </c>
      <c r="D201" s="184">
        <v>11.5</v>
      </c>
      <c r="E201" s="41">
        <f>5.8446-6.3785</f>
        <v>-0.53390000000000004</v>
      </c>
      <c r="F201" s="23">
        <f t="shared" ref="F201" si="25">+E201</f>
        <v>-0.53390000000000004</v>
      </c>
      <c r="G201" s="185">
        <f>ROUND(D201*(E201),2)</f>
        <v>-6.14</v>
      </c>
      <c r="H201" s="620"/>
      <c r="I201" s="620"/>
      <c r="J201" s="620"/>
      <c r="K201" s="634"/>
      <c r="L201" s="603">
        <f>SUM(G201:G204)</f>
        <v>5365.05</v>
      </c>
      <c r="M201" s="187">
        <v>5365.05</v>
      </c>
      <c r="N201" s="604"/>
      <c r="O201" s="635"/>
      <c r="P201" s="636"/>
      <c r="Q201" s="605"/>
    </row>
    <row r="202" spans="1:20">
      <c r="A202" s="645"/>
      <c r="B202" s="506"/>
      <c r="C202" s="48" t="s">
        <v>130</v>
      </c>
      <c r="D202" s="49">
        <v>39</v>
      </c>
      <c r="E202" s="41">
        <v>5.8445999999999998</v>
      </c>
      <c r="F202" s="41">
        <f>+E202</f>
        <v>5.8445999999999998</v>
      </c>
      <c r="G202" s="50">
        <f>ROUND(D202*(E202),2)</f>
        <v>227.94</v>
      </c>
      <c r="H202" s="296"/>
      <c r="I202" s="298"/>
      <c r="J202" s="298"/>
      <c r="K202" s="637"/>
      <c r="L202" s="606"/>
      <c r="M202" s="606"/>
      <c r="N202" s="607"/>
      <c r="O202" s="608"/>
      <c r="P202" s="609"/>
      <c r="Q202" s="610"/>
    </row>
    <row r="203" spans="1:20" ht="15.75" thickBot="1">
      <c r="A203" s="645"/>
      <c r="B203" s="506"/>
      <c r="C203" s="99" t="s">
        <v>29</v>
      </c>
      <c r="D203" s="296">
        <v>880</v>
      </c>
      <c r="E203" s="56">
        <v>5.8445999999999998</v>
      </c>
      <c r="F203" s="41">
        <f t="shared" ref="F203" si="26">+E203</f>
        <v>5.8445999999999998</v>
      </c>
      <c r="G203" s="50">
        <f t="shared" ref="G203" si="27">ROUND(D203*(E203),2)</f>
        <v>5143.25</v>
      </c>
      <c r="H203" s="296"/>
      <c r="I203" s="298"/>
      <c r="J203" s="298"/>
      <c r="K203" s="637"/>
      <c r="L203" s="614"/>
      <c r="M203" s="606"/>
      <c r="N203" s="615"/>
      <c r="O203" s="615"/>
      <c r="P203" s="615"/>
      <c r="Q203" s="616"/>
    </row>
    <row r="204" spans="1:20" ht="15.75" thickBot="1">
      <c r="A204" s="645"/>
      <c r="B204" s="639"/>
      <c r="C204" s="646"/>
      <c r="D204" s="647"/>
      <c r="E204" s="648"/>
      <c r="F204" s="646"/>
      <c r="G204" s="648"/>
      <c r="H204" s="646"/>
      <c r="I204" s="646"/>
      <c r="J204" s="646"/>
      <c r="K204" s="646"/>
      <c r="L204" s="646"/>
      <c r="M204" s="646"/>
      <c r="N204" s="615"/>
      <c r="O204" s="615"/>
      <c r="P204" s="615"/>
      <c r="Q204" s="615"/>
    </row>
    <row r="205" spans="1:20" ht="15.75" thickTop="1">
      <c r="A205" s="705"/>
      <c r="B205" s="615"/>
      <c r="C205" s="615"/>
      <c r="D205" s="696"/>
      <c r="E205" s="473"/>
      <c r="F205" s="615"/>
      <c r="G205" s="473"/>
      <c r="H205" s="615"/>
      <c r="I205" s="615"/>
      <c r="J205" s="615"/>
      <c r="K205" s="615"/>
      <c r="L205" s="615"/>
      <c r="M205" s="615"/>
      <c r="N205" s="615"/>
      <c r="O205" s="615"/>
      <c r="P205" s="615"/>
      <c r="Q205" s="615"/>
    </row>
    <row r="206" spans="1:20" ht="15.75" thickBot="1">
      <c r="A206" s="705"/>
      <c r="B206" s="615"/>
      <c r="C206" s="615"/>
      <c r="D206" s="696"/>
      <c r="E206" s="473"/>
      <c r="F206" s="615"/>
      <c r="G206" s="473"/>
      <c r="H206" s="615"/>
      <c r="I206" s="615"/>
      <c r="J206" s="615"/>
      <c r="K206" s="615"/>
      <c r="L206" s="615"/>
      <c r="M206" s="615"/>
      <c r="N206" s="615"/>
      <c r="O206" s="615"/>
      <c r="P206" s="615"/>
      <c r="Q206" s="615"/>
    </row>
    <row r="207" spans="1:20" s="81" customFormat="1" ht="15" customHeight="1" thickTop="1">
      <c r="A207" s="476"/>
      <c r="B207" s="158"/>
      <c r="C207" s="322"/>
      <c r="D207" s="477"/>
      <c r="E207" s="163"/>
      <c r="F207" s="163"/>
      <c r="G207" s="478"/>
      <c r="H207" s="163"/>
      <c r="I207" s="163"/>
      <c r="J207" s="163"/>
      <c r="K207" s="163"/>
      <c r="L207" s="163"/>
      <c r="M207" s="164"/>
      <c r="N207" s="479"/>
      <c r="O207" s="479"/>
      <c r="P207" s="479"/>
      <c r="Q207" s="479"/>
      <c r="R207" s="422"/>
      <c r="S207" s="399"/>
      <c r="T207" s="399"/>
    </row>
    <row r="208" spans="1:20" ht="21.75" thickBot="1">
      <c r="A208" s="171" t="s">
        <v>113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3"/>
      <c r="N208" s="2"/>
      <c r="O208" s="2"/>
      <c r="P208" s="2"/>
      <c r="Q208" s="2"/>
    </row>
    <row r="209" spans="1:20" ht="15.75" customHeight="1" thickTop="1" thickBot="1">
      <c r="A209" s="1555" t="s">
        <v>1</v>
      </c>
      <c r="B209" s="1543" t="s">
        <v>2</v>
      </c>
      <c r="C209" s="1545" t="s">
        <v>3</v>
      </c>
      <c r="D209" s="1546" t="s">
        <v>4</v>
      </c>
      <c r="E209" s="1546"/>
      <c r="F209" s="1546"/>
      <c r="G209" s="1546"/>
      <c r="H209" s="1547"/>
      <c r="I209" s="1548"/>
      <c r="J209" s="1548"/>
      <c r="K209" s="1549"/>
      <c r="L209" s="1524" t="s">
        <v>6</v>
      </c>
      <c r="M209" s="1511" t="s">
        <v>7</v>
      </c>
      <c r="N209" s="1551" t="s">
        <v>8</v>
      </c>
      <c r="O209" s="1551"/>
      <c r="P209" s="1551"/>
      <c r="Q209" s="1552"/>
      <c r="R209" s="481"/>
      <c r="S209" s="482" t="s">
        <v>20</v>
      </c>
      <c r="T209" s="482" t="s">
        <v>21</v>
      </c>
    </row>
    <row r="210" spans="1:20" ht="26.25" thickBot="1">
      <c r="A210" s="1556"/>
      <c r="B210" s="1557"/>
      <c r="C210" s="1558" t="s">
        <v>10</v>
      </c>
      <c r="D210" s="483" t="s">
        <v>11</v>
      </c>
      <c r="E210" s="649" t="s">
        <v>12</v>
      </c>
      <c r="F210" s="649" t="s">
        <v>13</v>
      </c>
      <c r="G210" s="650" t="s">
        <v>14</v>
      </c>
      <c r="H210" s="651" t="s">
        <v>11</v>
      </c>
      <c r="I210" s="652" t="s">
        <v>15</v>
      </c>
      <c r="J210" s="653"/>
      <c r="K210" s="654" t="s">
        <v>16</v>
      </c>
      <c r="L210" s="1525"/>
      <c r="M210" s="1554"/>
      <c r="N210" s="655"/>
      <c r="O210" s="653"/>
      <c r="P210" s="656" t="s">
        <v>18</v>
      </c>
      <c r="Q210" s="657" t="s">
        <v>19</v>
      </c>
      <c r="R210" s="491"/>
      <c r="S210" s="492"/>
      <c r="T210" s="492"/>
    </row>
    <row r="211" spans="1:20" ht="15.75">
      <c r="A211" s="658"/>
      <c r="B211" s="659" t="s">
        <v>55</v>
      </c>
      <c r="C211" s="48" t="s">
        <v>129</v>
      </c>
      <c r="D211" s="259">
        <v>1665.4</v>
      </c>
      <c r="E211" s="41">
        <f>5.8446-6.3785</f>
        <v>-0.53390000000000004</v>
      </c>
      <c r="F211" s="620">
        <f t="shared" ref="F211:F212" si="28">+E211</f>
        <v>-0.53390000000000004</v>
      </c>
      <c r="G211" s="214">
        <f>ROUND(D211*E211,2)</f>
        <v>-889.16</v>
      </c>
      <c r="H211" s="303"/>
      <c r="I211" s="23"/>
      <c r="J211" s="23"/>
      <c r="K211" s="23"/>
      <c r="L211" s="603">
        <f>SUM(G211:G213)</f>
        <v>7493.17</v>
      </c>
      <c r="M211" s="187">
        <v>7493.17</v>
      </c>
      <c r="N211" s="660"/>
      <c r="O211" s="217"/>
      <c r="P211" s="661"/>
      <c r="Q211" s="219"/>
    </row>
    <row r="212" spans="1:20" ht="15.75">
      <c r="A212" s="662"/>
      <c r="B212" s="35"/>
      <c r="C212" s="48" t="s">
        <v>130</v>
      </c>
      <c r="D212" s="269">
        <v>47.96</v>
      </c>
      <c r="E212" s="41">
        <v>5.8445999999999998</v>
      </c>
      <c r="F212" s="298">
        <f t="shared" si="28"/>
        <v>5.8445999999999998</v>
      </c>
      <c r="G212" s="235">
        <f>ROUND(D212*E212,2)</f>
        <v>280.31</v>
      </c>
      <c r="H212" s="270"/>
      <c r="I212" s="41"/>
      <c r="J212" s="41"/>
      <c r="K212" s="41"/>
      <c r="L212" s="606"/>
      <c r="M212" s="606"/>
      <c r="N212" s="663"/>
      <c r="O212" s="237"/>
      <c r="P212" s="275"/>
      <c r="Q212" s="238"/>
    </row>
    <row r="213" spans="1:20" ht="15.75" thickBot="1">
      <c r="A213" s="664"/>
      <c r="B213" s="665"/>
      <c r="C213" s="99" t="s">
        <v>29</v>
      </c>
      <c r="D213" s="613">
        <v>1386.24</v>
      </c>
      <c r="E213" s="56">
        <v>5.8445999999999998</v>
      </c>
      <c r="F213" s="57"/>
      <c r="G213" s="247">
        <f>ROUND(D213*E213,2)</f>
        <v>8102.02</v>
      </c>
      <c r="H213" s="613"/>
      <c r="I213" s="57"/>
      <c r="J213" s="57"/>
      <c r="K213" s="57"/>
      <c r="L213" s="614"/>
      <c r="M213" s="606"/>
      <c r="N213" s="57"/>
      <c r="O213" s="57"/>
      <c r="P213" s="57"/>
      <c r="Q213" s="666"/>
    </row>
    <row r="214" spans="1:20">
      <c r="A214" s="667"/>
      <c r="B214" s="659" t="s">
        <v>116</v>
      </c>
      <c r="C214" s="668" t="s">
        <v>73</v>
      </c>
      <c r="D214" s="669">
        <v>7</v>
      </c>
      <c r="E214" s="21">
        <v>32.332000000000001</v>
      </c>
      <c r="F214" s="21">
        <v>37.889800000000001</v>
      </c>
      <c r="G214" s="214">
        <f>+D214*(E214+F214)</f>
        <v>491.55259999999998</v>
      </c>
      <c r="H214" s="687"/>
      <c r="I214" s="688">
        <v>35.612400000000001</v>
      </c>
      <c r="J214" s="670">
        <f>ROUND(H214*I214,2)</f>
        <v>0</v>
      </c>
      <c r="K214" s="689">
        <v>42736</v>
      </c>
      <c r="L214" s="603">
        <f>SUM(G214:G220)+SUM(J214:J218)</f>
        <v>7918.1926000000003</v>
      </c>
      <c r="M214" s="187">
        <v>7918.19</v>
      </c>
      <c r="N214" s="670"/>
      <c r="O214" s="670"/>
      <c r="P214" s="670"/>
      <c r="Q214" s="670"/>
    </row>
    <row r="215" spans="1:20">
      <c r="A215" s="671"/>
      <c r="B215" s="672"/>
      <c r="C215" s="48"/>
      <c r="D215" s="673"/>
      <c r="E215" s="41"/>
      <c r="F215" s="298"/>
      <c r="G215" s="235">
        <f>+D215*E215</f>
        <v>0</v>
      </c>
      <c r="H215" s="687"/>
      <c r="I215" s="688">
        <v>35.612400000000001</v>
      </c>
      <c r="J215" s="670">
        <f>ROUND(H215*I215,2)</f>
        <v>0</v>
      </c>
      <c r="K215" s="689">
        <v>42767</v>
      </c>
      <c r="L215" s="606"/>
      <c r="M215" s="606"/>
      <c r="N215" s="298"/>
      <c r="O215" s="298"/>
      <c r="P215" s="298"/>
      <c r="Q215" s="298"/>
    </row>
    <row r="216" spans="1:20">
      <c r="A216" s="671"/>
      <c r="B216" s="442"/>
      <c r="C216" s="48"/>
      <c r="D216" s="673"/>
      <c r="E216" s="41"/>
      <c r="F216" s="298"/>
      <c r="G216" s="235">
        <f>ROUND(D216*E216,2)</f>
        <v>0</v>
      </c>
      <c r="H216" s="687"/>
      <c r="I216" s="688">
        <v>0.76700000000000002</v>
      </c>
      <c r="J216" s="670">
        <f>ROUND(H216*I216,2)</f>
        <v>0</v>
      </c>
      <c r="K216" s="689">
        <v>42767</v>
      </c>
      <c r="L216" s="614">
        <f>SUM(G216:G217)</f>
        <v>0</v>
      </c>
      <c r="M216" s="606"/>
      <c r="N216" s="298"/>
      <c r="O216" s="298"/>
      <c r="P216" s="298"/>
      <c r="Q216" s="298"/>
    </row>
    <row r="217" spans="1:20">
      <c r="A217" s="671"/>
      <c r="B217" s="35"/>
      <c r="C217" s="606"/>
      <c r="D217" s="673"/>
      <c r="E217" s="41"/>
      <c r="F217" s="298"/>
      <c r="G217" s="235">
        <f>ROUND(D217*E217,2)</f>
        <v>0</v>
      </c>
      <c r="H217" s="270"/>
      <c r="I217" s="41"/>
      <c r="J217" s="670"/>
      <c r="K217" s="670"/>
      <c r="L217" s="614"/>
      <c r="M217" s="273"/>
      <c r="N217" s="298"/>
      <c r="O217" s="298"/>
      <c r="P217" s="298"/>
      <c r="Q217" s="298"/>
    </row>
    <row r="218" spans="1:20" ht="15.75">
      <c r="A218" s="674"/>
      <c r="B218" s="672"/>
      <c r="C218" s="48" t="s">
        <v>129</v>
      </c>
      <c r="D218" s="269">
        <v>1668.5</v>
      </c>
      <c r="E218" s="41">
        <f>5.8446-6.3785</f>
        <v>-0.53390000000000004</v>
      </c>
      <c r="F218" s="298">
        <f t="shared" ref="F218:F219" si="29">+E218</f>
        <v>-0.53390000000000004</v>
      </c>
      <c r="G218" s="235">
        <f>ROUND(D218*E218,2)-0.01</f>
        <v>-890.81999999999994</v>
      </c>
      <c r="H218" s="270"/>
      <c r="I218" s="41"/>
      <c r="J218" s="670"/>
      <c r="K218" s="670"/>
      <c r="L218" s="606"/>
      <c r="M218" s="606"/>
      <c r="N218" s="663"/>
      <c r="O218" s="237"/>
      <c r="P218" s="275"/>
      <c r="Q218" s="237"/>
    </row>
    <row r="219" spans="1:20" ht="15.75">
      <c r="A219" s="674"/>
      <c r="B219" s="35"/>
      <c r="C219" s="48" t="s">
        <v>130</v>
      </c>
      <c r="D219" s="269">
        <v>47.6</v>
      </c>
      <c r="E219" s="41">
        <v>5.8445999999999998</v>
      </c>
      <c r="F219" s="298">
        <f t="shared" si="29"/>
        <v>5.8445999999999998</v>
      </c>
      <c r="G219" s="235">
        <f>ROUND(D219*E219,2)-0.01</f>
        <v>278.19</v>
      </c>
      <c r="H219" s="270"/>
      <c r="I219" s="41"/>
      <c r="J219" s="41"/>
      <c r="K219" s="41"/>
      <c r="L219" s="614"/>
      <c r="M219" s="606"/>
      <c r="N219" s="663"/>
      <c r="O219" s="237"/>
      <c r="P219" s="275"/>
      <c r="Q219" s="237"/>
    </row>
    <row r="220" spans="1:20" ht="15.75" thickBot="1">
      <c r="A220" s="675"/>
      <c r="B220" s="676"/>
      <c r="C220" s="107" t="s">
        <v>29</v>
      </c>
      <c r="D220" s="643">
        <v>1375.5</v>
      </c>
      <c r="E220" s="56">
        <v>5.8445999999999998</v>
      </c>
      <c r="F220" s="109"/>
      <c r="G220" s="309">
        <f>ROUND(D220*E220,2)+0.02</f>
        <v>8039.27</v>
      </c>
      <c r="H220" s="643"/>
      <c r="I220" s="109"/>
      <c r="J220" s="109"/>
      <c r="K220" s="109"/>
      <c r="L220" s="677"/>
      <c r="M220" s="314"/>
      <c r="N220" s="109"/>
      <c r="O220" s="109"/>
      <c r="P220" s="109"/>
      <c r="Q220" s="109"/>
      <c r="R220" s="2"/>
    </row>
    <row r="221" spans="1:20" ht="16.5" thickTop="1">
      <c r="A221" s="658"/>
      <c r="B221" s="659" t="s">
        <v>117</v>
      </c>
      <c r="C221" s="48" t="s">
        <v>129</v>
      </c>
      <c r="D221" s="259">
        <v>478</v>
      </c>
      <c r="E221" s="41">
        <f>5.8446-6.3785</f>
        <v>-0.53390000000000004</v>
      </c>
      <c r="F221" s="691">
        <f>+E221</f>
        <v>-0.53390000000000004</v>
      </c>
      <c r="G221" s="214">
        <f>ROUND(D221*E221,2)</f>
        <v>-255.2</v>
      </c>
      <c r="H221" s="303"/>
      <c r="I221" s="23"/>
      <c r="J221" s="23"/>
      <c r="K221" s="23"/>
      <c r="L221" s="603">
        <f>SUM(G221:G223)</f>
        <v>2141.08</v>
      </c>
      <c r="M221" s="187">
        <v>2141.08</v>
      </c>
      <c r="N221" s="660"/>
      <c r="O221" s="217"/>
      <c r="P221" s="661"/>
      <c r="Q221" s="219"/>
      <c r="R221" s="324"/>
    </row>
    <row r="222" spans="1:20" ht="15.75">
      <c r="A222" s="662"/>
      <c r="B222" s="35"/>
      <c r="C222" s="48" t="s">
        <v>130</v>
      </c>
      <c r="D222" s="269">
        <v>13.7</v>
      </c>
      <c r="E222" s="41">
        <v>5.8445999999999998</v>
      </c>
      <c r="F222" s="298">
        <f t="shared" ref="F222" si="30">+E222</f>
        <v>5.8445999999999998</v>
      </c>
      <c r="G222" s="235">
        <f>ROUND(D222*E222,2)</f>
        <v>80.069999999999993</v>
      </c>
      <c r="H222" s="270"/>
      <c r="I222" s="41"/>
      <c r="J222" s="41"/>
      <c r="K222" s="41"/>
      <c r="L222" s="606"/>
      <c r="M222" s="606"/>
      <c r="N222" s="663"/>
      <c r="O222" s="237"/>
      <c r="P222" s="275"/>
      <c r="Q222" s="238"/>
    </row>
    <row r="223" spans="1:20" ht="15.75" thickBot="1">
      <c r="A223" s="664"/>
      <c r="B223" s="665"/>
      <c r="C223" s="99" t="s">
        <v>29</v>
      </c>
      <c r="D223" s="613">
        <v>396.3</v>
      </c>
      <c r="E223" s="56">
        <v>5.8445999999999998</v>
      </c>
      <c r="F223" s="57"/>
      <c r="G223" s="247">
        <f>ROUND(D223*E223,2)</f>
        <v>2316.21</v>
      </c>
      <c r="H223" s="613"/>
      <c r="I223" s="57"/>
      <c r="J223" s="57"/>
      <c r="K223" s="57"/>
      <c r="L223" s="614"/>
      <c r="M223" s="606"/>
      <c r="N223" s="57"/>
      <c r="O223" s="57"/>
      <c r="P223" s="57"/>
      <c r="Q223" s="666"/>
    </row>
  </sheetData>
  <mergeCells count="40">
    <mergeCell ref="M209:M210"/>
    <mergeCell ref="N209:Q209"/>
    <mergeCell ref="A209:A210"/>
    <mergeCell ref="B209:B210"/>
    <mergeCell ref="C209:C210"/>
    <mergeCell ref="D209:G209"/>
    <mergeCell ref="H209:K209"/>
    <mergeCell ref="L209:L210"/>
    <mergeCell ref="M58:M59"/>
    <mergeCell ref="N58:Q58"/>
    <mergeCell ref="A131:A132"/>
    <mergeCell ref="B131:B132"/>
    <mergeCell ref="C131:C132"/>
    <mergeCell ref="D131:G131"/>
    <mergeCell ref="H131:K131"/>
    <mergeCell ref="L131:L132"/>
    <mergeCell ref="M131:M132"/>
    <mergeCell ref="N131:Q131"/>
    <mergeCell ref="A58:A59"/>
    <mergeCell ref="B58:B59"/>
    <mergeCell ref="C58:C59"/>
    <mergeCell ref="D58:G58"/>
    <mergeCell ref="H58:K58"/>
    <mergeCell ref="L58:L59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38"/>
  <sheetViews>
    <sheetView topLeftCell="A214" zoomScale="90" zoomScaleNormal="90" workbookViewId="0">
      <selection activeCell="O113" sqref="O113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+[1]апр17!U4</f>
        <v>2.1029499999276595</v>
      </c>
      <c r="D4" s="20">
        <v>35</v>
      </c>
      <c r="E4" s="21">
        <v>32.332000000000001</v>
      </c>
      <c r="F4" s="21">
        <v>37.889800000000001</v>
      </c>
      <c r="G4" s="22">
        <f>ROUND(D4*(E4+F4),2)</f>
        <v>2457.7600000000002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113422.6</v>
      </c>
      <c r="M4" s="26">
        <v>113426.91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-2.2070500000700122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135</v>
      </c>
      <c r="D6" s="49">
        <v>15038</v>
      </c>
      <c r="E6" s="41">
        <f>6.1063-5.8446</f>
        <v>0.26170000000000027</v>
      </c>
      <c r="F6" s="41">
        <f>+E6</f>
        <v>0.26170000000000027</v>
      </c>
      <c r="G6" s="50">
        <f>ROUND(D6*E6,2)</f>
        <v>3935.44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136</v>
      </c>
      <c r="D7" s="49">
        <v>510.5</v>
      </c>
      <c r="E7" s="41">
        <v>6.1063000000000001</v>
      </c>
      <c r="F7" s="41">
        <f>+E7</f>
        <v>6.1063000000000001</v>
      </c>
      <c r="G7" s="50">
        <f>ROUND(D7*E7,2)</f>
        <v>3117.27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17017.2</v>
      </c>
      <c r="E8" s="56">
        <v>6.1063000000000001</v>
      </c>
      <c r="F8" s="57">
        <f>+E8</f>
        <v>6.1063000000000001</v>
      </c>
      <c r="G8" s="58">
        <f>ROUND(D8*E8,2)</f>
        <v>103912.13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103912.13</v>
      </c>
      <c r="R8" s="66" t="s">
        <v>25</v>
      </c>
      <c r="S8" s="67">
        <f>SUM(O4:O8)</f>
        <v>0</v>
      </c>
      <c r="T8" s="68">
        <f>SUM(Q4:Q8)</f>
        <v>103912.13</v>
      </c>
    </row>
    <row r="9" spans="1:21" s="81" customFormat="1">
      <c r="A9" s="69" t="s">
        <v>30</v>
      </c>
      <c r="B9" s="70" t="s">
        <v>31</v>
      </c>
      <c r="C9" s="71">
        <f>+[1]апр17!U9</f>
        <v>1.9712000000035914</v>
      </c>
      <c r="D9" s="72">
        <v>97</v>
      </c>
      <c r="E9" s="21">
        <v>32.332000000000001</v>
      </c>
      <c r="F9" s="21">
        <v>37.889800000000001</v>
      </c>
      <c r="G9" s="22">
        <f>ROUND(D9*(E9+F9),2)</f>
        <v>6811.51</v>
      </c>
      <c r="H9" s="72"/>
      <c r="I9" s="21">
        <v>4.5999999999999996</v>
      </c>
      <c r="J9" s="73">
        <f>+H9*I9</f>
        <v>0</v>
      </c>
      <c r="K9" s="24"/>
      <c r="L9" s="74">
        <f>SUM(G9:G16,J9:J15)</f>
        <v>48361.97</v>
      </c>
      <c r="M9" s="26">
        <v>48364.47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-0.52880000000004657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12</v>
      </c>
      <c r="E11" s="101">
        <v>291.8</v>
      </c>
      <c r="F11" s="38">
        <v>37.889800000000001</v>
      </c>
      <c r="G11" s="39">
        <f>ROUND(D11*(E11+F11),2)</f>
        <v>3956.28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13</v>
      </c>
      <c r="E12" s="41">
        <f>291.8-352.37</f>
        <v>-60.569999999999993</v>
      </c>
      <c r="F12" s="38"/>
      <c r="G12" s="50">
        <f>+D12*(E12+F12)</f>
        <v>-787.40999999999985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135</v>
      </c>
      <c r="D14" s="49">
        <v>4106</v>
      </c>
      <c r="E14" s="41">
        <f>6.1063-5.8446</f>
        <v>0.26170000000000027</v>
      </c>
      <c r="F14" s="41">
        <f>+E14</f>
        <v>0.26170000000000027</v>
      </c>
      <c r="G14" s="50">
        <f>ROUND(D14*E14*70%+D14*F14*30%,2)</f>
        <v>1074.54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136</v>
      </c>
      <c r="D15" s="49">
        <v>178</v>
      </c>
      <c r="E15" s="41">
        <v>6.1063000000000001</v>
      </c>
      <c r="F15" s="41">
        <f>+E15</f>
        <v>6.1063000000000001</v>
      </c>
      <c r="G15" s="50">
        <f>ROUND(D15*E15*70%+D15*F15*30%,2)</f>
        <v>1086.92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5931.6</v>
      </c>
      <c r="E16" s="56">
        <v>6.1063000000000001</v>
      </c>
      <c r="F16" s="109">
        <f>+E16</f>
        <v>6.1063000000000001</v>
      </c>
      <c r="G16" s="110">
        <f>ROUND(D16*E16*70%+D16*F16*30%,2)</f>
        <v>36220.129999999997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/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182" t="s">
        <v>45</v>
      </c>
      <c r="B27" s="183" t="s">
        <v>46</v>
      </c>
      <c r="C27" s="71">
        <f>+[1]апр17!U27</f>
        <v>0.24808799996390007</v>
      </c>
      <c r="D27" s="184">
        <v>86.89</v>
      </c>
      <c r="E27" s="21">
        <v>32.332000000000001</v>
      </c>
      <c r="F27" s="21">
        <v>37.889800000000001</v>
      </c>
      <c r="G27" s="185">
        <f>ROUND(D27*(E27+F27),2)</f>
        <v>6101.57</v>
      </c>
      <c r="H27" s="184">
        <v>0</v>
      </c>
      <c r="I27">
        <v>22.478999999999999</v>
      </c>
      <c r="J27" s="23">
        <f>H27*I27</f>
        <v>0</v>
      </c>
      <c r="K27" s="679">
        <v>42705</v>
      </c>
      <c r="L27" s="25">
        <f>SUM(G27:G31)+J27+J29</f>
        <v>173296.98</v>
      </c>
      <c r="M27" s="187">
        <v>173301.62</v>
      </c>
      <c r="N27" s="188"/>
      <c r="O27" s="23">
        <v>3998.87</v>
      </c>
      <c r="P27" s="189" t="s">
        <v>47</v>
      </c>
      <c r="Q27" s="23">
        <f t="shared" ref="Q27:Q32" si="0">C27+G27+J27-M27-N27-O27</f>
        <v>-171198.67191200002</v>
      </c>
      <c r="R27" s="190" t="s">
        <v>48</v>
      </c>
      <c r="S27" s="176"/>
      <c r="U27" s="33">
        <f>+C27+L27-M27</f>
        <v>-4.3919120000209659</v>
      </c>
    </row>
    <row r="28" spans="1:21">
      <c r="A28" s="191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680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191"/>
      <c r="B29" s="192"/>
      <c r="C29" s="48" t="s">
        <v>135</v>
      </c>
      <c r="D29" s="49">
        <v>21952</v>
      </c>
      <c r="E29" s="41">
        <f>6.1063-5.8446</f>
        <v>0.26170000000000027</v>
      </c>
      <c r="F29" s="41">
        <f>+E29</f>
        <v>0.26170000000000027</v>
      </c>
      <c r="G29" s="50">
        <f>ROUND(D29*F29,2)</f>
        <v>5744.84</v>
      </c>
      <c r="H29" s="193"/>
      <c r="I29" s="194"/>
      <c r="J29" s="194"/>
      <c r="K29" s="680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191"/>
      <c r="B30" s="192"/>
      <c r="C30" s="48" t="s">
        <v>136</v>
      </c>
      <c r="D30" s="49">
        <v>280</v>
      </c>
      <c r="E30" s="41">
        <v>6.1063000000000001</v>
      </c>
      <c r="F30" s="41">
        <f>+E30</f>
        <v>6.1063000000000001</v>
      </c>
      <c r="G30" s="50">
        <f>ROUND(D30*E30,2)</f>
        <v>1709.76</v>
      </c>
      <c r="H30" s="193"/>
      <c r="I30" s="194"/>
      <c r="J30" s="194"/>
      <c r="K30" s="680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201"/>
      <c r="B31" s="202" t="s">
        <v>49</v>
      </c>
      <c r="C31" s="99" t="s">
        <v>29</v>
      </c>
      <c r="D31" s="55">
        <v>26160</v>
      </c>
      <c r="E31" s="56">
        <v>6.1063000000000001</v>
      </c>
      <c r="F31" s="57">
        <f>+E31</f>
        <v>6.1063000000000001</v>
      </c>
      <c r="G31" s="58">
        <f>ROUND(D31*E31,2)</f>
        <v>159740.81</v>
      </c>
      <c r="H31" s="59"/>
      <c r="I31" s="60"/>
      <c r="J31" s="60"/>
      <c r="K31" s="681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91030.8</v>
      </c>
      <c r="R31" s="209" t="s">
        <v>50</v>
      </c>
      <c r="S31" s="210">
        <f>SUM(O27:O31)</f>
        <v>72708.87999999999</v>
      </c>
      <c r="T31" s="210">
        <f>SUM(Q27:Q31)</f>
        <v>-80167.871912000017</v>
      </c>
    </row>
    <row r="32" spans="1:21">
      <c r="A32" s="211" t="s">
        <v>51</v>
      </c>
      <c r="B32" s="212" t="s">
        <v>52</v>
      </c>
      <c r="C32" s="71">
        <f>+[1]апр17!U32</f>
        <v>-1.6622460000580759</v>
      </c>
      <c r="D32" s="213">
        <v>136.66</v>
      </c>
      <c r="E32" s="21">
        <v>32.332000000000001</v>
      </c>
      <c r="F32" s="21">
        <v>37.889800000000001</v>
      </c>
      <c r="G32" s="214">
        <f>ROUND(D32*(E32+F32),2)</f>
        <v>9596.51</v>
      </c>
      <c r="H32" s="213">
        <v>0</v>
      </c>
      <c r="I32">
        <v>22.478999999999999</v>
      </c>
      <c r="J32" s="215">
        <f t="shared" ref="J32" si="1">H32*I32</f>
        <v>0</v>
      </c>
      <c r="K32" s="679">
        <v>42705</v>
      </c>
      <c r="L32" s="216">
        <f>SUM(G32:G39)+SUM(J32:J39)</f>
        <v>59945.700000000004</v>
      </c>
      <c r="M32" s="187">
        <v>59946.73</v>
      </c>
      <c r="N32" s="188"/>
      <c r="O32" s="217">
        <v>4253.6899999999996</v>
      </c>
      <c r="P32" s="218" t="s">
        <v>47</v>
      </c>
      <c r="Q32" s="219">
        <f t="shared" si="0"/>
        <v>-54605.572246000062</v>
      </c>
      <c r="R32" s="220" t="s">
        <v>53</v>
      </c>
      <c r="S32" s="221"/>
      <c r="T32" s="222"/>
      <c r="U32" s="33">
        <f>+C32+L32-M32</f>
        <v>-2.6922460000569117</v>
      </c>
    </row>
    <row r="33" spans="1:21">
      <c r="A33" s="223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223"/>
      <c r="B34" s="98" t="s">
        <v>32</v>
      </c>
      <c r="C34" s="99" t="s">
        <v>33</v>
      </c>
      <c r="D34" s="234"/>
      <c r="E34" s="101">
        <v>155.72</v>
      </c>
      <c r="F34" s="38">
        <v>37.889800000000001</v>
      </c>
      <c r="G34" s="235">
        <f>ROUND(D34*(E34+F34),2)</f>
        <v>0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-5456.6</v>
      </c>
      <c r="R34" s="232"/>
      <c r="S34" s="233"/>
      <c r="T34" s="224"/>
    </row>
    <row r="35" spans="1:21">
      <c r="A35" s="223"/>
      <c r="B35" s="224" t="s">
        <v>33</v>
      </c>
      <c r="C35" s="239" t="s">
        <v>26</v>
      </c>
      <c r="D35" s="234">
        <v>65</v>
      </c>
      <c r="E35" s="240">
        <f>155.72-178.43</f>
        <v>-22.710000000000008</v>
      </c>
      <c r="F35" s="240"/>
      <c r="G35" s="235">
        <f>+ROUND(D35*E35,2)</f>
        <v>-1476.15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223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223"/>
      <c r="B37" s="224"/>
      <c r="C37" s="48" t="s">
        <v>135</v>
      </c>
      <c r="D37" s="49">
        <v>5070</v>
      </c>
      <c r="E37" s="41">
        <f>6.1063-5.8446</f>
        <v>0.26170000000000027</v>
      </c>
      <c r="F37" s="41">
        <f t="shared" ref="F37:F45" si="2">+E37</f>
        <v>0.26170000000000027</v>
      </c>
      <c r="G37" s="50">
        <f>ROUND(D37*E37,2)+0.03</f>
        <v>1326.85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223"/>
      <c r="B38" s="224"/>
      <c r="C38" s="48" t="s">
        <v>136</v>
      </c>
      <c r="D38" s="49">
        <v>87.6</v>
      </c>
      <c r="E38" s="41">
        <v>6.1063000000000001</v>
      </c>
      <c r="F38" s="41">
        <f t="shared" si="2"/>
        <v>6.1063000000000001</v>
      </c>
      <c r="G38" s="50">
        <f>ROUND(D38*E38,2)</f>
        <v>534.91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244"/>
      <c r="B39" s="245"/>
      <c r="C39" s="99" t="s">
        <v>29</v>
      </c>
      <c r="D39" s="246">
        <v>8182.3</v>
      </c>
      <c r="E39" s="56">
        <v>6.1063000000000001</v>
      </c>
      <c r="F39" s="57">
        <f t="shared" si="2"/>
        <v>6.1063000000000001</v>
      </c>
      <c r="G39" s="247">
        <f>ROUND(D39*E39*70%+D39*F39*30%,2)</f>
        <v>49963.58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34185.68</v>
      </c>
      <c r="R39" s="255" t="s">
        <v>54</v>
      </c>
      <c r="S39" s="256">
        <f>SUM(O32:O39)</f>
        <v>25488.190000000002</v>
      </c>
      <c r="T39" s="256">
        <f>SUM(Q32:Q39)</f>
        <v>-25876.49224600006</v>
      </c>
    </row>
    <row r="40" spans="1:21" ht="15.75">
      <c r="A40" s="257"/>
      <c r="B40" s="258" t="s">
        <v>55</v>
      </c>
      <c r="C40" s="48" t="s">
        <v>135</v>
      </c>
      <c r="D40" s="259">
        <v>1619.53</v>
      </c>
      <c r="E40" s="41">
        <f>6.1063-5.8446</f>
        <v>0.26170000000000027</v>
      </c>
      <c r="F40" s="41">
        <f t="shared" si="2"/>
        <v>0.26170000000000027</v>
      </c>
      <c r="G40" s="214">
        <f t="shared" ref="G40:G45" si="3">ROUND(D40*E40,2)</f>
        <v>423.83</v>
      </c>
      <c r="H40" s="260"/>
      <c r="I40" s="261"/>
      <c r="J40" s="261"/>
      <c r="K40" s="262"/>
      <c r="L40" s="263">
        <f>SUM(G40:G42)</f>
        <v>12576.78</v>
      </c>
      <c r="M40" s="187">
        <v>12576.78</v>
      </c>
      <c r="N40" s="264"/>
      <c r="O40" s="229"/>
      <c r="P40" s="265"/>
      <c r="Q40" s="229"/>
      <c r="R40" s="242"/>
      <c r="S40" s="266"/>
      <c r="T40" s="266"/>
    </row>
    <row r="41" spans="1:21" ht="15.75">
      <c r="A41" s="267"/>
      <c r="B41" s="268"/>
      <c r="C41" s="48" t="s">
        <v>136</v>
      </c>
      <c r="D41" s="269">
        <v>21.07</v>
      </c>
      <c r="E41" s="41">
        <v>6.1063000000000001</v>
      </c>
      <c r="F41" s="41">
        <f t="shared" si="2"/>
        <v>6.1063000000000001</v>
      </c>
      <c r="G41" s="235">
        <f>ROUND(D41*E41,2)+0.01</f>
        <v>128.66999999999999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276"/>
      <c r="B42" s="277"/>
      <c r="C42" s="99" t="s">
        <v>29</v>
      </c>
      <c r="D42" s="279">
        <v>1969.16</v>
      </c>
      <c r="E42" s="56">
        <v>6.1063000000000001</v>
      </c>
      <c r="F42" s="57">
        <f t="shared" si="2"/>
        <v>6.1063000000000001</v>
      </c>
      <c r="G42" s="247">
        <f t="shared" si="3"/>
        <v>12024.28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285"/>
      <c r="B43" s="258" t="s">
        <v>56</v>
      </c>
      <c r="C43" s="48" t="s">
        <v>135</v>
      </c>
      <c r="D43" s="259">
        <v>239</v>
      </c>
      <c r="E43" s="41">
        <f>6.1063-5.8446</f>
        <v>0.26170000000000027</v>
      </c>
      <c r="F43" s="41">
        <f t="shared" si="2"/>
        <v>0.26170000000000027</v>
      </c>
      <c r="G43" s="214">
        <f>ROUND(D43*E43,2)</f>
        <v>62.55</v>
      </c>
      <c r="H43" s="260"/>
      <c r="I43" s="261"/>
      <c r="J43" s="261"/>
      <c r="K43" s="262"/>
      <c r="L43" s="286">
        <f>SUM(G43:G45)</f>
        <v>2047.71</v>
      </c>
      <c r="M43" s="227">
        <v>2047.71</v>
      </c>
      <c r="N43" s="264"/>
      <c r="O43" s="229"/>
      <c r="P43" s="265"/>
      <c r="Q43" s="229"/>
      <c r="R43" s="287"/>
      <c r="S43" s="288"/>
      <c r="T43" s="288"/>
    </row>
    <row r="44" spans="1:21" ht="15.75">
      <c r="A44" s="289"/>
      <c r="B44" s="268"/>
      <c r="C44" s="48" t="s">
        <v>136</v>
      </c>
      <c r="D44" s="269">
        <v>3.4</v>
      </c>
      <c r="E44" s="41">
        <v>6.1063000000000001</v>
      </c>
      <c r="F44" s="41">
        <f t="shared" si="2"/>
        <v>6.1063000000000001</v>
      </c>
      <c r="G44" s="235">
        <f>ROUND(D44*E44,2)</f>
        <v>20.76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290"/>
      <c r="B45" s="277"/>
      <c r="C45" s="99" t="s">
        <v>29</v>
      </c>
      <c r="D45" s="279">
        <v>321.7</v>
      </c>
      <c r="E45" s="56">
        <v>6.1063000000000001</v>
      </c>
      <c r="F45" s="57">
        <f t="shared" si="2"/>
        <v>6.1063000000000001</v>
      </c>
      <c r="G45" s="247">
        <f t="shared" si="3"/>
        <v>1964.4</v>
      </c>
      <c r="H45" s="280"/>
      <c r="I45" s="281"/>
      <c r="J45" s="281"/>
      <c r="K45" s="6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285"/>
      <c r="B46" s="291" t="s">
        <v>57</v>
      </c>
      <c r="C46" s="292"/>
      <c r="D46" s="259">
        <v>0.72</v>
      </c>
      <c r="E46" s="21">
        <v>32.332000000000001</v>
      </c>
      <c r="F46" s="21">
        <v>37.889800000000001</v>
      </c>
      <c r="G46" s="214">
        <f>ROUND(D46*(E46+F46),2)</f>
        <v>50.56</v>
      </c>
      <c r="H46" s="213">
        <v>0</v>
      </c>
      <c r="I46">
        <v>22.478999999999999</v>
      </c>
      <c r="J46" s="215">
        <f t="shared" ref="J46" si="4">H46*I46</f>
        <v>0</v>
      </c>
      <c r="K46" s="679">
        <v>42705</v>
      </c>
      <c r="L46" s="294">
        <f>SUM(G46:G50)+J46+J48</f>
        <v>1007.89</v>
      </c>
      <c r="M46" s="227">
        <v>1007.89</v>
      </c>
      <c r="N46" s="264"/>
      <c r="O46" s="229"/>
      <c r="P46" s="265"/>
      <c r="Q46" s="229"/>
      <c r="R46" s="242"/>
      <c r="S46" s="266"/>
      <c r="T46" s="266"/>
    </row>
    <row r="47" spans="1:21" ht="15.75">
      <c r="A47" s="289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683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289"/>
      <c r="B48" s="268"/>
      <c r="C48" s="48" t="s">
        <v>135</v>
      </c>
      <c r="D48" s="296">
        <v>211.8</v>
      </c>
      <c r="E48" s="41">
        <f>6.1063-5.8446</f>
        <v>0.26170000000000027</v>
      </c>
      <c r="F48" s="41">
        <f>+E48</f>
        <v>0.26170000000000027</v>
      </c>
      <c r="G48" s="235">
        <f>ROUND(D48*E48,2)</f>
        <v>55.43</v>
      </c>
      <c r="H48" s="270"/>
      <c r="I48" s="41"/>
      <c r="J48" s="41"/>
      <c r="K48" s="684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5.75">
      <c r="A49" s="289"/>
      <c r="B49" s="268"/>
      <c r="C49" s="48" t="s">
        <v>136</v>
      </c>
      <c r="D49" s="269">
        <v>1.6</v>
      </c>
      <c r="E49" s="41">
        <v>6.1063000000000001</v>
      </c>
      <c r="F49" s="41">
        <f>+E49</f>
        <v>6.1063000000000001</v>
      </c>
      <c r="G49" s="235">
        <f>ROUND(D49*E49,2)</f>
        <v>9.77</v>
      </c>
      <c r="H49" s="270"/>
      <c r="I49" s="41"/>
      <c r="J49" s="41"/>
      <c r="K49" s="684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1" ht="16.5" thickBot="1">
      <c r="A50" s="290"/>
      <c r="B50" s="277"/>
      <c r="C50" s="99" t="s">
        <v>29</v>
      </c>
      <c r="D50" s="279">
        <v>146.1</v>
      </c>
      <c r="E50" s="56">
        <v>6.1063000000000001</v>
      </c>
      <c r="F50" s="57">
        <f>+E50</f>
        <v>6.1063000000000001</v>
      </c>
      <c r="G50" s="247">
        <f>ROUND(D50*E50,2)</f>
        <v>892.13</v>
      </c>
      <c r="H50" s="280"/>
      <c r="I50" s="281"/>
      <c r="J50" s="281"/>
      <c r="K50" s="6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1" ht="15.75">
      <c r="A51" s="299"/>
      <c r="B51" s="258" t="s">
        <v>58</v>
      </c>
      <c r="C51" s="48" t="s">
        <v>59</v>
      </c>
      <c r="D51" s="259">
        <v>0.45</v>
      </c>
      <c r="E51" s="21">
        <v>32.332000000000001</v>
      </c>
      <c r="F51" s="21">
        <v>37.889800000000001</v>
      </c>
      <c r="G51" s="214">
        <f>ROUND(D51*(E51+F51),2)</f>
        <v>31.6</v>
      </c>
      <c r="H51" s="213">
        <v>0</v>
      </c>
      <c r="I51">
        <v>22.478999999999999</v>
      </c>
      <c r="J51" s="215">
        <f t="shared" ref="J51" si="5">H51*I51</f>
        <v>0</v>
      </c>
      <c r="K51" s="679">
        <v>42705</v>
      </c>
      <c r="L51" s="294">
        <f>SUM(G51:G55)+J51</f>
        <v>1538.32</v>
      </c>
      <c r="M51" s="227">
        <v>1538.32</v>
      </c>
      <c r="N51" s="264"/>
      <c r="O51" s="229"/>
      <c r="P51" s="265"/>
      <c r="Q51" s="229"/>
      <c r="R51" s="242"/>
      <c r="S51" s="266"/>
      <c r="T51" s="266"/>
    </row>
    <row r="52" spans="1:21" ht="15.75">
      <c r="A52" s="300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1">
      <c r="A53" s="300"/>
      <c r="B53" s="268"/>
      <c r="C53" s="48" t="s">
        <v>135</v>
      </c>
      <c r="D53" s="296">
        <v>215.8</v>
      </c>
      <c r="E53" s="41">
        <f>6.1063-5.8446</f>
        <v>0.26170000000000027</v>
      </c>
      <c r="F53" s="41">
        <f t="shared" ref="F53:F61" si="6">+E53</f>
        <v>0.26170000000000027</v>
      </c>
      <c r="G53" s="235">
        <f t="shared" ref="G53:G61" si="7">ROUND(D53*E53,2)</f>
        <v>56.47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5.75">
      <c r="A54" s="300"/>
      <c r="B54" s="268"/>
      <c r="C54" s="48" t="s">
        <v>136</v>
      </c>
      <c r="D54" s="269">
        <v>2.5</v>
      </c>
      <c r="E54" s="41">
        <v>6.1063000000000001</v>
      </c>
      <c r="F54" s="41">
        <f t="shared" si="6"/>
        <v>6.1063000000000001</v>
      </c>
      <c r="G54" s="235">
        <f t="shared" si="7"/>
        <v>15.27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1" ht="16.5" thickBot="1">
      <c r="A55" s="301"/>
      <c r="B55" s="277"/>
      <c r="C55" s="99" t="s">
        <v>29</v>
      </c>
      <c r="D55" s="279">
        <v>235</v>
      </c>
      <c r="E55" s="56">
        <v>6.1063000000000001</v>
      </c>
      <c r="F55" s="57">
        <f t="shared" si="6"/>
        <v>6.1063000000000001</v>
      </c>
      <c r="G55" s="247">
        <f t="shared" si="7"/>
        <v>1434.98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1">
      <c r="A56" s="706"/>
      <c r="B56" s="192" t="s">
        <v>137</v>
      </c>
      <c r="C56" s="48" t="s">
        <v>135</v>
      </c>
      <c r="D56" s="296">
        <v>0</v>
      </c>
      <c r="E56" s="41">
        <f>6.1063-5.8446</f>
        <v>0.26170000000000027</v>
      </c>
      <c r="F56" s="41">
        <f t="shared" si="6"/>
        <v>0.26170000000000027</v>
      </c>
      <c r="G56" s="235">
        <f t="shared" si="7"/>
        <v>0</v>
      </c>
      <c r="H56" s="270"/>
      <c r="I56" s="41"/>
      <c r="J56" s="41"/>
      <c r="K56" s="271"/>
      <c r="L56" s="294">
        <f>SUM(G56:G58)</f>
        <v>1079.17</v>
      </c>
      <c r="M56" s="227">
        <v>1079.17</v>
      </c>
      <c r="N56" s="274"/>
      <c r="O56" s="237"/>
      <c r="P56" s="275"/>
      <c r="Q56" s="237"/>
      <c r="R56" s="242"/>
      <c r="S56" s="266"/>
      <c r="T56" s="266"/>
    </row>
    <row r="57" spans="1:21" ht="15.75">
      <c r="A57" s="706"/>
      <c r="B57" s="192"/>
      <c r="C57" s="48" t="s">
        <v>136</v>
      </c>
      <c r="D57" s="269">
        <v>1.87</v>
      </c>
      <c r="E57" s="41">
        <v>6.1063000000000001</v>
      </c>
      <c r="F57" s="41">
        <f t="shared" si="6"/>
        <v>6.1063000000000001</v>
      </c>
      <c r="G57" s="235">
        <f t="shared" si="7"/>
        <v>11.42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1" ht="16.5" thickBot="1">
      <c r="A58" s="290"/>
      <c r="B58" s="277"/>
      <c r="C58" s="99" t="s">
        <v>29</v>
      </c>
      <c r="D58" s="279">
        <v>174.86</v>
      </c>
      <c r="E58" s="56">
        <v>6.1063000000000001</v>
      </c>
      <c r="F58" s="57">
        <f t="shared" si="6"/>
        <v>6.1063000000000001</v>
      </c>
      <c r="G58" s="247">
        <f t="shared" si="7"/>
        <v>1067.75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1">
      <c r="A59" s="706"/>
      <c r="B59" s="192" t="s">
        <v>138</v>
      </c>
      <c r="C59" s="48" t="s">
        <v>135</v>
      </c>
      <c r="D59" s="296">
        <v>0</v>
      </c>
      <c r="E59" s="41">
        <f>6.1063-5.8446</f>
        <v>0.26170000000000027</v>
      </c>
      <c r="F59" s="41">
        <f t="shared" si="6"/>
        <v>0.26170000000000027</v>
      </c>
      <c r="G59" s="235">
        <f t="shared" si="7"/>
        <v>0</v>
      </c>
      <c r="H59" s="270"/>
      <c r="I59" s="41"/>
      <c r="J59" s="41"/>
      <c r="K59" s="271"/>
      <c r="L59" s="294">
        <f>SUM(G59:G61)</f>
        <v>1462.03</v>
      </c>
      <c r="M59" s="227">
        <v>1462.03</v>
      </c>
      <c r="N59" s="274"/>
      <c r="O59" s="237"/>
      <c r="P59" s="275"/>
      <c r="Q59" s="237"/>
      <c r="R59" s="242"/>
      <c r="S59" s="266"/>
      <c r="T59" s="266"/>
    </row>
    <row r="60" spans="1:21" ht="15.75">
      <c r="A60" s="706"/>
      <c r="B60" s="192"/>
      <c r="C60" s="48" t="s">
        <v>136</v>
      </c>
      <c r="D60" s="269">
        <v>2.5299999999999998</v>
      </c>
      <c r="E60" s="41">
        <v>6.1063000000000001</v>
      </c>
      <c r="F60" s="41">
        <f t="shared" si="6"/>
        <v>6.1063000000000001</v>
      </c>
      <c r="G60" s="235">
        <f t="shared" si="7"/>
        <v>15.45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1" ht="16.5" thickBot="1">
      <c r="A61" s="706"/>
      <c r="B61" s="192"/>
      <c r="C61" s="99" t="s">
        <v>29</v>
      </c>
      <c r="D61" s="279">
        <v>236.9</v>
      </c>
      <c r="E61" s="56">
        <v>6.1063000000000001</v>
      </c>
      <c r="F61" s="57">
        <f t="shared" si="6"/>
        <v>6.1063000000000001</v>
      </c>
      <c r="G61" s="247">
        <f t="shared" si="7"/>
        <v>1446.58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1" ht="16.5" thickTop="1">
      <c r="A62" s="320"/>
      <c r="B62" s="321"/>
      <c r="C62" s="322"/>
      <c r="D62" s="323"/>
      <c r="E62" s="163"/>
      <c r="F62" s="324"/>
      <c r="G62" s="325"/>
      <c r="H62" s="163"/>
      <c r="I62" s="163"/>
      <c r="J62" s="163"/>
      <c r="K62" s="163"/>
      <c r="L62" s="163"/>
      <c r="M62" s="326"/>
      <c r="N62" s="327"/>
      <c r="O62" s="328"/>
      <c r="P62" s="329"/>
      <c r="Q62" s="328"/>
      <c r="R62" s="330"/>
      <c r="S62" s="331"/>
      <c r="T62" s="266"/>
    </row>
    <row r="63" spans="1:21" ht="21.75" thickBot="1">
      <c r="A63" s="171" t="s">
        <v>60</v>
      </c>
      <c r="B63" s="2"/>
      <c r="C63" s="3"/>
      <c r="D63" s="2"/>
      <c r="E63" s="2"/>
      <c r="F63" s="2"/>
      <c r="G63" s="332"/>
      <c r="H63" s="332"/>
      <c r="I63" s="332"/>
      <c r="J63" s="2"/>
      <c r="K63" s="2"/>
      <c r="L63" s="2"/>
      <c r="M63" s="3"/>
      <c r="N63" s="2"/>
      <c r="O63" s="2"/>
      <c r="P63" s="2"/>
      <c r="Q63" s="2"/>
      <c r="R63" s="2"/>
      <c r="S63" s="2"/>
    </row>
    <row r="64" spans="1:21" ht="15" customHeight="1" thickTop="1">
      <c r="A64" s="1553" t="s">
        <v>1</v>
      </c>
      <c r="B64" s="1516" t="s">
        <v>2</v>
      </c>
      <c r="C64" s="1518" t="s">
        <v>3</v>
      </c>
      <c r="D64" s="1532" t="s">
        <v>4</v>
      </c>
      <c r="E64" s="1532"/>
      <c r="F64" s="1532"/>
      <c r="G64" s="1532"/>
      <c r="H64" s="1533" t="s">
        <v>5</v>
      </c>
      <c r="I64" s="1534"/>
      <c r="J64" s="1534"/>
      <c r="K64" s="1534"/>
      <c r="L64" s="1524" t="s">
        <v>6</v>
      </c>
      <c r="M64" s="1537" t="s">
        <v>7</v>
      </c>
      <c r="N64" s="1538" t="s">
        <v>8</v>
      </c>
      <c r="O64" s="1538"/>
      <c r="P64" s="1538"/>
      <c r="Q64" s="1539"/>
      <c r="R64" s="5"/>
      <c r="S64" s="5"/>
      <c r="T64" s="5" t="s">
        <v>61</v>
      </c>
      <c r="U64" t="s">
        <v>21</v>
      </c>
    </row>
    <row r="65" spans="1:21" ht="27" customHeight="1" thickBot="1">
      <c r="A65" s="1531"/>
      <c r="B65" s="1517"/>
      <c r="C65" s="1519" t="s">
        <v>10</v>
      </c>
      <c r="D65" s="333" t="s">
        <v>11</v>
      </c>
      <c r="E65" s="7" t="s">
        <v>12</v>
      </c>
      <c r="F65" s="7" t="s">
        <v>13</v>
      </c>
      <c r="G65" s="334" t="s">
        <v>14</v>
      </c>
      <c r="H65" s="335" t="s">
        <v>11</v>
      </c>
      <c r="I65" s="333" t="s">
        <v>15</v>
      </c>
      <c r="J65" s="336" t="s">
        <v>14</v>
      </c>
      <c r="K65" s="11" t="s">
        <v>16</v>
      </c>
      <c r="L65" s="1525"/>
      <c r="M65" s="1511"/>
      <c r="N65" s="337" t="s">
        <v>62</v>
      </c>
      <c r="O65" s="338" t="s">
        <v>44</v>
      </c>
      <c r="P65" s="13" t="s">
        <v>18</v>
      </c>
      <c r="Q65" s="14" t="s">
        <v>19</v>
      </c>
    </row>
    <row r="66" spans="1:21" ht="14.25" customHeight="1">
      <c r="A66" s="339" t="s">
        <v>63</v>
      </c>
      <c r="B66" s="18" t="s">
        <v>64</v>
      </c>
      <c r="C66" s="71">
        <f>+[1]апр17!U60</f>
        <v>-4.0164999997941777</v>
      </c>
      <c r="D66" s="340">
        <v>53</v>
      </c>
      <c r="E66" s="21">
        <v>32.332000000000001</v>
      </c>
      <c r="F66" s="21">
        <v>37.889800000000001</v>
      </c>
      <c r="G66" s="185">
        <f>ROUND(D66*(E66+F66),2)</f>
        <v>3721.76</v>
      </c>
      <c r="H66" s="184"/>
      <c r="I66" s="23"/>
      <c r="J66" s="341">
        <v>0</v>
      </c>
      <c r="K66" s="342"/>
      <c r="L66" s="343">
        <f>SUM(G66:G71,J66:J70)</f>
        <v>297263.96000000002</v>
      </c>
      <c r="M66" s="344">
        <v>297257.11</v>
      </c>
      <c r="N66" s="345"/>
      <c r="O66" s="346">
        <v>7157.88</v>
      </c>
      <c r="P66" s="347" t="s">
        <v>24</v>
      </c>
      <c r="Q66" s="348">
        <f t="shared" ref="Q66:Q72" si="8">C66+G66+J66-M66-N66-O66</f>
        <v>-300697.24649999978</v>
      </c>
      <c r="R66" s="349" t="s">
        <v>65</v>
      </c>
      <c r="S66" s="350" t="s">
        <v>20</v>
      </c>
      <c r="T66" s="351" t="s">
        <v>21</v>
      </c>
      <c r="U66" s="352">
        <f>+L66-M66+C66</f>
        <v>2.8335000002407469</v>
      </c>
    </row>
    <row r="67" spans="1:21" ht="14.25" customHeight="1">
      <c r="A67" s="353"/>
      <c r="B67" s="35"/>
      <c r="C67" s="84" t="s">
        <v>26</v>
      </c>
      <c r="D67" s="37">
        <v>0</v>
      </c>
      <c r="E67" s="38">
        <f>32.332-28.8628</f>
        <v>3.4692000000000007</v>
      </c>
      <c r="F67" s="38">
        <f>37.8898-33.8306</f>
        <v>4.0592000000000041</v>
      </c>
      <c r="G67" s="39">
        <f>ROUND(D67*(E67+F67),2)</f>
        <v>0</v>
      </c>
      <c r="H67" s="49"/>
      <c r="I67" s="271"/>
      <c r="J67" s="101"/>
      <c r="K67" s="354"/>
      <c r="L67" s="355"/>
      <c r="M67" s="356"/>
      <c r="N67" s="357"/>
      <c r="O67" s="358"/>
      <c r="P67" s="359"/>
      <c r="Q67" s="360"/>
      <c r="R67" s="349"/>
      <c r="S67" s="350"/>
      <c r="T67" s="351"/>
      <c r="U67" s="352"/>
    </row>
    <row r="68" spans="1:21">
      <c r="A68" s="353"/>
      <c r="B68" s="35"/>
      <c r="C68" s="48"/>
      <c r="D68" s="49">
        <v>0</v>
      </c>
      <c r="E68" s="41">
        <f>4.4128-4.4153</f>
        <v>-2.5000000000003908E-3</v>
      </c>
      <c r="F68" s="41">
        <f>+E68</f>
        <v>-2.5000000000003908E-3</v>
      </c>
      <c r="G68" s="50">
        <f>ROUND(D68*E68*70%+D68*F68*30%,2)</f>
        <v>0</v>
      </c>
      <c r="H68" s="49"/>
      <c r="I68" s="271">
        <v>0</v>
      </c>
      <c r="J68" s="41">
        <f>H68*I68</f>
        <v>0</v>
      </c>
      <c r="K68" s="354"/>
      <c r="L68" s="355"/>
      <c r="M68" s="356"/>
      <c r="N68" s="357"/>
      <c r="O68" s="358"/>
      <c r="P68" s="359"/>
      <c r="Q68" s="360"/>
      <c r="R68" s="349"/>
      <c r="S68" s="350"/>
      <c r="T68" s="351"/>
      <c r="U68" s="352"/>
    </row>
    <row r="69" spans="1:21">
      <c r="A69" s="353"/>
      <c r="B69" s="35"/>
      <c r="C69" s="48" t="s">
        <v>135</v>
      </c>
      <c r="D69" s="49">
        <v>36346</v>
      </c>
      <c r="E69" s="41">
        <f>6.3119-5.9451</f>
        <v>0.36679999999999957</v>
      </c>
      <c r="F69" s="38">
        <f>+E69</f>
        <v>0.36679999999999957</v>
      </c>
      <c r="G69" s="50">
        <f>ROUND(+D69*E69,2)</f>
        <v>13331.71</v>
      </c>
      <c r="H69" s="49"/>
      <c r="I69" s="271"/>
      <c r="J69" s="41"/>
      <c r="K69" s="354"/>
      <c r="L69" s="355"/>
      <c r="M69" s="356"/>
      <c r="N69" s="357"/>
      <c r="O69" s="358"/>
      <c r="P69" s="359"/>
      <c r="Q69" s="360"/>
      <c r="R69" s="349"/>
      <c r="S69" s="350"/>
      <c r="T69" s="351"/>
      <c r="U69" s="352"/>
    </row>
    <row r="70" spans="1:21">
      <c r="A70" s="353"/>
      <c r="B70" s="35"/>
      <c r="C70" s="48" t="s">
        <v>136</v>
      </c>
      <c r="D70" s="49">
        <v>106</v>
      </c>
      <c r="E70" s="41">
        <v>6.3118999999999996</v>
      </c>
      <c r="F70" s="41">
        <f>+E70</f>
        <v>6.3118999999999996</v>
      </c>
      <c r="G70" s="50">
        <f>ROUND(D70*E70,2)</f>
        <v>669.06</v>
      </c>
      <c r="H70" s="361"/>
      <c r="I70" s="362"/>
      <c r="J70" s="207"/>
      <c r="K70" s="363"/>
      <c r="L70" s="364"/>
      <c r="M70" s="365"/>
      <c r="N70" s="366"/>
      <c r="O70" s="367"/>
      <c r="P70" s="368"/>
      <c r="Q70" s="360"/>
      <c r="R70" s="349"/>
      <c r="S70" s="350"/>
      <c r="T70" s="351"/>
      <c r="U70" s="352"/>
    </row>
    <row r="71" spans="1:21" ht="15.75" thickBot="1">
      <c r="A71" s="369"/>
      <c r="B71" s="53" t="s">
        <v>66</v>
      </c>
      <c r="C71" s="99" t="s">
        <v>29</v>
      </c>
      <c r="D71" s="55">
        <v>44288</v>
      </c>
      <c r="E71" s="56">
        <v>6.3118999999999996</v>
      </c>
      <c r="F71" s="370">
        <f>+E71</f>
        <v>6.3118999999999996</v>
      </c>
      <c r="G71" s="58">
        <f>ROUND(D71*E71,2)</f>
        <v>279541.43</v>
      </c>
      <c r="H71" s="248"/>
      <c r="I71" s="203"/>
      <c r="J71" s="60"/>
      <c r="K71" s="203"/>
      <c r="L71" s="204"/>
      <c r="M71" s="371"/>
      <c r="N71" s="372"/>
      <c r="O71" s="373">
        <v>165882.5</v>
      </c>
      <c r="P71" s="374" t="s">
        <v>24</v>
      </c>
      <c r="Q71" s="373">
        <f>G71+J71-M71-N71-O71</f>
        <v>113658.93</v>
      </c>
      <c r="R71" s="349" t="s">
        <v>65</v>
      </c>
      <c r="S71" s="375">
        <f>SUM(O66:O71)</f>
        <v>173040.38</v>
      </c>
      <c r="T71" s="375">
        <f>SUM(Q66:Q71)</f>
        <v>-187038.31649999978</v>
      </c>
    </row>
    <row r="72" spans="1:21" s="81" customFormat="1" ht="15" customHeight="1">
      <c r="A72" s="376">
        <v>301</v>
      </c>
      <c r="B72" s="70" t="s">
        <v>67</v>
      </c>
      <c r="C72" s="377"/>
      <c r="D72" s="378">
        <v>581</v>
      </c>
      <c r="E72" s="21">
        <v>32.332000000000001</v>
      </c>
      <c r="F72" s="21">
        <v>37.889800000000001</v>
      </c>
      <c r="G72" s="379">
        <f>ROUND(D72*(E72+F72),2)</f>
        <v>40798.870000000003</v>
      </c>
      <c r="H72" s="380"/>
      <c r="I72" s="381">
        <v>183.82</v>
      </c>
      <c r="J72" s="381">
        <f>H72*I72</f>
        <v>0</v>
      </c>
      <c r="K72" s="342"/>
      <c r="L72" s="382">
        <f>+SUM(G72:G81,J72:J80)</f>
        <v>178137.15</v>
      </c>
      <c r="M72" s="26">
        <v>178137.15</v>
      </c>
      <c r="N72" s="383"/>
      <c r="O72" s="77"/>
      <c r="P72" s="77" t="s">
        <v>68</v>
      </c>
      <c r="Q72" s="384">
        <f t="shared" si="8"/>
        <v>-137338.28</v>
      </c>
      <c r="R72" s="385" t="s">
        <v>69</v>
      </c>
      <c r="S72" s="386"/>
      <c r="T72" s="387"/>
      <c r="U72" s="388"/>
    </row>
    <row r="73" spans="1:21" s="81" customFormat="1" ht="12.75">
      <c r="A73" s="389"/>
      <c r="B73" s="83"/>
      <c r="C73" s="390" t="s">
        <v>26</v>
      </c>
      <c r="D73" s="37">
        <v>0</v>
      </c>
      <c r="E73" s="38">
        <f>32.332-28.8628</f>
        <v>3.4692000000000007</v>
      </c>
      <c r="F73" s="38">
        <v>0</v>
      </c>
      <c r="G73" s="39">
        <f>ROUND(D73*(E73+F73),2)</f>
        <v>0</v>
      </c>
      <c r="H73" s="391"/>
      <c r="I73" s="392"/>
      <c r="J73" s="392"/>
      <c r="K73" s="393"/>
      <c r="L73" s="394"/>
      <c r="M73" s="90"/>
      <c r="N73" s="395"/>
      <c r="O73" s="94"/>
      <c r="P73" s="94"/>
      <c r="Q73" s="396"/>
      <c r="R73" s="397"/>
      <c r="S73" s="398"/>
      <c r="T73" s="399"/>
    </row>
    <row r="74" spans="1:21" s="81" customFormat="1" ht="12.75">
      <c r="A74" s="389"/>
      <c r="B74" s="98" t="s">
        <v>32</v>
      </c>
      <c r="C74" s="99" t="s">
        <v>33</v>
      </c>
      <c r="D74" s="37">
        <v>126</v>
      </c>
      <c r="E74" s="101">
        <v>291.8</v>
      </c>
      <c r="F74" s="38">
        <v>37.889800000000001</v>
      </c>
      <c r="G74" s="400">
        <f>ROUND(D74*(E74+F74),2)</f>
        <v>41540.910000000003</v>
      </c>
      <c r="H74" s="401"/>
      <c r="I74" s="402"/>
      <c r="J74" s="402"/>
      <c r="K74" s="403"/>
      <c r="L74" s="404"/>
      <c r="M74" s="102"/>
      <c r="N74" s="405"/>
      <c r="O74" s="406"/>
      <c r="P74" s="406" t="s">
        <v>68</v>
      </c>
      <c r="Q74" s="407">
        <f>+G74+J74-M74-N74-O74</f>
        <v>41540.910000000003</v>
      </c>
      <c r="R74" s="397" t="s">
        <v>69</v>
      </c>
      <c r="S74" s="398"/>
      <c r="T74" s="399"/>
    </row>
    <row r="75" spans="1:21" s="81" customFormat="1" ht="15" customHeight="1">
      <c r="A75" s="389"/>
      <c r="B75" s="98"/>
      <c r="C75" s="84"/>
      <c r="D75" s="37">
        <v>279</v>
      </c>
      <c r="E75" s="41">
        <f>291.8-352.37</f>
        <v>-60.569999999999993</v>
      </c>
      <c r="F75" s="38">
        <v>0</v>
      </c>
      <c r="G75" s="400">
        <f>+D75*(E75+F75)</f>
        <v>-16899.03</v>
      </c>
      <c r="H75" s="401"/>
      <c r="I75" s="402"/>
      <c r="J75" s="402"/>
      <c r="K75" s="408"/>
      <c r="L75" s="404"/>
      <c r="M75" s="102"/>
      <c r="N75" s="405"/>
      <c r="O75" s="406"/>
      <c r="P75" s="406"/>
      <c r="Q75" s="407"/>
      <c r="R75" s="397"/>
      <c r="S75" s="398"/>
      <c r="T75" s="399"/>
    </row>
    <row r="76" spans="1:21" s="81" customFormat="1" ht="15" customHeight="1">
      <c r="A76" s="389"/>
      <c r="B76" s="83"/>
      <c r="C76" s="84"/>
      <c r="D76" s="37"/>
      <c r="E76" s="41"/>
      <c r="F76" s="38"/>
      <c r="G76" s="400"/>
      <c r="H76" s="401"/>
      <c r="I76" s="402"/>
      <c r="J76" s="402"/>
      <c r="K76" s="408"/>
      <c r="L76" s="404"/>
      <c r="M76" s="102"/>
      <c r="N76" s="405"/>
      <c r="O76" s="406"/>
      <c r="P76" s="406"/>
      <c r="Q76" s="407"/>
      <c r="R76" s="397"/>
      <c r="S76" s="398"/>
      <c r="T76" s="399"/>
    </row>
    <row r="77" spans="1:21" s="81" customFormat="1" ht="15" customHeight="1">
      <c r="A77" s="389"/>
      <c r="B77" s="83" t="s">
        <v>70</v>
      </c>
      <c r="C77" s="84"/>
      <c r="D77" s="37"/>
      <c r="E77" s="41"/>
      <c r="F77" s="38">
        <v>33.830599999999997</v>
      </c>
      <c r="G77" s="400"/>
      <c r="H77" s="401"/>
      <c r="I77" s="402"/>
      <c r="J77" s="402"/>
      <c r="K77" s="408"/>
      <c r="L77" s="404"/>
      <c r="M77" s="102"/>
      <c r="N77" s="405"/>
      <c r="O77" s="406"/>
      <c r="P77" s="406"/>
      <c r="Q77" s="407"/>
      <c r="R77" s="397"/>
      <c r="S77" s="398"/>
      <c r="T77" s="399"/>
    </row>
    <row r="78" spans="1:21" s="81" customFormat="1" ht="15" customHeight="1">
      <c r="A78" s="389"/>
      <c r="B78" s="83"/>
      <c r="C78" s="48"/>
      <c r="D78" s="37">
        <v>0</v>
      </c>
      <c r="E78" s="41">
        <f>4.4128-4.4153</f>
        <v>-2.5000000000003908E-3</v>
      </c>
      <c r="F78" s="38"/>
      <c r="G78" s="39">
        <f>ROUND(D78*(E78+F78),2)</f>
        <v>0</v>
      </c>
      <c r="H78" s="37"/>
      <c r="I78" s="409"/>
      <c r="J78" s="409"/>
      <c r="K78" s="408"/>
      <c r="L78" s="404"/>
      <c r="M78" s="102"/>
      <c r="N78" s="405"/>
      <c r="O78" s="406"/>
      <c r="P78" s="406"/>
      <c r="Q78" s="407"/>
      <c r="R78" s="397"/>
      <c r="S78" s="398"/>
      <c r="T78" s="399"/>
    </row>
    <row r="79" spans="1:21" s="81" customFormat="1" ht="15" customHeight="1">
      <c r="A79" s="389"/>
      <c r="B79" s="83"/>
      <c r="C79" s="48" t="s">
        <v>135</v>
      </c>
      <c r="D79" s="37">
        <v>13312</v>
      </c>
      <c r="E79" s="41">
        <f>6.3119-5.9451</f>
        <v>0.36679999999999957</v>
      </c>
      <c r="F79" s="38">
        <f>+E79</f>
        <v>0.36679999999999957</v>
      </c>
      <c r="G79" s="39">
        <f>ROUND(D79*E79,2)-0.01</f>
        <v>4882.83</v>
      </c>
      <c r="H79" s="37"/>
      <c r="I79" s="409"/>
      <c r="J79" s="409"/>
      <c r="K79" s="408"/>
      <c r="L79" s="404"/>
      <c r="M79" s="102"/>
      <c r="N79" s="405"/>
      <c r="O79" s="406"/>
      <c r="P79" s="406"/>
      <c r="Q79" s="407"/>
      <c r="R79" s="397"/>
      <c r="S79" s="398"/>
      <c r="T79" s="399"/>
    </row>
    <row r="80" spans="1:21" s="81" customFormat="1" ht="15" customHeight="1">
      <c r="A80" s="389"/>
      <c r="B80" s="83"/>
      <c r="C80" s="48" t="s">
        <v>136</v>
      </c>
      <c r="D80" s="37">
        <v>41</v>
      </c>
      <c r="E80" s="41">
        <v>6.3118999999999996</v>
      </c>
      <c r="F80" s="41">
        <f>+E80</f>
        <v>6.3118999999999996</v>
      </c>
      <c r="G80" s="39">
        <f>ROUND(D80*E80,2)</f>
        <v>258.79000000000002</v>
      </c>
      <c r="H80" s="37"/>
      <c r="I80" s="409"/>
      <c r="J80" s="409"/>
      <c r="K80" s="410"/>
      <c r="L80" s="404"/>
      <c r="M80" s="102"/>
      <c r="N80" s="405"/>
      <c r="O80" s="406"/>
      <c r="P80" s="406"/>
      <c r="Q80" s="407"/>
      <c r="R80" s="397"/>
      <c r="S80" s="398"/>
      <c r="T80" s="399"/>
    </row>
    <row r="81" spans="1:20" s="81" customFormat="1" ht="15.75" customHeight="1" thickBot="1">
      <c r="A81" s="411"/>
      <c r="B81" s="412"/>
      <c r="C81" s="99" t="s">
        <v>29</v>
      </c>
      <c r="D81" s="413">
        <v>17040</v>
      </c>
      <c r="E81" s="56">
        <v>6.3118999999999996</v>
      </c>
      <c r="F81" s="370">
        <f>+E81</f>
        <v>6.3118999999999996</v>
      </c>
      <c r="G81" s="414">
        <f>ROUND(D81*E81,2)</f>
        <v>107554.78</v>
      </c>
      <c r="H81" s="248"/>
      <c r="I81" s="60"/>
      <c r="J81" s="60"/>
      <c r="K81" s="203"/>
      <c r="L81" s="204"/>
      <c r="M81" s="371"/>
      <c r="N81" s="415"/>
      <c r="O81" s="416"/>
      <c r="P81" s="416" t="s">
        <v>68</v>
      </c>
      <c r="Q81" s="417">
        <f>+G81+J81-M81-N81-O81</f>
        <v>107554.78</v>
      </c>
      <c r="R81" s="418" t="s">
        <v>69</v>
      </c>
      <c r="S81" s="419">
        <f>SUM(O72:O81)</f>
        <v>0</v>
      </c>
      <c r="T81" s="419">
        <f>SUM(Q72:Q81)</f>
        <v>11757.410000000003</v>
      </c>
    </row>
    <row r="82" spans="1:20" s="81" customFormat="1" ht="15.75" customHeight="1">
      <c r="A82" s="376"/>
      <c r="B82" s="420" t="s">
        <v>72</v>
      </c>
      <c r="C82" s="377" t="s">
        <v>73</v>
      </c>
      <c r="D82" s="378">
        <v>215</v>
      </c>
      <c r="E82" s="21">
        <v>32.332000000000001</v>
      </c>
      <c r="F82" s="21">
        <v>37.889800000000001</v>
      </c>
      <c r="G82" s="22">
        <f>+D82*(E82+F82)</f>
        <v>15097.687</v>
      </c>
      <c r="H82" s="303"/>
      <c r="I82" s="23"/>
      <c r="J82" s="341"/>
      <c r="K82" s="342"/>
      <c r="L82" s="263">
        <f>SUM(G82:G86,J82:J86)</f>
        <v>243461.19700000001</v>
      </c>
      <c r="M82" s="26">
        <v>243461.2</v>
      </c>
      <c r="N82" s="421"/>
      <c r="O82" s="77"/>
      <c r="P82" s="77"/>
      <c r="Q82" s="384"/>
      <c r="R82" s="422"/>
      <c r="S82" s="399"/>
      <c r="T82" s="399"/>
    </row>
    <row r="83" spans="1:20" s="81" customFormat="1" ht="15.75" customHeight="1">
      <c r="A83" s="389"/>
      <c r="B83" s="83"/>
      <c r="C83" s="84" t="s">
        <v>26</v>
      </c>
      <c r="D83" s="37">
        <v>0</v>
      </c>
      <c r="E83" s="38">
        <f>32.332-28.8628</f>
        <v>3.4692000000000007</v>
      </c>
      <c r="F83" s="38">
        <f>37.8898-33.8306</f>
        <v>4.0592000000000041</v>
      </c>
      <c r="G83" s="39">
        <f>ROUND(D83*(E83+F83),2)</f>
        <v>0</v>
      </c>
      <c r="H83" s="270"/>
      <c r="I83" s="41"/>
      <c r="J83" s="41"/>
      <c r="K83" s="271"/>
      <c r="L83" s="272"/>
      <c r="M83" s="102"/>
      <c r="N83" s="423"/>
      <c r="O83" s="406"/>
      <c r="P83" s="406"/>
      <c r="Q83" s="424"/>
      <c r="R83" s="422"/>
      <c r="S83" s="399"/>
      <c r="T83" s="399"/>
    </row>
    <row r="84" spans="1:20" s="81" customFormat="1" ht="15.75" customHeight="1">
      <c r="A84" s="389"/>
      <c r="B84" s="83"/>
      <c r="C84" s="48" t="s">
        <v>135</v>
      </c>
      <c r="D84" s="37">
        <v>32658</v>
      </c>
      <c r="E84" s="41">
        <f>6.3119-5.9451</f>
        <v>0.36679999999999957</v>
      </c>
      <c r="F84" s="38"/>
      <c r="G84" s="39">
        <f>ROUND(D84*(E84),2)</f>
        <v>11978.95</v>
      </c>
      <c r="H84" s="270"/>
      <c r="I84" s="41"/>
      <c r="J84" s="41"/>
      <c r="K84" s="271"/>
      <c r="L84" s="272"/>
      <c r="M84" s="102"/>
      <c r="N84" s="423"/>
      <c r="O84" s="406"/>
      <c r="P84" s="406"/>
      <c r="Q84" s="424"/>
      <c r="R84" s="422"/>
      <c r="S84" s="399"/>
      <c r="T84" s="399"/>
    </row>
    <row r="85" spans="1:20" s="81" customFormat="1" ht="15.75" customHeight="1">
      <c r="A85" s="389"/>
      <c r="B85" s="83"/>
      <c r="C85" s="48" t="s">
        <v>136</v>
      </c>
      <c r="D85" s="37">
        <v>82</v>
      </c>
      <c r="E85" s="41">
        <v>6.3118999999999996</v>
      </c>
      <c r="F85" s="38"/>
      <c r="G85" s="39">
        <f>ROUND(D85*(E85),2)</f>
        <v>517.58000000000004</v>
      </c>
      <c r="H85" s="270"/>
      <c r="I85" s="41"/>
      <c r="J85" s="41"/>
      <c r="K85" s="271"/>
      <c r="L85" s="272"/>
      <c r="M85" s="102"/>
      <c r="N85" s="423"/>
      <c r="O85" s="406"/>
      <c r="P85" s="406"/>
      <c r="Q85" s="425"/>
      <c r="R85" s="422"/>
      <c r="S85" s="399"/>
      <c r="T85" s="399"/>
    </row>
    <row r="86" spans="1:20" s="81" customFormat="1" ht="15.75" customHeight="1" thickBot="1">
      <c r="A86" s="411"/>
      <c r="B86" s="412"/>
      <c r="C86" s="99" t="s">
        <v>29</v>
      </c>
      <c r="D86" s="413">
        <v>34200</v>
      </c>
      <c r="E86" s="56">
        <v>6.3118999999999996</v>
      </c>
      <c r="F86" s="281"/>
      <c r="G86" s="414">
        <f>ROUND(D86*(E86),2)</f>
        <v>215866.98</v>
      </c>
      <c r="H86" s="280"/>
      <c r="I86" s="281"/>
      <c r="J86" s="281"/>
      <c r="K86" s="282"/>
      <c r="L86" s="204"/>
      <c r="M86" s="371"/>
      <c r="N86" s="426"/>
      <c r="O86" s="416"/>
      <c r="P86" s="416"/>
      <c r="Q86" s="417"/>
      <c r="R86" s="422"/>
      <c r="S86" s="399"/>
      <c r="T86" s="399"/>
    </row>
    <row r="87" spans="1:20" s="81" customFormat="1" ht="15.75" customHeight="1">
      <c r="A87" s="376"/>
      <c r="B87" s="427" t="s">
        <v>74</v>
      </c>
      <c r="C87" s="377" t="s">
        <v>73</v>
      </c>
      <c r="D87" s="378">
        <v>12</v>
      </c>
      <c r="E87" s="21">
        <v>32.332000000000001</v>
      </c>
      <c r="F87" s="21">
        <v>37.889800000000001</v>
      </c>
      <c r="G87" s="22">
        <f>ROUND(D87*(E87+F87),2)</f>
        <v>842.66</v>
      </c>
      <c r="H87" s="303"/>
      <c r="I87" s="23"/>
      <c r="J87" s="23">
        <v>0</v>
      </c>
      <c r="K87" s="342"/>
      <c r="L87" s="263">
        <f>SUM(G87:G93,J87:J93)</f>
        <v>19148.27</v>
      </c>
      <c r="M87" s="26">
        <v>19148.27</v>
      </c>
      <c r="N87" s="421"/>
      <c r="O87" s="77"/>
      <c r="P87" s="77"/>
      <c r="Q87" s="384"/>
      <c r="R87" s="422"/>
      <c r="S87" s="399"/>
      <c r="T87" s="399"/>
    </row>
    <row r="88" spans="1:20" s="81" customFormat="1" ht="15.75" customHeight="1">
      <c r="A88" s="389"/>
      <c r="B88" s="98" t="s">
        <v>75</v>
      </c>
      <c r="C88" s="84" t="s">
        <v>26</v>
      </c>
      <c r="D88" s="37"/>
      <c r="E88" s="38">
        <f>32.332-28.8628</f>
        <v>3.4692000000000007</v>
      </c>
      <c r="F88" s="38">
        <f>37.8898-33.8306</f>
        <v>4.0592000000000041</v>
      </c>
      <c r="G88" s="39">
        <f>ROUND(D88*(E88+F88),2)</f>
        <v>0</v>
      </c>
      <c r="H88" s="270"/>
      <c r="I88" s="41"/>
      <c r="J88" s="41"/>
      <c r="K88" s="354"/>
      <c r="L88" s="272"/>
      <c r="M88" s="102"/>
      <c r="N88" s="423"/>
      <c r="O88" s="406"/>
      <c r="P88" s="406"/>
      <c r="Q88" s="424"/>
      <c r="R88" s="422"/>
      <c r="S88" s="399"/>
      <c r="T88" s="399"/>
    </row>
    <row r="89" spans="1:20" s="81" customFormat="1" ht="15.75" customHeight="1">
      <c r="A89" s="389"/>
      <c r="B89" s="83"/>
      <c r="C89" s="99" t="s">
        <v>33</v>
      </c>
      <c r="D89" s="428">
        <v>5</v>
      </c>
      <c r="E89" s="101">
        <v>291.8</v>
      </c>
      <c r="F89" s="38">
        <v>37.889800000000001</v>
      </c>
      <c r="G89" s="39">
        <f>ROUND(D89*(E89+F89),2)</f>
        <v>1648.45</v>
      </c>
      <c r="H89" s="270"/>
      <c r="I89" s="41"/>
      <c r="J89" s="41"/>
      <c r="K89" s="271"/>
      <c r="L89" s="272"/>
      <c r="M89" s="102"/>
      <c r="N89" s="423"/>
      <c r="O89" s="406"/>
      <c r="P89" s="406"/>
      <c r="Q89" s="424"/>
      <c r="R89" s="422"/>
      <c r="S89" s="399"/>
      <c r="T89" s="399"/>
    </row>
    <row r="90" spans="1:20" s="81" customFormat="1" ht="15.75" customHeight="1">
      <c r="A90" s="389"/>
      <c r="B90" s="83"/>
      <c r="C90" s="48" t="s">
        <v>76</v>
      </c>
      <c r="D90" s="37">
        <v>6</v>
      </c>
      <c r="E90" s="41">
        <f>291.8-352.37</f>
        <v>-60.569999999999993</v>
      </c>
      <c r="F90" s="38"/>
      <c r="G90" s="39">
        <f>ROUND(D90*(E90+F90),2)</f>
        <v>-363.42</v>
      </c>
      <c r="H90" s="270"/>
      <c r="I90" s="41"/>
      <c r="J90" s="41"/>
      <c r="K90" s="271"/>
      <c r="L90" s="272"/>
      <c r="M90" s="102"/>
      <c r="N90" s="423"/>
      <c r="O90" s="406"/>
      <c r="P90" s="406"/>
      <c r="Q90" s="424"/>
      <c r="R90" s="422"/>
      <c r="S90" s="399"/>
      <c r="T90" s="399"/>
    </row>
    <row r="91" spans="1:20" s="81" customFormat="1" ht="15.75" customHeight="1">
      <c r="A91" s="389"/>
      <c r="B91" s="83"/>
      <c r="C91" s="48" t="s">
        <v>135</v>
      </c>
      <c r="D91" s="37">
        <v>2245.4</v>
      </c>
      <c r="E91" s="41">
        <f>6.3119-5.9451</f>
        <v>0.36679999999999957</v>
      </c>
      <c r="F91" s="38"/>
      <c r="G91" s="39">
        <f>ROUND(D91*(E91+F91),2)+0.01</f>
        <v>823.62</v>
      </c>
      <c r="H91" s="270"/>
      <c r="I91" s="41"/>
      <c r="J91" s="41"/>
      <c r="K91" s="271"/>
      <c r="L91" s="272"/>
      <c r="M91" s="102"/>
      <c r="N91" s="423"/>
      <c r="O91" s="406"/>
      <c r="P91" s="406"/>
      <c r="Q91" s="424"/>
      <c r="R91" s="422"/>
      <c r="S91" s="399"/>
      <c r="T91" s="399"/>
    </row>
    <row r="92" spans="1:20" s="81" customFormat="1" ht="15.75" customHeight="1">
      <c r="A92" s="389"/>
      <c r="B92" s="83"/>
      <c r="C92" s="48" t="s">
        <v>136</v>
      </c>
      <c r="D92" s="37">
        <v>6.1</v>
      </c>
      <c r="E92" s="41">
        <v>6.3118999999999996</v>
      </c>
      <c r="F92" s="38"/>
      <c r="G92" s="39">
        <f>ROUND(D92*E92,2)</f>
        <v>38.5</v>
      </c>
      <c r="H92" s="270"/>
      <c r="I92" s="41"/>
      <c r="J92" s="41"/>
      <c r="K92" s="271"/>
      <c r="L92" s="272"/>
      <c r="M92" s="102"/>
      <c r="N92" s="423"/>
      <c r="O92" s="406"/>
      <c r="P92" s="406"/>
      <c r="Q92" s="425"/>
      <c r="R92" s="422"/>
      <c r="S92" s="399"/>
      <c r="T92" s="399"/>
    </row>
    <row r="93" spans="1:20" s="81" customFormat="1" ht="15" customHeight="1" thickBot="1">
      <c r="A93" s="411"/>
      <c r="B93" s="412"/>
      <c r="C93" s="99" t="s">
        <v>29</v>
      </c>
      <c r="D93" s="413">
        <v>2560</v>
      </c>
      <c r="E93" s="56">
        <v>6.3118999999999996</v>
      </c>
      <c r="F93" s="281"/>
      <c r="G93" s="414">
        <f t="shared" ref="G93:G100" si="9">ROUND(D93*(E93+F93),2)</f>
        <v>16158.46</v>
      </c>
      <c r="H93" s="280"/>
      <c r="I93" s="281"/>
      <c r="J93" s="281"/>
      <c r="K93" s="282"/>
      <c r="L93" s="204"/>
      <c r="M93" s="371"/>
      <c r="N93" s="426"/>
      <c r="O93" s="416"/>
      <c r="P93" s="416"/>
      <c r="Q93" s="417"/>
      <c r="R93" s="422"/>
      <c r="S93" s="399"/>
      <c r="T93" s="399"/>
    </row>
    <row r="94" spans="1:20" s="81" customFormat="1" ht="15" customHeight="1">
      <c r="A94" s="376"/>
      <c r="B94" s="420" t="s">
        <v>77</v>
      </c>
      <c r="C94" s="377" t="s">
        <v>73</v>
      </c>
      <c r="D94" s="378">
        <v>3</v>
      </c>
      <c r="E94" s="21">
        <v>32.332000000000001</v>
      </c>
      <c r="F94" s="21">
        <v>37.889800000000001</v>
      </c>
      <c r="G94" s="22">
        <f t="shared" si="9"/>
        <v>210.67</v>
      </c>
      <c r="H94" s="303"/>
      <c r="I94" s="23">
        <v>183.82</v>
      </c>
      <c r="J94" s="381">
        <f>H94*I94</f>
        <v>0</v>
      </c>
      <c r="K94" s="342"/>
      <c r="L94" s="382">
        <f>+SUM(G94:G100,J94:J100)</f>
        <v>3431.88</v>
      </c>
      <c r="M94" s="26">
        <v>3431.88</v>
      </c>
      <c r="N94" s="421"/>
      <c r="O94" s="77"/>
      <c r="P94" s="77"/>
      <c r="Q94" s="384"/>
      <c r="R94" s="422"/>
      <c r="S94" s="399"/>
      <c r="T94" s="399"/>
    </row>
    <row r="95" spans="1:20" s="81" customFormat="1" ht="15" customHeight="1">
      <c r="A95" s="389"/>
      <c r="B95" s="83"/>
      <c r="C95" s="84" t="s">
        <v>26</v>
      </c>
      <c r="D95" s="37"/>
      <c r="E95" s="38">
        <v>3.4692000000000007</v>
      </c>
      <c r="F95" s="38"/>
      <c r="G95" s="39">
        <f t="shared" si="9"/>
        <v>0</v>
      </c>
      <c r="H95" s="270"/>
      <c r="I95" s="41"/>
      <c r="J95" s="402"/>
      <c r="K95" s="354"/>
      <c r="L95" s="429"/>
      <c r="M95" s="102"/>
      <c r="N95" s="430"/>
      <c r="O95" s="431"/>
      <c r="P95" s="431"/>
      <c r="Q95" s="424"/>
      <c r="R95" s="422"/>
      <c r="S95" s="399"/>
      <c r="T95" s="399"/>
    </row>
    <row r="96" spans="1:20" s="81" customFormat="1" ht="15" customHeight="1">
      <c r="A96" s="389"/>
      <c r="B96" s="98" t="s">
        <v>32</v>
      </c>
      <c r="C96" s="99" t="s">
        <v>33</v>
      </c>
      <c r="D96" s="37">
        <v>4</v>
      </c>
      <c r="E96" s="101">
        <v>291.8</v>
      </c>
      <c r="F96" s="38">
        <v>37.889800000000001</v>
      </c>
      <c r="G96" s="39">
        <f t="shared" si="9"/>
        <v>1318.76</v>
      </c>
      <c r="H96" s="270"/>
      <c r="I96" s="41"/>
      <c r="J96" s="41"/>
      <c r="K96" s="271"/>
      <c r="L96" s="272"/>
      <c r="M96" s="102"/>
      <c r="N96" s="430"/>
      <c r="O96" s="431"/>
      <c r="P96" s="431"/>
      <c r="Q96" s="424"/>
      <c r="R96" s="422"/>
      <c r="S96" s="399"/>
      <c r="T96" s="399"/>
    </row>
    <row r="97" spans="1:20" s="81" customFormat="1" ht="15" customHeight="1">
      <c r="A97" s="389"/>
      <c r="B97" s="83"/>
      <c r="C97" s="48" t="s">
        <v>78</v>
      </c>
      <c r="D97" s="37">
        <v>4</v>
      </c>
      <c r="E97" s="41">
        <f>291.8-352.37</f>
        <v>-60.569999999999993</v>
      </c>
      <c r="F97" s="38"/>
      <c r="G97" s="39">
        <f>ROUND(D97*(E97+F97),2)</f>
        <v>-242.28</v>
      </c>
      <c r="H97" s="270"/>
      <c r="I97" s="41"/>
      <c r="J97" s="41"/>
      <c r="K97" s="271"/>
      <c r="L97" s="272"/>
      <c r="M97" s="102"/>
      <c r="N97" s="430"/>
      <c r="O97" s="431"/>
      <c r="P97" s="431"/>
      <c r="Q97" s="424"/>
      <c r="R97" s="422"/>
      <c r="S97" s="399"/>
      <c r="T97" s="399"/>
    </row>
    <row r="98" spans="1:20" s="81" customFormat="1" ht="15" customHeight="1">
      <c r="A98" s="389"/>
      <c r="B98" s="83"/>
      <c r="C98" s="48" t="s">
        <v>135</v>
      </c>
      <c r="D98" s="37">
        <v>326.8</v>
      </c>
      <c r="E98" s="41">
        <f>6.3119-5.9451</f>
        <v>0.36679999999999957</v>
      </c>
      <c r="F98" s="38"/>
      <c r="G98" s="39">
        <f>ROUND(D98*(E98+F98),2)</f>
        <v>119.87</v>
      </c>
      <c r="H98" s="270"/>
      <c r="I98" s="41"/>
      <c r="J98" s="41"/>
      <c r="K98" s="271"/>
      <c r="L98" s="272"/>
      <c r="M98" s="102"/>
      <c r="N98" s="430"/>
      <c r="O98" s="431"/>
      <c r="P98" s="431"/>
      <c r="Q98" s="424"/>
      <c r="R98" s="422"/>
      <c r="S98" s="399"/>
      <c r="T98" s="399"/>
    </row>
    <row r="99" spans="1:20" s="81" customFormat="1" ht="15" customHeight="1">
      <c r="A99" s="389"/>
      <c r="B99" s="83"/>
      <c r="C99" s="48" t="s">
        <v>136</v>
      </c>
      <c r="D99" s="37">
        <v>0.8</v>
      </c>
      <c r="E99" s="41">
        <v>6.3118999999999996</v>
      </c>
      <c r="F99" s="38"/>
      <c r="G99" s="39">
        <f t="shared" si="9"/>
        <v>5.05</v>
      </c>
      <c r="H99" s="432"/>
      <c r="I99" s="207"/>
      <c r="J99" s="207"/>
      <c r="K99" s="362"/>
      <c r="L99" s="433"/>
      <c r="M99" s="63"/>
      <c r="N99" s="434"/>
      <c r="O99" s="435"/>
      <c r="P99" s="435"/>
      <c r="Q99" s="425"/>
      <c r="R99" s="422"/>
      <c r="S99" s="399"/>
      <c r="T99" s="399"/>
    </row>
    <row r="100" spans="1:20" s="81" customFormat="1" ht="15" customHeight="1" thickBot="1">
      <c r="A100" s="411"/>
      <c r="B100" s="412"/>
      <c r="C100" s="99" t="s">
        <v>29</v>
      </c>
      <c r="D100" s="413">
        <v>320</v>
      </c>
      <c r="E100" s="56">
        <v>6.3118999999999996</v>
      </c>
      <c r="F100" s="281"/>
      <c r="G100" s="414">
        <f t="shared" si="9"/>
        <v>2019.81</v>
      </c>
      <c r="H100" s="280"/>
      <c r="I100" s="281"/>
      <c r="J100" s="281"/>
      <c r="K100" s="282"/>
      <c r="L100" s="204"/>
      <c r="M100" s="371"/>
      <c r="N100" s="426"/>
      <c r="O100" s="416"/>
      <c r="P100" s="416"/>
      <c r="Q100" s="417"/>
      <c r="R100" s="436"/>
      <c r="S100" s="399"/>
      <c r="T100" s="399"/>
    </row>
    <row r="101" spans="1:20" s="81" customFormat="1" ht="15" customHeight="1">
      <c r="A101" s="437"/>
      <c r="B101" s="438" t="s">
        <v>38</v>
      </c>
      <c r="C101" s="439"/>
      <c r="D101" s="378"/>
      <c r="E101" s="23"/>
      <c r="F101" s="23"/>
      <c r="G101" s="22"/>
      <c r="H101" s="303"/>
      <c r="I101" s="23"/>
      <c r="J101" s="23"/>
      <c r="K101" s="304"/>
      <c r="L101" s="382">
        <f>+SUM(G101:G104,J101:J104)</f>
        <v>2978.87</v>
      </c>
      <c r="M101" s="26">
        <v>2978.87</v>
      </c>
      <c r="N101" s="421"/>
      <c r="O101" s="77"/>
      <c r="P101" s="77"/>
      <c r="Q101" s="77">
        <f>+L101-M101</f>
        <v>0</v>
      </c>
      <c r="R101" s="440"/>
      <c r="S101" s="399"/>
      <c r="T101" s="399"/>
    </row>
    <row r="102" spans="1:20" s="81" customFormat="1" ht="15" customHeight="1">
      <c r="A102" s="441"/>
      <c r="B102" s="442"/>
      <c r="C102" s="48" t="s">
        <v>135</v>
      </c>
      <c r="D102" s="37">
        <v>548</v>
      </c>
      <c r="E102" s="41">
        <f>6.3119-5.9451</f>
        <v>0.36679999999999957</v>
      </c>
      <c r="F102" s="41"/>
      <c r="G102" s="39">
        <f>ROUND(D102*E102,2)</f>
        <v>201.01</v>
      </c>
      <c r="H102" s="260"/>
      <c r="I102" s="261"/>
      <c r="J102" s="261"/>
      <c r="K102" s="262"/>
      <c r="L102" s="394"/>
      <c r="M102" s="90"/>
      <c r="N102" s="443"/>
      <c r="O102" s="94"/>
      <c r="P102" s="94"/>
      <c r="Q102" s="94"/>
      <c r="R102" s="422"/>
      <c r="S102" s="399"/>
      <c r="T102" s="399"/>
    </row>
    <row r="103" spans="1:20" s="81" customFormat="1">
      <c r="A103" s="441"/>
      <c r="B103" s="444"/>
      <c r="C103" s="48" t="s">
        <v>136</v>
      </c>
      <c r="D103" s="37">
        <v>1.1000000000000001</v>
      </c>
      <c r="E103" s="41">
        <v>6.3118999999999996</v>
      </c>
      <c r="F103" s="41"/>
      <c r="G103" s="39">
        <f t="shared" ref="G103:G113" si="10">ROUND(D103*E103,2)</f>
        <v>6.94</v>
      </c>
      <c r="H103" s="432"/>
      <c r="I103" s="207"/>
      <c r="J103" s="207"/>
      <c r="K103" s="362"/>
      <c r="L103" s="433"/>
      <c r="M103" s="63"/>
      <c r="N103" s="423"/>
      <c r="O103" s="406"/>
      <c r="P103" s="406"/>
      <c r="Q103" s="406"/>
      <c r="R103" s="422"/>
      <c r="S103" s="399"/>
      <c r="T103" s="399"/>
    </row>
    <row r="104" spans="1:20" s="81" customFormat="1" ht="15" customHeight="1" thickBot="1">
      <c r="A104" s="445"/>
      <c r="B104" s="446"/>
      <c r="C104" s="99" t="s">
        <v>29</v>
      </c>
      <c r="D104" s="413">
        <v>439</v>
      </c>
      <c r="E104" s="56">
        <v>6.3118999999999996</v>
      </c>
      <c r="F104" s="281"/>
      <c r="G104" s="414">
        <f t="shared" si="10"/>
        <v>2770.92</v>
      </c>
      <c r="H104" s="280"/>
      <c r="I104" s="281"/>
      <c r="J104" s="281"/>
      <c r="K104" s="282"/>
      <c r="L104" s="204"/>
      <c r="M104" s="371"/>
      <c r="N104" s="434"/>
      <c r="O104" s="435"/>
      <c r="P104" s="435"/>
      <c r="Q104" s="435"/>
      <c r="R104" s="422"/>
      <c r="S104" s="399"/>
      <c r="T104" s="399"/>
    </row>
    <row r="105" spans="1:20" s="81" customFormat="1" ht="15" customHeight="1">
      <c r="A105" s="437"/>
      <c r="B105" s="438" t="s">
        <v>122</v>
      </c>
      <c r="C105" s="439"/>
      <c r="D105" s="378"/>
      <c r="E105" s="23"/>
      <c r="F105" s="23"/>
      <c r="G105" s="22"/>
      <c r="H105" s="303"/>
      <c r="I105" s="23"/>
      <c r="J105" s="23"/>
      <c r="K105" s="304"/>
      <c r="L105" s="382">
        <f>+SUM(G105:G108,J105:J108)</f>
        <v>1355.57</v>
      </c>
      <c r="M105" s="26">
        <v>1355.57</v>
      </c>
      <c r="N105" s="421"/>
      <c r="O105" s="77"/>
      <c r="P105" s="77"/>
      <c r="Q105" s="77"/>
      <c r="R105" s="440"/>
      <c r="S105" s="399"/>
      <c r="T105" s="399"/>
    </row>
    <row r="106" spans="1:20" s="81" customFormat="1" ht="15" customHeight="1" thickBot="1">
      <c r="A106" s="441"/>
      <c r="B106" s="442"/>
      <c r="C106" s="48" t="s">
        <v>135</v>
      </c>
      <c r="D106" s="37">
        <v>125</v>
      </c>
      <c r="E106" s="41">
        <f>6.3119-5.9451</f>
        <v>0.36679999999999957</v>
      </c>
      <c r="F106" s="41"/>
      <c r="G106" s="414">
        <f t="shared" si="10"/>
        <v>45.85</v>
      </c>
      <c r="H106" s="260"/>
      <c r="I106" s="261"/>
      <c r="J106" s="261"/>
      <c r="K106" s="262"/>
      <c r="L106" s="394"/>
      <c r="M106" s="90"/>
      <c r="N106" s="443"/>
      <c r="O106" s="94"/>
      <c r="P106" s="94"/>
      <c r="Q106" s="94"/>
      <c r="R106" s="422"/>
      <c r="S106" s="399"/>
      <c r="T106" s="399"/>
    </row>
    <row r="107" spans="1:20" s="81" customFormat="1" ht="15" customHeight="1" thickBot="1">
      <c r="A107" s="441"/>
      <c r="B107" s="444"/>
      <c r="C107" s="48" t="s">
        <v>136</v>
      </c>
      <c r="D107" s="37">
        <v>0.5</v>
      </c>
      <c r="E107" s="41">
        <v>6.3118999999999996</v>
      </c>
      <c r="F107" s="41"/>
      <c r="G107" s="414">
        <f t="shared" si="10"/>
        <v>3.16</v>
      </c>
      <c r="H107" s="432"/>
      <c r="I107" s="207"/>
      <c r="J107" s="207"/>
      <c r="K107" s="362"/>
      <c r="L107" s="433"/>
      <c r="M107" s="63"/>
      <c r="N107" s="423"/>
      <c r="O107" s="406"/>
      <c r="P107" s="406"/>
      <c r="Q107" s="406"/>
      <c r="R107" s="422"/>
      <c r="S107" s="399"/>
      <c r="T107" s="399"/>
    </row>
    <row r="108" spans="1:20" s="81" customFormat="1" ht="15" customHeight="1" thickBot="1">
      <c r="A108" s="445"/>
      <c r="B108" s="446"/>
      <c r="C108" s="99" t="s">
        <v>29</v>
      </c>
      <c r="D108" s="413">
        <v>207</v>
      </c>
      <c r="E108" s="56">
        <v>6.3118999999999996</v>
      </c>
      <c r="F108" s="281"/>
      <c r="G108" s="414">
        <f t="shared" si="10"/>
        <v>1306.56</v>
      </c>
      <c r="H108" s="280"/>
      <c r="I108" s="281"/>
      <c r="J108" s="281"/>
      <c r="K108" s="282"/>
      <c r="L108" s="204"/>
      <c r="M108" s="371"/>
      <c r="N108" s="434"/>
      <c r="O108" s="435"/>
      <c r="P108" s="435"/>
      <c r="Q108" s="435"/>
      <c r="R108" s="422"/>
      <c r="S108" s="399"/>
      <c r="T108" s="399"/>
    </row>
    <row r="109" spans="1:20" s="81" customFormat="1" ht="15" customHeight="1">
      <c r="A109" s="447"/>
      <c r="B109" s="438" t="s">
        <v>79</v>
      </c>
      <c r="C109" s="48" t="s">
        <v>135</v>
      </c>
      <c r="D109" s="448">
        <v>4301</v>
      </c>
      <c r="E109" s="41">
        <f>6.3119-5.9451</f>
        <v>0.36679999999999957</v>
      </c>
      <c r="F109" s="261"/>
      <c r="G109" s="449">
        <f>ROUND(D109*E109,2)</f>
        <v>1577.61</v>
      </c>
      <c r="H109" s="303"/>
      <c r="I109" s="23"/>
      <c r="J109" s="23"/>
      <c r="K109" s="304"/>
      <c r="L109" s="263">
        <f>SUM(G109:G111)</f>
        <v>34853.94</v>
      </c>
      <c r="M109" s="26">
        <v>34853.94</v>
      </c>
      <c r="N109" s="421"/>
      <c r="O109" s="77"/>
      <c r="P109" s="77"/>
      <c r="Q109" s="384"/>
      <c r="R109" s="422"/>
      <c r="S109" s="399"/>
      <c r="T109" s="399"/>
    </row>
    <row r="110" spans="1:20" s="81" customFormat="1" ht="15" customHeight="1">
      <c r="A110" s="450"/>
      <c r="B110" s="442"/>
      <c r="C110" s="48" t="s">
        <v>136</v>
      </c>
      <c r="D110" s="448">
        <v>13</v>
      </c>
      <c r="E110" s="41">
        <v>6.3118999999999996</v>
      </c>
      <c r="F110" s="261"/>
      <c r="G110" s="449">
        <f t="shared" si="10"/>
        <v>82.05</v>
      </c>
      <c r="H110" s="260"/>
      <c r="I110" s="261"/>
      <c r="J110" s="261"/>
      <c r="K110" s="262"/>
      <c r="L110" s="286"/>
      <c r="M110" s="90"/>
      <c r="N110" s="423"/>
      <c r="O110" s="406"/>
      <c r="P110" s="406"/>
      <c r="Q110" s="407"/>
      <c r="R110" s="422"/>
      <c r="S110" s="399"/>
      <c r="T110" s="399"/>
    </row>
    <row r="111" spans="1:20" s="81" customFormat="1" ht="15" customHeight="1" thickBot="1">
      <c r="A111" s="451"/>
      <c r="B111" s="446"/>
      <c r="C111" s="99" t="s">
        <v>29</v>
      </c>
      <c r="D111" s="452">
        <v>5259</v>
      </c>
      <c r="E111" s="56">
        <v>6.3118999999999996</v>
      </c>
      <c r="F111" s="207"/>
      <c r="G111" s="453">
        <f t="shared" si="10"/>
        <v>33194.28</v>
      </c>
      <c r="H111" s="280"/>
      <c r="I111" s="281"/>
      <c r="J111" s="281"/>
      <c r="K111" s="282"/>
      <c r="L111" s="204"/>
      <c r="M111" s="371"/>
      <c r="N111" s="426"/>
      <c r="O111" s="416"/>
      <c r="P111" s="416"/>
      <c r="Q111" s="417"/>
      <c r="R111" s="422"/>
      <c r="S111" s="399"/>
      <c r="T111" s="399"/>
    </row>
    <row r="112" spans="1:20" s="81" customFormat="1" ht="15" customHeight="1">
      <c r="A112" s="707"/>
      <c r="B112" s="438" t="s">
        <v>80</v>
      </c>
      <c r="C112" s="48" t="s">
        <v>136</v>
      </c>
      <c r="D112" s="378">
        <v>10.6</v>
      </c>
      <c r="E112" s="454">
        <v>6.0907999999999998</v>
      </c>
      <c r="F112" s="23"/>
      <c r="G112" s="22">
        <f>ROUND(D112*E112,2)</f>
        <v>64.56</v>
      </c>
      <c r="H112" s="303"/>
      <c r="I112" s="23"/>
      <c r="J112" s="23"/>
      <c r="K112" s="304"/>
      <c r="L112" s="263">
        <f>SUM(G112:G113)</f>
        <v>26998.080000000002</v>
      </c>
      <c r="M112" s="26">
        <v>26998.080000000002</v>
      </c>
      <c r="N112" s="421"/>
      <c r="O112" s="77"/>
      <c r="P112" s="77"/>
      <c r="Q112" s="384"/>
      <c r="R112" s="422" t="s">
        <v>81</v>
      </c>
      <c r="S112" s="399"/>
      <c r="T112" s="399"/>
    </row>
    <row r="113" spans="1:20" s="81" customFormat="1" ht="15" customHeight="1">
      <c r="A113" s="708"/>
      <c r="B113" s="442"/>
      <c r="C113" s="48" t="s">
        <v>139</v>
      </c>
      <c r="D113" s="37">
        <v>4422</v>
      </c>
      <c r="E113" s="455">
        <v>6.0907999999999998</v>
      </c>
      <c r="F113" s="41"/>
      <c r="G113" s="39">
        <f t="shared" si="10"/>
        <v>26933.52</v>
      </c>
      <c r="H113" s="270"/>
      <c r="I113" s="41"/>
      <c r="J113" s="41"/>
      <c r="K113" s="271"/>
      <c r="L113" s="272"/>
      <c r="M113" s="102"/>
      <c r="N113" s="423"/>
      <c r="O113" s="406"/>
      <c r="P113" s="406"/>
      <c r="Q113" s="407"/>
      <c r="R113" s="422"/>
      <c r="S113" s="399"/>
      <c r="T113" s="399"/>
    </row>
    <row r="114" spans="1:20" s="81" customFormat="1" ht="15" customHeight="1" thickBot="1">
      <c r="A114" s="709"/>
      <c r="B114" s="446"/>
      <c r="C114" s="456"/>
      <c r="D114" s="413"/>
      <c r="E114" s="281"/>
      <c r="F114" s="281"/>
      <c r="G114" s="414"/>
      <c r="H114" s="280"/>
      <c r="I114" s="281"/>
      <c r="J114" s="281"/>
      <c r="K114" s="282"/>
      <c r="L114" s="204"/>
      <c r="M114" s="371"/>
      <c r="N114" s="426"/>
      <c r="O114" s="416"/>
      <c r="P114" s="416"/>
      <c r="Q114" s="417"/>
      <c r="R114" s="422"/>
      <c r="S114" s="399"/>
      <c r="T114" s="399"/>
    </row>
    <row r="115" spans="1:20" s="81" customFormat="1" ht="15" customHeight="1">
      <c r="A115" s="437"/>
      <c r="B115" s="438" t="s">
        <v>82</v>
      </c>
      <c r="C115" s="377" t="s">
        <v>73</v>
      </c>
      <c r="D115" s="378">
        <v>24</v>
      </c>
      <c r="E115" s="21">
        <v>32.332000000000001</v>
      </c>
      <c r="F115" s="21">
        <v>37.889800000000001</v>
      </c>
      <c r="G115" s="22">
        <f>+D115*(E115+F115)</f>
        <v>1685.3232</v>
      </c>
      <c r="H115" s="303"/>
      <c r="I115" s="23"/>
      <c r="J115" s="341"/>
      <c r="K115" s="342"/>
      <c r="L115" s="263">
        <f>SUM(G115:G119,J115:J119)</f>
        <v>82045.133200000011</v>
      </c>
      <c r="M115" s="26">
        <v>82045.13</v>
      </c>
      <c r="N115" s="421"/>
      <c r="O115" s="77"/>
      <c r="P115" s="77"/>
      <c r="Q115" s="384"/>
      <c r="R115" s="422"/>
      <c r="S115" s="399"/>
      <c r="T115" s="399"/>
    </row>
    <row r="116" spans="1:20" s="81" customFormat="1" ht="15" customHeight="1">
      <c r="A116" s="441"/>
      <c r="B116" s="442"/>
      <c r="C116" s="36" t="s">
        <v>26</v>
      </c>
      <c r="D116" s="37">
        <v>0</v>
      </c>
      <c r="E116" s="38">
        <v>3.4692000000000007</v>
      </c>
      <c r="F116" s="38">
        <f>37.8898-33.8306</f>
        <v>4.0592000000000041</v>
      </c>
      <c r="G116" s="39">
        <f>ROUND(D116*(E116+F116),2)</f>
        <v>0</v>
      </c>
      <c r="H116" s="457"/>
      <c r="I116" s="199"/>
      <c r="J116" s="199"/>
      <c r="K116" s="458"/>
      <c r="L116" s="459"/>
      <c r="M116" s="44"/>
      <c r="N116" s="430"/>
      <c r="O116" s="431"/>
      <c r="P116" s="431"/>
      <c r="Q116" s="424"/>
      <c r="R116" s="422"/>
      <c r="S116" s="399"/>
      <c r="T116" s="399"/>
    </row>
    <row r="117" spans="1:20" s="81" customFormat="1" ht="15" customHeight="1">
      <c r="A117" s="441"/>
      <c r="B117" s="442"/>
      <c r="C117" s="48" t="s">
        <v>135</v>
      </c>
      <c r="D117" s="37">
        <v>9834</v>
      </c>
      <c r="E117" s="41">
        <f>6.3119-5.9451</f>
        <v>0.36679999999999957</v>
      </c>
      <c r="F117" s="38"/>
      <c r="G117" s="39">
        <f>ROUND(D117*(E117),2)-0.01</f>
        <v>3607.1</v>
      </c>
      <c r="H117" s="270"/>
      <c r="I117" s="41"/>
      <c r="J117" s="41"/>
      <c r="K117" s="271"/>
      <c r="L117" s="272"/>
      <c r="M117" s="102"/>
      <c r="N117" s="430"/>
      <c r="O117" s="431"/>
      <c r="P117" s="431"/>
      <c r="Q117" s="424"/>
      <c r="R117" s="422"/>
      <c r="S117" s="399"/>
      <c r="T117" s="399"/>
    </row>
    <row r="118" spans="1:20" s="81" customFormat="1" ht="15" customHeight="1">
      <c r="A118" s="441"/>
      <c r="B118" s="442"/>
      <c r="C118" s="48" t="s">
        <v>136</v>
      </c>
      <c r="D118" s="37">
        <v>29</v>
      </c>
      <c r="E118" s="41">
        <v>6.3118999999999996</v>
      </c>
      <c r="F118" s="38"/>
      <c r="G118" s="39">
        <f>ROUND(D118*(E118),2)</f>
        <v>183.05</v>
      </c>
      <c r="H118" s="270"/>
      <c r="I118" s="41"/>
      <c r="J118" s="41"/>
      <c r="K118" s="271"/>
      <c r="L118" s="272"/>
      <c r="M118" s="102"/>
      <c r="N118" s="434"/>
      <c r="O118" s="435"/>
      <c r="P118" s="435"/>
      <c r="Q118" s="425"/>
      <c r="R118" s="422"/>
      <c r="S118" s="399"/>
      <c r="T118" s="399"/>
    </row>
    <row r="119" spans="1:20" s="81" customFormat="1" ht="15" customHeight="1" thickBot="1">
      <c r="A119" s="460"/>
      <c r="B119" s="461"/>
      <c r="C119" s="99" t="s">
        <v>29</v>
      </c>
      <c r="D119" s="462">
        <v>12131</v>
      </c>
      <c r="E119" s="56">
        <v>6.3118999999999996</v>
      </c>
      <c r="F119" s="311"/>
      <c r="G119" s="110">
        <f>ROUND(D119*(E119),2)</f>
        <v>76569.66</v>
      </c>
      <c r="H119" s="310"/>
      <c r="I119" s="311"/>
      <c r="J119" s="311"/>
      <c r="K119" s="312"/>
      <c r="L119" s="313"/>
      <c r="M119" s="115"/>
      <c r="N119" s="463"/>
      <c r="O119" s="464"/>
      <c r="P119" s="464"/>
      <c r="Q119" s="465"/>
      <c r="R119" s="466"/>
      <c r="S119" s="467"/>
      <c r="T119" s="399"/>
    </row>
    <row r="120" spans="1:20" s="81" customFormat="1" ht="15" customHeight="1" thickTop="1">
      <c r="A120" s="437"/>
      <c r="B120" s="438" t="s">
        <v>83</v>
      </c>
      <c r="C120" s="377" t="s">
        <v>73</v>
      </c>
      <c r="D120" s="378">
        <v>1</v>
      </c>
      <c r="E120" s="21">
        <v>32.332000000000001</v>
      </c>
      <c r="F120" s="21">
        <v>37.889800000000001</v>
      </c>
      <c r="G120" s="22">
        <f>+D120*(E120+F120)</f>
        <v>70.221800000000002</v>
      </c>
      <c r="H120" s="303"/>
      <c r="I120" s="23"/>
      <c r="J120" s="341"/>
      <c r="K120" s="342"/>
      <c r="L120" s="263">
        <f>SUM(G120:G124,J120:J124)</f>
        <v>503.43180000000001</v>
      </c>
      <c r="M120" s="26">
        <v>503.43</v>
      </c>
      <c r="N120" s="421"/>
      <c r="O120" s="77"/>
      <c r="P120" s="77"/>
      <c r="Q120" s="384"/>
      <c r="R120" s="422"/>
      <c r="S120" s="399"/>
      <c r="T120" s="399"/>
    </row>
    <row r="121" spans="1:20" s="81" customFormat="1" ht="15" customHeight="1">
      <c r="A121" s="441"/>
      <c r="B121" s="442"/>
      <c r="C121" s="36" t="s">
        <v>26</v>
      </c>
      <c r="D121" s="37">
        <v>0</v>
      </c>
      <c r="E121" s="38">
        <v>3.4692000000000007</v>
      </c>
      <c r="F121" s="38">
        <f>37.8898-33.8306</f>
        <v>4.0592000000000041</v>
      </c>
      <c r="G121" s="39">
        <f>ROUND(D121*(E121+F121),2)</f>
        <v>0</v>
      </c>
      <c r="H121" s="457"/>
      <c r="I121" s="199"/>
      <c r="J121" s="199"/>
      <c r="K121" s="458"/>
      <c r="L121" s="459"/>
      <c r="M121" s="44"/>
      <c r="N121" s="430"/>
      <c r="O121" s="431"/>
      <c r="P121" s="431"/>
      <c r="Q121" s="424"/>
      <c r="R121" s="422"/>
      <c r="S121" s="399"/>
      <c r="T121" s="399"/>
    </row>
    <row r="122" spans="1:20" s="81" customFormat="1" ht="15" customHeight="1">
      <c r="A122" s="441"/>
      <c r="B122" s="442"/>
      <c r="C122" s="48" t="s">
        <v>135</v>
      </c>
      <c r="D122" s="37">
        <v>59.1</v>
      </c>
      <c r="E122" s="41">
        <f>6.3119-5.9451</f>
        <v>0.36679999999999957</v>
      </c>
      <c r="F122" s="38"/>
      <c r="G122" s="39">
        <f>ROUND(D122*(E122),2)</f>
        <v>21.68</v>
      </c>
      <c r="H122" s="270"/>
      <c r="I122" s="41"/>
      <c r="J122" s="41"/>
      <c r="K122" s="271"/>
      <c r="L122" s="272"/>
      <c r="M122" s="102"/>
      <c r="N122" s="430"/>
      <c r="O122" s="431"/>
      <c r="P122" s="431"/>
      <c r="Q122" s="424"/>
      <c r="R122" s="422"/>
      <c r="S122" s="399"/>
      <c r="T122" s="399"/>
    </row>
    <row r="123" spans="1:20" s="81" customFormat="1" ht="15" customHeight="1">
      <c r="A123" s="441"/>
      <c r="B123" s="442"/>
      <c r="C123" s="48" t="s">
        <v>136</v>
      </c>
      <c r="D123" s="37">
        <v>0.2</v>
      </c>
      <c r="E123" s="41">
        <v>6.3118999999999996</v>
      </c>
      <c r="F123" s="38"/>
      <c r="G123" s="39">
        <f>ROUND(D123*(E123),2)</f>
        <v>1.26</v>
      </c>
      <c r="H123" s="270"/>
      <c r="I123" s="41"/>
      <c r="J123" s="41"/>
      <c r="K123" s="271"/>
      <c r="L123" s="272"/>
      <c r="M123" s="102"/>
      <c r="N123" s="434"/>
      <c r="O123" s="435"/>
      <c r="P123" s="435"/>
      <c r="Q123" s="425"/>
      <c r="R123" s="422"/>
      <c r="S123" s="399"/>
      <c r="T123" s="399"/>
    </row>
    <row r="124" spans="1:20" s="81" customFormat="1" ht="15.75" customHeight="1" thickBot="1">
      <c r="A124" s="460"/>
      <c r="B124" s="461"/>
      <c r="C124" s="99" t="s">
        <v>29</v>
      </c>
      <c r="D124" s="462">
        <v>65</v>
      </c>
      <c r="E124" s="56">
        <v>6.3118999999999996</v>
      </c>
      <c r="F124" s="311"/>
      <c r="G124" s="110">
        <f>ROUND(D124*(E124),2)</f>
        <v>410.27</v>
      </c>
      <c r="H124" s="310"/>
      <c r="I124" s="311"/>
      <c r="J124" s="311"/>
      <c r="K124" s="312"/>
      <c r="L124" s="313"/>
      <c r="M124" s="115"/>
      <c r="N124" s="463"/>
      <c r="O124" s="464"/>
      <c r="P124" s="464"/>
      <c r="Q124" s="465"/>
      <c r="R124" s="422"/>
      <c r="S124" s="399"/>
      <c r="T124" s="399"/>
    </row>
    <row r="125" spans="1:20" s="81" customFormat="1" ht="15.75" customHeight="1" thickTop="1">
      <c r="A125" s="447"/>
      <c r="B125" s="438" t="s">
        <v>126</v>
      </c>
      <c r="C125" s="48" t="s">
        <v>135</v>
      </c>
      <c r="D125" s="448">
        <v>90.2</v>
      </c>
      <c r="E125" s="41">
        <f>6.3119-5.9451</f>
        <v>0.36679999999999957</v>
      </c>
      <c r="F125" s="261"/>
      <c r="G125" s="449">
        <f>ROUND(D125*E125,2)</f>
        <v>33.090000000000003</v>
      </c>
      <c r="H125" s="303"/>
      <c r="I125" s="23"/>
      <c r="J125" s="23"/>
      <c r="K125" s="304"/>
      <c r="L125" s="263">
        <f>SUM(G125:G127)</f>
        <v>520.37</v>
      </c>
      <c r="M125" s="26">
        <v>520.37</v>
      </c>
      <c r="N125" s="421"/>
      <c r="O125" s="77"/>
      <c r="P125" s="77"/>
      <c r="Q125" s="384"/>
      <c r="R125" s="422"/>
      <c r="S125" s="399"/>
      <c r="T125" s="399"/>
    </row>
    <row r="126" spans="1:20" s="81" customFormat="1" ht="15.75" customHeight="1">
      <c r="A126" s="450"/>
      <c r="B126" s="442"/>
      <c r="C126" s="48" t="s">
        <v>136</v>
      </c>
      <c r="D126" s="448">
        <v>0.2</v>
      </c>
      <c r="E126" s="41">
        <v>6.3118999999999996</v>
      </c>
      <c r="F126" s="261"/>
      <c r="G126" s="449">
        <f t="shared" ref="G126:G127" si="11">ROUND(D126*E126,2)</f>
        <v>1.26</v>
      </c>
      <c r="H126" s="260"/>
      <c r="I126" s="261"/>
      <c r="J126" s="261"/>
      <c r="K126" s="262"/>
      <c r="L126" s="286"/>
      <c r="M126" s="90"/>
      <c r="N126" s="423"/>
      <c r="O126" s="406"/>
      <c r="P126" s="406"/>
      <c r="Q126" s="407"/>
      <c r="R126" s="422"/>
      <c r="S126" s="399"/>
      <c r="T126" s="399"/>
    </row>
    <row r="127" spans="1:20" s="81" customFormat="1" ht="15.75" customHeight="1" thickBot="1">
      <c r="A127" s="697"/>
      <c r="B127" s="698"/>
      <c r="C127" s="99" t="s">
        <v>29</v>
      </c>
      <c r="D127" s="596">
        <v>77</v>
      </c>
      <c r="E127" s="56">
        <v>6.3118999999999996</v>
      </c>
      <c r="F127" s="41"/>
      <c r="G127" s="39">
        <f t="shared" si="11"/>
        <v>486.02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22"/>
      <c r="S127" s="399"/>
      <c r="T127" s="399"/>
    </row>
    <row r="128" spans="1:20" s="81" customFormat="1" ht="15.75" customHeight="1">
      <c r="A128" s="468"/>
      <c r="B128" s="699" t="s">
        <v>133</v>
      </c>
      <c r="C128" s="48" t="s">
        <v>135</v>
      </c>
      <c r="D128" s="471">
        <v>469.1</v>
      </c>
      <c r="E128" s="41">
        <f>6.3119-5.9451</f>
        <v>0.36679999999999957</v>
      </c>
      <c r="F128" s="473"/>
      <c r="G128" s="449">
        <f>ROUND(D128*E128,2)</f>
        <v>172.07</v>
      </c>
      <c r="H128" s="303"/>
      <c r="I128" s="23"/>
      <c r="J128" s="23"/>
      <c r="K128" s="304"/>
      <c r="L128" s="263">
        <f>SUM(G128:G130)</f>
        <v>4063.3500000000004</v>
      </c>
      <c r="M128" s="26">
        <v>4063.35</v>
      </c>
      <c r="N128" s="421"/>
      <c r="O128" s="77"/>
      <c r="P128" s="77"/>
      <c r="Q128" s="384"/>
      <c r="R128" s="422"/>
      <c r="S128" s="399"/>
      <c r="T128" s="399"/>
    </row>
    <row r="129" spans="1:20" s="81" customFormat="1" ht="15.75" customHeight="1">
      <c r="A129" s="468"/>
      <c r="B129" s="469"/>
      <c r="C129" s="48" t="s">
        <v>136</v>
      </c>
      <c r="D129" s="471">
        <v>1.5</v>
      </c>
      <c r="E129" s="41">
        <v>6.3118999999999996</v>
      </c>
      <c r="F129" s="473"/>
      <c r="G129" s="449">
        <f>ROUND(D129*E129,2)-0.01</f>
        <v>9.4600000000000009</v>
      </c>
      <c r="H129" s="260"/>
      <c r="I129" s="261"/>
      <c r="J129" s="261"/>
      <c r="K129" s="262"/>
      <c r="L129" s="286"/>
      <c r="M129" s="90"/>
      <c r="N129" s="423"/>
      <c r="O129" s="406"/>
      <c r="P129" s="406"/>
      <c r="Q129" s="407"/>
      <c r="R129" s="422"/>
      <c r="S129" s="399"/>
      <c r="T129" s="399"/>
    </row>
    <row r="130" spans="1:20" s="81" customFormat="1" ht="15.75" customHeight="1" thickBot="1">
      <c r="A130" s="701"/>
      <c r="B130" s="702"/>
      <c r="C130" s="99" t="s">
        <v>29</v>
      </c>
      <c r="D130" s="703">
        <v>615</v>
      </c>
      <c r="E130" s="56">
        <v>6.3118999999999996</v>
      </c>
      <c r="F130" s="704"/>
      <c r="G130" s="39">
        <f t="shared" ref="G130" si="12">ROUND(D130*E130,2)</f>
        <v>3881.82</v>
      </c>
      <c r="H130" s="280"/>
      <c r="I130" s="281"/>
      <c r="J130" s="281"/>
      <c r="K130" s="282"/>
      <c r="L130" s="204"/>
      <c r="M130" s="371"/>
      <c r="N130" s="426"/>
      <c r="O130" s="416"/>
      <c r="P130" s="416"/>
      <c r="Q130" s="417"/>
      <c r="R130" s="422"/>
      <c r="S130" s="399"/>
      <c r="T130" s="399"/>
    </row>
    <row r="131" spans="1:20" s="81" customFormat="1" ht="15.75" customHeight="1">
      <c r="A131" s="468"/>
      <c r="B131" s="699" t="s">
        <v>134</v>
      </c>
      <c r="C131" s="48" t="s">
        <v>135</v>
      </c>
      <c r="D131" s="471">
        <v>174.4</v>
      </c>
      <c r="E131" s="41">
        <f>6.3119-5.9451</f>
        <v>0.36679999999999957</v>
      </c>
      <c r="F131" s="473"/>
      <c r="G131" s="449">
        <f>ROUND(D131*E131,2)</f>
        <v>63.97</v>
      </c>
      <c r="H131" s="303"/>
      <c r="I131" s="23"/>
      <c r="J131" s="23"/>
      <c r="K131" s="304"/>
      <c r="L131" s="263">
        <f>SUM(G131:G133)</f>
        <v>4834.5</v>
      </c>
      <c r="M131" s="26">
        <v>4834.5</v>
      </c>
      <c r="N131" s="421"/>
      <c r="O131" s="77"/>
      <c r="P131" s="77"/>
      <c r="Q131" s="384"/>
      <c r="R131" s="422"/>
      <c r="S131" s="399"/>
      <c r="T131" s="399"/>
    </row>
    <row r="132" spans="1:20" s="81" customFormat="1" ht="15.75" customHeight="1">
      <c r="A132" s="468"/>
      <c r="B132" s="469"/>
      <c r="C132" s="48" t="s">
        <v>136</v>
      </c>
      <c r="D132" s="471">
        <v>1.8</v>
      </c>
      <c r="E132" s="41">
        <v>6.3118999999999996</v>
      </c>
      <c r="F132" s="473"/>
      <c r="G132" s="449">
        <f t="shared" ref="G132:G133" si="13">ROUND(D132*E132,2)</f>
        <v>11.36</v>
      </c>
      <c r="H132" s="260"/>
      <c r="I132" s="261"/>
      <c r="J132" s="261"/>
      <c r="K132" s="262"/>
      <c r="L132" s="286"/>
      <c r="M132" s="90"/>
      <c r="N132" s="423"/>
      <c r="O132" s="406"/>
      <c r="P132" s="406"/>
      <c r="Q132" s="407"/>
      <c r="R132" s="422"/>
      <c r="S132" s="399"/>
      <c r="T132" s="399"/>
    </row>
    <row r="133" spans="1:20" s="81" customFormat="1" ht="15.75" customHeight="1" thickBot="1">
      <c r="A133" s="701"/>
      <c r="B133" s="702"/>
      <c r="C133" s="99" t="s">
        <v>29</v>
      </c>
      <c r="D133" s="703">
        <v>754</v>
      </c>
      <c r="E133" s="56">
        <v>6.3118999999999996</v>
      </c>
      <c r="F133" s="704"/>
      <c r="G133" s="39">
        <f t="shared" si="13"/>
        <v>4759.17</v>
      </c>
      <c r="H133" s="280"/>
      <c r="I133" s="281"/>
      <c r="J133" s="281"/>
      <c r="K133" s="282"/>
      <c r="L133" s="204"/>
      <c r="M133" s="371"/>
      <c r="N133" s="426"/>
      <c r="O133" s="416"/>
      <c r="P133" s="416"/>
      <c r="Q133" s="417"/>
      <c r="R133" s="422"/>
      <c r="S133" s="399"/>
      <c r="T133" s="399"/>
    </row>
    <row r="134" spans="1:20" s="81" customFormat="1" ht="15.75" customHeight="1">
      <c r="A134" s="468"/>
      <c r="B134" s="699" t="s">
        <v>140</v>
      </c>
      <c r="C134" s="48" t="s">
        <v>135</v>
      </c>
      <c r="D134" s="471">
        <v>0</v>
      </c>
      <c r="E134" s="41">
        <f>6.3119-5.9451</f>
        <v>0.36679999999999957</v>
      </c>
      <c r="F134" s="473"/>
      <c r="G134" s="449">
        <f>ROUND(D134*E134,2)</f>
        <v>0</v>
      </c>
      <c r="H134" s="303"/>
      <c r="I134" s="23"/>
      <c r="J134" s="23"/>
      <c r="K134" s="304"/>
      <c r="L134" s="263">
        <f>SUM(G134:G136)</f>
        <v>6453.29</v>
      </c>
      <c r="M134" s="26">
        <v>6453.29</v>
      </c>
      <c r="N134" s="421"/>
      <c r="O134" s="77"/>
      <c r="P134" s="77"/>
      <c r="Q134" s="384"/>
      <c r="R134" s="422"/>
      <c r="S134" s="399"/>
      <c r="T134" s="399"/>
    </row>
    <row r="135" spans="1:20" s="81" customFormat="1" ht="15.75" customHeight="1">
      <c r="A135" s="468"/>
      <c r="B135" s="469"/>
      <c r="C135" s="48" t="s">
        <v>136</v>
      </c>
      <c r="D135" s="471">
        <v>2.4</v>
      </c>
      <c r="E135" s="41">
        <v>6.3118999999999996</v>
      </c>
      <c r="F135" s="473"/>
      <c r="G135" s="449">
        <f>ROUND(D135*E135,2)</f>
        <v>15.15</v>
      </c>
      <c r="H135" s="260"/>
      <c r="I135" s="261"/>
      <c r="J135" s="261"/>
      <c r="K135" s="262"/>
      <c r="L135" s="286"/>
      <c r="M135" s="90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 thickBot="1">
      <c r="A136" s="701"/>
      <c r="B136" s="702"/>
      <c r="C136" s="99" t="s">
        <v>29</v>
      </c>
      <c r="D136" s="703">
        <v>1020</v>
      </c>
      <c r="E136" s="56">
        <v>6.3118999999999996</v>
      </c>
      <c r="F136" s="704"/>
      <c r="G136" s="39">
        <f t="shared" ref="G136" si="14">ROUND(D136*E136,2)</f>
        <v>6438.14</v>
      </c>
      <c r="H136" s="280"/>
      <c r="I136" s="281"/>
      <c r="J136" s="281"/>
      <c r="K136" s="282"/>
      <c r="L136" s="204"/>
      <c r="M136" s="371"/>
      <c r="N136" s="426"/>
      <c r="O136" s="416"/>
      <c r="P136" s="416"/>
      <c r="Q136" s="417"/>
      <c r="R136" s="422"/>
      <c r="S136" s="399"/>
      <c r="T136" s="399"/>
    </row>
    <row r="137" spans="1:20" s="81" customFormat="1" ht="15.75" customHeight="1">
      <c r="A137" s="468"/>
      <c r="B137" s="699" t="s">
        <v>141</v>
      </c>
      <c r="C137" s="48" t="s">
        <v>135</v>
      </c>
      <c r="D137" s="471">
        <v>0</v>
      </c>
      <c r="E137" s="41">
        <f>6.3119-5.9451</f>
        <v>0.36679999999999957</v>
      </c>
      <c r="F137" s="473"/>
      <c r="G137" s="449">
        <f>ROUND(D137*E137,2)</f>
        <v>0</v>
      </c>
      <c r="H137" s="303"/>
      <c r="I137" s="23"/>
      <c r="J137" s="23"/>
      <c r="K137" s="304"/>
      <c r="L137" s="263">
        <f>SUM(G137:G139)</f>
        <v>139.49</v>
      </c>
      <c r="M137" s="26">
        <v>139.49</v>
      </c>
      <c r="N137" s="421"/>
      <c r="O137" s="77"/>
      <c r="P137" s="77"/>
      <c r="Q137" s="384"/>
      <c r="R137" s="422"/>
      <c r="S137" s="399"/>
      <c r="T137" s="399"/>
    </row>
    <row r="138" spans="1:20" s="81" customFormat="1" ht="15.75" customHeight="1">
      <c r="A138" s="468"/>
      <c r="B138" s="469"/>
      <c r="C138" s="48" t="s">
        <v>136</v>
      </c>
      <c r="D138" s="471">
        <v>0.1</v>
      </c>
      <c r="E138" s="41">
        <v>6.3118999999999996</v>
      </c>
      <c r="F138" s="473"/>
      <c r="G138" s="449">
        <f>ROUND(D138*E138,2)</f>
        <v>0.63</v>
      </c>
      <c r="H138" s="260"/>
      <c r="I138" s="261"/>
      <c r="J138" s="261"/>
      <c r="K138" s="262"/>
      <c r="L138" s="286"/>
      <c r="M138" s="90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 thickBot="1">
      <c r="A139" s="701"/>
      <c r="B139" s="702"/>
      <c r="C139" s="99" t="s">
        <v>29</v>
      </c>
      <c r="D139" s="703">
        <v>22</v>
      </c>
      <c r="E139" s="56">
        <v>6.3118999999999996</v>
      </c>
      <c r="F139" s="704"/>
      <c r="G139" s="39">
        <f t="shared" ref="G139" si="15">ROUND(D139*E139,2)</f>
        <v>138.86000000000001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 thickBot="1">
      <c r="A140" s="686"/>
      <c r="B140" s="469"/>
      <c r="C140" s="470"/>
      <c r="D140" s="471"/>
      <c r="E140" s="472"/>
      <c r="F140" s="473"/>
      <c r="G140" s="474"/>
      <c r="H140" s="473"/>
      <c r="I140" s="473"/>
      <c r="J140" s="473"/>
      <c r="K140" s="473"/>
      <c r="L140" s="473"/>
      <c r="M140" s="475"/>
      <c r="N140" s="399"/>
      <c r="O140" s="399"/>
      <c r="P140" s="399"/>
      <c r="Q140" s="399"/>
      <c r="R140" s="422"/>
      <c r="S140" s="399"/>
      <c r="T140" s="399"/>
    </row>
    <row r="141" spans="1:20" s="81" customFormat="1" ht="15" customHeight="1" thickTop="1">
      <c r="A141" s="476"/>
      <c r="B141" s="158"/>
      <c r="C141" s="322"/>
      <c r="D141" s="477"/>
      <c r="E141" s="163"/>
      <c r="F141" s="163"/>
      <c r="G141" s="478"/>
      <c r="H141" s="163"/>
      <c r="I141" s="163"/>
      <c r="J141" s="163"/>
      <c r="K141" s="163"/>
      <c r="L141" s="163"/>
      <c r="M141" s="164"/>
      <c r="N141" s="479"/>
      <c r="O141" s="479"/>
      <c r="P141" s="479"/>
      <c r="Q141" s="479"/>
      <c r="R141" s="480"/>
      <c r="S141" s="479"/>
      <c r="T141" s="399"/>
    </row>
    <row r="142" spans="1:20" ht="21.75" thickBot="1">
      <c r="A142" s="171" t="s">
        <v>84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  <c r="N142" s="2"/>
      <c r="O142" s="2"/>
      <c r="P142" s="2"/>
      <c r="Q142" s="2"/>
      <c r="R142" s="2"/>
      <c r="S142" s="2"/>
      <c r="T142" s="2"/>
    </row>
    <row r="143" spans="1:20" ht="15.75" customHeight="1" thickTop="1" thickBot="1">
      <c r="A143" s="1540" t="s">
        <v>1</v>
      </c>
      <c r="B143" s="1542" t="s">
        <v>2</v>
      </c>
      <c r="C143" s="1544" t="s">
        <v>3</v>
      </c>
      <c r="D143" s="1546" t="s">
        <v>4</v>
      </c>
      <c r="E143" s="1546"/>
      <c r="F143" s="1546"/>
      <c r="G143" s="1546"/>
      <c r="H143" s="1547" t="s">
        <v>5</v>
      </c>
      <c r="I143" s="1548"/>
      <c r="J143" s="1548"/>
      <c r="K143" s="1549"/>
      <c r="L143" s="1524" t="s">
        <v>6</v>
      </c>
      <c r="M143" s="1511" t="s">
        <v>7</v>
      </c>
      <c r="N143" s="1551" t="s">
        <v>8</v>
      </c>
      <c r="O143" s="1551"/>
      <c r="P143" s="1551"/>
      <c r="Q143" s="1552" t="s">
        <v>18</v>
      </c>
      <c r="R143" s="481" t="s">
        <v>85</v>
      </c>
      <c r="S143" s="482" t="s">
        <v>20</v>
      </c>
      <c r="T143" s="482" t="s">
        <v>21</v>
      </c>
    </row>
    <row r="144" spans="1:20" ht="27" thickTop="1" thickBot="1">
      <c r="A144" s="1541"/>
      <c r="B144" s="1543"/>
      <c r="C144" s="1545" t="s">
        <v>10</v>
      </c>
      <c r="D144" s="483" t="s">
        <v>11</v>
      </c>
      <c r="E144" s="484" t="s">
        <v>12</v>
      </c>
      <c r="F144" s="484" t="s">
        <v>13</v>
      </c>
      <c r="G144" s="485" t="s">
        <v>14</v>
      </c>
      <c r="H144" s="483" t="s">
        <v>11</v>
      </c>
      <c r="I144" s="486" t="s">
        <v>15</v>
      </c>
      <c r="J144" s="485"/>
      <c r="K144" s="487" t="s">
        <v>16</v>
      </c>
      <c r="L144" s="1525"/>
      <c r="M144" s="1550"/>
      <c r="N144" s="488" t="s">
        <v>14</v>
      </c>
      <c r="O144" s="485"/>
      <c r="P144" s="489" t="s">
        <v>18</v>
      </c>
      <c r="Q144" s="490" t="s">
        <v>19</v>
      </c>
      <c r="R144" s="491"/>
      <c r="S144" s="492"/>
      <c r="T144" s="492"/>
    </row>
    <row r="145" spans="1:21">
      <c r="A145" s="493">
        <v>501</v>
      </c>
      <c r="B145" s="494" t="s">
        <v>86</v>
      </c>
      <c r="C145" s="71"/>
      <c r="D145" s="495">
        <v>24</v>
      </c>
      <c r="E145" s="21">
        <v>32.332000000000001</v>
      </c>
      <c r="F145" s="21">
        <v>37.889800000000001</v>
      </c>
      <c r="G145" s="185">
        <f>ROUND(D145*(E145+F145),2)</f>
        <v>1685.32</v>
      </c>
      <c r="H145" s="496"/>
      <c r="I145" s="73">
        <v>0.85</v>
      </c>
      <c r="J145" s="73">
        <f>+H145*I145</f>
        <v>0</v>
      </c>
      <c r="K145" s="497"/>
      <c r="L145" s="498">
        <f>+SUM(G145:G152,C152)+J145+J147</f>
        <v>50390.306599999996</v>
      </c>
      <c r="M145" s="26">
        <v>50390.31</v>
      </c>
      <c r="N145" s="499"/>
      <c r="O145" s="500"/>
      <c r="P145" s="501" t="s">
        <v>87</v>
      </c>
      <c r="Q145" s="304">
        <f t="shared" ref="Q145:Q163" si="16">C145+G145+J145-M145-N145-O145</f>
        <v>-48704.99</v>
      </c>
      <c r="R145" s="502" t="s">
        <v>88</v>
      </c>
      <c r="S145" s="503"/>
      <c r="T145" s="504"/>
      <c r="U145" s="33">
        <f>+C145+L145-M145</f>
        <v>-3.4000000014202669E-3</v>
      </c>
    </row>
    <row r="146" spans="1:21">
      <c r="A146" s="505"/>
      <c r="B146" s="506"/>
      <c r="C146" s="507"/>
      <c r="D146" s="508">
        <v>0</v>
      </c>
      <c r="E146" s="38">
        <f>32.332-28.8628</f>
        <v>3.4692000000000007</v>
      </c>
      <c r="F146" s="38">
        <f>37.8898-33.8306</f>
        <v>4.0592000000000041</v>
      </c>
      <c r="G146" s="50">
        <f>ROUND(D146*(E146+F146),2)</f>
        <v>0</v>
      </c>
      <c r="H146" s="448"/>
      <c r="I146" s="509"/>
      <c r="J146" s="409"/>
      <c r="K146" s="510"/>
      <c r="L146" s="511"/>
      <c r="M146" s="512"/>
      <c r="N146" s="513"/>
      <c r="O146" s="514"/>
      <c r="P146" s="515"/>
      <c r="Q146" s="262"/>
      <c r="R146" s="502"/>
      <c r="S146" s="503"/>
      <c r="T146" s="504"/>
      <c r="U146" s="33"/>
    </row>
    <row r="147" spans="1:21">
      <c r="A147" s="505"/>
      <c r="B147" s="516" t="s">
        <v>89</v>
      </c>
      <c r="C147" s="512" t="s">
        <v>90</v>
      </c>
      <c r="D147" s="508">
        <v>17</v>
      </c>
      <c r="E147" s="101">
        <v>291.8</v>
      </c>
      <c r="F147" s="38">
        <v>37.889800000000001</v>
      </c>
      <c r="G147" s="50">
        <f>D147*(E147+F147)</f>
        <v>5604.7266</v>
      </c>
      <c r="H147" s="270"/>
      <c r="I147" s="41">
        <v>128.56</v>
      </c>
      <c r="J147" s="409">
        <f>+H147*I147</f>
        <v>0</v>
      </c>
      <c r="K147" s="510"/>
      <c r="L147" s="517"/>
      <c r="M147" s="99"/>
      <c r="N147" s="518"/>
      <c r="O147" s="519"/>
      <c r="P147" s="515" t="s">
        <v>87</v>
      </c>
      <c r="Q147" s="271">
        <f>+G147+J147-M147-N147-O147</f>
        <v>5604.7266</v>
      </c>
      <c r="R147" s="502" t="s">
        <v>88</v>
      </c>
      <c r="S147" s="503"/>
      <c r="T147" s="504"/>
    </row>
    <row r="148" spans="1:21">
      <c r="A148" s="505"/>
      <c r="B148" s="506" t="s">
        <v>91</v>
      </c>
      <c r="C148" s="507"/>
      <c r="D148" s="508">
        <v>18</v>
      </c>
      <c r="E148" s="41">
        <f>291.8-352.37</f>
        <v>-60.569999999999993</v>
      </c>
      <c r="F148" s="38"/>
      <c r="G148" s="50">
        <f>ROUND(D148*(E148+F148),2)</f>
        <v>-1090.26</v>
      </c>
      <c r="H148" s="432"/>
      <c r="I148" s="362"/>
      <c r="J148" s="409"/>
      <c r="K148" s="510"/>
      <c r="L148" s="517"/>
      <c r="M148" s="520"/>
      <c r="N148" s="521"/>
      <c r="O148" s="522"/>
      <c r="P148" s="523"/>
      <c r="Q148" s="362"/>
      <c r="R148" s="502"/>
      <c r="S148" s="503"/>
      <c r="T148" s="504"/>
    </row>
    <row r="149" spans="1:21">
      <c r="A149" s="505"/>
      <c r="B149" s="506" t="s">
        <v>91</v>
      </c>
      <c r="C149" s="507"/>
      <c r="D149" s="508"/>
      <c r="E149" s="38"/>
      <c r="F149" s="41"/>
      <c r="G149" s="50">
        <f>D149*(E149+F149)</f>
        <v>0</v>
      </c>
      <c r="H149" s="432"/>
      <c r="I149" s="362"/>
      <c r="J149" s="409"/>
      <c r="K149" s="510"/>
      <c r="L149" s="517"/>
      <c r="M149" s="520"/>
      <c r="N149" s="521"/>
      <c r="O149" s="522"/>
      <c r="P149" s="523"/>
      <c r="Q149" s="362"/>
      <c r="R149" s="502"/>
      <c r="S149" s="503"/>
      <c r="T149" s="504"/>
    </row>
    <row r="150" spans="1:21">
      <c r="A150" s="505"/>
      <c r="B150" s="506" t="s">
        <v>92</v>
      </c>
      <c r="C150" s="48" t="s">
        <v>135</v>
      </c>
      <c r="D150" s="508">
        <v>7557</v>
      </c>
      <c r="E150" s="41">
        <f>6.1063-5.8446</f>
        <v>0.26170000000000027</v>
      </c>
      <c r="F150" s="41">
        <f>+E150</f>
        <v>0.26170000000000027</v>
      </c>
      <c r="G150" s="39">
        <f>ROUNDDOWN(D150*E150,2)</f>
        <v>1977.66</v>
      </c>
      <c r="H150" s="432"/>
      <c r="I150" s="362"/>
      <c r="J150" s="41"/>
      <c r="K150" s="510"/>
      <c r="L150" s="517"/>
      <c r="M150" s="520"/>
      <c r="N150" s="521"/>
      <c r="O150" s="522"/>
      <c r="P150" s="523"/>
      <c r="Q150" s="362"/>
      <c r="R150" s="502"/>
      <c r="S150" s="503"/>
      <c r="T150" s="504"/>
    </row>
    <row r="151" spans="1:21">
      <c r="A151" s="505"/>
      <c r="B151" s="506"/>
      <c r="C151" s="48" t="s">
        <v>136</v>
      </c>
      <c r="D151" s="508">
        <v>293</v>
      </c>
      <c r="E151" s="41">
        <v>6.1063000000000001</v>
      </c>
      <c r="F151" s="41">
        <f>+E151</f>
        <v>6.1063000000000001</v>
      </c>
      <c r="G151" s="39">
        <f>ROUND(D151*E151,2)</f>
        <v>1789.15</v>
      </c>
      <c r="H151" s="432"/>
      <c r="I151" s="362"/>
      <c r="J151" s="207"/>
      <c r="K151" s="524"/>
      <c r="L151" s="517"/>
      <c r="M151" s="520"/>
      <c r="N151" s="521"/>
      <c r="O151" s="522"/>
      <c r="P151" s="523"/>
      <c r="Q151" s="362"/>
      <c r="R151" s="502"/>
      <c r="S151" s="503"/>
      <c r="T151" s="504"/>
    </row>
    <row r="152" spans="1:21" ht="15.75" thickBot="1">
      <c r="A152" s="525"/>
      <c r="B152" s="526"/>
      <c r="C152" s="99" t="s">
        <v>29</v>
      </c>
      <c r="D152" s="55">
        <v>6620</v>
      </c>
      <c r="E152" s="56">
        <v>6.1063000000000001</v>
      </c>
      <c r="F152" s="57">
        <f>+E152</f>
        <v>6.1063000000000001</v>
      </c>
      <c r="G152" s="58">
        <f>ROUND(D152*E152,2)</f>
        <v>40423.71</v>
      </c>
      <c r="H152" s="248"/>
      <c r="I152" s="203"/>
      <c r="J152" s="60"/>
      <c r="K152" s="61"/>
      <c r="L152" s="249"/>
      <c r="M152" s="54"/>
      <c r="N152" s="527"/>
      <c r="O152" s="528"/>
      <c r="P152" s="529" t="s">
        <v>87</v>
      </c>
      <c r="Q152" s="282">
        <f>+G152+J152-M152-N152-O152</f>
        <v>40423.71</v>
      </c>
      <c r="R152" s="530" t="s">
        <v>88</v>
      </c>
      <c r="S152" s="531">
        <f>SUM(N145:N152)+O145:O152</f>
        <v>0</v>
      </c>
      <c r="T152" s="531">
        <f>SUM(Q145:Q152)</f>
        <v>-2676.5533999999971</v>
      </c>
      <c r="U152" s="33"/>
    </row>
    <row r="153" spans="1:21" ht="15.75" thickTop="1">
      <c r="A153" s="339" t="s">
        <v>93</v>
      </c>
      <c r="B153" s="532" t="s">
        <v>94</v>
      </c>
      <c r="C153" s="71">
        <f>+[1]дек!U51</f>
        <v>-6.0000000303261913E-4</v>
      </c>
      <c r="D153" s="213">
        <v>43</v>
      </c>
      <c r="E153" s="21">
        <v>32.332000000000001</v>
      </c>
      <c r="F153" s="21">
        <v>37.889800000000001</v>
      </c>
      <c r="G153" s="214">
        <f>ROUND(D153*(E153+F153),2)</f>
        <v>3019.54</v>
      </c>
      <c r="H153" s="496"/>
      <c r="I153" s="73">
        <v>0.85</v>
      </c>
      <c r="J153" s="73">
        <f>H153*I153</f>
        <v>0</v>
      </c>
      <c r="K153" s="497"/>
      <c r="L153" s="533">
        <f>+SUM(G153:G160,)+J153+J155</f>
        <v>48371.71</v>
      </c>
      <c r="M153" s="26">
        <v>48371.71</v>
      </c>
      <c r="N153" s="534"/>
      <c r="O153" s="535"/>
      <c r="P153" s="536" t="s">
        <v>87</v>
      </c>
      <c r="Q153" s="537">
        <f t="shared" si="16"/>
        <v>-45352.170600000005</v>
      </c>
      <c r="R153" s="538" t="s">
        <v>95</v>
      </c>
      <c r="S153" s="539"/>
      <c r="T153" s="540"/>
      <c r="U153" s="33"/>
    </row>
    <row r="154" spans="1:21">
      <c r="A154" s="353"/>
      <c r="B154" s="541"/>
      <c r="C154" s="542" t="s">
        <v>96</v>
      </c>
      <c r="D154" s="234">
        <v>0</v>
      </c>
      <c r="E154" s="38">
        <f>32.332-28.8628</f>
        <v>3.4692000000000007</v>
      </c>
      <c r="F154" s="38">
        <f>37.8898-33.8306</f>
        <v>4.0592000000000041</v>
      </c>
      <c r="G154" s="235">
        <f>ROUND(D154*(E154+F154),2)</f>
        <v>0</v>
      </c>
      <c r="H154" s="448"/>
      <c r="I154" s="509"/>
      <c r="J154" s="509"/>
      <c r="K154" s="543"/>
      <c r="L154" s="544"/>
      <c r="M154" s="545"/>
      <c r="N154" s="546"/>
      <c r="O154" s="547"/>
      <c r="P154" s="548"/>
      <c r="Q154" s="549"/>
      <c r="R154" s="550"/>
      <c r="S154" s="551"/>
      <c r="T154" s="552"/>
      <c r="U154" s="33"/>
    </row>
    <row r="155" spans="1:21">
      <c r="A155" s="353"/>
      <c r="B155" s="516" t="s">
        <v>32</v>
      </c>
      <c r="C155" s="99" t="s">
        <v>90</v>
      </c>
      <c r="D155" s="234">
        <v>29</v>
      </c>
      <c r="E155" s="101">
        <v>291.8</v>
      </c>
      <c r="F155" s="38">
        <v>37.889800000000001</v>
      </c>
      <c r="G155" s="235">
        <f>ROUND(D155*(E155+F155),2)</f>
        <v>9561</v>
      </c>
      <c r="H155" s="270"/>
      <c r="I155" s="41">
        <v>128.56</v>
      </c>
      <c r="J155" s="41">
        <f>ROUND(H155*I155,2)</f>
        <v>0</v>
      </c>
      <c r="K155" s="510"/>
      <c r="L155" s="553"/>
      <c r="M155" s="554"/>
      <c r="N155" s="555"/>
      <c r="O155" s="556"/>
      <c r="P155" s="557" t="s">
        <v>87</v>
      </c>
      <c r="Q155" s="558">
        <f>+G155+J155-M155-N155-O155</f>
        <v>9561</v>
      </c>
      <c r="R155" s="550" t="s">
        <v>95</v>
      </c>
      <c r="S155" s="551"/>
      <c r="T155" s="552"/>
    </row>
    <row r="156" spans="1:21">
      <c r="A156" s="353"/>
      <c r="B156" s="541"/>
      <c r="C156" s="84" t="s">
        <v>97</v>
      </c>
      <c r="D156" s="234">
        <v>30</v>
      </c>
      <c r="E156" s="41">
        <f>291.8-352.37</f>
        <v>-60.569999999999993</v>
      </c>
      <c r="F156" s="38"/>
      <c r="G156" s="50">
        <f>ROUND(D156*E156,2)</f>
        <v>-1817.1</v>
      </c>
      <c r="H156" s="432"/>
      <c r="I156" s="362"/>
      <c r="J156" s="41"/>
      <c r="K156" s="510"/>
      <c r="L156" s="559"/>
      <c r="M156" s="560"/>
      <c r="N156" s="561"/>
      <c r="O156" s="562"/>
      <c r="P156" s="563"/>
      <c r="Q156" s="564"/>
      <c r="R156" s="550"/>
      <c r="S156" s="551"/>
      <c r="T156" s="552"/>
    </row>
    <row r="157" spans="1:21">
      <c r="A157" s="353"/>
      <c r="B157" s="541"/>
      <c r="C157" s="84" t="s">
        <v>97</v>
      </c>
      <c r="D157" s="234"/>
      <c r="E157" s="38"/>
      <c r="F157" s="240"/>
      <c r="G157" s="50">
        <f>D157*(E157+F157)</f>
        <v>0</v>
      </c>
      <c r="H157" s="432"/>
      <c r="I157" s="362"/>
      <c r="J157" s="41"/>
      <c r="K157" s="510"/>
      <c r="L157" s="559"/>
      <c r="M157" s="560"/>
      <c r="N157" s="561"/>
      <c r="O157" s="562"/>
      <c r="P157" s="563"/>
      <c r="Q157" s="564"/>
      <c r="R157" s="550"/>
      <c r="S157" s="551"/>
      <c r="T157" s="552"/>
    </row>
    <row r="158" spans="1:21">
      <c r="A158" s="353"/>
      <c r="B158" s="541"/>
      <c r="C158" s="48" t="s">
        <v>135</v>
      </c>
      <c r="D158" s="37">
        <v>6065</v>
      </c>
      <c r="E158" s="41">
        <f>6.1063-5.8446</f>
        <v>0.26170000000000027</v>
      </c>
      <c r="F158" s="41">
        <f>+E158</f>
        <v>0.26170000000000027</v>
      </c>
      <c r="G158" s="235">
        <f>ROUND(D158*E158,2)-0.01</f>
        <v>1587.2</v>
      </c>
      <c r="H158" s="565"/>
      <c r="I158" s="564"/>
      <c r="J158" s="566"/>
      <c r="K158" s="567"/>
      <c r="L158" s="559"/>
      <c r="M158" s="560"/>
      <c r="N158" s="561"/>
      <c r="O158" s="562"/>
      <c r="P158" s="563"/>
      <c r="Q158" s="564"/>
      <c r="R158" s="550"/>
      <c r="S158" s="551"/>
      <c r="T158" s="552"/>
      <c r="U158" s="352"/>
    </row>
    <row r="159" spans="1:21">
      <c r="A159" s="353"/>
      <c r="B159" s="541"/>
      <c r="C159" s="48" t="s">
        <v>136</v>
      </c>
      <c r="D159" s="37">
        <v>250</v>
      </c>
      <c r="E159" s="41">
        <v>6.1063000000000001</v>
      </c>
      <c r="F159" s="41">
        <f>+E159</f>
        <v>6.1063000000000001</v>
      </c>
      <c r="G159" s="235">
        <f>ROUND(D159*E159,2)</f>
        <v>1526.58</v>
      </c>
      <c r="H159" s="565"/>
      <c r="I159" s="564"/>
      <c r="J159" s="566"/>
      <c r="K159" s="567"/>
      <c r="L159" s="559"/>
      <c r="M159" s="560"/>
      <c r="N159" s="561"/>
      <c r="O159" s="562"/>
      <c r="P159" s="563"/>
      <c r="Q159" s="564"/>
      <c r="R159" s="550"/>
      <c r="S159" s="551"/>
      <c r="T159" s="552"/>
      <c r="U159" s="33"/>
    </row>
    <row r="160" spans="1:21" ht="15.75" thickBot="1">
      <c r="A160" s="369"/>
      <c r="B160" s="568"/>
      <c r="C160" s="99" t="s">
        <v>29</v>
      </c>
      <c r="D160" s="246">
        <v>5649</v>
      </c>
      <c r="E160" s="56">
        <v>6.1063000000000001</v>
      </c>
      <c r="F160" s="57">
        <f>+E160</f>
        <v>6.1063000000000001</v>
      </c>
      <c r="G160" s="247">
        <f>ROUND(D160*E160,2)</f>
        <v>34494.49</v>
      </c>
      <c r="H160" s="248"/>
      <c r="I160" s="203"/>
      <c r="J160" s="60"/>
      <c r="K160" s="61"/>
      <c r="L160" s="204"/>
      <c r="M160" s="560"/>
      <c r="N160" s="561"/>
      <c r="O160" s="528"/>
      <c r="P160" s="529" t="s">
        <v>87</v>
      </c>
      <c r="Q160" s="564">
        <f>+G160+J160-M160-N160-O160</f>
        <v>34494.49</v>
      </c>
      <c r="R160" s="550" t="s">
        <v>95</v>
      </c>
      <c r="S160" s="569">
        <f>SUM(N153:N160)+O153:O160</f>
        <v>0</v>
      </c>
      <c r="T160" s="570">
        <f>SUM(Q155:Q160)</f>
        <v>44055.49</v>
      </c>
    </row>
    <row r="161" spans="1:21" ht="15.75" hidden="1" outlineLevel="1" thickBot="1">
      <c r="A161" s="571"/>
      <c r="B161" s="572" t="s">
        <v>98</v>
      </c>
      <c r="C161" s="573" t="s">
        <v>99</v>
      </c>
      <c r="D161" s="574">
        <v>0</v>
      </c>
      <c r="E161" s="575">
        <f>3.193-2.9732</f>
        <v>0.21980000000000022</v>
      </c>
      <c r="F161" s="575">
        <f>3.193-2.9732</f>
        <v>0.21980000000000022</v>
      </c>
      <c r="G161" s="576">
        <f>D161*E161*70%+D161*F161*30%</f>
        <v>0</v>
      </c>
      <c r="H161" s="577"/>
      <c r="I161" s="578"/>
      <c r="J161" s="579"/>
      <c r="K161" s="579"/>
      <c r="L161" s="580"/>
      <c r="M161" s="581"/>
      <c r="N161" s="582"/>
      <c r="O161" s="535"/>
      <c r="P161" s="536"/>
      <c r="Q161" s="583"/>
      <c r="R161" s="584"/>
      <c r="S161" s="569"/>
      <c r="T161" s="585"/>
    </row>
    <row r="162" spans="1:21" s="81" customFormat="1" ht="16.5" hidden="1" customHeight="1" outlineLevel="1" thickBot="1">
      <c r="A162" s="586" t="s">
        <v>100</v>
      </c>
      <c r="B162" s="587" t="s">
        <v>98</v>
      </c>
      <c r="C162" s="588">
        <f>+[1]авг!C52</f>
        <v>0</v>
      </c>
      <c r="D162" s="589">
        <v>0</v>
      </c>
      <c r="E162" s="575">
        <v>3.1930000000000001</v>
      </c>
      <c r="F162" s="575">
        <f>+E162</f>
        <v>3.1930000000000001</v>
      </c>
      <c r="G162" s="576">
        <f>D162*E162*70%+D162*F162*30%</f>
        <v>0</v>
      </c>
      <c r="H162" s="579"/>
      <c r="I162" s="579"/>
      <c r="J162" s="579"/>
      <c r="K162" s="579"/>
      <c r="L162" s="579">
        <f>+C162+G162+G161</f>
        <v>0</v>
      </c>
      <c r="M162" s="590">
        <v>0</v>
      </c>
      <c r="N162" s="500"/>
      <c r="O162" s="528"/>
      <c r="P162" s="529" t="s">
        <v>87</v>
      </c>
      <c r="Q162" s="591">
        <f t="shared" si="16"/>
        <v>0</v>
      </c>
      <c r="R162" s="592" t="s">
        <v>101</v>
      </c>
      <c r="S162" s="77">
        <f>SUM(N162:N162)+SUM(O162:O162)</f>
        <v>0</v>
      </c>
      <c r="T162" s="593">
        <f>SUM(Q162:Q162)</f>
        <v>0</v>
      </c>
    </row>
    <row r="163" spans="1:21" ht="15.75" collapsed="1" thickTop="1">
      <c r="A163" s="505">
        <v>115</v>
      </c>
      <c r="B163" s="494" t="s">
        <v>102</v>
      </c>
      <c r="C163" s="71">
        <f>+[1]дек!U57</f>
        <v>0</v>
      </c>
      <c r="D163" s="495">
        <v>14</v>
      </c>
      <c r="E163" s="21">
        <v>32.332000000000001</v>
      </c>
      <c r="F163" s="21">
        <v>37.889800000000001</v>
      </c>
      <c r="G163" s="185">
        <f>ROUND(D163*(E163+F163),2)</f>
        <v>983.11</v>
      </c>
      <c r="H163" s="496"/>
      <c r="I163" s="73">
        <v>0.85</v>
      </c>
      <c r="J163" s="73">
        <f>+H163*I163</f>
        <v>0</v>
      </c>
      <c r="K163" s="497"/>
      <c r="L163" s="498">
        <f>SUM(G163:G169)+SUM(J163:J168)</f>
        <v>19675.09</v>
      </c>
      <c r="M163" s="26">
        <v>19675.09</v>
      </c>
      <c r="N163" s="594"/>
      <c r="O163" s="535"/>
      <c r="P163" s="536" t="s">
        <v>87</v>
      </c>
      <c r="Q163" s="595">
        <f t="shared" si="16"/>
        <v>-18691.98</v>
      </c>
      <c r="R163" s="502" t="s">
        <v>88</v>
      </c>
      <c r="S163" s="503"/>
      <c r="T163" s="504"/>
    </row>
    <row r="164" spans="1:21">
      <c r="A164" s="505"/>
      <c r="B164" s="506"/>
      <c r="C164" s="542"/>
      <c r="D164" s="508"/>
      <c r="E164" s="38">
        <f>32.332-28.8628</f>
        <v>3.4692000000000007</v>
      </c>
      <c r="F164" s="38">
        <f>37.8898-33.8306</f>
        <v>4.0592000000000041</v>
      </c>
      <c r="G164" s="50">
        <f>ROUND(D164*(E164+F164),2)</f>
        <v>0</v>
      </c>
      <c r="H164" s="596"/>
      <c r="I164" s="409"/>
      <c r="J164" s="509"/>
      <c r="K164" s="543"/>
      <c r="L164" s="511"/>
      <c r="M164" s="99"/>
      <c r="N164" s="513"/>
      <c r="O164" s="514"/>
      <c r="P164" s="515"/>
      <c r="Q164" s="262"/>
      <c r="R164" s="502"/>
      <c r="S164" s="503"/>
      <c r="T164" s="504"/>
    </row>
    <row r="165" spans="1:21">
      <c r="A165" s="505"/>
      <c r="B165" s="516" t="s">
        <v>103</v>
      </c>
      <c r="C165" s="99" t="s">
        <v>90</v>
      </c>
      <c r="D165" s="508">
        <v>20</v>
      </c>
      <c r="E165" s="101">
        <v>291.8</v>
      </c>
      <c r="F165" s="38">
        <v>37.889800000000001</v>
      </c>
      <c r="G165" s="50">
        <f>ROUND(D165*(E165+F165),2)</f>
        <v>6593.8</v>
      </c>
      <c r="H165" s="270"/>
      <c r="I165" s="41">
        <v>128.56</v>
      </c>
      <c r="J165" s="409">
        <f>+H165*I165</f>
        <v>0</v>
      </c>
      <c r="K165" s="510"/>
      <c r="L165" s="597"/>
      <c r="M165" s="99"/>
      <c r="N165" s="518"/>
      <c r="O165" s="519"/>
      <c r="P165" s="515" t="s">
        <v>87</v>
      </c>
      <c r="Q165" s="271">
        <f>+G165+J165-M165-N165-O165</f>
        <v>6593.8</v>
      </c>
      <c r="R165" s="502" t="s">
        <v>88</v>
      </c>
      <c r="S165" s="503"/>
      <c r="T165" s="504"/>
    </row>
    <row r="166" spans="1:21">
      <c r="A166" s="505"/>
      <c r="B166" s="506"/>
      <c r="C166" s="390" t="s">
        <v>97</v>
      </c>
      <c r="D166" s="508">
        <v>22</v>
      </c>
      <c r="E166" s="41">
        <f>291.8-352.37</f>
        <v>-60.569999999999993</v>
      </c>
      <c r="F166" s="38"/>
      <c r="G166" s="50">
        <f>D166*(E166+F166)</f>
        <v>-1332.54</v>
      </c>
      <c r="H166" s="432"/>
      <c r="I166" s="362"/>
      <c r="J166" s="41"/>
      <c r="K166" s="510"/>
      <c r="L166" s="597"/>
      <c r="M166" s="99"/>
      <c r="N166" s="521"/>
      <c r="O166" s="522"/>
      <c r="P166" s="523"/>
      <c r="Q166" s="362"/>
      <c r="R166" s="502"/>
      <c r="S166" s="503"/>
      <c r="T166" s="504"/>
    </row>
    <row r="167" spans="1:21">
      <c r="A167" s="505"/>
      <c r="B167" s="506"/>
      <c r="C167" s="48" t="s">
        <v>135</v>
      </c>
      <c r="D167" s="37">
        <v>2648</v>
      </c>
      <c r="E167" s="41">
        <f>6.1063-5.8446</f>
        <v>0.26170000000000027</v>
      </c>
      <c r="F167" s="297">
        <f t="shared" ref="F167:F169" si="17">+E167</f>
        <v>0.26170000000000027</v>
      </c>
      <c r="G167" s="39">
        <f>ROUND(D167*(E167+F167)/2,2)</f>
        <v>692.98</v>
      </c>
      <c r="H167" s="432"/>
      <c r="I167" s="362"/>
      <c r="J167" s="41"/>
      <c r="K167" s="510"/>
      <c r="L167" s="597"/>
      <c r="M167" s="99"/>
      <c r="N167" s="521"/>
      <c r="O167" s="522"/>
      <c r="P167" s="523"/>
      <c r="Q167" s="362"/>
      <c r="R167" s="502"/>
      <c r="S167" s="503"/>
      <c r="T167" s="504"/>
    </row>
    <row r="168" spans="1:21">
      <c r="A168" s="505"/>
      <c r="B168" s="506"/>
      <c r="C168" s="48" t="s">
        <v>136</v>
      </c>
      <c r="D168" s="37">
        <v>88</v>
      </c>
      <c r="E168" s="41">
        <v>6.1063000000000001</v>
      </c>
      <c r="F168" s="298">
        <f t="shared" si="17"/>
        <v>6.1063000000000001</v>
      </c>
      <c r="G168" s="39">
        <f>ROUND(D168*E168,2)</f>
        <v>537.35</v>
      </c>
      <c r="H168" s="432"/>
      <c r="I168" s="362"/>
      <c r="J168" s="41"/>
      <c r="K168" s="510"/>
      <c r="L168" s="597"/>
      <c r="M168" s="99"/>
      <c r="N168" s="521"/>
      <c r="O168" s="522"/>
      <c r="P168" s="523"/>
      <c r="Q168" s="362"/>
      <c r="R168" s="502"/>
      <c r="S168" s="503"/>
      <c r="T168" s="504"/>
    </row>
    <row r="169" spans="1:21" ht="15.75" thickBot="1">
      <c r="A169" s="505"/>
      <c r="B169" s="526"/>
      <c r="C169" s="99" t="s">
        <v>29</v>
      </c>
      <c r="D169" s="55">
        <v>1998</v>
      </c>
      <c r="E169" s="56">
        <v>6.1063000000000001</v>
      </c>
      <c r="F169" s="57">
        <f t="shared" si="17"/>
        <v>6.1063000000000001</v>
      </c>
      <c r="G169" s="414">
        <f>ROUND(D169*E169,2)</f>
        <v>12200.39</v>
      </c>
      <c r="H169" s="248"/>
      <c r="I169" s="203"/>
      <c r="J169" s="60"/>
      <c r="K169" s="61"/>
      <c r="L169" s="249"/>
      <c r="M169" s="54"/>
      <c r="N169" s="527"/>
      <c r="O169" s="528"/>
      <c r="P169" s="529" t="s">
        <v>87</v>
      </c>
      <c r="Q169" s="58">
        <f>+G169+J169-M169-N169-O169</f>
        <v>12200.39</v>
      </c>
      <c r="R169" s="502" t="s">
        <v>88</v>
      </c>
      <c r="S169" s="598">
        <f>SUM(N163:N169)+O163:O169</f>
        <v>0</v>
      </c>
      <c r="T169" s="598">
        <f>SUM(Q163:Q169)</f>
        <v>102.20999999999913</v>
      </c>
    </row>
    <row r="170" spans="1:21">
      <c r="A170" s="493"/>
      <c r="B170" s="494" t="s">
        <v>104</v>
      </c>
      <c r="C170" s="71">
        <f>+[1]дек!U66</f>
        <v>0</v>
      </c>
      <c r="D170" s="495">
        <v>71</v>
      </c>
      <c r="E170" s="21">
        <v>32.332000000000001</v>
      </c>
      <c r="F170" s="21">
        <v>37.889800000000001</v>
      </c>
      <c r="G170" s="185">
        <f>ROUND(D170*(E170+F170),2)</f>
        <v>4985.75</v>
      </c>
      <c r="H170" s="496"/>
      <c r="I170" s="73">
        <v>0.85</v>
      </c>
      <c r="J170" s="73">
        <f>+H170*I170</f>
        <v>0</v>
      </c>
      <c r="K170" s="497"/>
      <c r="L170" s="439">
        <f>SUM(G170:G177)+SUM(J170:J176)</f>
        <v>21158.46</v>
      </c>
      <c r="M170" s="26">
        <v>21158.46</v>
      </c>
      <c r="N170" s="499"/>
      <c r="O170" s="500"/>
      <c r="P170" s="501" t="s">
        <v>87</v>
      </c>
      <c r="Q170" s="185">
        <f t="shared" ref="Q170" si="18">C170+G170+J170-M170-N170-O170</f>
        <v>-16172.71</v>
      </c>
      <c r="R170" s="502" t="s">
        <v>88</v>
      </c>
      <c r="S170" s="503"/>
      <c r="T170" s="504"/>
    </row>
    <row r="171" spans="1:21">
      <c r="A171" s="505"/>
      <c r="B171" s="506"/>
      <c r="C171" s="599" t="s">
        <v>96</v>
      </c>
      <c r="D171" s="234">
        <v>0</v>
      </c>
      <c r="E171" s="38">
        <f>32.332-28.8628</f>
        <v>3.4692000000000007</v>
      </c>
      <c r="F171" s="38">
        <f>37.8898-33.8306</f>
        <v>4.0592000000000041</v>
      </c>
      <c r="G171" s="235">
        <f>ROUND(D171*(E171+F171),2)</f>
        <v>0</v>
      </c>
      <c r="H171" s="448"/>
      <c r="I171" s="509"/>
      <c r="J171" s="409"/>
      <c r="K171" s="510"/>
      <c r="L171" s="48"/>
      <c r="M171" s="512"/>
      <c r="N171" s="513"/>
      <c r="O171" s="514"/>
      <c r="P171" s="515"/>
      <c r="Q171" s="262"/>
      <c r="R171" s="502"/>
      <c r="S171" s="503"/>
      <c r="T171" s="504"/>
    </row>
    <row r="172" spans="1:21">
      <c r="A172" s="505"/>
      <c r="B172" s="516" t="s">
        <v>89</v>
      </c>
      <c r="C172" s="512" t="s">
        <v>90</v>
      </c>
      <c r="D172" s="508">
        <v>8</v>
      </c>
      <c r="E172" s="101">
        <v>291.8</v>
      </c>
      <c r="F172" s="38">
        <v>37.889800000000001</v>
      </c>
      <c r="G172" s="50">
        <f>ROUND(D172*(E172+F172),2)</f>
        <v>2637.52</v>
      </c>
      <c r="H172" s="270"/>
      <c r="I172" s="41">
        <v>128.56</v>
      </c>
      <c r="J172" s="409">
        <f>ROUND(H172*I172,2)</f>
        <v>0</v>
      </c>
      <c r="K172" s="510"/>
      <c r="L172" s="600"/>
      <c r="M172" s="99"/>
      <c r="N172" s="518"/>
      <c r="O172" s="519"/>
      <c r="P172" s="515" t="s">
        <v>87</v>
      </c>
      <c r="Q172" s="271">
        <f>+G172+J172-M172-N172-O172</f>
        <v>2637.52</v>
      </c>
      <c r="R172" s="502" t="s">
        <v>88</v>
      </c>
      <c r="S172" s="503"/>
      <c r="T172" s="504"/>
    </row>
    <row r="173" spans="1:21">
      <c r="A173" s="505"/>
      <c r="B173" s="541"/>
      <c r="C173" s="84" t="s">
        <v>97</v>
      </c>
      <c r="D173" s="508">
        <v>10</v>
      </c>
      <c r="E173" s="41">
        <f>291.8-352.37</f>
        <v>-60.569999999999993</v>
      </c>
      <c r="F173" s="38"/>
      <c r="G173" s="50">
        <f>ROUND(D173*(E173+F173),2)</f>
        <v>-605.70000000000005</v>
      </c>
      <c r="H173" s="432"/>
      <c r="I173" s="362"/>
      <c r="J173" s="41"/>
      <c r="K173" s="510"/>
      <c r="L173" s="600"/>
      <c r="M173" s="520"/>
      <c r="N173" s="521"/>
      <c r="O173" s="522"/>
      <c r="P173" s="523"/>
      <c r="Q173" s="362"/>
      <c r="R173" s="502"/>
      <c r="S173" s="503"/>
      <c r="T173" s="504"/>
    </row>
    <row r="174" spans="1:21">
      <c r="A174" s="505"/>
      <c r="B174" s="541"/>
      <c r="C174" s="84" t="s">
        <v>97</v>
      </c>
      <c r="D174" s="508">
        <v>0</v>
      </c>
      <c r="E174" s="41"/>
      <c r="F174" s="41"/>
      <c r="G174" s="50">
        <f>D174*(E174+F174)</f>
        <v>0</v>
      </c>
      <c r="H174" s="432"/>
      <c r="I174" s="362"/>
      <c r="J174" s="41"/>
      <c r="K174" s="510"/>
      <c r="L174" s="600"/>
      <c r="M174" s="520"/>
      <c r="N174" s="521"/>
      <c r="O174" s="522"/>
      <c r="P174" s="523"/>
      <c r="Q174" s="362"/>
      <c r="R174" s="502"/>
      <c r="S174" s="503"/>
      <c r="T174" s="504"/>
    </row>
    <row r="175" spans="1:21">
      <c r="A175" s="505"/>
      <c r="B175" s="506"/>
      <c r="C175" s="48" t="s">
        <v>135</v>
      </c>
      <c r="D175" s="37">
        <v>2585</v>
      </c>
      <c r="E175" s="41">
        <f>6.1063-5.8446</f>
        <v>0.26170000000000027</v>
      </c>
      <c r="F175" s="297">
        <f t="shared" ref="F175:F177" si="19">+E175</f>
        <v>0.26170000000000027</v>
      </c>
      <c r="G175" s="39">
        <f>ROUND(D175*(E175),2)+0.01</f>
        <v>676.5</v>
      </c>
      <c r="H175" s="432"/>
      <c r="I175" s="362"/>
      <c r="J175" s="41"/>
      <c r="K175" s="510"/>
      <c r="L175" s="600"/>
      <c r="M175" s="520"/>
      <c r="N175" s="521"/>
      <c r="O175" s="522"/>
      <c r="P175" s="523"/>
      <c r="Q175" s="362"/>
      <c r="R175" s="502"/>
      <c r="S175" s="503"/>
      <c r="T175" s="504"/>
    </row>
    <row r="176" spans="1:21">
      <c r="A176" s="505"/>
      <c r="B176" s="506"/>
      <c r="C176" s="48" t="s">
        <v>136</v>
      </c>
      <c r="D176" s="37">
        <v>94</v>
      </c>
      <c r="E176" s="41">
        <v>6.1063000000000001</v>
      </c>
      <c r="F176" s="298">
        <f t="shared" si="19"/>
        <v>6.1063000000000001</v>
      </c>
      <c r="G176" s="39">
        <f>ROUND(D176*(E176),2)</f>
        <v>573.99</v>
      </c>
      <c r="H176" s="432"/>
      <c r="I176" s="362"/>
      <c r="J176" s="41"/>
      <c r="K176" s="510"/>
      <c r="L176" s="600"/>
      <c r="M176" s="520"/>
      <c r="N176" s="521"/>
      <c r="O176" s="522"/>
      <c r="P176" s="523"/>
      <c r="Q176" s="362"/>
      <c r="R176" s="502"/>
      <c r="S176" s="503"/>
      <c r="T176" s="504"/>
      <c r="U176" s="33"/>
    </row>
    <row r="177" spans="1:21" ht="15.75" thickBot="1">
      <c r="A177" s="525"/>
      <c r="B177" s="526"/>
      <c r="C177" s="99" t="s">
        <v>29</v>
      </c>
      <c r="D177" s="55">
        <v>2111</v>
      </c>
      <c r="E177" s="56">
        <v>6.1063000000000001</v>
      </c>
      <c r="F177" s="57">
        <f t="shared" si="19"/>
        <v>6.1063000000000001</v>
      </c>
      <c r="G177" s="414">
        <f>ROUND(D177*(E177),2)</f>
        <v>12890.4</v>
      </c>
      <c r="H177" s="248"/>
      <c r="I177" s="203"/>
      <c r="J177" s="60"/>
      <c r="K177" s="61"/>
      <c r="L177" s="204"/>
      <c r="M177" s="54"/>
      <c r="N177" s="527"/>
      <c r="O177" s="528"/>
      <c r="P177" s="529" t="s">
        <v>87</v>
      </c>
      <c r="Q177" s="362">
        <f>+G177+J177-M177-N177-O177</f>
        <v>12890.4</v>
      </c>
      <c r="R177" s="502" t="s">
        <v>88</v>
      </c>
      <c r="S177" s="598">
        <f>SUM(N170:N177)+O170:O177</f>
        <v>0</v>
      </c>
      <c r="T177" s="598">
        <f>SUM(Q170:Q177)</f>
        <v>-644.78999999999905</v>
      </c>
    </row>
    <row r="178" spans="1:21" ht="15.75" thickTop="1">
      <c r="A178" s="493">
        <v>115</v>
      </c>
      <c r="B178" s="494" t="s">
        <v>105</v>
      </c>
      <c r="C178" s="71">
        <f>+[1]дек!U72</f>
        <v>0</v>
      </c>
      <c r="D178" s="495">
        <v>11</v>
      </c>
      <c r="E178" s="21">
        <v>32.332000000000001</v>
      </c>
      <c r="F178" s="21">
        <v>37.889800000000001</v>
      </c>
      <c r="G178" s="185">
        <f>ROUND(D178*(E178+F178),2)</f>
        <v>772.44</v>
      </c>
      <c r="H178" s="496"/>
      <c r="I178" s="73">
        <v>0.85</v>
      </c>
      <c r="J178" s="73">
        <f>+H178*I178</f>
        <v>0</v>
      </c>
      <c r="K178" s="601"/>
      <c r="L178" s="498">
        <f>SUM(G178:G185)+SUM(J178:J184)</f>
        <v>24869.84</v>
      </c>
      <c r="M178" s="26">
        <v>24869.84</v>
      </c>
      <c r="N178" s="499"/>
      <c r="O178" s="500"/>
      <c r="P178" s="501" t="s">
        <v>87</v>
      </c>
      <c r="Q178" s="595">
        <f t="shared" ref="Q178" si="20">C178+G178+J178-M178-N178-O178</f>
        <v>-24097.4</v>
      </c>
    </row>
    <row r="179" spans="1:21">
      <c r="A179" s="505"/>
      <c r="B179" s="506"/>
      <c r="C179" s="507" t="s">
        <v>96</v>
      </c>
      <c r="D179" s="234">
        <v>0</v>
      </c>
      <c r="E179" s="38">
        <f>32.332-28.8628</f>
        <v>3.4692000000000007</v>
      </c>
      <c r="F179" s="38">
        <f>37.8898-33.8306</f>
        <v>4.0592000000000041</v>
      </c>
      <c r="G179" s="235">
        <f>ROUND(D179*(E179+F179),2)</f>
        <v>0</v>
      </c>
      <c r="H179" s="448"/>
      <c r="I179" s="509"/>
      <c r="J179" s="199"/>
      <c r="K179" s="517"/>
      <c r="L179" s="511"/>
      <c r="M179" s="512"/>
      <c r="N179" s="513"/>
      <c r="O179" s="514"/>
      <c r="P179" s="515"/>
      <c r="Q179" s="262"/>
      <c r="U179" s="33"/>
    </row>
    <row r="180" spans="1:21">
      <c r="A180" s="505"/>
      <c r="B180" s="516" t="s">
        <v>89</v>
      </c>
      <c r="C180" s="512" t="s">
        <v>90</v>
      </c>
      <c r="D180" s="508">
        <v>3</v>
      </c>
      <c r="E180" s="101">
        <v>291.8</v>
      </c>
      <c r="F180" s="38">
        <v>37.889800000000001</v>
      </c>
      <c r="G180" s="50">
        <f>ROUND(D180*(E180+F180),2)</f>
        <v>989.07</v>
      </c>
      <c r="H180" s="270"/>
      <c r="I180" s="41">
        <v>128.56</v>
      </c>
      <c r="J180" s="207">
        <f>+H180*I180</f>
        <v>0</v>
      </c>
      <c r="K180" s="517"/>
      <c r="L180" s="517"/>
      <c r="M180" s="99"/>
      <c r="N180" s="518"/>
      <c r="O180" s="519"/>
      <c r="P180" s="515" t="s">
        <v>87</v>
      </c>
      <c r="Q180" s="271">
        <f>+G180+J180-M180-N180-O180</f>
        <v>989.07</v>
      </c>
    </row>
    <row r="181" spans="1:21">
      <c r="A181" s="505"/>
      <c r="B181" s="541"/>
      <c r="C181" s="84" t="s">
        <v>97</v>
      </c>
      <c r="D181" s="508">
        <v>3</v>
      </c>
      <c r="E181" s="41">
        <f>291.8-352.37</f>
        <v>-60.569999999999993</v>
      </c>
      <c r="F181" s="38"/>
      <c r="G181" s="50">
        <f>ROUND(D181*(E181+F181),2)-0.01</f>
        <v>-181.72</v>
      </c>
      <c r="H181" s="432"/>
      <c r="I181" s="362"/>
      <c r="J181" s="207"/>
      <c r="K181" s="517"/>
      <c r="L181" s="517"/>
      <c r="M181" s="520"/>
      <c r="N181" s="521"/>
      <c r="O181" s="522"/>
      <c r="P181" s="523"/>
      <c r="Q181" s="362"/>
    </row>
    <row r="182" spans="1:21">
      <c r="A182" s="505"/>
      <c r="B182" s="541"/>
      <c r="C182" s="84"/>
      <c r="D182" s="508"/>
      <c r="E182" s="41"/>
      <c r="F182" s="41"/>
      <c r="G182" s="50"/>
      <c r="H182" s="432"/>
      <c r="I182" s="362"/>
      <c r="J182" s="207"/>
      <c r="K182" s="517"/>
      <c r="L182" s="517"/>
      <c r="M182" s="520"/>
      <c r="N182" s="521"/>
      <c r="O182" s="522"/>
      <c r="P182" s="523"/>
      <c r="Q182" s="362"/>
    </row>
    <row r="183" spans="1:21">
      <c r="A183" s="505"/>
      <c r="B183" s="506"/>
      <c r="C183" s="48" t="s">
        <v>135</v>
      </c>
      <c r="D183" s="37">
        <v>3899</v>
      </c>
      <c r="E183" s="41">
        <f>6.1063-5.8446</f>
        <v>0.26170000000000027</v>
      </c>
      <c r="F183" s="41">
        <f t="shared" ref="F183:F188" si="21">+E183</f>
        <v>0.26170000000000027</v>
      </c>
      <c r="G183" s="39">
        <f>ROUND(D183*E183,2)</f>
        <v>1020.37</v>
      </c>
      <c r="H183" s="432"/>
      <c r="I183" s="362"/>
      <c r="J183" s="207"/>
      <c r="K183" s="517"/>
      <c r="L183" s="517"/>
      <c r="M183" s="520"/>
      <c r="N183" s="521"/>
      <c r="O183" s="522"/>
      <c r="P183" s="523"/>
      <c r="Q183" s="362"/>
    </row>
    <row r="184" spans="1:21">
      <c r="A184" s="505"/>
      <c r="B184" s="506"/>
      <c r="C184" s="48" t="s">
        <v>136</v>
      </c>
      <c r="D184" s="37">
        <v>155</v>
      </c>
      <c r="E184" s="41">
        <v>6.1063000000000001</v>
      </c>
      <c r="F184" s="41">
        <f t="shared" si="21"/>
        <v>6.1063000000000001</v>
      </c>
      <c r="G184" s="39">
        <f>ROUND(D184*E184,2)</f>
        <v>946.48</v>
      </c>
      <c r="H184" s="432"/>
      <c r="I184" s="362"/>
      <c r="J184" s="207"/>
      <c r="K184" s="517"/>
      <c r="L184" s="517"/>
      <c r="M184" s="520"/>
      <c r="N184" s="521"/>
      <c r="O184" s="522"/>
      <c r="P184" s="523"/>
      <c r="Q184" s="362"/>
      <c r="U184" s="33"/>
    </row>
    <row r="185" spans="1:21" ht="15.75" thickBot="1">
      <c r="A185" s="525"/>
      <c r="B185" s="526"/>
      <c r="C185" s="99" t="s">
        <v>29</v>
      </c>
      <c r="D185" s="55">
        <v>3492</v>
      </c>
      <c r="E185" s="56">
        <v>6.1063000000000001</v>
      </c>
      <c r="F185" s="281">
        <f t="shared" si="21"/>
        <v>6.1063000000000001</v>
      </c>
      <c r="G185" s="58">
        <f>ROUND(D185*E185,2)</f>
        <v>21323.200000000001</v>
      </c>
      <c r="H185" s="248"/>
      <c r="I185" s="203"/>
      <c r="J185" s="60"/>
      <c r="K185" s="61"/>
      <c r="L185" s="249"/>
      <c r="M185" s="54"/>
      <c r="N185" s="521"/>
      <c r="O185" s="528"/>
      <c r="P185" s="529" t="s">
        <v>87</v>
      </c>
      <c r="Q185" s="362">
        <f>+G185+J185-M185-N185-O185</f>
        <v>21323.200000000001</v>
      </c>
    </row>
    <row r="186" spans="1:21">
      <c r="A186" s="493">
        <v>301</v>
      </c>
      <c r="B186" s="602" t="s">
        <v>106</v>
      </c>
      <c r="C186" s="48" t="s">
        <v>135</v>
      </c>
      <c r="D186" s="184">
        <v>946.14</v>
      </c>
      <c r="E186" s="41">
        <f>6.1063-5.8446</f>
        <v>0.26170000000000027</v>
      </c>
      <c r="F186" s="23">
        <f t="shared" si="21"/>
        <v>0.26170000000000027</v>
      </c>
      <c r="G186" s="185">
        <f>ROUND(D186*(E186),2)</f>
        <v>247.6</v>
      </c>
      <c r="H186" s="23"/>
      <c r="I186" s="23"/>
      <c r="J186" s="23"/>
      <c r="K186" s="23"/>
      <c r="L186" s="603">
        <f>SUM(G186:G188)</f>
        <v>5891.11</v>
      </c>
      <c r="M186" s="187">
        <v>5891.11</v>
      </c>
      <c r="N186" s="604"/>
      <c r="O186" s="500"/>
      <c r="P186" s="501"/>
      <c r="Q186" s="605"/>
    </row>
    <row r="187" spans="1:21">
      <c r="A187" s="505"/>
      <c r="B187" s="506"/>
      <c r="C187" s="48" t="s">
        <v>136</v>
      </c>
      <c r="D187" s="49">
        <v>39.21</v>
      </c>
      <c r="E187" s="41">
        <v>6.1063000000000001</v>
      </c>
      <c r="F187" s="41">
        <f t="shared" si="21"/>
        <v>6.1063000000000001</v>
      </c>
      <c r="G187" s="50">
        <f>ROUND(D187*(E187),2)</f>
        <v>239.43</v>
      </c>
      <c r="H187" s="41"/>
      <c r="I187" s="41"/>
      <c r="J187" s="41"/>
      <c r="K187" s="41"/>
      <c r="L187" s="606"/>
      <c r="M187" s="606"/>
      <c r="N187" s="607"/>
      <c r="O187" s="608"/>
      <c r="P187" s="609"/>
      <c r="Q187" s="610"/>
    </row>
    <row r="188" spans="1:21" ht="15.75" thickBot="1">
      <c r="A188" s="611"/>
      <c r="B188" s="612"/>
      <c r="C188" s="99" t="s">
        <v>29</v>
      </c>
      <c r="D188" s="613">
        <v>885</v>
      </c>
      <c r="E188" s="56">
        <v>6.1063000000000001</v>
      </c>
      <c r="F188" s="281">
        <f t="shared" si="21"/>
        <v>6.1063000000000001</v>
      </c>
      <c r="G188" s="58">
        <f>ROUND(D188*(E188),2)</f>
        <v>5404.08</v>
      </c>
      <c r="H188" s="57"/>
      <c r="I188" s="57"/>
      <c r="J188" s="57"/>
      <c r="K188" s="57"/>
      <c r="L188" s="614"/>
      <c r="M188" s="606"/>
      <c r="N188" s="615"/>
      <c r="O188" s="615"/>
      <c r="P188" s="615"/>
      <c r="Q188" s="616"/>
    </row>
    <row r="189" spans="1:21">
      <c r="A189" s="617"/>
      <c r="B189" s="602" t="s">
        <v>107</v>
      </c>
      <c r="C189" s="618" t="s">
        <v>73</v>
      </c>
      <c r="D189" s="619">
        <v>4</v>
      </c>
      <c r="E189" s="21">
        <v>32.332000000000001</v>
      </c>
      <c r="F189" s="21">
        <v>37.889800000000001</v>
      </c>
      <c r="G189" s="185">
        <f>ROUND(D189*(E189+F189),2)</f>
        <v>280.89</v>
      </c>
      <c r="H189" s="620"/>
      <c r="I189" s="620"/>
      <c r="J189" s="620"/>
      <c r="K189" s="620"/>
      <c r="L189" s="603">
        <f>SUM(G189:G193,J189:J193)</f>
        <v>5890.57</v>
      </c>
      <c r="M189" s="187">
        <v>5890.57</v>
      </c>
      <c r="N189" s="621"/>
      <c r="O189" s="621"/>
      <c r="P189" s="621"/>
      <c r="Q189" s="622"/>
    </row>
    <row r="190" spans="1:21">
      <c r="A190" s="611"/>
      <c r="B190" s="612"/>
      <c r="C190" s="542" t="s">
        <v>96</v>
      </c>
      <c r="D190" s="234">
        <v>0</v>
      </c>
      <c r="E190" s="38">
        <f>32.332-28.8628</f>
        <v>3.4692000000000007</v>
      </c>
      <c r="F190" s="38">
        <f>37.8898-33.8306</f>
        <v>4.0592000000000041</v>
      </c>
      <c r="G190" s="235">
        <f>ROUND(D190*(E190+F190),2)</f>
        <v>0</v>
      </c>
      <c r="H190" s="298"/>
      <c r="I190" s="298"/>
      <c r="J190" s="298"/>
      <c r="K190" s="298"/>
      <c r="L190" s="606"/>
      <c r="M190" s="606"/>
      <c r="N190" s="615"/>
      <c r="O190" s="615"/>
      <c r="P190" s="615"/>
      <c r="Q190" s="616"/>
    </row>
    <row r="191" spans="1:21">
      <c r="A191" s="611"/>
      <c r="B191" s="612"/>
      <c r="C191" s="48" t="s">
        <v>135</v>
      </c>
      <c r="D191" s="623">
        <v>879</v>
      </c>
      <c r="E191" s="41">
        <f>6.1063-5.8446</f>
        <v>0.26170000000000027</v>
      </c>
      <c r="F191" s="41">
        <f>+E191</f>
        <v>0.26170000000000027</v>
      </c>
      <c r="G191" s="50">
        <f>ROUND(D191*(E191),2)</f>
        <v>230.03</v>
      </c>
      <c r="H191" s="298"/>
      <c r="I191" s="298"/>
      <c r="J191" s="298"/>
      <c r="K191" s="298"/>
      <c r="L191" s="614"/>
      <c r="M191" s="606"/>
      <c r="N191" s="615"/>
      <c r="O191" s="615"/>
      <c r="P191" s="615"/>
      <c r="Q191" s="616"/>
    </row>
    <row r="192" spans="1:21">
      <c r="A192" s="611"/>
      <c r="B192" s="612"/>
      <c r="C192" s="48" t="s">
        <v>136</v>
      </c>
      <c r="D192" s="623">
        <v>37</v>
      </c>
      <c r="E192" s="41">
        <v>6.1063000000000001</v>
      </c>
      <c r="F192" s="41">
        <f>+E192</f>
        <v>6.1063000000000001</v>
      </c>
      <c r="G192" s="39">
        <f>ROUND(D192*(E192),2)</f>
        <v>225.93</v>
      </c>
      <c r="H192" s="298"/>
      <c r="I192" s="298"/>
      <c r="J192" s="298"/>
      <c r="K192" s="298"/>
      <c r="L192" s="614"/>
      <c r="M192" s="273"/>
      <c r="N192" s="615"/>
      <c r="O192" s="615"/>
      <c r="P192" s="615"/>
      <c r="Q192" s="616"/>
    </row>
    <row r="193" spans="1:17" ht="15.75" thickBot="1">
      <c r="A193" s="624"/>
      <c r="B193" s="526"/>
      <c r="C193" s="99" t="s">
        <v>29</v>
      </c>
      <c r="D193" s="625">
        <v>844</v>
      </c>
      <c r="E193" s="56">
        <v>6.1063000000000001</v>
      </c>
      <c r="F193" s="281">
        <f>+E193</f>
        <v>6.1063000000000001</v>
      </c>
      <c r="G193" s="414">
        <f>ROUND(D193*(E193),2)</f>
        <v>5153.72</v>
      </c>
      <c r="H193" s="41"/>
      <c r="I193" s="41"/>
      <c r="J193" s="41"/>
      <c r="K193" s="41"/>
      <c r="L193" s="606"/>
      <c r="M193" s="606"/>
      <c r="N193" s="626"/>
      <c r="O193" s="626"/>
      <c r="P193" s="626"/>
      <c r="Q193" s="627"/>
    </row>
    <row r="194" spans="1:17" ht="15.75" thickTop="1">
      <c r="A194" s="493"/>
      <c r="B194" s="494" t="s">
        <v>108</v>
      </c>
      <c r="C194" s="71">
        <f>+[1]дек!U87</f>
        <v>0</v>
      </c>
      <c r="D194" s="495">
        <v>5</v>
      </c>
      <c r="E194" s="21">
        <v>32.332000000000001</v>
      </c>
      <c r="F194" s="21">
        <v>37.889800000000001</v>
      </c>
      <c r="G194" s="185">
        <f>ROUND(D194*(E194+F194),2)</f>
        <v>351.11</v>
      </c>
      <c r="H194" s="496"/>
      <c r="I194" s="73">
        <v>0.85</v>
      </c>
      <c r="J194" s="73">
        <f>+H194*I194</f>
        <v>0</v>
      </c>
      <c r="K194" s="628"/>
      <c r="L194" s="629">
        <f>SUM(G194:G200)+SUM(J194:J199)</f>
        <v>3554.3900000000003</v>
      </c>
      <c r="M194" s="630">
        <v>3554.39</v>
      </c>
      <c r="N194" s="594"/>
      <c r="O194" s="631"/>
      <c r="P194" s="515" t="s">
        <v>87</v>
      </c>
      <c r="Q194" s="595">
        <f t="shared" ref="Q194:Q196" si="22">C194+G194+J194-M194-N194-O194</f>
        <v>-3203.2799999999997</v>
      </c>
    </row>
    <row r="195" spans="1:17">
      <c r="A195" s="505"/>
      <c r="B195" s="506"/>
      <c r="C195" s="542" t="s">
        <v>96</v>
      </c>
      <c r="D195" s="234">
        <v>0</v>
      </c>
      <c r="E195" s="38">
        <f>32.332-28.8628</f>
        <v>3.4692000000000007</v>
      </c>
      <c r="F195" s="38">
        <f>37.8898-33.8306</f>
        <v>4.0592000000000041</v>
      </c>
      <c r="G195" s="235">
        <f>ROUND(D195*(E195+F195),2)</f>
        <v>0</v>
      </c>
      <c r="H195" s="448"/>
      <c r="I195" s="509"/>
      <c r="J195" s="409"/>
      <c r="K195" s="510"/>
      <c r="L195" s="632"/>
      <c r="M195" s="512"/>
      <c r="N195" s="513"/>
      <c r="O195" s="514"/>
      <c r="P195" s="515"/>
      <c r="Q195" s="262"/>
    </row>
    <row r="196" spans="1:17">
      <c r="A196" s="505"/>
      <c r="B196" s="516" t="s">
        <v>109</v>
      </c>
      <c r="C196" s="633"/>
      <c r="D196" s="508"/>
      <c r="E196" s="101">
        <v>291.8</v>
      </c>
      <c r="F196" s="41">
        <v>33.830599999999997</v>
      </c>
      <c r="G196" s="50">
        <f>D196*(E196+F196)</f>
        <v>0</v>
      </c>
      <c r="H196" s="270"/>
      <c r="I196" s="41">
        <v>128.56</v>
      </c>
      <c r="J196" s="409">
        <f>ROUND(H196*I196,2)</f>
        <v>0</v>
      </c>
      <c r="K196" s="510"/>
      <c r="L196" s="597"/>
      <c r="M196" s="99"/>
      <c r="N196" s="518"/>
      <c r="O196" s="519"/>
      <c r="P196" s="515" t="s">
        <v>87</v>
      </c>
      <c r="Q196" s="271">
        <f t="shared" si="22"/>
        <v>0</v>
      </c>
    </row>
    <row r="197" spans="1:17">
      <c r="A197" s="505"/>
      <c r="B197" s="541"/>
      <c r="C197" s="84" t="s">
        <v>97</v>
      </c>
      <c r="D197" s="508"/>
      <c r="E197" s="41">
        <f>291.8-352.37</f>
        <v>-60.569999999999993</v>
      </c>
      <c r="F197" s="41"/>
      <c r="G197" s="50">
        <f>D197*(E197+F197)</f>
        <v>0</v>
      </c>
      <c r="H197" s="432"/>
      <c r="I197" s="362"/>
      <c r="J197" s="207"/>
      <c r="K197" s="510"/>
      <c r="L197" s="597"/>
      <c r="M197" s="520"/>
      <c r="N197" s="521"/>
      <c r="O197" s="522"/>
      <c r="P197" s="523"/>
      <c r="Q197" s="362"/>
    </row>
    <row r="198" spans="1:17">
      <c r="A198" s="505"/>
      <c r="B198" s="506"/>
      <c r="C198" s="48" t="s">
        <v>135</v>
      </c>
      <c r="D198" s="37">
        <v>527</v>
      </c>
      <c r="E198" s="41">
        <f>6.1063-5.8446</f>
        <v>0.26170000000000027</v>
      </c>
      <c r="F198" s="41">
        <f>+E198</f>
        <v>0.26170000000000027</v>
      </c>
      <c r="G198" s="39">
        <f>ROUND(D198*(E198),2)</f>
        <v>137.91999999999999</v>
      </c>
      <c r="H198" s="432"/>
      <c r="I198" s="362"/>
      <c r="J198" s="207"/>
      <c r="K198" s="510"/>
      <c r="L198" s="597"/>
      <c r="M198" s="520"/>
      <c r="N198" s="521"/>
      <c r="O198" s="522"/>
      <c r="P198" s="523"/>
      <c r="Q198" s="362"/>
    </row>
    <row r="199" spans="1:17">
      <c r="A199" s="505"/>
      <c r="B199" s="506"/>
      <c r="C199" s="48" t="s">
        <v>136</v>
      </c>
      <c r="D199" s="37">
        <v>21</v>
      </c>
      <c r="E199" s="41">
        <v>6.1063000000000001</v>
      </c>
      <c r="F199" s="41">
        <f>+E199</f>
        <v>6.1063000000000001</v>
      </c>
      <c r="G199" s="39">
        <f t="shared" ref="G199:G204" si="23">ROUND(D199*(E199),2)</f>
        <v>128.22999999999999</v>
      </c>
      <c r="H199" s="432"/>
      <c r="I199" s="362"/>
      <c r="J199" s="207"/>
      <c r="K199" s="510"/>
      <c r="L199" s="597"/>
      <c r="M199" s="520"/>
      <c r="N199" s="521"/>
      <c r="O199" s="522"/>
      <c r="P199" s="523"/>
      <c r="Q199" s="362"/>
    </row>
    <row r="200" spans="1:17" ht="15.75" thickBot="1">
      <c r="A200" s="525"/>
      <c r="B200" s="526"/>
      <c r="C200" s="99" t="s">
        <v>29</v>
      </c>
      <c r="D200" s="55">
        <v>481</v>
      </c>
      <c r="E200" s="56">
        <v>6.1063000000000001</v>
      </c>
      <c r="F200" s="281">
        <f>+E200</f>
        <v>6.1063000000000001</v>
      </c>
      <c r="G200" s="414">
        <f t="shared" si="23"/>
        <v>2937.13</v>
      </c>
      <c r="H200" s="248"/>
      <c r="I200" s="203"/>
      <c r="J200" s="60"/>
      <c r="K200" s="61"/>
      <c r="L200" s="249"/>
      <c r="M200" s="54"/>
      <c r="N200" s="527"/>
      <c r="O200" s="528"/>
      <c r="P200" s="529" t="s">
        <v>87</v>
      </c>
      <c r="Q200" s="282">
        <f>+G200+J200-M200-N200-O200</f>
        <v>2937.13</v>
      </c>
    </row>
    <row r="201" spans="1:17">
      <c r="A201" s="493"/>
      <c r="B201" s="602" t="s">
        <v>110</v>
      </c>
      <c r="C201" s="48" t="s">
        <v>135</v>
      </c>
      <c r="D201" s="184">
        <v>198</v>
      </c>
      <c r="E201" s="41">
        <f>6.1063-5.8446</f>
        <v>0.26170000000000027</v>
      </c>
      <c r="F201" s="23">
        <f t="shared" ref="F201:F203" si="24">+E201</f>
        <v>0.26170000000000027</v>
      </c>
      <c r="G201" s="185">
        <f>ROUND(D201*(E201),2)</f>
        <v>51.82</v>
      </c>
      <c r="H201" s="620"/>
      <c r="I201" s="620"/>
      <c r="J201" s="620"/>
      <c r="K201" s="634"/>
      <c r="L201" s="603">
        <f>SUM(G201:G204)</f>
        <v>1224.23</v>
      </c>
      <c r="M201" s="187">
        <v>1224.23</v>
      </c>
      <c r="N201" s="604"/>
      <c r="O201" s="635"/>
      <c r="P201" s="636"/>
      <c r="Q201" s="605"/>
    </row>
    <row r="202" spans="1:17">
      <c r="A202" s="505"/>
      <c r="B202" s="506"/>
      <c r="C202" s="48" t="s">
        <v>136</v>
      </c>
      <c r="D202" s="49">
        <v>8</v>
      </c>
      <c r="E202" s="41">
        <v>6.1063000000000001</v>
      </c>
      <c r="F202" s="41">
        <f t="shared" si="24"/>
        <v>6.1063000000000001</v>
      </c>
      <c r="G202" s="50">
        <f>ROUND(D202*(E202),2)</f>
        <v>48.85</v>
      </c>
      <c r="H202" s="296"/>
      <c r="I202" s="298"/>
      <c r="J202" s="298"/>
      <c r="K202" s="637"/>
      <c r="L202" s="606"/>
      <c r="M202" s="606"/>
      <c r="N202" s="607"/>
      <c r="O202" s="608"/>
      <c r="P202" s="609"/>
      <c r="Q202" s="610"/>
    </row>
    <row r="203" spans="1:17" ht="15.75" thickBot="1">
      <c r="A203" s="611"/>
      <c r="B203" s="506"/>
      <c r="C203" s="99" t="s">
        <v>29</v>
      </c>
      <c r="D203" s="296">
        <v>184</v>
      </c>
      <c r="E203" s="56">
        <v>6.1063000000000001</v>
      </c>
      <c r="F203" s="41">
        <f t="shared" si="24"/>
        <v>6.1063000000000001</v>
      </c>
      <c r="G203" s="50">
        <f t="shared" si="23"/>
        <v>1123.56</v>
      </c>
      <c r="H203" s="296"/>
      <c r="I203" s="298"/>
      <c r="J203" s="298"/>
      <c r="K203" s="637"/>
      <c r="L203" s="614"/>
      <c r="M203" s="606"/>
      <c r="N203" s="615"/>
      <c r="O203" s="615"/>
      <c r="P203" s="615"/>
      <c r="Q203" s="616"/>
    </row>
    <row r="204" spans="1:17" ht="15.75" thickBot="1">
      <c r="A204" s="638"/>
      <c r="B204" s="639" t="s">
        <v>111</v>
      </c>
      <c r="C204" s="640"/>
      <c r="D204" s="641"/>
      <c r="E204" s="311"/>
      <c r="F204" s="109"/>
      <c r="G204" s="642">
        <f t="shared" si="23"/>
        <v>0</v>
      </c>
      <c r="H204" s="643"/>
      <c r="I204" s="109"/>
      <c r="J204" s="109"/>
      <c r="K204" s="644"/>
      <c r="L204" s="640"/>
      <c r="M204" s="640"/>
      <c r="N204" s="2"/>
      <c r="O204" s="2"/>
      <c r="P204" s="2"/>
      <c r="Q204" s="2"/>
    </row>
    <row r="205" spans="1:17" ht="15.75" thickTop="1">
      <c r="A205" s="645"/>
      <c r="B205" s="602" t="s">
        <v>112</v>
      </c>
      <c r="C205" s="48" t="s">
        <v>135</v>
      </c>
      <c r="D205" s="184">
        <v>852</v>
      </c>
      <c r="E205" s="41">
        <f>6.1063-5.8446</f>
        <v>0.26170000000000027</v>
      </c>
      <c r="F205" s="23">
        <f t="shared" ref="F205:F209" si="25">+E205</f>
        <v>0.26170000000000027</v>
      </c>
      <c r="G205" s="185">
        <f>ROUND(D205*(E205),2)</f>
        <v>222.97</v>
      </c>
      <c r="H205" s="620"/>
      <c r="I205" s="620"/>
      <c r="J205" s="620"/>
      <c r="K205" s="634"/>
      <c r="L205" s="603">
        <f>SUM(G205:G208)</f>
        <v>5059.16</v>
      </c>
      <c r="M205" s="187">
        <v>5059.16</v>
      </c>
      <c r="N205" s="604"/>
      <c r="O205" s="635"/>
      <c r="P205" s="636"/>
      <c r="Q205" s="605"/>
    </row>
    <row r="206" spans="1:17">
      <c r="A206" s="645"/>
      <c r="B206" s="506"/>
      <c r="C206" s="48" t="s">
        <v>136</v>
      </c>
      <c r="D206" s="49">
        <v>34</v>
      </c>
      <c r="E206" s="41">
        <v>6.1063000000000001</v>
      </c>
      <c r="F206" s="41">
        <f t="shared" si="25"/>
        <v>6.1063000000000001</v>
      </c>
      <c r="G206" s="50">
        <f t="shared" ref="G206:G207" si="26">ROUND(D206*(E206),2)</f>
        <v>207.61</v>
      </c>
      <c r="H206" s="296"/>
      <c r="I206" s="298"/>
      <c r="J206" s="298"/>
      <c r="K206" s="637"/>
      <c r="L206" s="606"/>
      <c r="M206" s="606"/>
      <c r="N206" s="607"/>
      <c r="O206" s="608"/>
      <c r="P206" s="609"/>
      <c r="Q206" s="610"/>
    </row>
    <row r="207" spans="1:17" ht="15.75" thickBot="1">
      <c r="A207" s="645"/>
      <c r="B207" s="506"/>
      <c r="C207" s="99" t="s">
        <v>29</v>
      </c>
      <c r="D207" s="296">
        <v>758</v>
      </c>
      <c r="E207" s="56">
        <v>6.1063000000000001</v>
      </c>
      <c r="F207" s="41">
        <f t="shared" si="25"/>
        <v>6.1063000000000001</v>
      </c>
      <c r="G207" s="50">
        <f t="shared" si="26"/>
        <v>4628.58</v>
      </c>
      <c r="H207" s="296"/>
      <c r="I207" s="298"/>
      <c r="J207" s="298"/>
      <c r="K207" s="637"/>
      <c r="L207" s="614"/>
      <c r="M207" s="606"/>
      <c r="N207" s="615"/>
      <c r="O207" s="615"/>
      <c r="P207" s="615"/>
      <c r="Q207" s="616"/>
    </row>
    <row r="208" spans="1:17" ht="15.75" thickBot="1">
      <c r="A208" s="645"/>
      <c r="B208" s="639"/>
      <c r="C208" s="646"/>
      <c r="D208" s="647"/>
      <c r="E208" s="648"/>
      <c r="F208" s="646"/>
      <c r="G208" s="648"/>
      <c r="H208" s="646"/>
      <c r="I208" s="646"/>
      <c r="J208" s="646"/>
      <c r="K208" s="646"/>
      <c r="L208" s="646"/>
      <c r="M208" s="646"/>
      <c r="N208" s="615"/>
      <c r="O208" s="615"/>
      <c r="P208" s="615"/>
      <c r="Q208" s="615"/>
    </row>
    <row r="209" spans="1:20" ht="15.75" thickTop="1">
      <c r="A209" s="645"/>
      <c r="B209" s="602" t="s">
        <v>127</v>
      </c>
      <c r="C209" s="48" t="s">
        <v>135</v>
      </c>
      <c r="D209" s="184">
        <v>474.1</v>
      </c>
      <c r="E209" s="41">
        <f>6.1063-5.8446</f>
        <v>0.26170000000000027</v>
      </c>
      <c r="F209" s="23">
        <f t="shared" si="25"/>
        <v>0.26170000000000027</v>
      </c>
      <c r="G209" s="185">
        <f>ROUND(D209*(E209),2)</f>
        <v>124.07</v>
      </c>
      <c r="H209" s="620"/>
      <c r="I209" s="620"/>
      <c r="J209" s="620"/>
      <c r="K209" s="634"/>
      <c r="L209" s="603">
        <f>SUM(G209:G212)</f>
        <v>2904.27</v>
      </c>
      <c r="M209" s="187">
        <v>2904.27</v>
      </c>
      <c r="N209" s="604"/>
      <c r="O209" s="635"/>
      <c r="P209" s="636"/>
      <c r="Q209" s="605"/>
    </row>
    <row r="210" spans="1:20">
      <c r="A210" s="645"/>
      <c r="B210" s="506"/>
      <c r="C210" s="48" t="s">
        <v>136</v>
      </c>
      <c r="D210" s="49">
        <v>19.3</v>
      </c>
      <c r="E210" s="41">
        <v>6.1063000000000001</v>
      </c>
      <c r="F210" s="41">
        <f>+E210</f>
        <v>6.1063000000000001</v>
      </c>
      <c r="G210" s="50">
        <f>ROUND(D210*(E210),2)</f>
        <v>117.85</v>
      </c>
      <c r="H210" s="296"/>
      <c r="I210" s="298"/>
      <c r="J210" s="298"/>
      <c r="K210" s="637"/>
      <c r="L210" s="606"/>
      <c r="M210" s="606"/>
      <c r="N210" s="607"/>
      <c r="O210" s="608"/>
      <c r="P210" s="609"/>
      <c r="Q210" s="610"/>
    </row>
    <row r="211" spans="1:20" ht="15.75" thickBot="1">
      <c r="A211" s="645"/>
      <c r="B211" s="506"/>
      <c r="C211" s="99" t="s">
        <v>29</v>
      </c>
      <c r="D211" s="296">
        <v>436</v>
      </c>
      <c r="E211" s="56">
        <v>6.1063000000000001</v>
      </c>
      <c r="F211" s="41">
        <f t="shared" ref="F211" si="27">+E211</f>
        <v>6.1063000000000001</v>
      </c>
      <c r="G211" s="50">
        <f t="shared" ref="G211" si="28">ROUND(D211*(E211),2)</f>
        <v>2662.35</v>
      </c>
      <c r="H211" s="296"/>
      <c r="I211" s="298"/>
      <c r="J211" s="298"/>
      <c r="K211" s="637"/>
      <c r="L211" s="614"/>
      <c r="M211" s="606"/>
      <c r="N211" s="615"/>
      <c r="O211" s="615"/>
      <c r="P211" s="615"/>
      <c r="Q211" s="616"/>
    </row>
    <row r="212" spans="1:20" ht="15.75" thickBot="1">
      <c r="A212" s="645"/>
      <c r="B212" s="639"/>
      <c r="C212" s="646"/>
      <c r="D212" s="647"/>
      <c r="E212" s="648"/>
      <c r="F212" s="646"/>
      <c r="G212" s="648"/>
      <c r="H212" s="646"/>
      <c r="I212" s="646"/>
      <c r="J212" s="646"/>
      <c r="K212" s="646"/>
      <c r="L212" s="646"/>
      <c r="M212" s="646"/>
      <c r="N212" s="615"/>
      <c r="O212" s="615"/>
      <c r="P212" s="615"/>
      <c r="Q212" s="615"/>
    </row>
    <row r="213" spans="1:20" ht="15.75" thickTop="1">
      <c r="A213" s="645"/>
      <c r="B213" s="602" t="s">
        <v>128</v>
      </c>
      <c r="C213" s="48" t="s">
        <v>135</v>
      </c>
      <c r="D213" s="184">
        <v>919</v>
      </c>
      <c r="E213" s="41">
        <f>6.1063-5.8446</f>
        <v>0.26170000000000027</v>
      </c>
      <c r="F213" s="23">
        <f t="shared" ref="F213" si="29">+E213</f>
        <v>0.26170000000000027</v>
      </c>
      <c r="G213" s="185">
        <f>ROUND(D213*(E213),2)</f>
        <v>240.5</v>
      </c>
      <c r="H213" s="620"/>
      <c r="I213" s="620"/>
      <c r="J213" s="620"/>
      <c r="K213" s="634"/>
      <c r="L213" s="603">
        <f>SUM(G213:G216)</f>
        <v>5513.9</v>
      </c>
      <c r="M213" s="187">
        <v>5513.9</v>
      </c>
      <c r="N213" s="604"/>
      <c r="O213" s="635"/>
      <c r="P213" s="636"/>
      <c r="Q213" s="605"/>
    </row>
    <row r="214" spans="1:20">
      <c r="A214" s="645"/>
      <c r="B214" s="506"/>
      <c r="C214" s="48" t="s">
        <v>136</v>
      </c>
      <c r="D214" s="49">
        <v>36.6</v>
      </c>
      <c r="E214" s="41">
        <v>6.1063000000000001</v>
      </c>
      <c r="F214" s="41">
        <f>+E214</f>
        <v>6.1063000000000001</v>
      </c>
      <c r="G214" s="50">
        <f>ROUND(D214*(E214),2)</f>
        <v>223.49</v>
      </c>
      <c r="H214" s="296"/>
      <c r="I214" s="298"/>
      <c r="J214" s="298"/>
      <c r="K214" s="637"/>
      <c r="L214" s="606"/>
      <c r="M214" s="606"/>
      <c r="N214" s="607"/>
      <c r="O214" s="608"/>
      <c r="P214" s="609"/>
      <c r="Q214" s="610"/>
    </row>
    <row r="215" spans="1:20" ht="15.75" thickBot="1">
      <c r="A215" s="645"/>
      <c r="B215" s="506"/>
      <c r="C215" s="99" t="s">
        <v>29</v>
      </c>
      <c r="D215" s="296">
        <v>827</v>
      </c>
      <c r="E215" s="56">
        <v>6.1063000000000001</v>
      </c>
      <c r="F215" s="41">
        <f t="shared" ref="F215" si="30">+E215</f>
        <v>6.1063000000000001</v>
      </c>
      <c r="G215" s="50">
        <f t="shared" ref="G215" si="31">ROUND(D215*(E215),2)</f>
        <v>5049.91</v>
      </c>
      <c r="H215" s="296"/>
      <c r="I215" s="298"/>
      <c r="J215" s="298"/>
      <c r="K215" s="637"/>
      <c r="L215" s="614"/>
      <c r="M215" s="606"/>
      <c r="N215" s="615"/>
      <c r="O215" s="615"/>
      <c r="P215" s="615"/>
      <c r="Q215" s="616"/>
    </row>
    <row r="216" spans="1:20" ht="15.75" thickBot="1">
      <c r="A216" s="645"/>
      <c r="B216" s="639"/>
      <c r="C216" s="646"/>
      <c r="D216" s="647"/>
      <c r="E216" s="648"/>
      <c r="F216" s="646"/>
      <c r="G216" s="648"/>
      <c r="H216" s="646"/>
      <c r="I216" s="646"/>
      <c r="J216" s="646"/>
      <c r="K216" s="646"/>
      <c r="L216" s="646"/>
      <c r="M216" s="646"/>
      <c r="N216" s="615"/>
      <c r="O216" s="615"/>
      <c r="P216" s="615"/>
      <c r="Q216" s="615"/>
    </row>
    <row r="217" spans="1:20" ht="15.75" thickTop="1">
      <c r="A217" s="705"/>
      <c r="B217" s="615"/>
      <c r="C217" s="615"/>
      <c r="D217" s="696"/>
      <c r="E217" s="473"/>
      <c r="F217" s="615"/>
      <c r="G217" s="473"/>
      <c r="H217" s="615"/>
      <c r="I217" s="615"/>
      <c r="J217" s="615"/>
      <c r="K217" s="615"/>
      <c r="L217" s="615"/>
      <c r="M217" s="615"/>
      <c r="N217" s="615"/>
      <c r="O217" s="615"/>
      <c r="P217" s="615"/>
      <c r="Q217" s="615"/>
    </row>
    <row r="218" spans="1:20" ht="15.75" thickBot="1">
      <c r="A218" s="705"/>
      <c r="B218" s="615"/>
      <c r="C218" s="615"/>
      <c r="D218" s="696"/>
      <c r="E218" s="473"/>
      <c r="F218" s="615"/>
      <c r="G218" s="473"/>
      <c r="H218" s="615"/>
      <c r="I218" s="615"/>
      <c r="J218" s="615"/>
      <c r="K218" s="615"/>
      <c r="L218" s="615"/>
      <c r="M218" s="615"/>
      <c r="N218" s="615"/>
      <c r="O218" s="615"/>
      <c r="P218" s="615"/>
      <c r="Q218" s="615"/>
    </row>
    <row r="219" spans="1:20" s="81" customFormat="1" ht="15" customHeight="1" thickTop="1">
      <c r="A219" s="476"/>
      <c r="B219" s="158"/>
      <c r="C219" s="322"/>
      <c r="D219" s="477"/>
      <c r="E219" s="163"/>
      <c r="F219" s="163"/>
      <c r="G219" s="478"/>
      <c r="H219" s="163"/>
      <c r="I219" s="163"/>
      <c r="J219" s="163"/>
      <c r="K219" s="163"/>
      <c r="L219" s="163"/>
      <c r="M219" s="164"/>
      <c r="N219" s="479"/>
      <c r="O219" s="479"/>
      <c r="P219" s="479"/>
      <c r="Q219" s="479"/>
      <c r="R219" s="422"/>
      <c r="S219" s="399"/>
      <c r="T219" s="399"/>
    </row>
    <row r="220" spans="1:20" ht="21.75" thickBot="1">
      <c r="A220" s="171" t="s">
        <v>113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3"/>
      <c r="N220" s="2"/>
      <c r="O220" s="2"/>
      <c r="P220" s="2"/>
      <c r="Q220" s="2"/>
    </row>
    <row r="221" spans="1:20" ht="15.75" customHeight="1" thickTop="1" thickBot="1">
      <c r="A221" s="1555" t="s">
        <v>1</v>
      </c>
      <c r="B221" s="1543" t="s">
        <v>2</v>
      </c>
      <c r="C221" s="1545" t="s">
        <v>3</v>
      </c>
      <c r="D221" s="1546" t="s">
        <v>4</v>
      </c>
      <c r="E221" s="1546"/>
      <c r="F221" s="1546"/>
      <c r="G221" s="1546"/>
      <c r="H221" s="1547"/>
      <c r="I221" s="1548"/>
      <c r="J221" s="1548"/>
      <c r="K221" s="1549"/>
      <c r="L221" s="1524" t="s">
        <v>6</v>
      </c>
      <c r="M221" s="1511" t="s">
        <v>7</v>
      </c>
      <c r="N221" s="1551" t="s">
        <v>8</v>
      </c>
      <c r="O221" s="1551"/>
      <c r="P221" s="1551"/>
      <c r="Q221" s="1552"/>
      <c r="R221" s="481"/>
      <c r="S221" s="482" t="s">
        <v>20</v>
      </c>
      <c r="T221" s="482" t="s">
        <v>21</v>
      </c>
    </row>
    <row r="222" spans="1:20" ht="26.25" thickBot="1">
      <c r="A222" s="1556"/>
      <c r="B222" s="1557"/>
      <c r="C222" s="1558" t="s">
        <v>10</v>
      </c>
      <c r="D222" s="483" t="s">
        <v>11</v>
      </c>
      <c r="E222" s="649" t="s">
        <v>12</v>
      </c>
      <c r="F222" s="649" t="s">
        <v>13</v>
      </c>
      <c r="G222" s="650" t="s">
        <v>14</v>
      </c>
      <c r="H222" s="651" t="s">
        <v>11</v>
      </c>
      <c r="I222" s="652" t="s">
        <v>15</v>
      </c>
      <c r="J222" s="653"/>
      <c r="K222" s="654" t="s">
        <v>16</v>
      </c>
      <c r="L222" s="1525"/>
      <c r="M222" s="1554"/>
      <c r="N222" s="655"/>
      <c r="O222" s="653"/>
      <c r="P222" s="656" t="s">
        <v>18</v>
      </c>
      <c r="Q222" s="657" t="s">
        <v>19</v>
      </c>
      <c r="R222" s="491"/>
      <c r="S222" s="492"/>
      <c r="T222" s="492"/>
    </row>
    <row r="223" spans="1:20" ht="15.75">
      <c r="A223" s="658"/>
      <c r="B223" s="659" t="s">
        <v>55</v>
      </c>
      <c r="C223" s="48" t="s">
        <v>135</v>
      </c>
      <c r="D223" s="259">
        <v>1434.2</v>
      </c>
      <c r="E223" s="41">
        <f>6.1063-5.8446</f>
        <v>0.26170000000000027</v>
      </c>
      <c r="F223" s="620">
        <f t="shared" ref="F223:F224" si="32">+E223</f>
        <v>0.26170000000000027</v>
      </c>
      <c r="G223" s="214">
        <f>ROUND(D223*E223,2)</f>
        <v>375.33</v>
      </c>
      <c r="H223" s="303"/>
      <c r="I223" s="23"/>
      <c r="J223" s="23"/>
      <c r="K223" s="23"/>
      <c r="L223" s="603">
        <f>SUM(G223:G225)</f>
        <v>10815.88</v>
      </c>
      <c r="M223" s="187">
        <v>10815.88</v>
      </c>
      <c r="N223" s="660"/>
      <c r="O223" s="217"/>
      <c r="P223" s="661"/>
      <c r="Q223" s="219"/>
    </row>
    <row r="224" spans="1:20" ht="15.75">
      <c r="A224" s="662"/>
      <c r="B224" s="35"/>
      <c r="C224" s="48" t="s">
        <v>136</v>
      </c>
      <c r="D224" s="269">
        <v>57.22</v>
      </c>
      <c r="E224" s="41">
        <v>6.1063000000000001</v>
      </c>
      <c r="F224" s="298">
        <f t="shared" si="32"/>
        <v>6.1063000000000001</v>
      </c>
      <c r="G224" s="235">
        <f>ROUND(D224*E224,2)</f>
        <v>349.4</v>
      </c>
      <c r="H224" s="270"/>
      <c r="I224" s="41"/>
      <c r="J224" s="41"/>
      <c r="K224" s="41"/>
      <c r="L224" s="606"/>
      <c r="M224" s="606"/>
      <c r="N224" s="663"/>
      <c r="O224" s="237"/>
      <c r="P224" s="275"/>
      <c r="Q224" s="238"/>
    </row>
    <row r="225" spans="1:18" ht="15.75" thickBot="1">
      <c r="A225" s="664"/>
      <c r="B225" s="665"/>
      <c r="C225" s="99" t="s">
        <v>29</v>
      </c>
      <c r="D225" s="613">
        <v>1652.58</v>
      </c>
      <c r="E225" s="56">
        <v>6.1063000000000001</v>
      </c>
      <c r="F225" s="57"/>
      <c r="G225" s="247">
        <f>ROUND(D225*E225,2)</f>
        <v>10091.15</v>
      </c>
      <c r="H225" s="613"/>
      <c r="I225" s="57"/>
      <c r="J225" s="57"/>
      <c r="K225" s="57"/>
      <c r="L225" s="614"/>
      <c r="M225" s="606"/>
      <c r="N225" s="57"/>
      <c r="O225" s="57"/>
      <c r="P225" s="57"/>
      <c r="Q225" s="666"/>
    </row>
    <row r="226" spans="1:18">
      <c r="A226" s="667"/>
      <c r="B226" s="659" t="s">
        <v>116</v>
      </c>
      <c r="C226" s="668" t="s">
        <v>73</v>
      </c>
      <c r="D226" s="669">
        <v>8</v>
      </c>
      <c r="E226" s="21">
        <v>32.332000000000001</v>
      </c>
      <c r="F226" s="21">
        <v>37.889800000000001</v>
      </c>
      <c r="G226" s="214">
        <f>+D226*(E226+F226)</f>
        <v>561.77440000000001</v>
      </c>
      <c r="H226" s="687"/>
      <c r="I226" s="688">
        <v>35.612400000000001</v>
      </c>
      <c r="J226" s="670">
        <f>ROUND(H226*I226,2)</f>
        <v>0</v>
      </c>
      <c r="K226" s="689"/>
      <c r="L226" s="603">
        <f>SUM(G226:G232)+SUM(J226:J230)</f>
        <v>11342.154399999999</v>
      </c>
      <c r="M226" s="187">
        <v>11342.15</v>
      </c>
      <c r="N226" s="670"/>
      <c r="O226" s="670"/>
      <c r="P226" s="670"/>
      <c r="Q226" s="670"/>
    </row>
    <row r="227" spans="1:18">
      <c r="A227" s="671"/>
      <c r="B227" s="672"/>
      <c r="C227" s="48"/>
      <c r="D227" s="673"/>
      <c r="E227" s="41"/>
      <c r="F227" s="298"/>
      <c r="G227" s="235">
        <f>+D227*E227</f>
        <v>0</v>
      </c>
      <c r="H227" s="687">
        <v>8</v>
      </c>
      <c r="I227" s="688">
        <v>35.612400000000001</v>
      </c>
      <c r="J227" s="670">
        <f>ROUND(H227*I227,2)</f>
        <v>284.89999999999998</v>
      </c>
      <c r="K227" s="689">
        <v>42795</v>
      </c>
      <c r="L227" s="606"/>
      <c r="M227" s="606"/>
      <c r="N227" s="298"/>
      <c r="O227" s="298"/>
      <c r="P227" s="298"/>
      <c r="Q227" s="298"/>
    </row>
    <row r="228" spans="1:18">
      <c r="A228" s="671"/>
      <c r="B228" s="442"/>
      <c r="C228" s="48"/>
      <c r="D228" s="673"/>
      <c r="E228" s="41"/>
      <c r="F228" s="298"/>
      <c r="G228" s="235">
        <f>ROUND(D228*E228,2)</f>
        <v>0</v>
      </c>
      <c r="H228" s="687">
        <v>8</v>
      </c>
      <c r="I228" s="688">
        <v>0.76700000000000002</v>
      </c>
      <c r="J228" s="670">
        <f>ROUND(H228*I228,2)</f>
        <v>6.14</v>
      </c>
      <c r="K228" s="689">
        <v>42795</v>
      </c>
      <c r="L228" s="614">
        <f>SUM(G228:G229)</f>
        <v>0</v>
      </c>
      <c r="M228" s="606"/>
      <c r="N228" s="298"/>
      <c r="O228" s="298"/>
      <c r="P228" s="298"/>
      <c r="Q228" s="298"/>
    </row>
    <row r="229" spans="1:18">
      <c r="A229" s="671"/>
      <c r="B229" s="35"/>
      <c r="C229" s="606"/>
      <c r="D229" s="673"/>
      <c r="E229" s="41"/>
      <c r="F229" s="298"/>
      <c r="G229" s="235">
        <f>ROUND(D229*E229,2)</f>
        <v>0</v>
      </c>
      <c r="H229" s="270"/>
      <c r="I229" s="41"/>
      <c r="J229" s="670"/>
      <c r="K229" s="670"/>
      <c r="L229" s="614"/>
      <c r="M229" s="273"/>
      <c r="N229" s="298"/>
      <c r="O229" s="298"/>
      <c r="P229" s="298"/>
      <c r="Q229" s="298"/>
    </row>
    <row r="230" spans="1:18" ht="15.75">
      <c r="A230" s="674"/>
      <c r="B230" s="672"/>
      <c r="C230" s="48" t="s">
        <v>135</v>
      </c>
      <c r="D230" s="269">
        <v>1423.1</v>
      </c>
      <c r="E230" s="41">
        <f>6.1063-5.8446</f>
        <v>0.26170000000000027</v>
      </c>
      <c r="F230" s="298">
        <f t="shared" ref="F230:F231" si="33">+E230</f>
        <v>0.26170000000000027</v>
      </c>
      <c r="G230" s="235">
        <f>ROUND(D230*E230,2)</f>
        <v>372.43</v>
      </c>
      <c r="H230" s="270"/>
      <c r="I230" s="41"/>
      <c r="J230" s="670"/>
      <c r="K230" s="670"/>
      <c r="L230" s="606"/>
      <c r="M230" s="606"/>
      <c r="N230" s="663"/>
      <c r="O230" s="237"/>
      <c r="P230" s="275"/>
      <c r="Q230" s="237"/>
    </row>
    <row r="231" spans="1:18" ht="15.75">
      <c r="A231" s="674"/>
      <c r="B231" s="35"/>
      <c r="C231" s="48" t="s">
        <v>136</v>
      </c>
      <c r="D231" s="269">
        <v>55.4</v>
      </c>
      <c r="E231" s="41">
        <v>6.1063000000000001</v>
      </c>
      <c r="F231" s="298">
        <f t="shared" si="33"/>
        <v>6.1063000000000001</v>
      </c>
      <c r="G231" s="235">
        <f>ROUND(D231*E231,2)-0.01</f>
        <v>338.28000000000003</v>
      </c>
      <c r="H231" s="270"/>
      <c r="I231" s="41"/>
      <c r="J231" s="41"/>
      <c r="K231" s="41"/>
      <c r="L231" s="614"/>
      <c r="M231" s="606"/>
      <c r="N231" s="663"/>
      <c r="O231" s="237"/>
      <c r="P231" s="275"/>
      <c r="Q231" s="237"/>
    </row>
    <row r="232" spans="1:18" ht="15.75" thickBot="1">
      <c r="A232" s="675"/>
      <c r="B232" s="676"/>
      <c r="C232" s="107" t="s">
        <v>29</v>
      </c>
      <c r="D232" s="643">
        <v>1601.4</v>
      </c>
      <c r="E232" s="56">
        <v>6.1063000000000001</v>
      </c>
      <c r="F232" s="109"/>
      <c r="G232" s="309">
        <f t="shared" ref="G232:G238" si="34">ROUND(D232*E232,2)</f>
        <v>9778.6299999999992</v>
      </c>
      <c r="H232" s="643"/>
      <c r="I232" s="109"/>
      <c r="J232" s="109"/>
      <c r="K232" s="109"/>
      <c r="L232" s="677"/>
      <c r="M232" s="314"/>
      <c r="N232" s="109"/>
      <c r="O232" s="109"/>
      <c r="P232" s="109"/>
      <c r="Q232" s="109"/>
      <c r="R232" s="2"/>
    </row>
    <row r="233" spans="1:18" ht="16.5" thickTop="1">
      <c r="A233" s="658"/>
      <c r="B233" s="659" t="s">
        <v>117</v>
      </c>
      <c r="C233" s="48" t="s">
        <v>135</v>
      </c>
      <c r="D233" s="259">
        <v>410</v>
      </c>
      <c r="E233" s="41">
        <f>6.1063-5.8446</f>
        <v>0.26170000000000027</v>
      </c>
      <c r="F233" s="691">
        <f>+E233</f>
        <v>0.26170000000000027</v>
      </c>
      <c r="G233" s="214">
        <f t="shared" si="34"/>
        <v>107.3</v>
      </c>
      <c r="H233" s="303"/>
      <c r="I233" s="23"/>
      <c r="J233" s="23"/>
      <c r="K233" s="23"/>
      <c r="L233" s="603">
        <f>SUM(G233:G235)</f>
        <v>2874.68</v>
      </c>
      <c r="M233" s="187">
        <v>2874.68</v>
      </c>
      <c r="N233" s="660"/>
      <c r="O233" s="217"/>
      <c r="P233" s="661"/>
      <c r="Q233" s="219"/>
      <c r="R233" s="324"/>
    </row>
    <row r="234" spans="1:18" ht="15.75">
      <c r="A234" s="662"/>
      <c r="B234" s="35"/>
      <c r="C234" s="48" t="s">
        <v>136</v>
      </c>
      <c r="D234" s="269">
        <v>15.2</v>
      </c>
      <c r="E234" s="41">
        <v>6.1063000000000001</v>
      </c>
      <c r="F234" s="298">
        <f t="shared" ref="F234" si="35">+E234</f>
        <v>6.1063000000000001</v>
      </c>
      <c r="G234" s="235">
        <f t="shared" si="34"/>
        <v>92.82</v>
      </c>
      <c r="H234" s="270"/>
      <c r="I234" s="41"/>
      <c r="J234" s="41"/>
      <c r="K234" s="41"/>
      <c r="L234" s="606"/>
      <c r="M234" s="606"/>
      <c r="N234" s="663"/>
      <c r="O234" s="237"/>
      <c r="P234" s="275"/>
      <c r="Q234" s="238"/>
    </row>
    <row r="235" spans="1:18" ht="15.75" thickBot="1">
      <c r="A235" s="664"/>
      <c r="B235" s="665"/>
      <c r="C235" s="99" t="s">
        <v>29</v>
      </c>
      <c r="D235" s="613">
        <v>438</v>
      </c>
      <c r="E235" s="56">
        <v>6.1063000000000001</v>
      </c>
      <c r="F235" s="57"/>
      <c r="G235" s="247">
        <f t="shared" si="34"/>
        <v>2674.56</v>
      </c>
      <c r="H235" s="613"/>
      <c r="I235" s="57"/>
      <c r="J235" s="57"/>
      <c r="K235" s="57"/>
      <c r="L235" s="614"/>
      <c r="M235" s="606"/>
      <c r="N235" s="57"/>
      <c r="O235" s="57"/>
      <c r="P235" s="57"/>
      <c r="Q235" s="666"/>
    </row>
    <row r="236" spans="1:18" ht="15.75">
      <c r="A236" s="658"/>
      <c r="B236" s="659" t="s">
        <v>142</v>
      </c>
      <c r="C236" s="48" t="s">
        <v>135</v>
      </c>
      <c r="D236" s="259">
        <v>0</v>
      </c>
      <c r="E236" s="41">
        <f>6.1063-5.8446</f>
        <v>0.26170000000000027</v>
      </c>
      <c r="F236" s="691">
        <f>+E236</f>
        <v>0.26170000000000027</v>
      </c>
      <c r="G236" s="214">
        <f t="shared" si="34"/>
        <v>0</v>
      </c>
      <c r="H236" s="303"/>
      <c r="I236" s="23"/>
      <c r="J236" s="23"/>
      <c r="K236" s="23"/>
      <c r="L236" s="603">
        <f>SUM(G236:G238)</f>
        <v>548.35</v>
      </c>
      <c r="M236" s="187">
        <v>548.35</v>
      </c>
      <c r="N236" s="660"/>
      <c r="O236" s="217"/>
      <c r="P236" s="661"/>
      <c r="Q236" s="219"/>
    </row>
    <row r="237" spans="1:18" ht="15.75">
      <c r="A237" s="662"/>
      <c r="B237" s="35"/>
      <c r="C237" s="48" t="s">
        <v>136</v>
      </c>
      <c r="D237" s="269">
        <v>3</v>
      </c>
      <c r="E237" s="41">
        <v>6.1063000000000001</v>
      </c>
      <c r="F237" s="298">
        <f t="shared" ref="F237" si="36">+E237</f>
        <v>6.1063000000000001</v>
      </c>
      <c r="G237" s="235">
        <f t="shared" si="34"/>
        <v>18.32</v>
      </c>
      <c r="H237" s="270"/>
      <c r="I237" s="41"/>
      <c r="J237" s="41"/>
      <c r="K237" s="41"/>
      <c r="L237" s="606"/>
      <c r="M237" s="606"/>
      <c r="N237" s="663"/>
      <c r="O237" s="237"/>
      <c r="P237" s="275"/>
      <c r="Q237" s="238"/>
    </row>
    <row r="238" spans="1:18" ht="15.75" thickBot="1">
      <c r="A238" s="664"/>
      <c r="B238" s="665"/>
      <c r="C238" s="99" t="s">
        <v>29</v>
      </c>
      <c r="D238" s="613">
        <v>86.8</v>
      </c>
      <c r="E238" s="56">
        <v>6.1063000000000001</v>
      </c>
      <c r="F238" s="57"/>
      <c r="G238" s="247">
        <f t="shared" si="34"/>
        <v>530.03</v>
      </c>
      <c r="H238" s="613"/>
      <c r="I238" s="57"/>
      <c r="J238" s="57"/>
      <c r="K238" s="57"/>
      <c r="L238" s="614"/>
      <c r="M238" s="606"/>
      <c r="N238" s="57"/>
      <c r="O238" s="57"/>
      <c r="P238" s="57"/>
      <c r="Q238" s="666"/>
    </row>
  </sheetData>
  <mergeCells count="40">
    <mergeCell ref="M221:M222"/>
    <mergeCell ref="N221:Q221"/>
    <mergeCell ref="A221:A222"/>
    <mergeCell ref="B221:B222"/>
    <mergeCell ref="C221:C222"/>
    <mergeCell ref="D221:G221"/>
    <mergeCell ref="H221:K221"/>
    <mergeCell ref="L221:L222"/>
    <mergeCell ref="M64:M65"/>
    <mergeCell ref="N64:Q64"/>
    <mergeCell ref="A143:A144"/>
    <mergeCell ref="B143:B144"/>
    <mergeCell ref="C143:C144"/>
    <mergeCell ref="D143:G143"/>
    <mergeCell ref="H143:K143"/>
    <mergeCell ref="L143:L144"/>
    <mergeCell ref="M143:M144"/>
    <mergeCell ref="N143:Q143"/>
    <mergeCell ref="A64:A65"/>
    <mergeCell ref="B64:B65"/>
    <mergeCell ref="C64:C65"/>
    <mergeCell ref="D64:G64"/>
    <mergeCell ref="H64:K64"/>
    <mergeCell ref="L64:L65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47"/>
  <sheetViews>
    <sheetView topLeftCell="A118" zoomScale="90" zoomScaleNormal="90" workbookViewId="0">
      <selection activeCell="E243" sqref="E243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710" t="s">
        <v>22</v>
      </c>
      <c r="B4" s="18" t="s">
        <v>23</v>
      </c>
      <c r="C4" s="19">
        <f>+[1]май17!U4</f>
        <v>-2.2070500000700122</v>
      </c>
      <c r="D4" s="20">
        <v>28</v>
      </c>
      <c r="E4" s="21">
        <v>32.332000000000001</v>
      </c>
      <c r="F4" s="21">
        <v>37.889800000000001</v>
      </c>
      <c r="G4" s="22">
        <f>ROUND(D4*(E4+F4),2)</f>
        <v>1966.21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95526.099999999991</v>
      </c>
      <c r="M4" s="26">
        <v>95522.13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1.7629499999166001</v>
      </c>
    </row>
    <row r="5" spans="1:21">
      <c r="A5" s="711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711"/>
      <c r="B6" s="35"/>
      <c r="C6" s="48" t="s">
        <v>143</v>
      </c>
      <c r="D6" s="49">
        <v>17527.7</v>
      </c>
      <c r="E6" s="41">
        <f>5.9647-6.1063</f>
        <v>-0.14160000000000039</v>
      </c>
      <c r="F6" s="41">
        <f>+E6</f>
        <v>-0.14160000000000039</v>
      </c>
      <c r="G6" s="50">
        <f>ROUND(D6*E6,2)</f>
        <v>-2481.92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711"/>
      <c r="B7" s="35"/>
      <c r="C7" s="48" t="s">
        <v>144</v>
      </c>
      <c r="D7" s="49">
        <v>469</v>
      </c>
      <c r="E7" s="41">
        <v>5.9646999999999997</v>
      </c>
      <c r="F7" s="41">
        <f>+E7</f>
        <v>5.9646999999999997</v>
      </c>
      <c r="G7" s="50">
        <f>ROUND(D7*E7,2)</f>
        <v>2797.44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712"/>
      <c r="B8" s="53"/>
      <c r="C8" s="99" t="s">
        <v>29</v>
      </c>
      <c r="D8" s="55">
        <v>15632.7</v>
      </c>
      <c r="E8" s="56">
        <v>5.9646999999999997</v>
      </c>
      <c r="F8" s="57">
        <f>+E8</f>
        <v>5.9646999999999997</v>
      </c>
      <c r="G8" s="58">
        <f>ROUND(D8*E8,2)</f>
        <v>93244.37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93244.37</v>
      </c>
      <c r="R8" s="66" t="s">
        <v>25</v>
      </c>
      <c r="S8" s="67">
        <f>SUM(O4:O8)</f>
        <v>0</v>
      </c>
      <c r="T8" s="68">
        <f>SUM(Q4:Q8)</f>
        <v>93244.37</v>
      </c>
    </row>
    <row r="9" spans="1:21" s="81" customFormat="1">
      <c r="A9" s="713" t="s">
        <v>30</v>
      </c>
      <c r="B9" s="70" t="s">
        <v>31</v>
      </c>
      <c r="C9" s="71">
        <f>+[1]май17!U9</f>
        <v>-0.52880000000004657</v>
      </c>
      <c r="D9" s="72">
        <v>79</v>
      </c>
      <c r="E9" s="21">
        <v>32.332000000000001</v>
      </c>
      <c r="F9" s="21">
        <v>37.889800000000001</v>
      </c>
      <c r="G9" s="22">
        <f>ROUND(D9*(E9+F9),2)</f>
        <v>5547.52</v>
      </c>
      <c r="H9" s="72"/>
      <c r="I9" s="21">
        <v>4.5999999999999996</v>
      </c>
      <c r="J9" s="73">
        <f>+H9*I9</f>
        <v>0</v>
      </c>
      <c r="K9" s="24"/>
      <c r="L9" s="74">
        <f>SUM(G9:G16,J9:J15)</f>
        <v>39908.130000000005</v>
      </c>
      <c r="M9" s="26">
        <v>39907.449999999997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0.15120000000752043</v>
      </c>
    </row>
    <row r="10" spans="1:21" s="81" customFormat="1">
      <c r="A10" s="714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714"/>
      <c r="B11" s="98" t="s">
        <v>32</v>
      </c>
      <c r="C11" s="99" t="s">
        <v>33</v>
      </c>
      <c r="D11" s="100">
        <v>0</v>
      </c>
      <c r="E11" s="101">
        <v>291.8</v>
      </c>
      <c r="F11" s="38">
        <v>37.889800000000001</v>
      </c>
      <c r="G11" s="39">
        <f>ROUND(D11*(E11+F11),2)</f>
        <v>0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714"/>
      <c r="B12" s="83" t="s">
        <v>34</v>
      </c>
      <c r="C12" s="84"/>
      <c r="D12" s="49">
        <v>0</v>
      </c>
      <c r="E12" s="41">
        <f>291.8-352.37</f>
        <v>-60.569999999999993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714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714"/>
      <c r="B14" s="83"/>
      <c r="C14" s="48" t="s">
        <v>143</v>
      </c>
      <c r="D14" s="49">
        <v>6109.6</v>
      </c>
      <c r="E14" s="41">
        <f>5.9647-6.1063</f>
        <v>-0.14160000000000039</v>
      </c>
      <c r="F14" s="41">
        <f>+E14</f>
        <v>-0.14160000000000039</v>
      </c>
      <c r="G14" s="50">
        <f>ROUND(D14*E14*70%+D14*F14*30%,2)</f>
        <v>-865.12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714"/>
      <c r="B15" s="83"/>
      <c r="C15" s="48" t="s">
        <v>144</v>
      </c>
      <c r="D15" s="49">
        <v>172</v>
      </c>
      <c r="E15" s="41">
        <v>5.9646999999999997</v>
      </c>
      <c r="F15" s="41">
        <f>+E15</f>
        <v>5.9646999999999997</v>
      </c>
      <c r="G15" s="50">
        <f>ROUND(D15*E15*70%+D15*F15*30%,2)</f>
        <v>1025.93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715"/>
      <c r="B16" s="106"/>
      <c r="C16" s="99" t="s">
        <v>29</v>
      </c>
      <c r="D16" s="108">
        <v>5733.7</v>
      </c>
      <c r="E16" s="56">
        <v>5.9646999999999997</v>
      </c>
      <c r="F16" s="109">
        <f>+E16</f>
        <v>5.9646999999999997</v>
      </c>
      <c r="G16" s="110">
        <f>ROUND(D16*E16*70%+D16*F16*30%,2)</f>
        <v>34199.800000000003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57"/>
      <c r="B23" s="158"/>
      <c r="C23" s="159"/>
      <c r="D23" s="160"/>
      <c r="E23" s="161"/>
      <c r="F23" s="161"/>
      <c r="G23" s="161"/>
      <c r="H23" s="162"/>
      <c r="I23" s="163"/>
      <c r="J23" s="163"/>
      <c r="K23" s="163"/>
      <c r="L23" s="163"/>
      <c r="M23" s="164"/>
      <c r="N23" s="165"/>
      <c r="O23" s="166"/>
      <c r="P23" s="167"/>
      <c r="Q23" s="166"/>
      <c r="R23" s="168"/>
      <c r="S23" s="169"/>
      <c r="T23" s="170"/>
      <c r="U23"/>
    </row>
    <row r="24" spans="1:21" ht="21.75" thickBot="1">
      <c r="A24" s="171" t="s">
        <v>43</v>
      </c>
      <c r="B24" s="2"/>
      <c r="C24" s="172"/>
      <c r="D24" s="173"/>
      <c r="E24" s="2"/>
      <c r="F24" s="2"/>
      <c r="G24" s="2"/>
      <c r="H24" s="2"/>
      <c r="I24" s="2"/>
      <c r="J24" s="2"/>
      <c r="K24" s="2"/>
      <c r="L24" s="2"/>
      <c r="M24" s="3"/>
      <c r="N24" s="2"/>
      <c r="O24" s="2"/>
      <c r="P24" s="2"/>
      <c r="Q24" s="2"/>
    </row>
    <row r="25" spans="1:21" ht="15" customHeight="1" thickTop="1">
      <c r="A25" s="1514" t="s">
        <v>1</v>
      </c>
      <c r="B25" s="1516" t="s">
        <v>2</v>
      </c>
      <c r="C25" s="1518" t="s">
        <v>3</v>
      </c>
      <c r="D25" s="1520" t="s">
        <v>4</v>
      </c>
      <c r="E25" s="1520"/>
      <c r="F25" s="1520"/>
      <c r="G25" s="1520"/>
      <c r="H25" s="1521" t="s">
        <v>5</v>
      </c>
      <c r="I25" s="1522"/>
      <c r="J25" s="1522"/>
      <c r="K25" s="1523"/>
      <c r="L25" s="1524" t="s">
        <v>6</v>
      </c>
      <c r="M25" s="1526" t="s">
        <v>7</v>
      </c>
      <c r="N25" s="1528" t="s">
        <v>8</v>
      </c>
      <c r="O25" s="1528"/>
      <c r="P25" s="1529"/>
      <c r="Q25" s="174" t="s">
        <v>9</v>
      </c>
      <c r="R25" s="5"/>
      <c r="S25" s="175"/>
      <c r="T25" s="176"/>
      <c r="U25" s="5"/>
    </row>
    <row r="26" spans="1:21" ht="26.25" thickBot="1">
      <c r="A26" s="1515"/>
      <c r="B26" s="1517"/>
      <c r="C26" s="1519" t="s">
        <v>10</v>
      </c>
      <c r="D26" s="6" t="s">
        <v>11</v>
      </c>
      <c r="E26" s="7" t="s">
        <v>12</v>
      </c>
      <c r="F26" s="7" t="s">
        <v>13</v>
      </c>
      <c r="G26" s="8" t="s">
        <v>14</v>
      </c>
      <c r="H26" s="9" t="s">
        <v>11</v>
      </c>
      <c r="I26" s="6" t="s">
        <v>15</v>
      </c>
      <c r="J26" s="177" t="s">
        <v>14</v>
      </c>
      <c r="K26" s="11" t="s">
        <v>16</v>
      </c>
      <c r="L26" s="1525"/>
      <c r="M26" s="1527"/>
      <c r="N26" s="178"/>
      <c r="O26" s="177" t="s">
        <v>44</v>
      </c>
      <c r="P26" s="13" t="s">
        <v>18</v>
      </c>
      <c r="Q26" s="179" t="s">
        <v>19</v>
      </c>
      <c r="R26" s="180"/>
      <c r="S26" s="181" t="s">
        <v>20</v>
      </c>
      <c r="T26" s="181" t="s">
        <v>21</v>
      </c>
    </row>
    <row r="27" spans="1:21">
      <c r="A27" s="716" t="s">
        <v>45</v>
      </c>
      <c r="B27" s="183" t="s">
        <v>46</v>
      </c>
      <c r="C27" s="71">
        <f>+[1]май17!U27</f>
        <v>-4.3919120000209659</v>
      </c>
      <c r="D27" s="184">
        <v>58.43</v>
      </c>
      <c r="E27" s="21">
        <v>32.332000000000001</v>
      </c>
      <c r="F27" s="21">
        <v>37.889800000000001</v>
      </c>
      <c r="G27" s="185">
        <f>ROUND(D27*(E27+F27),2)</f>
        <v>4103.0600000000004</v>
      </c>
      <c r="H27" s="184">
        <v>0</v>
      </c>
      <c r="I27">
        <v>22.478999999999999</v>
      </c>
      <c r="J27" s="23">
        <f>H27*I27</f>
        <v>0</v>
      </c>
      <c r="K27" s="679">
        <v>42705</v>
      </c>
      <c r="L27" s="25">
        <f>SUM(G27:G31)+J27+J29</f>
        <v>145283.48000000001</v>
      </c>
      <c r="M27" s="187">
        <v>145282.63</v>
      </c>
      <c r="N27" s="188"/>
      <c r="O27" s="23">
        <v>3998.87</v>
      </c>
      <c r="P27" s="189" t="s">
        <v>47</v>
      </c>
      <c r="Q27" s="23">
        <f t="shared" ref="Q27:Q32" si="0">C27+G27+J27-M27-N27-O27</f>
        <v>-145182.83191200002</v>
      </c>
      <c r="R27" s="190" t="s">
        <v>48</v>
      </c>
      <c r="S27" s="176"/>
      <c r="U27" s="33">
        <f>+C27+L27-M27</f>
        <v>-3.5419120000151452</v>
      </c>
    </row>
    <row r="28" spans="1:21">
      <c r="A28" s="717"/>
      <c r="B28" s="192"/>
      <c r="C28" s="36" t="s">
        <v>26</v>
      </c>
      <c r="D28" s="37">
        <v>0</v>
      </c>
      <c r="E28" s="38">
        <f>32.332-28.8628</f>
        <v>3.4692000000000007</v>
      </c>
      <c r="F28" s="38">
        <f>37.8898-33.8306</f>
        <v>4.0592000000000041</v>
      </c>
      <c r="G28" s="39">
        <f>ROUND(D28*(E28+F28),2)</f>
        <v>0</v>
      </c>
      <c r="H28" s="193"/>
      <c r="I28" s="194"/>
      <c r="J28" s="194"/>
      <c r="K28" s="680"/>
      <c r="L28" s="196"/>
      <c r="M28" s="197"/>
      <c r="N28" s="198"/>
      <c r="O28" s="199"/>
      <c r="P28" s="200"/>
      <c r="Q28" s="199"/>
      <c r="R28" s="190"/>
      <c r="S28" s="176"/>
      <c r="U28" s="33"/>
    </row>
    <row r="29" spans="1:21">
      <c r="A29" s="717"/>
      <c r="B29" s="192"/>
      <c r="C29" s="48" t="s">
        <v>143</v>
      </c>
      <c r="D29" s="49">
        <v>26440</v>
      </c>
      <c r="E29" s="41">
        <f>5.9647-6.1063</f>
        <v>-0.14160000000000039</v>
      </c>
      <c r="F29" s="41">
        <f>+E29</f>
        <v>-0.14160000000000039</v>
      </c>
      <c r="G29" s="50">
        <f>ROUND(D29*F29,2)</f>
        <v>-3743.9</v>
      </c>
      <c r="H29" s="193"/>
      <c r="I29" s="194"/>
      <c r="J29" s="194"/>
      <c r="K29" s="680"/>
      <c r="L29" s="196"/>
      <c r="M29" s="197"/>
      <c r="N29" s="198"/>
      <c r="O29" s="199"/>
      <c r="P29" s="200"/>
      <c r="Q29" s="199"/>
      <c r="R29" s="190"/>
      <c r="S29" s="176"/>
      <c r="U29" s="33"/>
    </row>
    <row r="30" spans="1:21">
      <c r="A30" s="717"/>
      <c r="B30" s="192"/>
      <c r="C30" s="48" t="s">
        <v>144</v>
      </c>
      <c r="D30" s="49">
        <v>257</v>
      </c>
      <c r="E30" s="41">
        <v>5.9646999999999997</v>
      </c>
      <c r="F30" s="41">
        <f>+E30</f>
        <v>5.9646999999999997</v>
      </c>
      <c r="G30" s="50">
        <f>ROUND(D30*E30,2)</f>
        <v>1532.93</v>
      </c>
      <c r="H30" s="193"/>
      <c r="I30" s="194"/>
      <c r="J30" s="194"/>
      <c r="K30" s="680"/>
      <c r="L30" s="196"/>
      <c r="M30" s="197"/>
      <c r="N30" s="198"/>
      <c r="O30" s="199"/>
      <c r="P30" s="200"/>
      <c r="Q30" s="199"/>
      <c r="R30" s="190"/>
      <c r="S30" s="176"/>
      <c r="U30" s="33"/>
    </row>
    <row r="31" spans="1:21" ht="15.75" thickBot="1">
      <c r="A31" s="718"/>
      <c r="B31" s="202" t="s">
        <v>49</v>
      </c>
      <c r="C31" s="99" t="s">
        <v>29</v>
      </c>
      <c r="D31" s="55">
        <v>24040</v>
      </c>
      <c r="E31" s="56">
        <v>5.9646999999999997</v>
      </c>
      <c r="F31" s="57">
        <f>+E31</f>
        <v>5.9646999999999997</v>
      </c>
      <c r="G31" s="58">
        <f>ROUND(D31*E31,2)</f>
        <v>143391.39000000001</v>
      </c>
      <c r="H31" s="59"/>
      <c r="I31" s="60"/>
      <c r="J31" s="60"/>
      <c r="K31" s="681"/>
      <c r="L31" s="204"/>
      <c r="M31" s="205"/>
      <c r="N31" s="206"/>
      <c r="O31" s="207">
        <v>68710.009999999995</v>
      </c>
      <c r="P31" s="208" t="s">
        <v>47</v>
      </c>
      <c r="Q31" s="207">
        <f>+G31+J31-M31-N31-O31</f>
        <v>74681.380000000019</v>
      </c>
      <c r="R31" s="209" t="s">
        <v>50</v>
      </c>
      <c r="S31" s="210">
        <f>SUM(O27:O31)</f>
        <v>72708.87999999999</v>
      </c>
      <c r="T31" s="210">
        <f>SUM(Q27:Q31)</f>
        <v>-70501.451912000004</v>
      </c>
    </row>
    <row r="32" spans="1:21">
      <c r="A32" s="719" t="s">
        <v>51</v>
      </c>
      <c r="B32" s="212" t="s">
        <v>52</v>
      </c>
      <c r="C32" s="71">
        <f>+[1]май17!U32</f>
        <v>-2.6922460000569117</v>
      </c>
      <c r="D32" s="213">
        <v>128.79</v>
      </c>
      <c r="E32" s="21">
        <v>32.332000000000001</v>
      </c>
      <c r="F32" s="21">
        <v>37.889800000000001</v>
      </c>
      <c r="G32" s="214">
        <f>ROUND(D32*(E32+F32),2)</f>
        <v>9043.8700000000008</v>
      </c>
      <c r="H32" s="213">
        <v>0</v>
      </c>
      <c r="I32">
        <v>22.478999999999999</v>
      </c>
      <c r="J32" s="215">
        <f t="shared" ref="J32" si="1">H32*I32</f>
        <v>0</v>
      </c>
      <c r="K32" s="679">
        <v>42705</v>
      </c>
      <c r="L32" s="216">
        <f>SUM(G32:G39)+SUM(J32:J39)</f>
        <v>48617.119999999995</v>
      </c>
      <c r="M32" s="187">
        <v>48616.7</v>
      </c>
      <c r="N32" s="188"/>
      <c r="O32" s="217">
        <v>4253.6899999999996</v>
      </c>
      <c r="P32" s="218" t="s">
        <v>47</v>
      </c>
      <c r="Q32" s="219">
        <f t="shared" si="0"/>
        <v>-43829.212246000054</v>
      </c>
      <c r="R32" s="220" t="s">
        <v>53</v>
      </c>
      <c r="S32" s="221"/>
      <c r="T32" s="222"/>
      <c r="U32" s="33">
        <f>+C32+L32-M32</f>
        <v>-2.272246000058658</v>
      </c>
    </row>
    <row r="33" spans="1:21">
      <c r="A33" s="720"/>
      <c r="B33" s="224"/>
      <c r="C33" s="84" t="s">
        <v>26</v>
      </c>
      <c r="D33" s="37"/>
      <c r="E33" s="38">
        <f>32.332-28.8628</f>
        <v>3.4692000000000007</v>
      </c>
      <c r="F33" s="38">
        <f>37.8898-33.8306</f>
        <v>4.0592000000000041</v>
      </c>
      <c r="G33" s="39">
        <f>ROUND(D33*(E33+F33),2)</f>
        <v>0</v>
      </c>
      <c r="H33" s="225"/>
      <c r="I33" s="194"/>
      <c r="J33" s="194"/>
      <c r="K33" s="226"/>
      <c r="L33" s="196"/>
      <c r="M33" s="227"/>
      <c r="N33" s="228"/>
      <c r="O33" s="229"/>
      <c r="P33" s="230"/>
      <c r="Q33" s="231"/>
      <c r="R33" s="232"/>
      <c r="S33" s="233"/>
      <c r="T33" s="224"/>
      <c r="U33" s="33"/>
    </row>
    <row r="34" spans="1:21">
      <c r="A34" s="720"/>
      <c r="B34" s="98" t="s">
        <v>32</v>
      </c>
      <c r="C34" s="99" t="s">
        <v>33</v>
      </c>
      <c r="D34" s="234"/>
      <c r="E34" s="101">
        <v>155.72</v>
      </c>
      <c r="F34" s="38">
        <v>37.889800000000001</v>
      </c>
      <c r="G34" s="235">
        <f>ROUND(D34*(E34+F34),2)</f>
        <v>0</v>
      </c>
      <c r="H34" s="234"/>
      <c r="I34" s="194"/>
      <c r="J34" s="194"/>
      <c r="K34" s="195"/>
      <c r="L34" s="196"/>
      <c r="M34" s="227"/>
      <c r="N34" s="236"/>
      <c r="O34" s="237">
        <v>5456.6</v>
      </c>
      <c r="P34" s="230" t="s">
        <v>47</v>
      </c>
      <c r="Q34" s="238">
        <f>+G34+J34-M34-N34-O34</f>
        <v>-5456.6</v>
      </c>
      <c r="R34" s="232"/>
      <c r="S34" s="233"/>
      <c r="T34" s="224"/>
    </row>
    <row r="35" spans="1:21">
      <c r="A35" s="720"/>
      <c r="B35" s="224" t="s">
        <v>33</v>
      </c>
      <c r="C35" s="239" t="s">
        <v>26</v>
      </c>
      <c r="D35" s="234"/>
      <c r="E35" s="240">
        <f>155.72-178.43</f>
        <v>-22.710000000000008</v>
      </c>
      <c r="F35" s="240"/>
      <c r="G35" s="235">
        <f>+ROUND(D35*E35,2)</f>
        <v>0</v>
      </c>
      <c r="H35" s="241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720"/>
      <c r="B36" s="224"/>
      <c r="C36" s="239" t="s">
        <v>26</v>
      </c>
      <c r="D36" s="234">
        <v>0</v>
      </c>
      <c r="E36" s="240"/>
      <c r="F36" s="41">
        <f>33.8306-30.208</f>
        <v>3.6225999999999985</v>
      </c>
      <c r="G36" s="235">
        <f>+ROUND(D36*F36,2)</f>
        <v>0</v>
      </c>
      <c r="H36" s="241"/>
      <c r="I36" s="194"/>
      <c r="J36" s="194"/>
      <c r="K36" s="195"/>
      <c r="L36" s="196"/>
      <c r="M36" s="227"/>
      <c r="N36" s="236"/>
      <c r="O36" s="237"/>
      <c r="P36" s="230"/>
      <c r="Q36" s="238"/>
      <c r="R36" s="242"/>
      <c r="S36" s="233"/>
      <c r="T36" s="224"/>
    </row>
    <row r="37" spans="1:21">
      <c r="A37" s="720"/>
      <c r="B37" s="224"/>
      <c r="C37" s="48" t="s">
        <v>143</v>
      </c>
      <c r="D37" s="49">
        <v>8269.9</v>
      </c>
      <c r="E37" s="41">
        <f>5.9647-6.1063</f>
        <v>-0.14160000000000039</v>
      </c>
      <c r="F37" s="41">
        <f t="shared" ref="F37:F45" si="2">+E37</f>
        <v>-0.14160000000000039</v>
      </c>
      <c r="G37" s="50">
        <f>ROUND(D37*E37,2)</f>
        <v>-1171.02</v>
      </c>
      <c r="H37" s="241"/>
      <c r="I37" s="194"/>
      <c r="J37" s="194"/>
      <c r="K37" s="195"/>
      <c r="L37" s="196"/>
      <c r="M37" s="227"/>
      <c r="N37" s="236"/>
      <c r="O37" s="237"/>
      <c r="P37" s="230"/>
      <c r="Q37" s="238"/>
      <c r="R37" s="242"/>
      <c r="S37" s="233"/>
      <c r="T37" s="224"/>
    </row>
    <row r="38" spans="1:21">
      <c r="A38" s="720"/>
      <c r="B38" s="224"/>
      <c r="C38" s="48" t="s">
        <v>144</v>
      </c>
      <c r="D38" s="49">
        <v>72.3</v>
      </c>
      <c r="E38" s="41">
        <v>5.9646999999999997</v>
      </c>
      <c r="F38" s="41">
        <f t="shared" si="2"/>
        <v>5.9646999999999997</v>
      </c>
      <c r="G38" s="50">
        <f>ROUND(D38*E38,2)</f>
        <v>431.25</v>
      </c>
      <c r="H38" s="241"/>
      <c r="I38" s="194"/>
      <c r="J38" s="243"/>
      <c r="K38" s="195"/>
      <c r="L38" s="196"/>
      <c r="M38" s="227"/>
      <c r="N38" s="236"/>
      <c r="O38" s="237"/>
      <c r="P38" s="230"/>
      <c r="Q38" s="238"/>
      <c r="R38" s="242"/>
      <c r="S38" s="233"/>
      <c r="T38" s="224"/>
      <c r="U38" s="33"/>
    </row>
    <row r="39" spans="1:21" ht="15.75" thickBot="1">
      <c r="A39" s="721"/>
      <c r="B39" s="245"/>
      <c r="C39" s="99" t="s">
        <v>29</v>
      </c>
      <c r="D39" s="246">
        <v>6758.6</v>
      </c>
      <c r="E39" s="56">
        <v>5.9646999999999997</v>
      </c>
      <c r="F39" s="57">
        <f t="shared" si="2"/>
        <v>5.9646999999999997</v>
      </c>
      <c r="G39" s="247">
        <f>ROUND(D39*E39*70%+D39*F39*30%,2)</f>
        <v>40313.019999999997</v>
      </c>
      <c r="H39" s="248"/>
      <c r="I39" s="203"/>
      <c r="J39" s="60"/>
      <c r="K39" s="61"/>
      <c r="L39" s="249"/>
      <c r="M39" s="250"/>
      <c r="N39" s="251"/>
      <c r="O39" s="252">
        <v>15777.9</v>
      </c>
      <c r="P39" s="253" t="s">
        <v>47</v>
      </c>
      <c r="Q39" s="254">
        <f>+G39+J39-M39-N39-O39</f>
        <v>24535.119999999995</v>
      </c>
      <c r="R39" s="255" t="s">
        <v>54</v>
      </c>
      <c r="S39" s="256">
        <f>SUM(O32:O39)</f>
        <v>25488.190000000002</v>
      </c>
      <c r="T39" s="256">
        <f>SUM(Q32:Q39)</f>
        <v>-24750.692246000057</v>
      </c>
    </row>
    <row r="40" spans="1:21" ht="15.75">
      <c r="A40" s="722"/>
      <c r="B40" s="258" t="s">
        <v>55</v>
      </c>
      <c r="C40" s="48" t="s">
        <v>143</v>
      </c>
      <c r="D40" s="259">
        <v>1990.23</v>
      </c>
      <c r="E40" s="41">
        <f>5.9647-6.1063</f>
        <v>-0.14160000000000039</v>
      </c>
      <c r="F40" s="41">
        <f t="shared" si="2"/>
        <v>-0.14160000000000039</v>
      </c>
      <c r="G40" s="214">
        <f t="shared" ref="G40:G45" si="3">ROUND(D40*E40,2)</f>
        <v>-281.82</v>
      </c>
      <c r="H40" s="260"/>
      <c r="I40" s="261"/>
      <c r="J40" s="261"/>
      <c r="K40" s="262"/>
      <c r="L40" s="263">
        <f>SUM(G40:G42)</f>
        <v>10791.82</v>
      </c>
      <c r="M40" s="187">
        <v>10791.82</v>
      </c>
      <c r="N40" s="264"/>
      <c r="O40" s="229"/>
      <c r="P40" s="265"/>
      <c r="Q40" s="229"/>
      <c r="R40" s="242"/>
      <c r="S40" s="266"/>
      <c r="T40" s="266"/>
    </row>
    <row r="41" spans="1:21" ht="15.75">
      <c r="A41" s="723"/>
      <c r="B41" s="268"/>
      <c r="C41" s="48" t="s">
        <v>144</v>
      </c>
      <c r="D41" s="269">
        <v>19.649999999999999</v>
      </c>
      <c r="E41" s="41">
        <v>5.9646999999999997</v>
      </c>
      <c r="F41" s="41">
        <f t="shared" si="2"/>
        <v>5.9646999999999997</v>
      </c>
      <c r="G41" s="235">
        <f>ROUND(D41*E41,2)-0.01</f>
        <v>117.19999999999999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724"/>
      <c r="B42" s="277"/>
      <c r="C42" s="99" t="s">
        <v>29</v>
      </c>
      <c r="D42" s="279">
        <v>1836.88</v>
      </c>
      <c r="E42" s="56">
        <v>5.9646999999999997</v>
      </c>
      <c r="F42" s="57">
        <f t="shared" si="2"/>
        <v>5.9646999999999997</v>
      </c>
      <c r="G42" s="247">
        <f t="shared" si="3"/>
        <v>10956.44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5" customHeight="1">
      <c r="A43" s="725"/>
      <c r="B43" s="258" t="s">
        <v>56</v>
      </c>
      <c r="C43" s="48" t="s">
        <v>143</v>
      </c>
      <c r="D43" s="259">
        <v>325.10000000000002</v>
      </c>
      <c r="E43" s="41">
        <f>5.9647-6.1063</f>
        <v>-0.14160000000000039</v>
      </c>
      <c r="F43" s="41">
        <f t="shared" si="2"/>
        <v>-0.14160000000000039</v>
      </c>
      <c r="G43" s="214">
        <f>ROUND(D43*E43,2)-0.01</f>
        <v>-46.04</v>
      </c>
      <c r="H43" s="260"/>
      <c r="I43" s="261"/>
      <c r="J43" s="261"/>
      <c r="K43" s="262"/>
      <c r="L43" s="286">
        <f>SUM(G43:G45)</f>
        <v>1788.7</v>
      </c>
      <c r="M43" s="227">
        <v>1788.7</v>
      </c>
      <c r="N43" s="264"/>
      <c r="O43" s="229"/>
      <c r="P43" s="265"/>
      <c r="Q43" s="229"/>
      <c r="R43" s="287"/>
      <c r="S43" s="288"/>
      <c r="T43" s="288"/>
    </row>
    <row r="44" spans="1:21" ht="15.75">
      <c r="A44" s="726"/>
      <c r="B44" s="268"/>
      <c r="C44" s="48" t="s">
        <v>144</v>
      </c>
      <c r="D44" s="269">
        <v>3.3</v>
      </c>
      <c r="E44" s="41">
        <v>5.9646999999999997</v>
      </c>
      <c r="F44" s="41">
        <f t="shared" si="2"/>
        <v>5.9646999999999997</v>
      </c>
      <c r="G44" s="235">
        <f>ROUND(D44*E44,2)</f>
        <v>19.68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87"/>
      <c r="S44" s="288"/>
      <c r="T44" s="288"/>
    </row>
    <row r="45" spans="1:21" ht="16.5" thickBot="1">
      <c r="A45" s="727"/>
      <c r="B45" s="277"/>
      <c r="C45" s="99" t="s">
        <v>29</v>
      </c>
      <c r="D45" s="279">
        <v>304.3</v>
      </c>
      <c r="E45" s="56">
        <v>5.9646999999999997</v>
      </c>
      <c r="F45" s="57">
        <f t="shared" si="2"/>
        <v>5.9646999999999997</v>
      </c>
      <c r="G45" s="247">
        <f t="shared" si="3"/>
        <v>1815.06</v>
      </c>
      <c r="H45" s="280"/>
      <c r="I45" s="281"/>
      <c r="J45" s="281"/>
      <c r="K45" s="682"/>
      <c r="L45" s="204"/>
      <c r="M45" s="250"/>
      <c r="N45" s="283"/>
      <c r="O45" s="252"/>
      <c r="P45" s="284"/>
      <c r="Q45" s="252"/>
      <c r="R45" s="287"/>
      <c r="S45" s="288"/>
      <c r="T45" s="288"/>
    </row>
    <row r="46" spans="1:21" ht="15.75">
      <c r="A46" s="725"/>
      <c r="B46" s="291" t="s">
        <v>57</v>
      </c>
      <c r="C46" s="292"/>
      <c r="D46" s="259">
        <v>0.59799999999999998</v>
      </c>
      <c r="E46" s="21">
        <v>32.332000000000001</v>
      </c>
      <c r="F46" s="21">
        <v>37.889800000000001</v>
      </c>
      <c r="G46" s="214">
        <f>ROUND(D46*(E46+F46),2)</f>
        <v>41.99</v>
      </c>
      <c r="H46" s="213">
        <v>0</v>
      </c>
      <c r="I46">
        <v>22.478999999999999</v>
      </c>
      <c r="J46" s="215">
        <f t="shared" ref="J46" si="4">H46*I46</f>
        <v>0</v>
      </c>
      <c r="K46" s="679">
        <v>42705</v>
      </c>
      <c r="L46" s="294">
        <f>SUM(G46:G50)+J46+J48</f>
        <v>171.98000000000002</v>
      </c>
      <c r="M46" s="227">
        <v>171.98</v>
      </c>
      <c r="N46" s="264"/>
      <c r="O46" s="229"/>
      <c r="P46" s="265"/>
      <c r="Q46" s="229"/>
      <c r="R46" s="242"/>
      <c r="S46" s="266"/>
      <c r="T46" s="266"/>
    </row>
    <row r="47" spans="1:21" ht="15.75">
      <c r="A47" s="726"/>
      <c r="B47" s="268"/>
      <c r="C47" s="292"/>
      <c r="D47" s="269">
        <v>0</v>
      </c>
      <c r="E47" s="38">
        <f>32.332-28.8628</f>
        <v>3.4692000000000007</v>
      </c>
      <c r="F47" s="38">
        <f>37.8898-33.8306</f>
        <v>4.0592000000000041</v>
      </c>
      <c r="G47" s="235">
        <f>ROUND(D47*(E47+F47),2)</f>
        <v>0</v>
      </c>
      <c r="H47" s="225"/>
      <c r="J47" s="194"/>
      <c r="K47" s="683"/>
      <c r="L47" s="294"/>
      <c r="M47" s="227"/>
      <c r="N47" s="264"/>
      <c r="O47" s="229"/>
      <c r="P47" s="265"/>
      <c r="Q47" s="229"/>
      <c r="R47" s="242"/>
      <c r="S47" s="266"/>
      <c r="T47" s="266"/>
    </row>
    <row r="48" spans="1:21">
      <c r="A48" s="726"/>
      <c r="B48" s="268"/>
      <c r="C48" s="48" t="s">
        <v>143</v>
      </c>
      <c r="D48" s="296">
        <v>147.69999999999999</v>
      </c>
      <c r="E48" s="41">
        <f>5.9647-6.1063</f>
        <v>-0.14160000000000039</v>
      </c>
      <c r="F48" s="41">
        <f>+E48</f>
        <v>-0.14160000000000039</v>
      </c>
      <c r="G48" s="235">
        <f>ROUND(D48*E48,2)-0.01</f>
        <v>-20.92</v>
      </c>
      <c r="H48" s="270"/>
      <c r="I48" s="41"/>
      <c r="J48" s="41"/>
      <c r="K48" s="684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0" ht="15.75">
      <c r="A49" s="726"/>
      <c r="B49" s="268"/>
      <c r="C49" s="48" t="s">
        <v>144</v>
      </c>
      <c r="D49" s="269">
        <v>0.3</v>
      </c>
      <c r="E49" s="41">
        <v>5.9646999999999997</v>
      </c>
      <c r="F49" s="41">
        <f>+E49</f>
        <v>5.9646999999999997</v>
      </c>
      <c r="G49" s="235">
        <f>ROUND(D49*E49,2)</f>
        <v>1.79</v>
      </c>
      <c r="H49" s="270"/>
      <c r="I49" s="41"/>
      <c r="J49" s="41"/>
      <c r="K49" s="684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0" ht="16.5" thickBot="1">
      <c r="A50" s="727"/>
      <c r="B50" s="277"/>
      <c r="C50" s="99" t="s">
        <v>29</v>
      </c>
      <c r="D50" s="279">
        <v>25</v>
      </c>
      <c r="E50" s="56">
        <v>5.9646999999999997</v>
      </c>
      <c r="F50" s="57">
        <f>+E50</f>
        <v>5.9646999999999997</v>
      </c>
      <c r="G50" s="247">
        <f>ROUND(D50*E50,2)</f>
        <v>149.12</v>
      </c>
      <c r="H50" s="280"/>
      <c r="I50" s="281"/>
      <c r="J50" s="281"/>
      <c r="K50" s="6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0" ht="15.75">
      <c r="A51" s="728"/>
      <c r="B51" s="258" t="s">
        <v>58</v>
      </c>
      <c r="C51" s="48" t="s">
        <v>59</v>
      </c>
      <c r="D51" s="259">
        <v>0.49299999999999999</v>
      </c>
      <c r="E51" s="21">
        <v>32.332000000000001</v>
      </c>
      <c r="F51" s="21">
        <v>37.889800000000001</v>
      </c>
      <c r="G51" s="214">
        <f>ROUND(D51*(E51+F51),2)</f>
        <v>34.619999999999997</v>
      </c>
      <c r="H51" s="213">
        <v>0</v>
      </c>
      <c r="I51">
        <v>22.478999999999999</v>
      </c>
      <c r="J51" s="215">
        <f t="shared" ref="J51" si="5">H51*I51</f>
        <v>0</v>
      </c>
      <c r="K51" s="679">
        <v>42705</v>
      </c>
      <c r="L51" s="294">
        <f>SUM(G51:G55)+J51</f>
        <v>1316.21</v>
      </c>
      <c r="M51" s="227">
        <v>1316.21</v>
      </c>
      <c r="N51" s="264"/>
      <c r="O51" s="229"/>
      <c r="P51" s="265"/>
      <c r="Q51" s="229"/>
      <c r="R51" s="242"/>
      <c r="S51" s="266"/>
      <c r="T51" s="266"/>
    </row>
    <row r="52" spans="1:20" ht="15.75">
      <c r="A52" s="729"/>
      <c r="B52" s="268"/>
      <c r="C52" s="292"/>
      <c r="D52" s="269">
        <v>0</v>
      </c>
      <c r="E52" s="38">
        <f>32.332-28.8628</f>
        <v>3.4692000000000007</v>
      </c>
      <c r="F52" s="38">
        <f>37.8898-33.8306</f>
        <v>4.0592000000000041</v>
      </c>
      <c r="G52" s="235">
        <f>ROUND(D52*(E52+F52),2)</f>
        <v>0</v>
      </c>
      <c r="H52" s="225"/>
      <c r="J52" s="194"/>
      <c r="K52" s="295"/>
      <c r="L52" s="294"/>
      <c r="M52" s="227"/>
      <c r="N52" s="264"/>
      <c r="O52" s="229"/>
      <c r="P52" s="265"/>
      <c r="Q52" s="229"/>
      <c r="R52" s="242"/>
      <c r="S52" s="266"/>
      <c r="T52" s="266"/>
    </row>
    <row r="53" spans="1:20">
      <c r="A53" s="729"/>
      <c r="B53" s="268"/>
      <c r="C53" s="48" t="s">
        <v>143</v>
      </c>
      <c r="D53" s="296">
        <v>237.5</v>
      </c>
      <c r="E53" s="41">
        <f>5.9647-6.1063</f>
        <v>-0.14160000000000039</v>
      </c>
      <c r="F53" s="41">
        <f t="shared" ref="F53:F64" si="6">+E53</f>
        <v>-0.14160000000000039</v>
      </c>
      <c r="G53" s="235">
        <f t="shared" ref="G53:G61" si="7">ROUND(D53*E53,2)</f>
        <v>-33.630000000000003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0" ht="15.75">
      <c r="A54" s="729"/>
      <c r="B54" s="268"/>
      <c r="C54" s="48" t="s">
        <v>144</v>
      </c>
      <c r="D54" s="269">
        <v>2.2999999999999998</v>
      </c>
      <c r="E54" s="41">
        <v>5.9646999999999997</v>
      </c>
      <c r="F54" s="41">
        <f t="shared" si="6"/>
        <v>5.9646999999999997</v>
      </c>
      <c r="G54" s="235">
        <f t="shared" si="7"/>
        <v>13.72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730"/>
      <c r="B55" s="277"/>
      <c r="C55" s="99" t="s">
        <v>29</v>
      </c>
      <c r="D55" s="279">
        <v>218.2</v>
      </c>
      <c r="E55" s="56">
        <v>5.9646999999999997</v>
      </c>
      <c r="F55" s="57">
        <f t="shared" si="6"/>
        <v>5.9646999999999997</v>
      </c>
      <c r="G55" s="247">
        <f t="shared" si="7"/>
        <v>1301.5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>
      <c r="A56" s="731"/>
      <c r="B56" s="192" t="s">
        <v>137</v>
      </c>
      <c r="C56" s="48" t="s">
        <v>143</v>
      </c>
      <c r="D56" s="296">
        <v>176.73</v>
      </c>
      <c r="E56" s="41">
        <f>5.9647-6.1063</f>
        <v>-0.14160000000000039</v>
      </c>
      <c r="F56" s="41">
        <f t="shared" si="6"/>
        <v>-0.14160000000000039</v>
      </c>
      <c r="G56" s="235">
        <f>ROUND(D56*E56,2)-0.01</f>
        <v>-25.03</v>
      </c>
      <c r="H56" s="270"/>
      <c r="I56" s="41"/>
      <c r="J56" s="41"/>
      <c r="K56" s="271"/>
      <c r="L56" s="294">
        <f>SUM(G56:G58)</f>
        <v>984.19999999999993</v>
      </c>
      <c r="M56" s="227">
        <v>984.2</v>
      </c>
      <c r="N56" s="274"/>
      <c r="O56" s="237"/>
      <c r="P56" s="275"/>
      <c r="Q56" s="237"/>
      <c r="R56" s="242"/>
      <c r="S56" s="266"/>
      <c r="T56" s="266"/>
    </row>
    <row r="57" spans="1:20" ht="15.75">
      <c r="A57" s="731"/>
      <c r="B57" s="192"/>
      <c r="C57" s="48" t="s">
        <v>144</v>
      </c>
      <c r="D57" s="269">
        <v>1.79</v>
      </c>
      <c r="E57" s="41">
        <v>5.9646999999999997</v>
      </c>
      <c r="F57" s="41">
        <f t="shared" si="6"/>
        <v>5.9646999999999997</v>
      </c>
      <c r="G57" s="235">
        <f t="shared" si="7"/>
        <v>10.68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727"/>
      <c r="B58" s="277"/>
      <c r="C58" s="99" t="s">
        <v>29</v>
      </c>
      <c r="D58" s="279">
        <v>167.41</v>
      </c>
      <c r="E58" s="56">
        <v>5.9646999999999997</v>
      </c>
      <c r="F58" s="57">
        <f t="shared" si="6"/>
        <v>5.9646999999999997</v>
      </c>
      <c r="G58" s="247">
        <f t="shared" si="7"/>
        <v>998.55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31"/>
      <c r="B59" s="192" t="s">
        <v>138</v>
      </c>
      <c r="C59" s="48" t="s">
        <v>143</v>
      </c>
      <c r="D59" s="296">
        <v>239.43</v>
      </c>
      <c r="E59" s="41">
        <f>5.9647-6.1063</f>
        <v>-0.14160000000000039</v>
      </c>
      <c r="F59" s="41">
        <f t="shared" si="6"/>
        <v>-0.14160000000000039</v>
      </c>
      <c r="G59" s="235">
        <f>ROUND(D59*E59,2)-0.01</f>
        <v>-33.909999999999997</v>
      </c>
      <c r="H59" s="270"/>
      <c r="I59" s="41"/>
      <c r="J59" s="41"/>
      <c r="K59" s="271"/>
      <c r="L59" s="294">
        <f>SUM(G59:G61)</f>
        <v>1584.14</v>
      </c>
      <c r="M59" s="227">
        <v>1584.14</v>
      </c>
      <c r="N59" s="274"/>
      <c r="O59" s="237"/>
      <c r="P59" s="275"/>
      <c r="Q59" s="237"/>
      <c r="R59" s="242"/>
      <c r="S59" s="266"/>
      <c r="T59" s="266"/>
    </row>
    <row r="60" spans="1:20" ht="15.75">
      <c r="A60" s="731"/>
      <c r="B60" s="192"/>
      <c r="C60" s="48" t="s">
        <v>144</v>
      </c>
      <c r="D60" s="269">
        <v>2.87</v>
      </c>
      <c r="E60" s="41">
        <v>5.9646999999999997</v>
      </c>
      <c r="F60" s="41">
        <f t="shared" si="6"/>
        <v>5.9646999999999997</v>
      </c>
      <c r="G60" s="235">
        <f t="shared" si="7"/>
        <v>17.12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727"/>
      <c r="B61" s="277"/>
      <c r="C61" s="99" t="s">
        <v>29</v>
      </c>
      <c r="D61" s="279">
        <v>268.39999999999998</v>
      </c>
      <c r="E61" s="56">
        <v>5.9646999999999997</v>
      </c>
      <c r="F61" s="57">
        <f t="shared" si="6"/>
        <v>5.9646999999999997</v>
      </c>
      <c r="G61" s="247">
        <f t="shared" si="7"/>
        <v>1600.93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31"/>
      <c r="B62" s="192" t="s">
        <v>145</v>
      </c>
      <c r="C62" s="48" t="s">
        <v>143</v>
      </c>
      <c r="D62" s="296"/>
      <c r="E62" s="41">
        <f>5.9647-6.1063</f>
        <v>-0.14160000000000039</v>
      </c>
      <c r="F62" s="41">
        <f t="shared" si="6"/>
        <v>-0.14160000000000039</v>
      </c>
      <c r="G62" s="235">
        <f>ROUND(D62*E62,2)-0.01</f>
        <v>-0.01</v>
      </c>
      <c r="H62" s="270"/>
      <c r="I62" s="41"/>
      <c r="J62" s="41"/>
      <c r="K62" s="271"/>
      <c r="L62" s="294">
        <f>SUM(G62:G64)</f>
        <v>31.37</v>
      </c>
      <c r="M62" s="227">
        <v>31.37</v>
      </c>
      <c r="N62" s="274"/>
      <c r="O62" s="237"/>
      <c r="P62" s="275"/>
      <c r="Q62" s="237"/>
      <c r="R62" s="242"/>
      <c r="S62" s="266"/>
      <c r="T62" s="266"/>
    </row>
    <row r="63" spans="1:20" ht="15.75">
      <c r="A63" s="731"/>
      <c r="B63" s="192"/>
      <c r="C63" s="48" t="s">
        <v>144</v>
      </c>
      <c r="D63" s="269">
        <v>0.06</v>
      </c>
      <c r="E63" s="41">
        <v>5.9646999999999997</v>
      </c>
      <c r="F63" s="41">
        <f t="shared" si="6"/>
        <v>5.9646999999999997</v>
      </c>
      <c r="G63" s="235">
        <f t="shared" ref="G63:G64" si="8">ROUND(D63*E63,2)</f>
        <v>0.36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731"/>
      <c r="B64" s="192"/>
      <c r="C64" s="99" t="s">
        <v>29</v>
      </c>
      <c r="D64" s="279">
        <v>5.2</v>
      </c>
      <c r="E64" s="56">
        <v>5.9646999999999997</v>
      </c>
      <c r="F64" s="57">
        <f t="shared" si="6"/>
        <v>5.9646999999999997</v>
      </c>
      <c r="G64" s="247">
        <f t="shared" si="8"/>
        <v>31.02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 ht="16.5" thickTop="1">
      <c r="A65" s="320"/>
      <c r="B65" s="321"/>
      <c r="C65" s="322"/>
      <c r="D65" s="323"/>
      <c r="E65" s="163"/>
      <c r="F65" s="324"/>
      <c r="G65" s="325"/>
      <c r="H65" s="163"/>
      <c r="I65" s="163"/>
      <c r="J65" s="163"/>
      <c r="K65" s="163"/>
      <c r="L65" s="163"/>
      <c r="M65" s="326"/>
      <c r="N65" s="327"/>
      <c r="O65" s="328"/>
      <c r="P65" s="329"/>
      <c r="Q65" s="328"/>
      <c r="R65" s="330"/>
      <c r="S65" s="331"/>
      <c r="T65" s="266"/>
    </row>
    <row r="66" spans="1:21" ht="21.75" thickBot="1">
      <c r="A66" s="171" t="s">
        <v>60</v>
      </c>
      <c r="B66" s="2"/>
      <c r="C66" s="3"/>
      <c r="D66" s="2"/>
      <c r="E66" s="2"/>
      <c r="F66" s="2"/>
      <c r="G66" s="332"/>
      <c r="H66" s="332"/>
      <c r="I66" s="332"/>
      <c r="J66" s="2"/>
      <c r="K66" s="2"/>
      <c r="L66" s="2"/>
      <c r="M66" s="3"/>
      <c r="N66" s="2"/>
      <c r="O66" s="2"/>
      <c r="P66" s="2"/>
      <c r="Q66" s="2"/>
      <c r="R66" s="2"/>
      <c r="S66" s="2"/>
    </row>
    <row r="67" spans="1:21" ht="15" customHeight="1" thickTop="1">
      <c r="A67" s="1553" t="s">
        <v>1</v>
      </c>
      <c r="B67" s="1516" t="s">
        <v>2</v>
      </c>
      <c r="C67" s="1518" t="s">
        <v>3</v>
      </c>
      <c r="D67" s="1532" t="s">
        <v>4</v>
      </c>
      <c r="E67" s="1532"/>
      <c r="F67" s="1532"/>
      <c r="G67" s="1532"/>
      <c r="H67" s="1533" t="s">
        <v>5</v>
      </c>
      <c r="I67" s="1534"/>
      <c r="J67" s="1534"/>
      <c r="K67" s="1534"/>
      <c r="L67" s="1524" t="s">
        <v>6</v>
      </c>
      <c r="M67" s="1537" t="s">
        <v>7</v>
      </c>
      <c r="N67" s="1538" t="s">
        <v>8</v>
      </c>
      <c r="O67" s="1538"/>
      <c r="P67" s="1538"/>
      <c r="Q67" s="1539"/>
      <c r="R67" s="5"/>
      <c r="S67" s="5"/>
      <c r="T67" s="5" t="s">
        <v>61</v>
      </c>
      <c r="U67" t="s">
        <v>21</v>
      </c>
    </row>
    <row r="68" spans="1:21" ht="27" customHeight="1" thickBot="1">
      <c r="A68" s="1531"/>
      <c r="B68" s="1517"/>
      <c r="C68" s="1519" t="s">
        <v>10</v>
      </c>
      <c r="D68" s="333" t="s">
        <v>11</v>
      </c>
      <c r="E68" s="7" t="s">
        <v>12</v>
      </c>
      <c r="F68" s="7" t="s">
        <v>13</v>
      </c>
      <c r="G68" s="334" t="s">
        <v>14</v>
      </c>
      <c r="H68" s="335" t="s">
        <v>11</v>
      </c>
      <c r="I68" s="333" t="s">
        <v>15</v>
      </c>
      <c r="J68" s="336" t="s">
        <v>14</v>
      </c>
      <c r="K68" s="11" t="s">
        <v>16</v>
      </c>
      <c r="L68" s="1525"/>
      <c r="M68" s="1511"/>
      <c r="N68" s="337" t="s">
        <v>62</v>
      </c>
      <c r="O68" s="338" t="s">
        <v>44</v>
      </c>
      <c r="P68" s="13" t="s">
        <v>18</v>
      </c>
      <c r="Q68" s="14" t="s">
        <v>19</v>
      </c>
    </row>
    <row r="69" spans="1:21" ht="14.25" customHeight="1">
      <c r="A69" s="732" t="s">
        <v>63</v>
      </c>
      <c r="B69" s="18" t="s">
        <v>64</v>
      </c>
      <c r="C69" s="71">
        <f>+[1]май17!U66</f>
        <v>2.8335000002407469</v>
      </c>
      <c r="D69" s="340">
        <v>54</v>
      </c>
      <c r="E69" s="21">
        <v>32.332000000000001</v>
      </c>
      <c r="F69" s="21">
        <v>37.889800000000001</v>
      </c>
      <c r="G69" s="185">
        <f>ROUND(D69*(E69+F69),2)</f>
        <v>3791.98</v>
      </c>
      <c r="H69" s="184"/>
      <c r="I69" s="23"/>
      <c r="J69" s="341">
        <v>0</v>
      </c>
      <c r="K69" s="342"/>
      <c r="L69" s="343">
        <f>SUM(G69:G74,J69:J73)</f>
        <v>249321.08</v>
      </c>
      <c r="M69" s="344">
        <v>249324.87</v>
      </c>
      <c r="N69" s="345"/>
      <c r="O69" s="346">
        <v>7157.88</v>
      </c>
      <c r="P69" s="347" t="s">
        <v>24</v>
      </c>
      <c r="Q69" s="348">
        <f t="shared" ref="Q69:Q75" si="9">C69+G69+J69-M69-N69-O69</f>
        <v>-252687.93649999975</v>
      </c>
      <c r="R69" s="349" t="s">
        <v>65</v>
      </c>
      <c r="S69" s="350" t="s">
        <v>20</v>
      </c>
      <c r="T69" s="351" t="s">
        <v>21</v>
      </c>
      <c r="U69" s="352">
        <f>+L69-M69+C69</f>
        <v>-0.95649999976740219</v>
      </c>
    </row>
    <row r="70" spans="1:21" ht="14.25" customHeight="1">
      <c r="A70" s="733"/>
      <c r="B70" s="35"/>
      <c r="C70" s="84" t="s">
        <v>26</v>
      </c>
      <c r="D70" s="37">
        <v>0</v>
      </c>
      <c r="E70" s="38">
        <f>32.332-28.8628</f>
        <v>3.4692000000000007</v>
      </c>
      <c r="F70" s="38">
        <f>37.8898-33.8306</f>
        <v>4.0592000000000041</v>
      </c>
      <c r="G70" s="39">
        <f>ROUND(D70*(E70+F70),2)</f>
        <v>0</v>
      </c>
      <c r="H70" s="49"/>
      <c r="I70" s="271"/>
      <c r="J70" s="101"/>
      <c r="K70" s="354"/>
      <c r="L70" s="355"/>
      <c r="M70" s="356"/>
      <c r="N70" s="357"/>
      <c r="O70" s="358"/>
      <c r="P70" s="359"/>
      <c r="Q70" s="360"/>
      <c r="R70" s="349"/>
      <c r="S70" s="350"/>
      <c r="T70" s="351"/>
      <c r="U70" s="352"/>
    </row>
    <row r="71" spans="1:21">
      <c r="A71" s="733"/>
      <c r="B71" s="35"/>
      <c r="C71" s="48"/>
      <c r="D71" s="49">
        <v>0</v>
      </c>
      <c r="E71" s="41">
        <f>4.4128-4.4153</f>
        <v>-2.5000000000003908E-3</v>
      </c>
      <c r="F71" s="41">
        <f>+E71</f>
        <v>-2.5000000000003908E-3</v>
      </c>
      <c r="G71" s="50">
        <f>ROUND(D71*E71*70%+D71*F71*30%,2)</f>
        <v>0</v>
      </c>
      <c r="H71" s="49"/>
      <c r="I71" s="271">
        <v>0</v>
      </c>
      <c r="J71" s="41">
        <f>H71*I71</f>
        <v>0</v>
      </c>
      <c r="K71" s="354"/>
      <c r="L71" s="355"/>
      <c r="M71" s="356"/>
      <c r="N71" s="357"/>
      <c r="O71" s="358"/>
      <c r="P71" s="359"/>
      <c r="Q71" s="360"/>
      <c r="R71" s="349"/>
      <c r="S71" s="350"/>
      <c r="T71" s="351"/>
      <c r="U71" s="352"/>
    </row>
    <row r="72" spans="1:21">
      <c r="A72" s="733"/>
      <c r="B72" s="35"/>
      <c r="C72" s="48" t="s">
        <v>143</v>
      </c>
      <c r="D72" s="49">
        <v>44394</v>
      </c>
      <c r="E72" s="41">
        <f>6.0908-6.3119</f>
        <v>-0.22109999999999985</v>
      </c>
      <c r="F72" s="38">
        <f>+E72</f>
        <v>-0.22109999999999985</v>
      </c>
      <c r="G72" s="50">
        <f>ROUND(+D72*E72,2)</f>
        <v>-9815.51</v>
      </c>
      <c r="H72" s="49"/>
      <c r="I72" s="271"/>
      <c r="J72" s="41"/>
      <c r="K72" s="354"/>
      <c r="L72" s="355"/>
      <c r="M72" s="356"/>
      <c r="N72" s="357"/>
      <c r="O72" s="358"/>
      <c r="P72" s="359"/>
      <c r="Q72" s="360"/>
      <c r="R72" s="349"/>
      <c r="S72" s="350"/>
      <c r="T72" s="351"/>
      <c r="U72" s="352"/>
    </row>
    <row r="73" spans="1:21">
      <c r="A73" s="733"/>
      <c r="B73" s="35"/>
      <c r="C73" s="48" t="s">
        <v>144</v>
      </c>
      <c r="D73" s="49">
        <v>100</v>
      </c>
      <c r="E73" s="41">
        <v>6.0907999999999998</v>
      </c>
      <c r="F73" s="41">
        <f>+E73</f>
        <v>6.0907999999999998</v>
      </c>
      <c r="G73" s="50">
        <f>ROUND(D73*E73,2)</f>
        <v>609.08000000000004</v>
      </c>
      <c r="H73" s="361"/>
      <c r="I73" s="362"/>
      <c r="J73" s="207"/>
      <c r="K73" s="363"/>
      <c r="L73" s="364"/>
      <c r="M73" s="365"/>
      <c r="N73" s="366"/>
      <c r="O73" s="367"/>
      <c r="P73" s="368"/>
      <c r="Q73" s="360"/>
      <c r="R73" s="349"/>
      <c r="S73" s="350"/>
      <c r="T73" s="351"/>
      <c r="U73" s="352"/>
    </row>
    <row r="74" spans="1:21" ht="15.75" thickBot="1">
      <c r="A74" s="734"/>
      <c r="B74" s="53" t="s">
        <v>66</v>
      </c>
      <c r="C74" s="99" t="s">
        <v>29</v>
      </c>
      <c r="D74" s="55">
        <v>41823</v>
      </c>
      <c r="E74" s="56">
        <v>6.0907999999999998</v>
      </c>
      <c r="F74" s="370">
        <f>+E74</f>
        <v>6.0907999999999998</v>
      </c>
      <c r="G74" s="58">
        <f>ROUND(D74*E74,2)</f>
        <v>254735.53</v>
      </c>
      <c r="H74" s="248"/>
      <c r="I74" s="203"/>
      <c r="J74" s="60"/>
      <c r="K74" s="203"/>
      <c r="L74" s="204"/>
      <c r="M74" s="371"/>
      <c r="N74" s="372"/>
      <c r="O74" s="373">
        <v>165882.5</v>
      </c>
      <c r="P74" s="374" t="s">
        <v>24</v>
      </c>
      <c r="Q74" s="373">
        <f>G74+J74-M74-N74-O74</f>
        <v>88853.03</v>
      </c>
      <c r="R74" s="349" t="s">
        <v>65</v>
      </c>
      <c r="S74" s="375">
        <f>SUM(O69:O74)</f>
        <v>173040.38</v>
      </c>
      <c r="T74" s="375">
        <f>SUM(Q69:Q74)</f>
        <v>-163834.90649999975</v>
      </c>
    </row>
    <row r="75" spans="1:21" s="81" customFormat="1" ht="15" customHeight="1">
      <c r="A75" s="735">
        <v>301</v>
      </c>
      <c r="B75" s="70" t="s">
        <v>67</v>
      </c>
      <c r="C75" s="377"/>
      <c r="D75" s="378">
        <v>533</v>
      </c>
      <c r="E75" s="21">
        <v>32.332000000000001</v>
      </c>
      <c r="F75" s="21">
        <v>37.889800000000001</v>
      </c>
      <c r="G75" s="379">
        <f>ROUND(D75*(E75+F75),2)</f>
        <v>37428.22</v>
      </c>
      <c r="H75" s="380"/>
      <c r="I75" s="381">
        <v>183.82</v>
      </c>
      <c r="J75" s="381">
        <f>H75*I75</f>
        <v>0</v>
      </c>
      <c r="K75" s="342"/>
      <c r="L75" s="382">
        <f>+SUM(G75:G84,J75:J83)</f>
        <v>155215.78</v>
      </c>
      <c r="M75" s="26">
        <v>155215.78</v>
      </c>
      <c r="N75" s="383"/>
      <c r="O75" s="77"/>
      <c r="P75" s="77" t="s">
        <v>68</v>
      </c>
      <c r="Q75" s="384">
        <f t="shared" si="9"/>
        <v>-117787.56</v>
      </c>
      <c r="R75" s="385" t="s">
        <v>69</v>
      </c>
      <c r="S75" s="386"/>
      <c r="T75" s="387"/>
      <c r="U75" s="388"/>
    </row>
    <row r="76" spans="1:21" s="81" customFormat="1" ht="12.75">
      <c r="A76" s="736"/>
      <c r="B76" s="83"/>
      <c r="C76" s="390" t="s">
        <v>26</v>
      </c>
      <c r="D76" s="37">
        <v>0</v>
      </c>
      <c r="E76" s="38">
        <f>32.332-28.8628</f>
        <v>3.4692000000000007</v>
      </c>
      <c r="F76" s="38">
        <v>0</v>
      </c>
      <c r="G76" s="39">
        <f>ROUND(D76*(E76+F76),2)</f>
        <v>0</v>
      </c>
      <c r="H76" s="391"/>
      <c r="I76" s="392"/>
      <c r="J76" s="392"/>
      <c r="K76" s="393"/>
      <c r="L76" s="394"/>
      <c r="M76" s="90"/>
      <c r="N76" s="395"/>
      <c r="O76" s="94"/>
      <c r="P76" s="94"/>
      <c r="Q76" s="396"/>
      <c r="R76" s="397"/>
      <c r="S76" s="398"/>
      <c r="T76" s="399"/>
    </row>
    <row r="77" spans="1:21" s="81" customFormat="1" ht="12.75">
      <c r="A77" s="736"/>
      <c r="B77" s="98" t="s">
        <v>32</v>
      </c>
      <c r="C77" s="99" t="s">
        <v>33</v>
      </c>
      <c r="D77" s="37">
        <v>67</v>
      </c>
      <c r="E77" s="101">
        <v>291.8</v>
      </c>
      <c r="F77" s="38">
        <v>37.889800000000001</v>
      </c>
      <c r="G77" s="400">
        <f>ROUND(D77*(E77+F77),2)</f>
        <v>22089.22</v>
      </c>
      <c r="H77" s="401"/>
      <c r="I77" s="402"/>
      <c r="J77" s="402"/>
      <c r="K77" s="403"/>
      <c r="L77" s="404"/>
      <c r="M77" s="102"/>
      <c r="N77" s="405"/>
      <c r="O77" s="406"/>
      <c r="P77" s="406" t="s">
        <v>68</v>
      </c>
      <c r="Q77" s="407">
        <f>+G77+J77-M77-N77-O77</f>
        <v>22089.22</v>
      </c>
      <c r="R77" s="397" t="s">
        <v>69</v>
      </c>
      <c r="S77" s="398"/>
      <c r="T77" s="399"/>
    </row>
    <row r="78" spans="1:21" s="81" customFormat="1" ht="15" customHeight="1">
      <c r="A78" s="736"/>
      <c r="B78" s="98"/>
      <c r="C78" s="84"/>
      <c r="D78" s="37">
        <v>0</v>
      </c>
      <c r="E78" s="41">
        <f>291.8-352.37</f>
        <v>-60.569999999999993</v>
      </c>
      <c r="F78" s="38">
        <v>0</v>
      </c>
      <c r="G78" s="400">
        <f>+D78*(E78+F78)</f>
        <v>0</v>
      </c>
      <c r="H78" s="401"/>
      <c r="I78" s="402"/>
      <c r="J78" s="402"/>
      <c r="K78" s="408"/>
      <c r="L78" s="404"/>
      <c r="M78" s="102"/>
      <c r="N78" s="405"/>
      <c r="O78" s="406"/>
      <c r="P78" s="406"/>
      <c r="Q78" s="407"/>
      <c r="R78" s="397"/>
      <c r="S78" s="398"/>
      <c r="T78" s="399"/>
    </row>
    <row r="79" spans="1:21" s="81" customFormat="1" ht="15" customHeight="1">
      <c r="A79" s="736"/>
      <c r="B79" s="83"/>
      <c r="C79" s="84"/>
      <c r="D79" s="37"/>
      <c r="E79" s="41"/>
      <c r="F79" s="38"/>
      <c r="G79" s="400"/>
      <c r="H79" s="401"/>
      <c r="I79" s="402"/>
      <c r="J79" s="402"/>
      <c r="K79" s="408"/>
      <c r="L79" s="404"/>
      <c r="M79" s="102"/>
      <c r="N79" s="405"/>
      <c r="O79" s="406"/>
      <c r="P79" s="406"/>
      <c r="Q79" s="407"/>
      <c r="R79" s="397"/>
      <c r="S79" s="398"/>
      <c r="T79" s="399"/>
    </row>
    <row r="80" spans="1:21" s="81" customFormat="1" ht="15" customHeight="1">
      <c r="A80" s="736"/>
      <c r="B80" s="83" t="s">
        <v>70</v>
      </c>
      <c r="C80" s="84"/>
      <c r="D80" s="37"/>
      <c r="E80" s="41"/>
      <c r="F80" s="38">
        <v>33.830599999999997</v>
      </c>
      <c r="G80" s="400"/>
      <c r="H80" s="401"/>
      <c r="I80" s="402"/>
      <c r="J80" s="402"/>
      <c r="K80" s="408"/>
      <c r="L80" s="404"/>
      <c r="M80" s="102"/>
      <c r="N80" s="405"/>
      <c r="O80" s="406"/>
      <c r="P80" s="406"/>
      <c r="Q80" s="407"/>
      <c r="R80" s="397"/>
      <c r="S80" s="398"/>
      <c r="T80" s="399"/>
    </row>
    <row r="81" spans="1:20" s="81" customFormat="1" ht="15" customHeight="1">
      <c r="A81" s="736"/>
      <c r="B81" s="83"/>
      <c r="C81" s="48"/>
      <c r="D81" s="37">
        <v>0</v>
      </c>
      <c r="E81" s="41">
        <f>4.4128-4.4153</f>
        <v>-2.5000000000003908E-3</v>
      </c>
      <c r="F81" s="38"/>
      <c r="G81" s="39">
        <f>ROUND(D81*(E81+F81),2)</f>
        <v>0</v>
      </c>
      <c r="H81" s="37"/>
      <c r="I81" s="409"/>
      <c r="J81" s="409"/>
      <c r="K81" s="408"/>
      <c r="L81" s="404"/>
      <c r="M81" s="102"/>
      <c r="N81" s="405"/>
      <c r="O81" s="406"/>
      <c r="P81" s="406"/>
      <c r="Q81" s="407"/>
      <c r="R81" s="397"/>
      <c r="S81" s="398"/>
      <c r="T81" s="399"/>
    </row>
    <row r="82" spans="1:20" s="81" customFormat="1" ht="15" customHeight="1">
      <c r="A82" s="736"/>
      <c r="B82" s="83"/>
      <c r="C82" s="48" t="s">
        <v>143</v>
      </c>
      <c r="D82" s="37">
        <v>17081</v>
      </c>
      <c r="E82" s="41">
        <f>6.0908-6.3119</f>
        <v>-0.22109999999999985</v>
      </c>
      <c r="F82" s="38">
        <f>+E82</f>
        <v>-0.22109999999999985</v>
      </c>
      <c r="G82" s="39">
        <f>ROUND(D82*E82,2)+0.01</f>
        <v>-3776.6</v>
      </c>
      <c r="H82" s="37"/>
      <c r="I82" s="409"/>
      <c r="J82" s="409"/>
      <c r="K82" s="408"/>
      <c r="L82" s="404"/>
      <c r="M82" s="102"/>
      <c r="N82" s="405"/>
      <c r="O82" s="406"/>
      <c r="P82" s="406"/>
      <c r="Q82" s="407"/>
      <c r="R82" s="397"/>
      <c r="S82" s="398"/>
      <c r="T82" s="399"/>
    </row>
    <row r="83" spans="1:20" s="81" customFormat="1" ht="15" customHeight="1">
      <c r="A83" s="736"/>
      <c r="B83" s="83"/>
      <c r="C83" s="48" t="s">
        <v>144</v>
      </c>
      <c r="D83" s="37">
        <v>39</v>
      </c>
      <c r="E83" s="41">
        <v>6.0907999999999998</v>
      </c>
      <c r="F83" s="41">
        <f>+E83</f>
        <v>6.0907999999999998</v>
      </c>
      <c r="G83" s="39">
        <f>ROUND(D83*E83,2)</f>
        <v>237.54</v>
      </c>
      <c r="H83" s="37"/>
      <c r="I83" s="409"/>
      <c r="J83" s="409"/>
      <c r="K83" s="410"/>
      <c r="L83" s="404"/>
      <c r="M83" s="102"/>
      <c r="N83" s="405"/>
      <c r="O83" s="406"/>
      <c r="P83" s="406"/>
      <c r="Q83" s="407"/>
      <c r="R83" s="397"/>
      <c r="S83" s="398"/>
      <c r="T83" s="399"/>
    </row>
    <row r="84" spans="1:20" s="81" customFormat="1" ht="15.75" customHeight="1" thickBot="1">
      <c r="A84" s="737"/>
      <c r="B84" s="412"/>
      <c r="C84" s="99" t="s">
        <v>29</v>
      </c>
      <c r="D84" s="413">
        <v>16293</v>
      </c>
      <c r="E84" s="56">
        <v>6.0907999999999998</v>
      </c>
      <c r="F84" s="370">
        <f>+E84</f>
        <v>6.0907999999999998</v>
      </c>
      <c r="G84" s="414">
        <f>ROUND(D84*E84,2)</f>
        <v>99237.4</v>
      </c>
      <c r="H84" s="248"/>
      <c r="I84" s="60"/>
      <c r="J84" s="60"/>
      <c r="K84" s="203"/>
      <c r="L84" s="204"/>
      <c r="M84" s="371"/>
      <c r="N84" s="415"/>
      <c r="O84" s="416"/>
      <c r="P84" s="416" t="s">
        <v>68</v>
      </c>
      <c r="Q84" s="417">
        <f>+G84+J84-M84-N84-O84</f>
        <v>99237.4</v>
      </c>
      <c r="R84" s="418" t="s">
        <v>69</v>
      </c>
      <c r="S84" s="419">
        <f>SUM(O75:O84)</f>
        <v>0</v>
      </c>
      <c r="T84" s="419">
        <f>SUM(Q75:Q84)</f>
        <v>3539.0599999999977</v>
      </c>
    </row>
    <row r="85" spans="1:20" s="81" customFormat="1" ht="15.75" customHeight="1">
      <c r="A85" s="735"/>
      <c r="B85" s="420" t="s">
        <v>72</v>
      </c>
      <c r="C85" s="377" t="s">
        <v>73</v>
      </c>
      <c r="D85" s="378">
        <v>166</v>
      </c>
      <c r="E85" s="21">
        <v>32.332000000000001</v>
      </c>
      <c r="F85" s="21">
        <v>37.889800000000001</v>
      </c>
      <c r="G85" s="22">
        <f>+D85*(E85+F85)</f>
        <v>11656.818800000001</v>
      </c>
      <c r="H85" s="303"/>
      <c r="I85" s="23"/>
      <c r="J85" s="341"/>
      <c r="K85" s="342"/>
      <c r="L85" s="263">
        <f>SUM(G85:G89,J85:J89)</f>
        <v>183944.47880000001</v>
      </c>
      <c r="M85" s="26">
        <v>183944.48</v>
      </c>
      <c r="N85" s="421"/>
      <c r="O85" s="77"/>
      <c r="P85" s="77"/>
      <c r="Q85" s="384"/>
      <c r="R85" s="422"/>
      <c r="S85" s="399"/>
      <c r="T85" s="399"/>
    </row>
    <row r="86" spans="1:20" s="81" customFormat="1" ht="15.75" customHeight="1">
      <c r="A86" s="736"/>
      <c r="B86" s="83"/>
      <c r="C86" s="84" t="s">
        <v>26</v>
      </c>
      <c r="D86" s="37">
        <v>0</v>
      </c>
      <c r="E86" s="38">
        <f>32.332-28.8628</f>
        <v>3.4692000000000007</v>
      </c>
      <c r="F86" s="38">
        <f>37.8898-33.8306</f>
        <v>4.0592000000000041</v>
      </c>
      <c r="G86" s="39">
        <f>ROUND(D86*(E86+F86),2)</f>
        <v>0</v>
      </c>
      <c r="H86" s="270"/>
      <c r="I86" s="41"/>
      <c r="J86" s="41"/>
      <c r="K86" s="271"/>
      <c r="L86" s="272"/>
      <c r="M86" s="102"/>
      <c r="N86" s="423"/>
      <c r="O86" s="406"/>
      <c r="P86" s="406"/>
      <c r="Q86" s="424"/>
      <c r="R86" s="422"/>
      <c r="S86" s="399"/>
      <c r="T86" s="399"/>
    </row>
    <row r="87" spans="1:20" s="81" customFormat="1" ht="15.75" customHeight="1">
      <c r="A87" s="736"/>
      <c r="B87" s="83"/>
      <c r="C87" s="48" t="s">
        <v>143</v>
      </c>
      <c r="D87" s="37">
        <v>34282</v>
      </c>
      <c r="E87" s="41">
        <f>6.0908-6.3119</f>
        <v>-0.22109999999999985</v>
      </c>
      <c r="F87" s="38"/>
      <c r="G87" s="39">
        <f>ROUND(D87*(E87),2)-0.01</f>
        <v>-7579.76</v>
      </c>
      <c r="H87" s="270"/>
      <c r="I87" s="41"/>
      <c r="J87" s="41"/>
      <c r="K87" s="271"/>
      <c r="L87" s="272"/>
      <c r="M87" s="102"/>
      <c r="N87" s="423"/>
      <c r="O87" s="406"/>
      <c r="P87" s="406"/>
      <c r="Q87" s="424"/>
      <c r="R87" s="422"/>
      <c r="S87" s="399"/>
      <c r="T87" s="399"/>
    </row>
    <row r="88" spans="1:20" s="81" customFormat="1" ht="15.75" customHeight="1">
      <c r="A88" s="736"/>
      <c r="B88" s="83"/>
      <c r="C88" s="48" t="s">
        <v>144</v>
      </c>
      <c r="D88" s="37">
        <v>71</v>
      </c>
      <c r="E88" s="41">
        <v>6.0907999999999998</v>
      </c>
      <c r="F88" s="38"/>
      <c r="G88" s="39">
        <f>ROUND(D88*(E88),2)</f>
        <v>432.45</v>
      </c>
      <c r="H88" s="270"/>
      <c r="I88" s="41"/>
      <c r="J88" s="41"/>
      <c r="K88" s="271"/>
      <c r="L88" s="272"/>
      <c r="M88" s="102"/>
      <c r="N88" s="423"/>
      <c r="O88" s="406"/>
      <c r="P88" s="406"/>
      <c r="Q88" s="425"/>
      <c r="R88" s="422"/>
      <c r="S88" s="399"/>
      <c r="T88" s="399"/>
    </row>
    <row r="89" spans="1:20" s="81" customFormat="1" ht="15.75" customHeight="1" thickBot="1">
      <c r="A89" s="737"/>
      <c r="B89" s="412"/>
      <c r="C89" s="99" t="s">
        <v>29</v>
      </c>
      <c r="D89" s="413">
        <v>29460</v>
      </c>
      <c r="E89" s="56">
        <v>6.0907999999999998</v>
      </c>
      <c r="F89" s="281"/>
      <c r="G89" s="414">
        <f>ROUND(D89*(E89),2)</f>
        <v>179434.97</v>
      </c>
      <c r="H89" s="280"/>
      <c r="I89" s="281"/>
      <c r="J89" s="281"/>
      <c r="K89" s="282"/>
      <c r="L89" s="204"/>
      <c r="M89" s="371"/>
      <c r="N89" s="426"/>
      <c r="O89" s="416"/>
      <c r="P89" s="416"/>
      <c r="Q89" s="417"/>
      <c r="R89" s="422"/>
      <c r="S89" s="399"/>
      <c r="T89" s="399"/>
    </row>
    <row r="90" spans="1:20" s="81" customFormat="1" ht="15.75" customHeight="1">
      <c r="A90" s="735"/>
      <c r="B90" s="427" t="s">
        <v>74</v>
      </c>
      <c r="C90" s="377" t="s">
        <v>73</v>
      </c>
      <c r="D90" s="378">
        <v>11</v>
      </c>
      <c r="E90" s="21">
        <v>32.332000000000001</v>
      </c>
      <c r="F90" s="21">
        <v>37.889800000000001</v>
      </c>
      <c r="G90" s="22">
        <f>ROUND(D90*(E90+F90),2)</f>
        <v>772.44</v>
      </c>
      <c r="H90" s="303"/>
      <c r="I90" s="23"/>
      <c r="J90" s="23">
        <v>0</v>
      </c>
      <c r="K90" s="342"/>
      <c r="L90" s="263">
        <f>SUM(G90:G96,J90:J96)</f>
        <v>16555.93</v>
      </c>
      <c r="M90" s="26">
        <v>16555.93</v>
      </c>
      <c r="N90" s="421"/>
      <c r="O90" s="77"/>
      <c r="P90" s="77"/>
      <c r="Q90" s="384"/>
      <c r="R90" s="422"/>
      <c r="S90" s="399"/>
      <c r="T90" s="399"/>
    </row>
    <row r="91" spans="1:20" s="81" customFormat="1" ht="15.75" customHeight="1">
      <c r="A91" s="736"/>
      <c r="B91" s="98" t="s">
        <v>75</v>
      </c>
      <c r="C91" s="84" t="s">
        <v>26</v>
      </c>
      <c r="D91" s="37"/>
      <c r="E91" s="38">
        <f>32.332-28.8628</f>
        <v>3.4692000000000007</v>
      </c>
      <c r="F91" s="38">
        <f>37.8898-33.8306</f>
        <v>4.0592000000000041</v>
      </c>
      <c r="G91" s="39">
        <f>ROUND(D91*(E91+F91),2)</f>
        <v>0</v>
      </c>
      <c r="H91" s="270"/>
      <c r="I91" s="41"/>
      <c r="J91" s="41"/>
      <c r="K91" s="354"/>
      <c r="L91" s="272"/>
      <c r="M91" s="102"/>
      <c r="N91" s="423"/>
      <c r="O91" s="406"/>
      <c r="P91" s="406"/>
      <c r="Q91" s="424"/>
      <c r="R91" s="422"/>
      <c r="S91" s="399"/>
      <c r="T91" s="399"/>
    </row>
    <row r="92" spans="1:20" s="81" customFormat="1" ht="15.75" customHeight="1">
      <c r="A92" s="736"/>
      <c r="B92" s="83"/>
      <c r="C92" s="99" t="s">
        <v>33</v>
      </c>
      <c r="D92" s="428">
        <v>4</v>
      </c>
      <c r="E92" s="101">
        <v>291.8</v>
      </c>
      <c r="F92" s="38">
        <v>37.889800000000001</v>
      </c>
      <c r="G92" s="39">
        <f>ROUND(D92*(E92+F92),2)</f>
        <v>1318.76</v>
      </c>
      <c r="H92" s="270"/>
      <c r="I92" s="41"/>
      <c r="J92" s="41"/>
      <c r="K92" s="271"/>
      <c r="L92" s="272"/>
      <c r="M92" s="102"/>
      <c r="N92" s="423"/>
      <c r="O92" s="406"/>
      <c r="P92" s="406"/>
      <c r="Q92" s="424"/>
      <c r="R92" s="422"/>
      <c r="S92" s="399"/>
      <c r="T92" s="399"/>
    </row>
    <row r="93" spans="1:20" s="81" customFormat="1" ht="15.75" customHeight="1">
      <c r="A93" s="736"/>
      <c r="B93" s="83"/>
      <c r="C93" s="48" t="s">
        <v>76</v>
      </c>
      <c r="D93" s="37"/>
      <c r="E93" s="41">
        <f>291.8-352.37</f>
        <v>-60.569999999999993</v>
      </c>
      <c r="F93" s="38"/>
      <c r="G93" s="39">
        <f>ROUND(D93*(E93+F93),2)</f>
        <v>0</v>
      </c>
      <c r="H93" s="270"/>
      <c r="I93" s="41"/>
      <c r="J93" s="41"/>
      <c r="K93" s="271"/>
      <c r="L93" s="272"/>
      <c r="M93" s="102"/>
      <c r="N93" s="423"/>
      <c r="O93" s="406"/>
      <c r="P93" s="406"/>
      <c r="Q93" s="424"/>
      <c r="R93" s="422"/>
      <c r="S93" s="399"/>
      <c r="T93" s="399"/>
    </row>
    <row r="94" spans="1:20" s="81" customFormat="1" ht="15.75" customHeight="1">
      <c r="A94" s="736"/>
      <c r="B94" s="83"/>
      <c r="C94" s="48" t="s">
        <v>143</v>
      </c>
      <c r="D94" s="37">
        <v>2566.1</v>
      </c>
      <c r="E94" s="41">
        <f>6.0908-6.3119</f>
        <v>-0.22109999999999985</v>
      </c>
      <c r="F94" s="38"/>
      <c r="G94" s="39">
        <f>ROUND(D94*(E94+F94),2)</f>
        <v>-567.36</v>
      </c>
      <c r="H94" s="270"/>
      <c r="I94" s="41"/>
      <c r="J94" s="41"/>
      <c r="K94" s="271"/>
      <c r="L94" s="272"/>
      <c r="M94" s="102"/>
      <c r="N94" s="423"/>
      <c r="O94" s="406"/>
      <c r="P94" s="406"/>
      <c r="Q94" s="424"/>
      <c r="R94" s="422"/>
      <c r="S94" s="399"/>
      <c r="T94" s="399"/>
    </row>
    <row r="95" spans="1:20" s="81" customFormat="1" ht="15.75" customHeight="1">
      <c r="A95" s="736"/>
      <c r="B95" s="83"/>
      <c r="C95" s="48" t="s">
        <v>144</v>
      </c>
      <c r="D95" s="37">
        <v>6</v>
      </c>
      <c r="E95" s="41">
        <v>6.0907999999999998</v>
      </c>
      <c r="F95" s="38"/>
      <c r="G95" s="39">
        <f>ROUND(D95*E95,2)</f>
        <v>36.54</v>
      </c>
      <c r="H95" s="270"/>
      <c r="I95" s="41"/>
      <c r="J95" s="41"/>
      <c r="K95" s="271"/>
      <c r="L95" s="272"/>
      <c r="M95" s="102"/>
      <c r="N95" s="423"/>
      <c r="O95" s="406"/>
      <c r="P95" s="406"/>
      <c r="Q95" s="425"/>
      <c r="R95" s="422"/>
      <c r="S95" s="399"/>
      <c r="T95" s="399"/>
    </row>
    <row r="96" spans="1:20" s="81" customFormat="1" ht="15" customHeight="1" thickBot="1">
      <c r="A96" s="737"/>
      <c r="B96" s="412"/>
      <c r="C96" s="99" t="s">
        <v>29</v>
      </c>
      <c r="D96" s="413">
        <v>2462</v>
      </c>
      <c r="E96" s="56">
        <v>6.0907999999999998</v>
      </c>
      <c r="F96" s="281"/>
      <c r="G96" s="414">
        <f t="shared" ref="G96:G103" si="10">ROUND(D96*(E96+F96),2)</f>
        <v>14995.55</v>
      </c>
      <c r="H96" s="280"/>
      <c r="I96" s="281"/>
      <c r="J96" s="281"/>
      <c r="K96" s="282"/>
      <c r="L96" s="204"/>
      <c r="M96" s="371"/>
      <c r="N96" s="426"/>
      <c r="O96" s="416"/>
      <c r="P96" s="416"/>
      <c r="Q96" s="417"/>
      <c r="R96" s="422"/>
      <c r="S96" s="399"/>
      <c r="T96" s="399"/>
    </row>
    <row r="97" spans="1:20" s="81" customFormat="1" ht="15" customHeight="1">
      <c r="A97" s="735"/>
      <c r="B97" s="420" t="s">
        <v>77</v>
      </c>
      <c r="C97" s="377" t="s">
        <v>73</v>
      </c>
      <c r="D97" s="378">
        <v>5</v>
      </c>
      <c r="E97" s="21">
        <v>32.332000000000001</v>
      </c>
      <c r="F97" s="21">
        <v>37.889800000000001</v>
      </c>
      <c r="G97" s="22">
        <f t="shared" si="10"/>
        <v>351.11</v>
      </c>
      <c r="H97" s="303"/>
      <c r="I97" s="23">
        <v>183.82</v>
      </c>
      <c r="J97" s="381">
        <f>H97*I97</f>
        <v>0</v>
      </c>
      <c r="K97" s="342"/>
      <c r="L97" s="382">
        <f>+SUM(G97:G103,J97:J103)</f>
        <v>5139.87</v>
      </c>
      <c r="M97" s="26">
        <v>5139.87</v>
      </c>
      <c r="N97" s="421"/>
      <c r="O97" s="77"/>
      <c r="P97" s="77"/>
      <c r="Q97" s="384"/>
      <c r="R97" s="422"/>
      <c r="S97" s="399"/>
      <c r="T97" s="399"/>
    </row>
    <row r="98" spans="1:20" s="81" customFormat="1" ht="15" customHeight="1">
      <c r="A98" s="736"/>
      <c r="B98" s="83"/>
      <c r="C98" s="84" t="s">
        <v>26</v>
      </c>
      <c r="D98" s="37"/>
      <c r="E98" s="38">
        <v>3.4692000000000007</v>
      </c>
      <c r="F98" s="38"/>
      <c r="G98" s="39">
        <f t="shared" si="10"/>
        <v>0</v>
      </c>
      <c r="H98" s="270"/>
      <c r="I98" s="41"/>
      <c r="J98" s="402"/>
      <c r="K98" s="354"/>
      <c r="L98" s="429"/>
      <c r="M98" s="102"/>
      <c r="N98" s="430"/>
      <c r="O98" s="431"/>
      <c r="P98" s="431"/>
      <c r="Q98" s="424"/>
      <c r="R98" s="422"/>
      <c r="S98" s="399"/>
      <c r="T98" s="399"/>
    </row>
    <row r="99" spans="1:20" s="81" customFormat="1" ht="15" customHeight="1">
      <c r="A99" s="736"/>
      <c r="B99" s="98" t="s">
        <v>32</v>
      </c>
      <c r="C99" s="99" t="s">
        <v>33</v>
      </c>
      <c r="D99" s="37">
        <v>6</v>
      </c>
      <c r="E99" s="101">
        <v>291.8</v>
      </c>
      <c r="F99" s="38">
        <v>37.889800000000001</v>
      </c>
      <c r="G99" s="39">
        <f t="shared" si="10"/>
        <v>1978.14</v>
      </c>
      <c r="H99" s="270"/>
      <c r="I99" s="41"/>
      <c r="J99" s="41"/>
      <c r="K99" s="271"/>
      <c r="L99" s="272"/>
      <c r="M99" s="102"/>
      <c r="N99" s="430"/>
      <c r="O99" s="431"/>
      <c r="P99" s="431"/>
      <c r="Q99" s="424"/>
      <c r="R99" s="422"/>
      <c r="S99" s="399"/>
      <c r="T99" s="399"/>
    </row>
    <row r="100" spans="1:20" s="81" customFormat="1" ht="15" customHeight="1">
      <c r="A100" s="736"/>
      <c r="B100" s="83"/>
      <c r="C100" s="48" t="s">
        <v>78</v>
      </c>
      <c r="D100" s="37"/>
      <c r="E100" s="41">
        <f>291.8-352.37</f>
        <v>-60.569999999999993</v>
      </c>
      <c r="F100" s="38"/>
      <c r="G100" s="39">
        <f>ROUND(D100*(E100+F100),2)</f>
        <v>0</v>
      </c>
      <c r="H100" s="270"/>
      <c r="I100" s="41"/>
      <c r="J100" s="41"/>
      <c r="K100" s="271"/>
      <c r="L100" s="272"/>
      <c r="M100" s="102"/>
      <c r="N100" s="430"/>
      <c r="O100" s="431"/>
      <c r="P100" s="431"/>
      <c r="Q100" s="424"/>
      <c r="R100" s="422"/>
      <c r="S100" s="399"/>
      <c r="T100" s="399"/>
    </row>
    <row r="101" spans="1:20" s="81" customFormat="1" ht="15" customHeight="1">
      <c r="A101" s="736"/>
      <c r="B101" s="83"/>
      <c r="C101" s="48" t="s">
        <v>143</v>
      </c>
      <c r="D101" s="37">
        <v>320.8</v>
      </c>
      <c r="E101" s="41">
        <f>6.0908-6.3119</f>
        <v>-0.22109999999999985</v>
      </c>
      <c r="F101" s="38"/>
      <c r="G101" s="39">
        <f>ROUND(D101*(E101+F101),2)-0.01</f>
        <v>-70.940000000000012</v>
      </c>
      <c r="H101" s="270"/>
      <c r="I101" s="41"/>
      <c r="J101" s="41"/>
      <c r="K101" s="271"/>
      <c r="L101" s="272"/>
      <c r="M101" s="102"/>
      <c r="N101" s="430"/>
      <c r="O101" s="431"/>
      <c r="P101" s="431"/>
      <c r="Q101" s="424"/>
      <c r="R101" s="422"/>
      <c r="S101" s="399"/>
      <c r="T101" s="399"/>
    </row>
    <row r="102" spans="1:20" s="81" customFormat="1" ht="15" customHeight="1">
      <c r="A102" s="736"/>
      <c r="B102" s="83"/>
      <c r="C102" s="48" t="s">
        <v>144</v>
      </c>
      <c r="D102" s="37">
        <v>1.1000000000000001</v>
      </c>
      <c r="E102" s="41">
        <v>6.0907999999999998</v>
      </c>
      <c r="F102" s="38"/>
      <c r="G102" s="39">
        <f t="shared" si="10"/>
        <v>6.7</v>
      </c>
      <c r="H102" s="432"/>
      <c r="I102" s="207"/>
      <c r="J102" s="207"/>
      <c r="K102" s="362"/>
      <c r="L102" s="433"/>
      <c r="M102" s="63"/>
      <c r="N102" s="434"/>
      <c r="O102" s="435"/>
      <c r="P102" s="435"/>
      <c r="Q102" s="425"/>
      <c r="R102" s="422"/>
      <c r="S102" s="399"/>
      <c r="T102" s="399"/>
    </row>
    <row r="103" spans="1:20" s="81" customFormat="1" ht="15" customHeight="1" thickBot="1">
      <c r="A103" s="737"/>
      <c r="B103" s="412"/>
      <c r="C103" s="99" t="s">
        <v>29</v>
      </c>
      <c r="D103" s="413">
        <v>472</v>
      </c>
      <c r="E103" s="56">
        <v>6.0907999999999998</v>
      </c>
      <c r="F103" s="281"/>
      <c r="G103" s="414">
        <f t="shared" si="10"/>
        <v>2874.86</v>
      </c>
      <c r="H103" s="280"/>
      <c r="I103" s="281"/>
      <c r="J103" s="281"/>
      <c r="K103" s="282"/>
      <c r="L103" s="204"/>
      <c r="M103" s="371"/>
      <c r="N103" s="426"/>
      <c r="O103" s="416"/>
      <c r="P103" s="416"/>
      <c r="Q103" s="417"/>
      <c r="R103" s="436"/>
      <c r="S103" s="399"/>
      <c r="T103" s="399"/>
    </row>
    <row r="104" spans="1:20" s="81" customFormat="1" ht="15" customHeight="1">
      <c r="A104" s="738"/>
      <c r="B104" s="438" t="s">
        <v>38</v>
      </c>
      <c r="C104" s="439"/>
      <c r="D104" s="378"/>
      <c r="E104" s="23"/>
      <c r="F104" s="23"/>
      <c r="G104" s="22"/>
      <c r="H104" s="303"/>
      <c r="I104" s="23"/>
      <c r="J104" s="23"/>
      <c r="K104" s="304"/>
      <c r="L104" s="382">
        <f>+SUM(G104:G107,J104:J107)</f>
        <v>2418.1999999999998</v>
      </c>
      <c r="M104" s="26">
        <v>2418.1999999999998</v>
      </c>
      <c r="N104" s="421"/>
      <c r="O104" s="77"/>
      <c r="P104" s="77"/>
      <c r="Q104" s="77">
        <f>+L104-M104</f>
        <v>0</v>
      </c>
      <c r="R104" s="440"/>
      <c r="S104" s="399"/>
      <c r="T104" s="399"/>
    </row>
    <row r="105" spans="1:20" s="81" customFormat="1" ht="15" customHeight="1">
      <c r="A105" s="739"/>
      <c r="B105" s="442"/>
      <c r="C105" s="48" t="s">
        <v>143</v>
      </c>
      <c r="D105" s="37">
        <v>440.1</v>
      </c>
      <c r="E105" s="41">
        <f>6.0908-6.3119</f>
        <v>-0.22109999999999985</v>
      </c>
      <c r="F105" s="41"/>
      <c r="G105" s="39">
        <f>ROUND(D105*E105,2)+0.01</f>
        <v>-97.3</v>
      </c>
      <c r="H105" s="260"/>
      <c r="I105" s="261"/>
      <c r="J105" s="261"/>
      <c r="K105" s="262"/>
      <c r="L105" s="394"/>
      <c r="M105" s="90"/>
      <c r="N105" s="443"/>
      <c r="O105" s="94"/>
      <c r="P105" s="94"/>
      <c r="Q105" s="94"/>
      <c r="R105" s="422"/>
      <c r="S105" s="399"/>
      <c r="T105" s="399"/>
    </row>
    <row r="106" spans="1:20" s="81" customFormat="1">
      <c r="A106" s="739"/>
      <c r="B106" s="444"/>
      <c r="C106" s="48" t="s">
        <v>144</v>
      </c>
      <c r="D106" s="37">
        <v>1</v>
      </c>
      <c r="E106" s="41">
        <v>6.0907999999999998</v>
      </c>
      <c r="F106" s="41"/>
      <c r="G106" s="39">
        <f t="shared" ref="G106:G116" si="11">ROUND(D106*E106,2)</f>
        <v>6.09</v>
      </c>
      <c r="H106" s="432"/>
      <c r="I106" s="207"/>
      <c r="J106" s="207"/>
      <c r="K106" s="362"/>
      <c r="L106" s="433"/>
      <c r="M106" s="63"/>
      <c r="N106" s="423"/>
      <c r="O106" s="406"/>
      <c r="P106" s="406"/>
      <c r="Q106" s="406"/>
      <c r="R106" s="422"/>
      <c r="S106" s="399"/>
      <c r="T106" s="399"/>
    </row>
    <row r="107" spans="1:20" s="81" customFormat="1" ht="15" customHeight="1" thickBot="1">
      <c r="A107" s="740"/>
      <c r="B107" s="446"/>
      <c r="C107" s="99" t="s">
        <v>29</v>
      </c>
      <c r="D107" s="413">
        <v>412</v>
      </c>
      <c r="E107" s="56">
        <v>6.0907999999999998</v>
      </c>
      <c r="F107" s="281"/>
      <c r="G107" s="414">
        <f t="shared" si="11"/>
        <v>2509.41</v>
      </c>
      <c r="H107" s="280"/>
      <c r="I107" s="281"/>
      <c r="J107" s="281"/>
      <c r="K107" s="282"/>
      <c r="L107" s="204"/>
      <c r="M107" s="371"/>
      <c r="N107" s="434"/>
      <c r="O107" s="435"/>
      <c r="P107" s="435"/>
      <c r="Q107" s="435"/>
      <c r="R107" s="422"/>
      <c r="S107" s="399"/>
      <c r="T107" s="399"/>
    </row>
    <row r="108" spans="1:20" s="81" customFormat="1" ht="15" customHeight="1">
      <c r="A108" s="738"/>
      <c r="B108" s="438" t="s">
        <v>122</v>
      </c>
      <c r="C108" s="439"/>
      <c r="D108" s="378"/>
      <c r="E108" s="23"/>
      <c r="F108" s="23"/>
      <c r="G108" s="22"/>
      <c r="H108" s="303"/>
      <c r="I108" s="23"/>
      <c r="J108" s="23"/>
      <c r="K108" s="304"/>
      <c r="L108" s="382">
        <f>+SUM(G108:G111,J108:J111)</f>
        <v>1285.08</v>
      </c>
      <c r="M108" s="26">
        <v>1285.08</v>
      </c>
      <c r="N108" s="421"/>
      <c r="O108" s="77"/>
      <c r="P108" s="77"/>
      <c r="Q108" s="77"/>
      <c r="R108" s="440"/>
      <c r="S108" s="399"/>
      <c r="T108" s="399"/>
    </row>
    <row r="109" spans="1:20" s="81" customFormat="1" ht="15" customHeight="1" thickBot="1">
      <c r="A109" s="739"/>
      <c r="B109" s="442"/>
      <c r="C109" s="48" t="s">
        <v>143</v>
      </c>
      <c r="D109" s="37">
        <v>207.5</v>
      </c>
      <c r="E109" s="41">
        <f>6.0908-6.3119</f>
        <v>-0.22109999999999985</v>
      </c>
      <c r="F109" s="41"/>
      <c r="G109" s="414">
        <f t="shared" si="11"/>
        <v>-45.88</v>
      </c>
      <c r="H109" s="260"/>
      <c r="I109" s="261"/>
      <c r="J109" s="261"/>
      <c r="K109" s="262"/>
      <c r="L109" s="394"/>
      <c r="M109" s="90"/>
      <c r="N109" s="443"/>
      <c r="O109" s="94"/>
      <c r="P109" s="94"/>
      <c r="Q109" s="94"/>
      <c r="R109" s="422"/>
      <c r="S109" s="399"/>
      <c r="T109" s="399"/>
    </row>
    <row r="110" spans="1:20" s="81" customFormat="1" ht="15" customHeight="1" thickBot="1">
      <c r="A110" s="739"/>
      <c r="B110" s="444"/>
      <c r="C110" s="48" t="s">
        <v>144</v>
      </c>
      <c r="D110" s="37">
        <v>0.52</v>
      </c>
      <c r="E110" s="41">
        <v>6.0907999999999998</v>
      </c>
      <c r="F110" s="41"/>
      <c r="G110" s="414">
        <f t="shared" si="11"/>
        <v>3.17</v>
      </c>
      <c r="H110" s="432"/>
      <c r="I110" s="207"/>
      <c r="J110" s="207"/>
      <c r="K110" s="362"/>
      <c r="L110" s="433"/>
      <c r="M110" s="63"/>
      <c r="N110" s="423"/>
      <c r="O110" s="406"/>
      <c r="P110" s="406"/>
      <c r="Q110" s="406"/>
      <c r="R110" s="422"/>
      <c r="S110" s="399"/>
      <c r="T110" s="399"/>
    </row>
    <row r="111" spans="1:20" s="81" customFormat="1" ht="15" customHeight="1" thickBot="1">
      <c r="A111" s="740"/>
      <c r="B111" s="446"/>
      <c r="C111" s="99" t="s">
        <v>29</v>
      </c>
      <c r="D111" s="413">
        <v>218</v>
      </c>
      <c r="E111" s="56">
        <v>6.0907999999999998</v>
      </c>
      <c r="F111" s="281"/>
      <c r="G111" s="414">
        <f t="shared" si="11"/>
        <v>1327.79</v>
      </c>
      <c r="H111" s="280"/>
      <c r="I111" s="281"/>
      <c r="J111" s="281"/>
      <c r="K111" s="282"/>
      <c r="L111" s="204"/>
      <c r="M111" s="371"/>
      <c r="N111" s="434"/>
      <c r="O111" s="435"/>
      <c r="P111" s="435"/>
      <c r="Q111" s="435"/>
      <c r="R111" s="422"/>
      <c r="S111" s="399"/>
      <c r="T111" s="399"/>
    </row>
    <row r="112" spans="1:20" s="81" customFormat="1" ht="15" customHeight="1">
      <c r="A112" s="741"/>
      <c r="B112" s="438" t="s">
        <v>79</v>
      </c>
      <c r="C112" s="48" t="s">
        <v>143</v>
      </c>
      <c r="D112" s="448">
        <v>5272</v>
      </c>
      <c r="E112" s="41">
        <f>6.0908-6.3119</f>
        <v>-0.22109999999999985</v>
      </c>
      <c r="F112" s="261"/>
      <c r="G112" s="449">
        <f>ROUND(D112*E112,2)+0.01</f>
        <v>-1165.6300000000001</v>
      </c>
      <c r="H112" s="303"/>
      <c r="I112" s="23"/>
      <c r="J112" s="23"/>
      <c r="K112" s="304"/>
      <c r="L112" s="263">
        <f>SUM(G112:G114)</f>
        <v>27869.21</v>
      </c>
      <c r="M112" s="26">
        <v>27869.21</v>
      </c>
      <c r="N112" s="421"/>
      <c r="O112" s="77"/>
      <c r="P112" s="77"/>
      <c r="Q112" s="384"/>
      <c r="R112" s="422"/>
      <c r="S112" s="399"/>
      <c r="T112" s="399"/>
    </row>
    <row r="113" spans="1:20" s="81" customFormat="1" ht="15" customHeight="1">
      <c r="A113" s="742"/>
      <c r="B113" s="442"/>
      <c r="C113" s="48" t="s">
        <v>144</v>
      </c>
      <c r="D113" s="448">
        <v>11</v>
      </c>
      <c r="E113" s="41">
        <v>6.0907999999999998</v>
      </c>
      <c r="F113" s="261"/>
      <c r="G113" s="449">
        <f t="shared" si="11"/>
        <v>67</v>
      </c>
      <c r="H113" s="260"/>
      <c r="I113" s="261"/>
      <c r="J113" s="261"/>
      <c r="K113" s="262"/>
      <c r="L113" s="286"/>
      <c r="M113" s="90"/>
      <c r="N113" s="423"/>
      <c r="O113" s="406"/>
      <c r="P113" s="406"/>
      <c r="Q113" s="407"/>
      <c r="R113" s="422"/>
      <c r="S113" s="399"/>
      <c r="T113" s="399"/>
    </row>
    <row r="114" spans="1:20" s="81" customFormat="1" ht="15" customHeight="1" thickBot="1">
      <c r="A114" s="743"/>
      <c r="B114" s="446"/>
      <c r="C114" s="99" t="s">
        <v>29</v>
      </c>
      <c r="D114" s="452">
        <v>4756</v>
      </c>
      <c r="E114" s="56">
        <v>6.0907999999999998</v>
      </c>
      <c r="F114" s="207"/>
      <c r="G114" s="453">
        <f t="shared" si="11"/>
        <v>28967.84</v>
      </c>
      <c r="H114" s="280"/>
      <c r="I114" s="281"/>
      <c r="J114" s="281"/>
      <c r="K114" s="282"/>
      <c r="L114" s="204"/>
      <c r="M114" s="371"/>
      <c r="N114" s="426"/>
      <c r="O114" s="416"/>
      <c r="P114" s="416"/>
      <c r="Q114" s="417"/>
      <c r="R114" s="422"/>
      <c r="S114" s="399"/>
      <c r="T114" s="399"/>
    </row>
    <row r="115" spans="1:20" s="81" customFormat="1" ht="15" customHeight="1">
      <c r="A115" s="741"/>
      <c r="B115" s="438" t="s">
        <v>80</v>
      </c>
      <c r="C115" s="48" t="s">
        <v>144</v>
      </c>
      <c r="D115" s="378">
        <v>7.9</v>
      </c>
      <c r="E115" s="454">
        <v>6.0829000000000004</v>
      </c>
      <c r="F115" s="23"/>
      <c r="G115" s="22">
        <f>ROUND(D115*E115,2)+0.01</f>
        <v>48.059999999999995</v>
      </c>
      <c r="H115" s="303"/>
      <c r="I115" s="23"/>
      <c r="J115" s="23"/>
      <c r="K115" s="304"/>
      <c r="L115" s="263">
        <f>SUM(G115:G116)</f>
        <v>19957.390000000003</v>
      </c>
      <c r="M115" s="26">
        <v>19957.39</v>
      </c>
      <c r="N115" s="421"/>
      <c r="O115" s="77"/>
      <c r="P115" s="77"/>
      <c r="Q115" s="384"/>
      <c r="R115" s="422" t="s">
        <v>81</v>
      </c>
      <c r="S115" s="399"/>
      <c r="T115" s="399"/>
    </row>
    <row r="116" spans="1:20" s="81" customFormat="1" ht="15" customHeight="1">
      <c r="A116" s="742"/>
      <c r="B116" s="442"/>
      <c r="C116" s="48" t="s">
        <v>146</v>
      </c>
      <c r="D116" s="37">
        <v>3273</v>
      </c>
      <c r="E116" s="455">
        <v>6.0829000000000004</v>
      </c>
      <c r="F116" s="41"/>
      <c r="G116" s="39">
        <f t="shared" si="11"/>
        <v>19909.330000000002</v>
      </c>
      <c r="H116" s="270"/>
      <c r="I116" s="41"/>
      <c r="J116" s="41"/>
      <c r="K116" s="271"/>
      <c r="L116" s="272"/>
      <c r="M116" s="102"/>
      <c r="N116" s="423"/>
      <c r="O116" s="406"/>
      <c r="P116" s="406"/>
      <c r="Q116" s="407"/>
      <c r="R116" s="422"/>
      <c r="S116" s="399"/>
      <c r="T116" s="399"/>
    </row>
    <row r="117" spans="1:20" s="81" customFormat="1" ht="15" customHeight="1" thickBot="1">
      <c r="A117" s="743"/>
      <c r="B117" s="446"/>
      <c r="C117" s="456"/>
      <c r="D117" s="413"/>
      <c r="E117" s="281"/>
      <c r="F117" s="281"/>
      <c r="G117" s="414"/>
      <c r="H117" s="280"/>
      <c r="I117" s="281"/>
      <c r="J117" s="281"/>
      <c r="K117" s="282"/>
      <c r="L117" s="204"/>
      <c r="M117" s="371"/>
      <c r="N117" s="426"/>
      <c r="O117" s="416"/>
      <c r="P117" s="416"/>
      <c r="Q117" s="417"/>
      <c r="R117" s="422"/>
      <c r="S117" s="399"/>
      <c r="T117" s="399"/>
    </row>
    <row r="118" spans="1:20" s="81" customFormat="1" ht="15" customHeight="1">
      <c r="A118" s="738"/>
      <c r="B118" s="438" t="s">
        <v>82</v>
      </c>
      <c r="C118" s="377" t="s">
        <v>73</v>
      </c>
      <c r="D118" s="378">
        <v>21</v>
      </c>
      <c r="E118" s="21">
        <v>32.332000000000001</v>
      </c>
      <c r="F118" s="21">
        <v>37.889800000000001</v>
      </c>
      <c r="G118" s="22">
        <f>+D118*(E118+F118)</f>
        <v>1474.6578</v>
      </c>
      <c r="H118" s="303"/>
      <c r="I118" s="23"/>
      <c r="J118" s="341"/>
      <c r="K118" s="342"/>
      <c r="L118" s="263">
        <f>SUM(G118:G122,J118:J122)</f>
        <v>72405.587799999994</v>
      </c>
      <c r="M118" s="26">
        <v>72405.59</v>
      </c>
      <c r="N118" s="421"/>
      <c r="O118" s="77"/>
      <c r="P118" s="77"/>
      <c r="Q118" s="384"/>
      <c r="R118" s="422"/>
      <c r="S118" s="399"/>
      <c r="T118" s="399"/>
    </row>
    <row r="119" spans="1:20" s="81" customFormat="1" ht="15" customHeight="1">
      <c r="A119" s="739"/>
      <c r="B119" s="442"/>
      <c r="C119" s="36" t="s">
        <v>26</v>
      </c>
      <c r="D119" s="37">
        <v>0</v>
      </c>
      <c r="E119" s="38">
        <v>3.4692000000000007</v>
      </c>
      <c r="F119" s="38">
        <f>37.8898-33.8306</f>
        <v>4.0592000000000041</v>
      </c>
      <c r="G119" s="39">
        <f>ROUND(D119*(E119+F119),2)</f>
        <v>0</v>
      </c>
      <c r="H119" s="457"/>
      <c r="I119" s="199"/>
      <c r="J119" s="199"/>
      <c r="K119" s="458"/>
      <c r="L119" s="459"/>
      <c r="M119" s="44"/>
      <c r="N119" s="430"/>
      <c r="O119" s="431"/>
      <c r="P119" s="431"/>
      <c r="Q119" s="424"/>
      <c r="R119" s="422"/>
      <c r="S119" s="399"/>
      <c r="T119" s="399"/>
    </row>
    <row r="120" spans="1:20" s="81" customFormat="1" ht="15" customHeight="1">
      <c r="A120" s="739"/>
      <c r="B120" s="442"/>
      <c r="C120" s="48" t="s">
        <v>143</v>
      </c>
      <c r="D120" s="37">
        <v>12160</v>
      </c>
      <c r="E120" s="41">
        <f>6.0908-6.3119</f>
        <v>-0.22109999999999985</v>
      </c>
      <c r="F120" s="38"/>
      <c r="G120" s="39">
        <f>ROUND(D120*(E120),2)+0.01</f>
        <v>-2688.5699999999997</v>
      </c>
      <c r="H120" s="270"/>
      <c r="I120" s="41"/>
      <c r="J120" s="41"/>
      <c r="K120" s="271"/>
      <c r="L120" s="272"/>
      <c r="M120" s="102"/>
      <c r="N120" s="430"/>
      <c r="O120" s="431"/>
      <c r="P120" s="431"/>
      <c r="Q120" s="424"/>
      <c r="R120" s="422"/>
      <c r="S120" s="399"/>
      <c r="T120" s="399"/>
    </row>
    <row r="121" spans="1:20" s="81" customFormat="1" ht="15" customHeight="1">
      <c r="A121" s="739"/>
      <c r="B121" s="442"/>
      <c r="C121" s="48" t="s">
        <v>144</v>
      </c>
      <c r="D121" s="37">
        <v>29</v>
      </c>
      <c r="E121" s="41">
        <v>6.0907999999999998</v>
      </c>
      <c r="F121" s="38"/>
      <c r="G121" s="39">
        <f>ROUND(D121*(E121),2)</f>
        <v>176.63</v>
      </c>
      <c r="H121" s="270"/>
      <c r="I121" s="41"/>
      <c r="J121" s="41"/>
      <c r="K121" s="271"/>
      <c r="L121" s="272"/>
      <c r="M121" s="102"/>
      <c r="N121" s="434"/>
      <c r="O121" s="435"/>
      <c r="P121" s="435"/>
      <c r="Q121" s="425"/>
      <c r="R121" s="422"/>
      <c r="S121" s="399"/>
      <c r="T121" s="399"/>
    </row>
    <row r="122" spans="1:20" s="81" customFormat="1" ht="15" customHeight="1" thickBot="1">
      <c r="A122" s="744"/>
      <c r="B122" s="461"/>
      <c r="C122" s="99" t="s">
        <v>29</v>
      </c>
      <c r="D122" s="462">
        <v>12058</v>
      </c>
      <c r="E122" s="56">
        <v>6.0907999999999998</v>
      </c>
      <c r="F122" s="311"/>
      <c r="G122" s="110">
        <f>ROUND(D122*(E122),2)</f>
        <v>73442.87</v>
      </c>
      <c r="H122" s="310"/>
      <c r="I122" s="311"/>
      <c r="J122" s="311"/>
      <c r="K122" s="312"/>
      <c r="L122" s="313"/>
      <c r="M122" s="115"/>
      <c r="N122" s="463"/>
      <c r="O122" s="464"/>
      <c r="P122" s="464"/>
      <c r="Q122" s="465"/>
      <c r="R122" s="466"/>
      <c r="S122" s="467"/>
      <c r="T122" s="399"/>
    </row>
    <row r="123" spans="1:20" s="81" customFormat="1" ht="15" customHeight="1" thickTop="1">
      <c r="A123" s="738"/>
      <c r="B123" s="438" t="s">
        <v>83</v>
      </c>
      <c r="C123" s="377" t="s">
        <v>73</v>
      </c>
      <c r="D123" s="378">
        <v>1</v>
      </c>
      <c r="E123" s="21">
        <v>32.332000000000001</v>
      </c>
      <c r="F123" s="21">
        <v>37.889800000000001</v>
      </c>
      <c r="G123" s="22">
        <f>+D123*(E123+F123)</f>
        <v>70.221800000000002</v>
      </c>
      <c r="H123" s="303"/>
      <c r="I123" s="23"/>
      <c r="J123" s="341"/>
      <c r="K123" s="342"/>
      <c r="L123" s="263">
        <f>SUM(G123:G127,J123:J127)</f>
        <v>446.83179999999999</v>
      </c>
      <c r="M123" s="26">
        <v>446.83</v>
      </c>
      <c r="N123" s="421"/>
      <c r="O123" s="77"/>
      <c r="P123" s="77"/>
      <c r="Q123" s="384"/>
      <c r="R123" s="422"/>
      <c r="S123" s="399"/>
      <c r="T123" s="399"/>
    </row>
    <row r="124" spans="1:20" s="81" customFormat="1" ht="15" customHeight="1">
      <c r="A124" s="739"/>
      <c r="B124" s="442"/>
      <c r="C124" s="36" t="s">
        <v>26</v>
      </c>
      <c r="D124" s="37">
        <v>0</v>
      </c>
      <c r="E124" s="38">
        <v>3.4692000000000007</v>
      </c>
      <c r="F124" s="38">
        <f>37.8898-33.8306</f>
        <v>4.0592000000000041</v>
      </c>
      <c r="G124" s="39">
        <f>ROUND(D124*(E124+F124),2)</f>
        <v>0</v>
      </c>
      <c r="H124" s="457"/>
      <c r="I124" s="199"/>
      <c r="J124" s="199"/>
      <c r="K124" s="458"/>
      <c r="L124" s="459"/>
      <c r="M124" s="44"/>
      <c r="N124" s="430"/>
      <c r="O124" s="431"/>
      <c r="P124" s="431"/>
      <c r="Q124" s="424"/>
      <c r="R124" s="422"/>
      <c r="S124" s="399"/>
      <c r="T124" s="399"/>
    </row>
    <row r="125" spans="1:20" s="81" customFormat="1" ht="15" customHeight="1">
      <c r="A125" s="739"/>
      <c r="B125" s="442"/>
      <c r="C125" s="48" t="s">
        <v>143</v>
      </c>
      <c r="D125" s="37">
        <v>65.2</v>
      </c>
      <c r="E125" s="41">
        <f>6.0908-6.3119</f>
        <v>-0.22109999999999985</v>
      </c>
      <c r="F125" s="38"/>
      <c r="G125" s="39">
        <f>ROUND(D125*(E125),2)</f>
        <v>-14.42</v>
      </c>
      <c r="H125" s="270"/>
      <c r="I125" s="41"/>
      <c r="J125" s="41"/>
      <c r="K125" s="271"/>
      <c r="L125" s="272"/>
      <c r="M125" s="102"/>
      <c r="N125" s="430"/>
      <c r="O125" s="431"/>
      <c r="P125" s="431"/>
      <c r="Q125" s="424"/>
      <c r="R125" s="422"/>
      <c r="S125" s="399"/>
      <c r="T125" s="399"/>
    </row>
    <row r="126" spans="1:20" s="81" customFormat="1" ht="15" customHeight="1">
      <c r="A126" s="739"/>
      <c r="B126" s="442"/>
      <c r="C126" s="48" t="s">
        <v>144</v>
      </c>
      <c r="D126" s="37">
        <v>0.2</v>
      </c>
      <c r="E126" s="41">
        <v>6.0907999999999998</v>
      </c>
      <c r="F126" s="38"/>
      <c r="G126" s="39">
        <f>ROUND(D126*(E126),2)</f>
        <v>1.22</v>
      </c>
      <c r="H126" s="270"/>
      <c r="I126" s="41"/>
      <c r="J126" s="41"/>
      <c r="K126" s="271"/>
      <c r="L126" s="272"/>
      <c r="M126" s="102"/>
      <c r="N126" s="434"/>
      <c r="O126" s="435"/>
      <c r="P126" s="435"/>
      <c r="Q126" s="425"/>
      <c r="R126" s="422"/>
      <c r="S126" s="399"/>
      <c r="T126" s="399"/>
    </row>
    <row r="127" spans="1:20" s="81" customFormat="1" ht="15.75" customHeight="1" thickBot="1">
      <c r="A127" s="744"/>
      <c r="B127" s="461"/>
      <c r="C127" s="99" t="s">
        <v>29</v>
      </c>
      <c r="D127" s="462">
        <v>64</v>
      </c>
      <c r="E127" s="56">
        <v>6.0907999999999998</v>
      </c>
      <c r="F127" s="311"/>
      <c r="G127" s="110">
        <f>ROUND(D127*(E127),2)</f>
        <v>389.81</v>
      </c>
      <c r="H127" s="310"/>
      <c r="I127" s="311"/>
      <c r="J127" s="311"/>
      <c r="K127" s="312"/>
      <c r="L127" s="313"/>
      <c r="M127" s="115"/>
      <c r="N127" s="463"/>
      <c r="O127" s="464"/>
      <c r="P127" s="464"/>
      <c r="Q127" s="465"/>
      <c r="R127" s="422"/>
      <c r="S127" s="399"/>
      <c r="T127" s="399"/>
    </row>
    <row r="128" spans="1:20" s="81" customFormat="1" ht="15.75" customHeight="1" thickTop="1">
      <c r="A128" s="741"/>
      <c r="B128" s="438" t="s">
        <v>126</v>
      </c>
      <c r="C128" s="48" t="s">
        <v>143</v>
      </c>
      <c r="D128" s="448">
        <v>77.2</v>
      </c>
      <c r="E128" s="41">
        <f>6.0908-6.3119</f>
        <v>-0.22109999999999985</v>
      </c>
      <c r="F128" s="261"/>
      <c r="G128" s="449">
        <f>ROUND(D128*E128,2)</f>
        <v>-17.07</v>
      </c>
      <c r="H128" s="303"/>
      <c r="I128" s="23"/>
      <c r="J128" s="23"/>
      <c r="K128" s="304"/>
      <c r="L128" s="263">
        <f>SUM(G128:G130)</f>
        <v>318.53000000000003</v>
      </c>
      <c r="M128" s="26">
        <v>318.52999999999997</v>
      </c>
      <c r="N128" s="421"/>
      <c r="O128" s="77"/>
      <c r="P128" s="77"/>
      <c r="Q128" s="384"/>
      <c r="R128" s="422"/>
      <c r="S128" s="399"/>
      <c r="T128" s="399"/>
    </row>
    <row r="129" spans="1:20" s="81" customFormat="1" ht="15.75" customHeight="1">
      <c r="A129" s="742"/>
      <c r="B129" s="442"/>
      <c r="C129" s="48" t="s">
        <v>144</v>
      </c>
      <c r="D129" s="448">
        <v>0.1</v>
      </c>
      <c r="E129" s="41">
        <v>6.0907999999999998</v>
      </c>
      <c r="F129" s="261"/>
      <c r="G129" s="449">
        <f t="shared" ref="G129:G130" si="12">ROUND(D129*E129,2)</f>
        <v>0.61</v>
      </c>
      <c r="H129" s="260"/>
      <c r="I129" s="261"/>
      <c r="J129" s="261"/>
      <c r="K129" s="262"/>
      <c r="L129" s="286"/>
      <c r="M129" s="90"/>
      <c r="N129" s="423"/>
      <c r="O129" s="406"/>
      <c r="P129" s="406"/>
      <c r="Q129" s="407"/>
      <c r="R129" s="422"/>
      <c r="S129" s="399"/>
      <c r="T129" s="399"/>
    </row>
    <row r="130" spans="1:20" s="81" customFormat="1" ht="15.75" customHeight="1" thickBot="1">
      <c r="A130" s="745"/>
      <c r="B130" s="698"/>
      <c r="C130" s="99" t="s">
        <v>29</v>
      </c>
      <c r="D130" s="596">
        <v>55</v>
      </c>
      <c r="E130" s="56">
        <v>6.0907999999999998</v>
      </c>
      <c r="F130" s="41"/>
      <c r="G130" s="39">
        <f t="shared" si="12"/>
        <v>334.99</v>
      </c>
      <c r="H130" s="280"/>
      <c r="I130" s="281"/>
      <c r="J130" s="281"/>
      <c r="K130" s="282"/>
      <c r="L130" s="204"/>
      <c r="M130" s="371"/>
      <c r="N130" s="426"/>
      <c r="O130" s="416"/>
      <c r="P130" s="416"/>
      <c r="Q130" s="417"/>
      <c r="R130" s="422"/>
      <c r="S130" s="399"/>
      <c r="T130" s="399"/>
    </row>
    <row r="131" spans="1:20" s="81" customFormat="1" ht="15.75" customHeight="1">
      <c r="A131" s="746"/>
      <c r="B131" s="699" t="s">
        <v>133</v>
      </c>
      <c r="C131" s="48" t="s">
        <v>143</v>
      </c>
      <c r="D131" s="471">
        <v>616.5</v>
      </c>
      <c r="E131" s="41">
        <f>6.0908-6.3119</f>
        <v>-0.22109999999999985</v>
      </c>
      <c r="F131" s="473"/>
      <c r="G131" s="449">
        <f>ROUND(D131*E131,2)</f>
        <v>-136.31</v>
      </c>
      <c r="H131" s="303"/>
      <c r="I131" s="23"/>
      <c r="J131" s="23"/>
      <c r="K131" s="304"/>
      <c r="L131" s="263">
        <f>SUM(G131:G133)</f>
        <v>3075.3700000000003</v>
      </c>
      <c r="M131" s="26">
        <v>3075.37</v>
      </c>
      <c r="N131" s="421"/>
      <c r="O131" s="77"/>
      <c r="P131" s="77"/>
      <c r="Q131" s="384"/>
      <c r="R131" s="422"/>
      <c r="S131" s="399"/>
      <c r="T131" s="399"/>
    </row>
    <row r="132" spans="1:20" s="81" customFormat="1" ht="15.75" customHeight="1">
      <c r="A132" s="746"/>
      <c r="B132" s="469"/>
      <c r="C132" s="48" t="s">
        <v>144</v>
      </c>
      <c r="D132" s="471">
        <v>1.3</v>
      </c>
      <c r="E132" s="41">
        <v>6.0907999999999998</v>
      </c>
      <c r="F132" s="473"/>
      <c r="G132" s="449">
        <f>ROUND(D132*E132,2)</f>
        <v>7.92</v>
      </c>
      <c r="H132" s="260"/>
      <c r="I132" s="261"/>
      <c r="J132" s="261"/>
      <c r="K132" s="262"/>
      <c r="L132" s="286"/>
      <c r="M132" s="90"/>
      <c r="N132" s="423"/>
      <c r="O132" s="406"/>
      <c r="P132" s="406"/>
      <c r="Q132" s="407"/>
      <c r="R132" s="422"/>
      <c r="S132" s="399"/>
      <c r="T132" s="399"/>
    </row>
    <row r="133" spans="1:20" s="81" customFormat="1" ht="15.75" customHeight="1" thickBot="1">
      <c r="A133" s="747"/>
      <c r="B133" s="702"/>
      <c r="C133" s="99" t="s">
        <v>29</v>
      </c>
      <c r="D133" s="703">
        <v>526</v>
      </c>
      <c r="E133" s="56">
        <v>6.0907999999999998</v>
      </c>
      <c r="F133" s="704"/>
      <c r="G133" s="39">
        <f t="shared" ref="G133" si="13">ROUND(D133*E133,2)</f>
        <v>3203.76</v>
      </c>
      <c r="H133" s="280"/>
      <c r="I133" s="281"/>
      <c r="J133" s="281"/>
      <c r="K133" s="282"/>
      <c r="L133" s="204"/>
      <c r="M133" s="371"/>
      <c r="N133" s="426"/>
      <c r="O133" s="416"/>
      <c r="P133" s="416"/>
      <c r="Q133" s="417"/>
      <c r="R133" s="422"/>
      <c r="S133" s="399"/>
      <c r="T133" s="399"/>
    </row>
    <row r="134" spans="1:20" s="81" customFormat="1" ht="15.75" customHeight="1">
      <c r="A134" s="746"/>
      <c r="B134" s="699" t="s">
        <v>134</v>
      </c>
      <c r="C134" s="48" t="s">
        <v>143</v>
      </c>
      <c r="D134" s="471">
        <v>755.8</v>
      </c>
      <c r="E134" s="41">
        <f>6.0908-6.3119</f>
        <v>-0.22109999999999985</v>
      </c>
      <c r="F134" s="473"/>
      <c r="G134" s="449">
        <f>ROUND(D134*E134,2)-0.01</f>
        <v>-167.12</v>
      </c>
      <c r="H134" s="303"/>
      <c r="I134" s="23"/>
      <c r="J134" s="23"/>
      <c r="K134" s="304"/>
      <c r="L134" s="263">
        <f>SUM(G134:G136)</f>
        <v>3935.65</v>
      </c>
      <c r="M134" s="26">
        <v>3935.65</v>
      </c>
      <c r="N134" s="421"/>
      <c r="O134" s="77"/>
      <c r="P134" s="77"/>
      <c r="Q134" s="384"/>
      <c r="R134" s="422"/>
      <c r="S134" s="399"/>
      <c r="T134" s="399"/>
    </row>
    <row r="135" spans="1:20" s="81" customFormat="1" ht="15.75" customHeight="1">
      <c r="A135" s="746"/>
      <c r="B135" s="469"/>
      <c r="C135" s="48" t="s">
        <v>144</v>
      </c>
      <c r="D135" s="471">
        <v>1.6</v>
      </c>
      <c r="E135" s="41">
        <v>6.0907999999999998</v>
      </c>
      <c r="F135" s="473"/>
      <c r="G135" s="449">
        <f t="shared" ref="G135:G136" si="14">ROUND(D135*E135,2)</f>
        <v>9.75</v>
      </c>
      <c r="H135" s="260"/>
      <c r="I135" s="261"/>
      <c r="J135" s="261"/>
      <c r="K135" s="262"/>
      <c r="L135" s="286"/>
      <c r="M135" s="90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 thickBot="1">
      <c r="A136" s="747"/>
      <c r="B136" s="702"/>
      <c r="C136" s="99" t="s">
        <v>29</v>
      </c>
      <c r="D136" s="703">
        <v>672</v>
      </c>
      <c r="E136" s="56">
        <v>6.0907999999999998</v>
      </c>
      <c r="F136" s="704"/>
      <c r="G136" s="39">
        <f t="shared" si="14"/>
        <v>4093.02</v>
      </c>
      <c r="H136" s="280"/>
      <c r="I136" s="281"/>
      <c r="J136" s="281"/>
      <c r="K136" s="282"/>
      <c r="L136" s="204"/>
      <c r="M136" s="371"/>
      <c r="N136" s="426"/>
      <c r="O136" s="416"/>
      <c r="P136" s="416"/>
      <c r="Q136" s="417"/>
      <c r="R136" s="422"/>
      <c r="S136" s="399"/>
      <c r="T136" s="399"/>
    </row>
    <row r="137" spans="1:20" s="81" customFormat="1" ht="15.75" customHeight="1">
      <c r="A137" s="746"/>
      <c r="B137" s="699" t="s">
        <v>140</v>
      </c>
      <c r="C137" s="48" t="s">
        <v>143</v>
      </c>
      <c r="D137" s="471">
        <v>1022.4</v>
      </c>
      <c r="E137" s="41">
        <f>6.0908-6.3119</f>
        <v>-0.22109999999999985</v>
      </c>
      <c r="F137" s="473"/>
      <c r="G137" s="449">
        <f>ROUND(D137*E137,2)</f>
        <v>-226.05</v>
      </c>
      <c r="H137" s="303"/>
      <c r="I137" s="23"/>
      <c r="J137" s="23"/>
      <c r="K137" s="304"/>
      <c r="L137" s="263">
        <f>SUM(G137:G139)</f>
        <v>4908.49</v>
      </c>
      <c r="M137" s="26">
        <v>4908.49</v>
      </c>
      <c r="N137" s="421"/>
      <c r="O137" s="77"/>
      <c r="P137" s="77"/>
      <c r="Q137" s="384"/>
      <c r="R137" s="422"/>
      <c r="S137" s="399"/>
      <c r="T137" s="399"/>
    </row>
    <row r="138" spans="1:20" s="81" customFormat="1" ht="15.75" customHeight="1">
      <c r="A138" s="746"/>
      <c r="B138" s="469"/>
      <c r="C138" s="48" t="s">
        <v>144</v>
      </c>
      <c r="D138" s="471">
        <v>2</v>
      </c>
      <c r="E138" s="41">
        <v>6.0907999999999998</v>
      </c>
      <c r="F138" s="473"/>
      <c r="G138" s="449">
        <f>ROUND(D138*E138,2)</f>
        <v>12.18</v>
      </c>
      <c r="H138" s="260"/>
      <c r="I138" s="261"/>
      <c r="J138" s="261"/>
      <c r="K138" s="262"/>
      <c r="L138" s="286"/>
      <c r="M138" s="90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 thickBot="1">
      <c r="A139" s="747"/>
      <c r="B139" s="702"/>
      <c r="C139" s="99" t="s">
        <v>29</v>
      </c>
      <c r="D139" s="703">
        <v>841</v>
      </c>
      <c r="E139" s="56">
        <v>6.0907999999999998</v>
      </c>
      <c r="F139" s="704"/>
      <c r="G139" s="39">
        <f t="shared" ref="G139" si="15">ROUND(D139*E139,2)</f>
        <v>5122.3599999999997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>
      <c r="A140" s="746"/>
      <c r="B140" s="699" t="s">
        <v>141</v>
      </c>
      <c r="C140" s="48" t="s">
        <v>143</v>
      </c>
      <c r="D140" s="471">
        <v>22.1</v>
      </c>
      <c r="E140" s="41">
        <f>6.0908-6.3119</f>
        <v>-0.22109999999999985</v>
      </c>
      <c r="F140" s="473"/>
      <c r="G140" s="449">
        <f>ROUND(D140*E140,2)+0.01</f>
        <v>-4.88</v>
      </c>
      <c r="H140" s="303"/>
      <c r="I140" s="23"/>
      <c r="J140" s="23"/>
      <c r="K140" s="304"/>
      <c r="L140" s="263">
        <f>SUM(G140:G142)</f>
        <v>4152.7</v>
      </c>
      <c r="M140" s="26">
        <v>4152.7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746"/>
      <c r="B141" s="469"/>
      <c r="C141" s="48" t="s">
        <v>144</v>
      </c>
      <c r="D141" s="471">
        <v>1.6</v>
      </c>
      <c r="E141" s="41">
        <v>6.0907999999999998</v>
      </c>
      <c r="F141" s="473"/>
      <c r="G141" s="449">
        <f>ROUND(D141*E141,2)</f>
        <v>9.75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747"/>
      <c r="B142" s="702"/>
      <c r="C142" s="99" t="s">
        <v>29</v>
      </c>
      <c r="D142" s="703">
        <v>681</v>
      </c>
      <c r="E142" s="56">
        <v>6.0907999999999998</v>
      </c>
      <c r="F142" s="704"/>
      <c r="G142" s="39">
        <f t="shared" ref="G142" si="16">ROUND(D142*E142,2)</f>
        <v>4147.83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746"/>
      <c r="B143" s="699" t="s">
        <v>147</v>
      </c>
      <c r="C143" s="48" t="s">
        <v>143</v>
      </c>
      <c r="D143" s="471">
        <v>0</v>
      </c>
      <c r="E143" s="41">
        <f>6.0908-6.3119</f>
        <v>-0.22109999999999985</v>
      </c>
      <c r="F143" s="473"/>
      <c r="G143" s="449">
        <f>ROUND(D143*E143,2)</f>
        <v>0</v>
      </c>
      <c r="H143" s="303"/>
      <c r="I143" s="23"/>
      <c r="J143" s="23"/>
      <c r="K143" s="304"/>
      <c r="L143" s="263">
        <f>SUM(G143:G145)</f>
        <v>128.52000000000001</v>
      </c>
      <c r="M143" s="26">
        <v>128.52000000000001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746"/>
      <c r="B144" s="469"/>
      <c r="C144" s="48" t="s">
        <v>144</v>
      </c>
      <c r="D144" s="471">
        <v>0.1</v>
      </c>
      <c r="E144" s="41">
        <v>6.0907999999999998</v>
      </c>
      <c r="F144" s="473"/>
      <c r="G144" s="449">
        <f>ROUND(D144*E144,2)</f>
        <v>0.61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1" s="81" customFormat="1" ht="15.75" customHeight="1" thickBot="1">
      <c r="A145" s="747"/>
      <c r="B145" s="702"/>
      <c r="C145" s="99" t="s">
        <v>29</v>
      </c>
      <c r="D145" s="703">
        <v>21</v>
      </c>
      <c r="E145" s="56">
        <v>6.0907999999999998</v>
      </c>
      <c r="F145" s="704"/>
      <c r="G145" s="39">
        <f t="shared" ref="G145" si="17">ROUND(D145*E145,2)</f>
        <v>127.91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1" s="81" customFormat="1" ht="15.75" customHeight="1" thickBot="1">
      <c r="A146" s="686"/>
      <c r="B146" s="469"/>
      <c r="C146" s="470"/>
      <c r="D146" s="471"/>
      <c r="E146" s="472"/>
      <c r="F146" s="473"/>
      <c r="G146" s="474"/>
      <c r="H146" s="473"/>
      <c r="I146" s="473"/>
      <c r="J146" s="473"/>
      <c r="K146" s="473"/>
      <c r="L146" s="473"/>
      <c r="M146" s="475"/>
      <c r="N146" s="399"/>
      <c r="O146" s="399"/>
      <c r="P146" s="399"/>
      <c r="Q146" s="399"/>
      <c r="R146" s="422"/>
      <c r="S146" s="399"/>
      <c r="T146" s="399"/>
    </row>
    <row r="147" spans="1:21" s="81" customFormat="1" ht="15" customHeight="1" thickTop="1">
      <c r="A147" s="476"/>
      <c r="B147" s="158"/>
      <c r="C147" s="322"/>
      <c r="D147" s="477"/>
      <c r="E147" s="163"/>
      <c r="F147" s="163"/>
      <c r="G147" s="478"/>
      <c r="H147" s="163"/>
      <c r="I147" s="163"/>
      <c r="J147" s="163"/>
      <c r="K147" s="163"/>
      <c r="L147" s="163"/>
      <c r="M147" s="164"/>
      <c r="N147" s="479"/>
      <c r="O147" s="479"/>
      <c r="P147" s="479"/>
      <c r="Q147" s="479"/>
      <c r="R147" s="480"/>
      <c r="S147" s="479"/>
      <c r="T147" s="399"/>
    </row>
    <row r="148" spans="1:21" ht="21.75" thickBot="1">
      <c r="A148" s="171" t="s">
        <v>84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  <c r="N148" s="2"/>
      <c r="O148" s="2"/>
      <c r="P148" s="2"/>
      <c r="Q148" s="2"/>
      <c r="R148" s="2"/>
      <c r="S148" s="2"/>
      <c r="T148" s="2"/>
    </row>
    <row r="149" spans="1:21" ht="15.75" customHeight="1" thickTop="1" thickBot="1">
      <c r="A149" s="1540" t="s">
        <v>1</v>
      </c>
      <c r="B149" s="1542" t="s">
        <v>2</v>
      </c>
      <c r="C149" s="1544" t="s">
        <v>3</v>
      </c>
      <c r="D149" s="1546" t="s">
        <v>4</v>
      </c>
      <c r="E149" s="1546"/>
      <c r="F149" s="1546"/>
      <c r="G149" s="1546"/>
      <c r="H149" s="1547" t="s">
        <v>5</v>
      </c>
      <c r="I149" s="1548"/>
      <c r="J149" s="1548"/>
      <c r="K149" s="1549"/>
      <c r="L149" s="1524" t="s">
        <v>6</v>
      </c>
      <c r="M149" s="1511" t="s">
        <v>7</v>
      </c>
      <c r="N149" s="1551" t="s">
        <v>8</v>
      </c>
      <c r="O149" s="1551"/>
      <c r="P149" s="1551"/>
      <c r="Q149" s="1552" t="s">
        <v>18</v>
      </c>
      <c r="R149" s="481" t="s">
        <v>85</v>
      </c>
      <c r="S149" s="482" t="s">
        <v>20</v>
      </c>
      <c r="T149" s="482" t="s">
        <v>21</v>
      </c>
    </row>
    <row r="150" spans="1:21" ht="27" thickTop="1" thickBot="1">
      <c r="A150" s="1541"/>
      <c r="B150" s="1543"/>
      <c r="C150" s="1545" t="s">
        <v>10</v>
      </c>
      <c r="D150" s="483" t="s">
        <v>11</v>
      </c>
      <c r="E150" s="484" t="s">
        <v>12</v>
      </c>
      <c r="F150" s="484" t="s">
        <v>13</v>
      </c>
      <c r="G150" s="485" t="s">
        <v>14</v>
      </c>
      <c r="H150" s="483" t="s">
        <v>11</v>
      </c>
      <c r="I150" s="486" t="s">
        <v>15</v>
      </c>
      <c r="J150" s="485"/>
      <c r="K150" s="487" t="s">
        <v>16</v>
      </c>
      <c r="L150" s="1525"/>
      <c r="M150" s="1550"/>
      <c r="N150" s="488" t="s">
        <v>14</v>
      </c>
      <c r="O150" s="485"/>
      <c r="P150" s="489" t="s">
        <v>18</v>
      </c>
      <c r="Q150" s="490" t="s">
        <v>19</v>
      </c>
      <c r="R150" s="491"/>
      <c r="S150" s="492"/>
      <c r="T150" s="492"/>
    </row>
    <row r="151" spans="1:21">
      <c r="A151" s="748">
        <v>501</v>
      </c>
      <c r="B151" s="494" t="s">
        <v>86</v>
      </c>
      <c r="C151" s="71"/>
      <c r="D151" s="495">
        <v>28</v>
      </c>
      <c r="E151" s="21">
        <v>32.332000000000001</v>
      </c>
      <c r="F151" s="21">
        <v>37.889800000000001</v>
      </c>
      <c r="G151" s="185">
        <f>ROUND(D151*(E151+F151),2)</f>
        <v>1966.21</v>
      </c>
      <c r="H151" s="496"/>
      <c r="I151" s="73">
        <v>0.85</v>
      </c>
      <c r="J151" s="73">
        <f>+H151*I151</f>
        <v>0</v>
      </c>
      <c r="K151" s="497"/>
      <c r="L151" s="498">
        <f>+SUM(G151:G158,C158)+J151+J153</f>
        <v>44867.536599999999</v>
      </c>
      <c r="M151" s="26">
        <v>44867.54</v>
      </c>
      <c r="N151" s="499"/>
      <c r="O151" s="500"/>
      <c r="P151" s="501" t="s">
        <v>87</v>
      </c>
      <c r="Q151" s="304">
        <f t="shared" ref="Q151:Q169" si="18">C151+G151+J151-M151-N151-O151</f>
        <v>-42901.33</v>
      </c>
      <c r="R151" s="502" t="s">
        <v>88</v>
      </c>
      <c r="S151" s="503"/>
      <c r="T151" s="504"/>
      <c r="U151" s="33">
        <f>+C151+L151-M151</f>
        <v>-3.4000000014202669E-3</v>
      </c>
    </row>
    <row r="152" spans="1:21">
      <c r="A152" s="749"/>
      <c r="B152" s="506"/>
      <c r="C152" s="507"/>
      <c r="D152" s="508">
        <v>0</v>
      </c>
      <c r="E152" s="38">
        <f>32.332-28.8628</f>
        <v>3.4692000000000007</v>
      </c>
      <c r="F152" s="38">
        <f>37.8898-33.8306</f>
        <v>4.0592000000000041</v>
      </c>
      <c r="G152" s="50">
        <f>ROUND(D152*(E152+F152),2)</f>
        <v>0</v>
      </c>
      <c r="H152" s="448"/>
      <c r="I152" s="509"/>
      <c r="J152" s="409"/>
      <c r="K152" s="510"/>
      <c r="L152" s="511"/>
      <c r="M152" s="512"/>
      <c r="N152" s="513"/>
      <c r="O152" s="514"/>
      <c r="P152" s="515"/>
      <c r="Q152" s="262"/>
      <c r="R152" s="502"/>
      <c r="S152" s="503"/>
      <c r="T152" s="504"/>
      <c r="U152" s="33"/>
    </row>
    <row r="153" spans="1:21">
      <c r="A153" s="749"/>
      <c r="B153" s="516" t="s">
        <v>89</v>
      </c>
      <c r="C153" s="512" t="s">
        <v>90</v>
      </c>
      <c r="D153" s="508">
        <v>17</v>
      </c>
      <c r="E153" s="101">
        <v>291.8</v>
      </c>
      <c r="F153" s="38">
        <v>37.889800000000001</v>
      </c>
      <c r="G153" s="50">
        <f>D153*(E153+F153)</f>
        <v>5604.7266</v>
      </c>
      <c r="H153" s="270"/>
      <c r="I153" s="41">
        <v>128.56</v>
      </c>
      <c r="J153" s="409">
        <f>+H153*I153</f>
        <v>0</v>
      </c>
      <c r="K153" s="510"/>
      <c r="L153" s="517"/>
      <c r="M153" s="99"/>
      <c r="N153" s="518"/>
      <c r="O153" s="519"/>
      <c r="P153" s="515" t="s">
        <v>87</v>
      </c>
      <c r="Q153" s="271">
        <f>+G153+J153-M153-N153-O153</f>
        <v>5604.7266</v>
      </c>
      <c r="R153" s="502" t="s">
        <v>88</v>
      </c>
      <c r="S153" s="503"/>
      <c r="T153" s="504"/>
    </row>
    <row r="154" spans="1:21">
      <c r="A154" s="749"/>
      <c r="B154" s="506" t="s">
        <v>91</v>
      </c>
      <c r="C154" s="507"/>
      <c r="D154" s="508"/>
      <c r="E154" s="41">
        <f>291.8-352.37</f>
        <v>-60.569999999999993</v>
      </c>
      <c r="F154" s="38"/>
      <c r="G154" s="50">
        <f>ROUND(D154*(E154+F154),2)</f>
        <v>0</v>
      </c>
      <c r="H154" s="432"/>
      <c r="I154" s="362"/>
      <c r="J154" s="409"/>
      <c r="K154" s="510"/>
      <c r="L154" s="517"/>
      <c r="M154" s="520"/>
      <c r="N154" s="521"/>
      <c r="O154" s="522"/>
      <c r="P154" s="523"/>
      <c r="Q154" s="362"/>
      <c r="R154" s="502"/>
      <c r="S154" s="503"/>
      <c r="T154" s="504"/>
    </row>
    <row r="155" spans="1:21">
      <c r="A155" s="749"/>
      <c r="B155" s="506" t="s">
        <v>91</v>
      </c>
      <c r="C155" s="507"/>
      <c r="D155" s="508"/>
      <c r="E155" s="38"/>
      <c r="F155" s="41"/>
      <c r="G155" s="50">
        <f>D155*(E155+F155)</f>
        <v>0</v>
      </c>
      <c r="H155" s="432"/>
      <c r="I155" s="362"/>
      <c r="J155" s="409"/>
      <c r="K155" s="510"/>
      <c r="L155" s="517"/>
      <c r="M155" s="520"/>
      <c r="N155" s="521"/>
      <c r="O155" s="522"/>
      <c r="P155" s="523"/>
      <c r="Q155" s="362"/>
      <c r="R155" s="502"/>
      <c r="S155" s="503"/>
      <c r="T155" s="504"/>
    </row>
    <row r="156" spans="1:21">
      <c r="A156" s="749"/>
      <c r="B156" s="506" t="s">
        <v>92</v>
      </c>
      <c r="C156" s="48" t="s">
        <v>143</v>
      </c>
      <c r="D156" s="508">
        <v>6913</v>
      </c>
      <c r="E156" s="41">
        <f>5.9647-6.1063</f>
        <v>-0.14160000000000039</v>
      </c>
      <c r="F156" s="41">
        <f>+E156</f>
        <v>-0.14160000000000039</v>
      </c>
      <c r="G156" s="39">
        <f>ROUNDDOWN(D156*E156,2)</f>
        <v>-978.88</v>
      </c>
      <c r="H156" s="432"/>
      <c r="I156" s="362"/>
      <c r="J156" s="41"/>
      <c r="K156" s="510"/>
      <c r="L156" s="517"/>
      <c r="M156" s="520"/>
      <c r="N156" s="521"/>
      <c r="O156" s="522"/>
      <c r="P156" s="523"/>
      <c r="Q156" s="362"/>
      <c r="R156" s="502"/>
      <c r="S156" s="503"/>
      <c r="T156" s="504"/>
    </row>
    <row r="157" spans="1:21">
      <c r="A157" s="749"/>
      <c r="B157" s="506"/>
      <c r="C157" s="48" t="s">
        <v>144</v>
      </c>
      <c r="D157" s="508">
        <v>272</v>
      </c>
      <c r="E157" s="41">
        <v>5.9646999999999997</v>
      </c>
      <c r="F157" s="41">
        <f>+E157</f>
        <v>5.9646999999999997</v>
      </c>
      <c r="G157" s="39">
        <f>ROUND(D157*E157,2)</f>
        <v>1622.4</v>
      </c>
      <c r="H157" s="432"/>
      <c r="I157" s="362"/>
      <c r="J157" s="207"/>
      <c r="K157" s="524"/>
      <c r="L157" s="517"/>
      <c r="M157" s="520"/>
      <c r="N157" s="521"/>
      <c r="O157" s="522"/>
      <c r="P157" s="523"/>
      <c r="Q157" s="362"/>
      <c r="R157" s="502"/>
      <c r="S157" s="503"/>
      <c r="T157" s="504"/>
    </row>
    <row r="158" spans="1:21" ht="15.75" thickBot="1">
      <c r="A158" s="750"/>
      <c r="B158" s="526"/>
      <c r="C158" s="99" t="s">
        <v>29</v>
      </c>
      <c r="D158" s="55">
        <v>6145</v>
      </c>
      <c r="E158" s="56">
        <v>5.9646999999999997</v>
      </c>
      <c r="F158" s="57">
        <f>+E158</f>
        <v>5.9646999999999997</v>
      </c>
      <c r="G158" s="58">
        <f>ROUND(D158*E158,2)</f>
        <v>36653.08</v>
      </c>
      <c r="H158" s="248"/>
      <c r="I158" s="203"/>
      <c r="J158" s="60"/>
      <c r="K158" s="61"/>
      <c r="L158" s="249"/>
      <c r="M158" s="54"/>
      <c r="N158" s="527"/>
      <c r="O158" s="528"/>
      <c r="P158" s="529" t="s">
        <v>87</v>
      </c>
      <c r="Q158" s="282">
        <f>+G158+J158-M158-N158-O158</f>
        <v>36653.08</v>
      </c>
      <c r="R158" s="530" t="s">
        <v>88</v>
      </c>
      <c r="S158" s="531">
        <f>SUM(N151:N158)+O151:O158</f>
        <v>0</v>
      </c>
      <c r="T158" s="531">
        <f>SUM(Q151:Q158)</f>
        <v>-643.52339999999822</v>
      </c>
      <c r="U158" s="33"/>
    </row>
    <row r="159" spans="1:21" ht="15.75" thickTop="1">
      <c r="A159" s="751" t="s">
        <v>93</v>
      </c>
      <c r="B159" s="532" t="s">
        <v>94</v>
      </c>
      <c r="C159" s="71">
        <f>+[1]дек!U51</f>
        <v>-6.0000000303261913E-4</v>
      </c>
      <c r="D159" s="213">
        <v>44</v>
      </c>
      <c r="E159" s="21">
        <v>32.332000000000001</v>
      </c>
      <c r="F159" s="21">
        <v>37.889800000000001</v>
      </c>
      <c r="G159" s="214">
        <f>ROUND(D159*(E159+F159),2)</f>
        <v>3089.76</v>
      </c>
      <c r="H159" s="496"/>
      <c r="I159" s="73">
        <v>0.85</v>
      </c>
      <c r="J159" s="73">
        <f>H159*I159</f>
        <v>0</v>
      </c>
      <c r="K159" s="497"/>
      <c r="L159" s="533">
        <f>+SUM(G159:G166,)+J159+J161</f>
        <v>39426.53</v>
      </c>
      <c r="M159" s="26">
        <v>39426.53</v>
      </c>
      <c r="N159" s="534"/>
      <c r="O159" s="535"/>
      <c r="P159" s="536" t="s">
        <v>87</v>
      </c>
      <c r="Q159" s="537">
        <f t="shared" si="18"/>
        <v>-36336.770600000003</v>
      </c>
      <c r="R159" s="538" t="s">
        <v>95</v>
      </c>
      <c r="S159" s="539"/>
      <c r="T159" s="540"/>
      <c r="U159" s="33"/>
    </row>
    <row r="160" spans="1:21">
      <c r="A160" s="752"/>
      <c r="B160" s="541"/>
      <c r="C160" s="542" t="s">
        <v>96</v>
      </c>
      <c r="D160" s="234">
        <v>0</v>
      </c>
      <c r="E160" s="38">
        <f>32.332-28.8628</f>
        <v>3.4692000000000007</v>
      </c>
      <c r="F160" s="38">
        <f>37.8898-33.8306</f>
        <v>4.0592000000000041</v>
      </c>
      <c r="G160" s="235">
        <f>ROUND(D160*(E160+F160),2)</f>
        <v>0</v>
      </c>
      <c r="H160" s="448"/>
      <c r="I160" s="509"/>
      <c r="J160" s="509"/>
      <c r="K160" s="543"/>
      <c r="L160" s="544"/>
      <c r="M160" s="545"/>
      <c r="N160" s="546"/>
      <c r="O160" s="547"/>
      <c r="P160" s="548"/>
      <c r="Q160" s="549"/>
      <c r="R160" s="550"/>
      <c r="S160" s="551"/>
      <c r="T160" s="552"/>
      <c r="U160" s="33"/>
    </row>
    <row r="161" spans="1:21">
      <c r="A161" s="752"/>
      <c r="B161" s="516" t="s">
        <v>32</v>
      </c>
      <c r="C161" s="99" t="s">
        <v>90</v>
      </c>
      <c r="D161" s="234">
        <v>11</v>
      </c>
      <c r="E161" s="101">
        <v>291.8</v>
      </c>
      <c r="F161" s="38">
        <v>37.889800000000001</v>
      </c>
      <c r="G161" s="235">
        <f>ROUND(D161*(E161+F161),2)</f>
        <v>3626.59</v>
      </c>
      <c r="H161" s="270"/>
      <c r="I161" s="41">
        <v>128.56</v>
      </c>
      <c r="J161" s="41">
        <f>ROUND(H161*I161,2)</f>
        <v>0</v>
      </c>
      <c r="K161" s="510"/>
      <c r="L161" s="553"/>
      <c r="M161" s="554"/>
      <c r="N161" s="555"/>
      <c r="O161" s="556"/>
      <c r="P161" s="557" t="s">
        <v>87</v>
      </c>
      <c r="Q161" s="558">
        <f>+G161+J161-M161-N161-O161</f>
        <v>3626.59</v>
      </c>
      <c r="R161" s="550" t="s">
        <v>95</v>
      </c>
      <c r="S161" s="551"/>
      <c r="T161" s="552"/>
    </row>
    <row r="162" spans="1:21">
      <c r="A162" s="752"/>
      <c r="B162" s="541"/>
      <c r="C162" s="84" t="s">
        <v>97</v>
      </c>
      <c r="D162" s="234"/>
      <c r="E162" s="41">
        <f>291.8-352.37</f>
        <v>-60.569999999999993</v>
      </c>
      <c r="F162" s="38"/>
      <c r="G162" s="50">
        <f>ROUND(D162*E162,2)</f>
        <v>0</v>
      </c>
      <c r="H162" s="432"/>
      <c r="I162" s="362"/>
      <c r="J162" s="41"/>
      <c r="K162" s="510"/>
      <c r="L162" s="559"/>
      <c r="M162" s="560"/>
      <c r="N162" s="561"/>
      <c r="O162" s="562"/>
      <c r="P162" s="563"/>
      <c r="Q162" s="564"/>
      <c r="R162" s="550"/>
      <c r="S162" s="551"/>
      <c r="T162" s="552"/>
    </row>
    <row r="163" spans="1:21">
      <c r="A163" s="752"/>
      <c r="B163" s="541"/>
      <c r="C163" s="84" t="s">
        <v>97</v>
      </c>
      <c r="D163" s="234"/>
      <c r="E163" s="38"/>
      <c r="F163" s="240"/>
      <c r="G163" s="50">
        <f>D163*(E163+F163)</f>
        <v>0</v>
      </c>
      <c r="H163" s="432"/>
      <c r="I163" s="362"/>
      <c r="J163" s="41"/>
      <c r="K163" s="510"/>
      <c r="L163" s="559"/>
      <c r="M163" s="560"/>
      <c r="N163" s="561"/>
      <c r="O163" s="562"/>
      <c r="P163" s="563"/>
      <c r="Q163" s="564"/>
      <c r="R163" s="550"/>
      <c r="S163" s="551"/>
      <c r="T163" s="552"/>
    </row>
    <row r="164" spans="1:21">
      <c r="A164" s="752"/>
      <c r="B164" s="541"/>
      <c r="C164" s="48" t="s">
        <v>143</v>
      </c>
      <c r="D164" s="37">
        <v>5899</v>
      </c>
      <c r="E164" s="41">
        <f>5.9647-6.1063</f>
        <v>-0.14160000000000039</v>
      </c>
      <c r="F164" s="41">
        <f>+E164</f>
        <v>-0.14160000000000039</v>
      </c>
      <c r="G164" s="235">
        <f>ROUND(D164*E164,2)+0.01</f>
        <v>-835.29</v>
      </c>
      <c r="H164" s="565"/>
      <c r="I164" s="564"/>
      <c r="J164" s="566"/>
      <c r="K164" s="567"/>
      <c r="L164" s="559"/>
      <c r="M164" s="560"/>
      <c r="N164" s="561"/>
      <c r="O164" s="562"/>
      <c r="P164" s="563"/>
      <c r="Q164" s="564"/>
      <c r="R164" s="550"/>
      <c r="S164" s="551"/>
      <c r="T164" s="552"/>
      <c r="U164" s="352"/>
    </row>
    <row r="165" spans="1:21">
      <c r="A165" s="752"/>
      <c r="B165" s="541"/>
      <c r="C165" s="48" t="s">
        <v>144</v>
      </c>
      <c r="D165" s="37">
        <v>239</v>
      </c>
      <c r="E165" s="41">
        <v>5.9646999999999997</v>
      </c>
      <c r="F165" s="41">
        <f>+E165</f>
        <v>5.9646999999999997</v>
      </c>
      <c r="G165" s="235">
        <f>ROUND(D165*E165,2)</f>
        <v>1425.56</v>
      </c>
      <c r="H165" s="565"/>
      <c r="I165" s="564"/>
      <c r="J165" s="566"/>
      <c r="K165" s="567"/>
      <c r="L165" s="559"/>
      <c r="M165" s="560"/>
      <c r="N165" s="561"/>
      <c r="O165" s="562"/>
      <c r="P165" s="563"/>
      <c r="Q165" s="564"/>
      <c r="R165" s="550"/>
      <c r="S165" s="551"/>
      <c r="T165" s="552"/>
      <c r="U165" s="33"/>
    </row>
    <row r="166" spans="1:21" ht="15.75" thickBot="1">
      <c r="A166" s="753"/>
      <c r="B166" s="568"/>
      <c r="C166" s="99" t="s">
        <v>29</v>
      </c>
      <c r="D166" s="246">
        <v>5385</v>
      </c>
      <c r="E166" s="56">
        <v>5.9646999999999997</v>
      </c>
      <c r="F166" s="57">
        <f>+E166</f>
        <v>5.9646999999999997</v>
      </c>
      <c r="G166" s="247">
        <f>ROUND(D166*E166,2)</f>
        <v>32119.91</v>
      </c>
      <c r="H166" s="248"/>
      <c r="I166" s="203"/>
      <c r="J166" s="60"/>
      <c r="K166" s="61"/>
      <c r="L166" s="204"/>
      <c r="M166" s="560"/>
      <c r="N166" s="561"/>
      <c r="O166" s="528"/>
      <c r="P166" s="529" t="s">
        <v>87</v>
      </c>
      <c r="Q166" s="564">
        <f>+G166+J166-M166-N166-O166</f>
        <v>32119.91</v>
      </c>
      <c r="R166" s="550" t="s">
        <v>95</v>
      </c>
      <c r="S166" s="569">
        <f>SUM(N159:N166)+O159:O166</f>
        <v>0</v>
      </c>
      <c r="T166" s="570">
        <f>SUM(Q161:Q166)</f>
        <v>35746.5</v>
      </c>
    </row>
    <row r="167" spans="1:21" ht="15.75" hidden="1" outlineLevel="1" thickBot="1">
      <c r="A167" s="571"/>
      <c r="B167" s="572" t="s">
        <v>98</v>
      </c>
      <c r="C167" s="573" t="s">
        <v>99</v>
      </c>
      <c r="D167" s="574">
        <v>0</v>
      </c>
      <c r="E167" s="575">
        <f>3.193-2.9732</f>
        <v>0.21980000000000022</v>
      </c>
      <c r="F167" s="575">
        <f>3.193-2.9732</f>
        <v>0.21980000000000022</v>
      </c>
      <c r="G167" s="576">
        <f>D167*E167*70%+D167*F167*30%</f>
        <v>0</v>
      </c>
      <c r="H167" s="577"/>
      <c r="I167" s="578"/>
      <c r="J167" s="579"/>
      <c r="K167" s="579"/>
      <c r="L167" s="580"/>
      <c r="M167" s="581"/>
      <c r="N167" s="582"/>
      <c r="O167" s="535"/>
      <c r="P167" s="536"/>
      <c r="Q167" s="583"/>
      <c r="R167" s="584"/>
      <c r="S167" s="569"/>
      <c r="T167" s="585"/>
    </row>
    <row r="168" spans="1:21" s="81" customFormat="1" ht="16.5" hidden="1" customHeight="1" outlineLevel="1" thickBot="1">
      <c r="A168" s="586" t="s">
        <v>100</v>
      </c>
      <c r="B168" s="587" t="s">
        <v>98</v>
      </c>
      <c r="C168" s="588">
        <f>+[1]авг!C52</f>
        <v>0</v>
      </c>
      <c r="D168" s="589">
        <v>0</v>
      </c>
      <c r="E168" s="575">
        <v>3.1930000000000001</v>
      </c>
      <c r="F168" s="575">
        <f>+E168</f>
        <v>3.1930000000000001</v>
      </c>
      <c r="G168" s="576">
        <f>D168*E168*70%+D168*F168*30%</f>
        <v>0</v>
      </c>
      <c r="H168" s="579"/>
      <c r="I168" s="579"/>
      <c r="J168" s="579"/>
      <c r="K168" s="579"/>
      <c r="L168" s="579">
        <f>+C168+G168+G167</f>
        <v>0</v>
      </c>
      <c r="M168" s="590">
        <v>0</v>
      </c>
      <c r="N168" s="500"/>
      <c r="O168" s="528"/>
      <c r="P168" s="529" t="s">
        <v>87</v>
      </c>
      <c r="Q168" s="591">
        <f t="shared" si="18"/>
        <v>0</v>
      </c>
      <c r="R168" s="592" t="s">
        <v>101</v>
      </c>
      <c r="S168" s="77">
        <f>SUM(N168:N168)+SUM(O168:O168)</f>
        <v>0</v>
      </c>
      <c r="T168" s="593">
        <f>SUM(Q168:Q168)</f>
        <v>0</v>
      </c>
    </row>
    <row r="169" spans="1:21" ht="15.75" collapsed="1" thickTop="1">
      <c r="A169" s="749">
        <v>115</v>
      </c>
      <c r="B169" s="494" t="s">
        <v>102</v>
      </c>
      <c r="C169" s="71">
        <f>+[1]дек!U57</f>
        <v>0</v>
      </c>
      <c r="D169" s="495">
        <v>14</v>
      </c>
      <c r="E169" s="21">
        <v>32.332000000000001</v>
      </c>
      <c r="F169" s="21">
        <v>37.889800000000001</v>
      </c>
      <c r="G169" s="185">
        <f>ROUND(D169*(E169+F169),2)</f>
        <v>983.11</v>
      </c>
      <c r="H169" s="496"/>
      <c r="I169" s="73">
        <v>0.85</v>
      </c>
      <c r="J169" s="73">
        <f>+H169*I169</f>
        <v>0</v>
      </c>
      <c r="K169" s="497"/>
      <c r="L169" s="498">
        <f>SUM(G169:G175)+SUM(J169:J174)</f>
        <v>18890.47</v>
      </c>
      <c r="M169" s="26">
        <v>18890.47</v>
      </c>
      <c r="N169" s="594"/>
      <c r="O169" s="535"/>
      <c r="P169" s="536" t="s">
        <v>87</v>
      </c>
      <c r="Q169" s="595">
        <f t="shared" si="18"/>
        <v>-17907.36</v>
      </c>
      <c r="R169" s="502" t="s">
        <v>88</v>
      </c>
      <c r="S169" s="503"/>
      <c r="T169" s="504"/>
    </row>
    <row r="170" spans="1:21">
      <c r="A170" s="749"/>
      <c r="B170" s="506"/>
      <c r="C170" s="542"/>
      <c r="D170" s="508"/>
      <c r="E170" s="38">
        <f>32.332-28.8628</f>
        <v>3.4692000000000007</v>
      </c>
      <c r="F170" s="38">
        <f>37.8898-33.8306</f>
        <v>4.0592000000000041</v>
      </c>
      <c r="G170" s="50">
        <f>ROUND(D170*(E170+F170),2)</f>
        <v>0</v>
      </c>
      <c r="H170" s="596"/>
      <c r="I170" s="409"/>
      <c r="J170" s="509"/>
      <c r="K170" s="543"/>
      <c r="L170" s="511"/>
      <c r="M170" s="99"/>
      <c r="N170" s="513"/>
      <c r="O170" s="514"/>
      <c r="P170" s="515"/>
      <c r="Q170" s="262"/>
      <c r="R170" s="502"/>
      <c r="S170" s="503"/>
      <c r="T170" s="504"/>
    </row>
    <row r="171" spans="1:21">
      <c r="A171" s="749"/>
      <c r="B171" s="516" t="s">
        <v>103</v>
      </c>
      <c r="C171" s="99" t="s">
        <v>90</v>
      </c>
      <c r="D171" s="508">
        <v>21</v>
      </c>
      <c r="E171" s="101">
        <v>291.8</v>
      </c>
      <c r="F171" s="38">
        <v>37.889800000000001</v>
      </c>
      <c r="G171" s="50">
        <f>ROUND(D171*(E171+F171),2)</f>
        <v>6923.49</v>
      </c>
      <c r="H171" s="270"/>
      <c r="I171" s="41">
        <v>128.56</v>
      </c>
      <c r="J171" s="409">
        <f>+H171*I171</f>
        <v>0</v>
      </c>
      <c r="K171" s="510"/>
      <c r="L171" s="597"/>
      <c r="M171" s="99"/>
      <c r="N171" s="518"/>
      <c r="O171" s="519"/>
      <c r="P171" s="515" t="s">
        <v>87</v>
      </c>
      <c r="Q171" s="271">
        <f>+G171+J171-M171-N171-O171</f>
        <v>6923.49</v>
      </c>
      <c r="R171" s="502" t="s">
        <v>88</v>
      </c>
      <c r="S171" s="503"/>
      <c r="T171" s="504"/>
    </row>
    <row r="172" spans="1:21">
      <c r="A172" s="749"/>
      <c r="B172" s="506"/>
      <c r="C172" s="390" t="s">
        <v>97</v>
      </c>
      <c r="D172" s="508">
        <v>0</v>
      </c>
      <c r="E172" s="41">
        <f>291.8-352.37</f>
        <v>-60.569999999999993</v>
      </c>
      <c r="F172" s="38"/>
      <c r="G172" s="50">
        <f>D172*(E172+F172)</f>
        <v>0</v>
      </c>
      <c r="H172" s="432"/>
      <c r="I172" s="362"/>
      <c r="J172" s="41"/>
      <c r="K172" s="510"/>
      <c r="L172" s="597"/>
      <c r="M172" s="99"/>
      <c r="N172" s="521"/>
      <c r="O172" s="522"/>
      <c r="P172" s="523"/>
      <c r="Q172" s="362"/>
      <c r="R172" s="502"/>
      <c r="S172" s="503"/>
      <c r="T172" s="504"/>
    </row>
    <row r="173" spans="1:21">
      <c r="A173" s="749"/>
      <c r="B173" s="506"/>
      <c r="C173" s="48" t="s">
        <v>143</v>
      </c>
      <c r="D173" s="37">
        <v>2086</v>
      </c>
      <c r="E173" s="41">
        <f>5.9647-6.1063</f>
        <v>-0.14160000000000039</v>
      </c>
      <c r="F173" s="297">
        <f t="shared" ref="F173:F175" si="19">+E173</f>
        <v>-0.14160000000000039</v>
      </c>
      <c r="G173" s="39">
        <f>ROUND(D173*(E173+F173)/2,2)</f>
        <v>-295.38</v>
      </c>
      <c r="H173" s="432"/>
      <c r="I173" s="362"/>
      <c r="J173" s="41"/>
      <c r="K173" s="510"/>
      <c r="L173" s="597"/>
      <c r="M173" s="99"/>
      <c r="N173" s="521"/>
      <c r="O173" s="522"/>
      <c r="P173" s="523"/>
      <c r="Q173" s="362"/>
      <c r="R173" s="502"/>
      <c r="S173" s="503"/>
      <c r="T173" s="504"/>
    </row>
    <row r="174" spans="1:21">
      <c r="A174" s="749"/>
      <c r="B174" s="506"/>
      <c r="C174" s="48" t="s">
        <v>144</v>
      </c>
      <c r="D174" s="37">
        <v>80</v>
      </c>
      <c r="E174" s="41">
        <v>5.9646999999999997</v>
      </c>
      <c r="F174" s="298">
        <f t="shared" si="19"/>
        <v>5.9646999999999997</v>
      </c>
      <c r="G174" s="39">
        <f>ROUND(D174*E174,2)</f>
        <v>477.18</v>
      </c>
      <c r="H174" s="432"/>
      <c r="I174" s="362"/>
      <c r="J174" s="41"/>
      <c r="K174" s="510"/>
      <c r="L174" s="597"/>
      <c r="M174" s="99"/>
      <c r="N174" s="521"/>
      <c r="O174" s="522"/>
      <c r="P174" s="523"/>
      <c r="Q174" s="362"/>
      <c r="R174" s="502"/>
      <c r="S174" s="503"/>
      <c r="T174" s="504"/>
    </row>
    <row r="175" spans="1:21" ht="15.75" thickBot="1">
      <c r="A175" s="749"/>
      <c r="B175" s="526"/>
      <c r="C175" s="99" t="s">
        <v>29</v>
      </c>
      <c r="D175" s="55">
        <v>1811</v>
      </c>
      <c r="E175" s="56">
        <v>5.9646999999999997</v>
      </c>
      <c r="F175" s="57">
        <f t="shared" si="19"/>
        <v>5.9646999999999997</v>
      </c>
      <c r="G175" s="414">
        <f>ROUND(D175*E175,2)</f>
        <v>10802.07</v>
      </c>
      <c r="H175" s="248"/>
      <c r="I175" s="203"/>
      <c r="J175" s="60"/>
      <c r="K175" s="61"/>
      <c r="L175" s="249"/>
      <c r="M175" s="54"/>
      <c r="N175" s="527"/>
      <c r="O175" s="528"/>
      <c r="P175" s="529" t="s">
        <v>87</v>
      </c>
      <c r="Q175" s="58">
        <f>+G175+J175-M175-N175-O175</f>
        <v>10802.07</v>
      </c>
      <c r="R175" s="502" t="s">
        <v>88</v>
      </c>
      <c r="S175" s="598">
        <f>SUM(N169:N175)+O169:O175</f>
        <v>0</v>
      </c>
      <c r="T175" s="598">
        <f>SUM(Q169:Q175)</f>
        <v>-181.80000000000109</v>
      </c>
    </row>
    <row r="176" spans="1:21">
      <c r="A176" s="754"/>
      <c r="B176" s="494" t="s">
        <v>104</v>
      </c>
      <c r="C176" s="71">
        <f>+[1]дек!U66</f>
        <v>0</v>
      </c>
      <c r="D176" s="495">
        <v>30</v>
      </c>
      <c r="E176" s="21">
        <v>32.332000000000001</v>
      </c>
      <c r="F176" s="21">
        <v>37.889800000000001</v>
      </c>
      <c r="G176" s="185">
        <f>ROUND(D176*(E176+F176),2)</f>
        <v>2106.65</v>
      </c>
      <c r="H176" s="496"/>
      <c r="I176" s="73">
        <v>0.85</v>
      </c>
      <c r="J176" s="73">
        <f>+H176*I176</f>
        <v>0</v>
      </c>
      <c r="K176" s="497"/>
      <c r="L176" s="439">
        <f>SUM(G176:G183)+SUM(J176:J182)</f>
        <v>16323.92</v>
      </c>
      <c r="M176" s="26">
        <v>16323.92</v>
      </c>
      <c r="N176" s="499"/>
      <c r="O176" s="500"/>
      <c r="P176" s="501" t="s">
        <v>87</v>
      </c>
      <c r="Q176" s="185">
        <f t="shared" ref="Q176" si="20">C176+G176+J176-M176-N176-O176</f>
        <v>-14217.27</v>
      </c>
      <c r="R176" s="502" t="s">
        <v>88</v>
      </c>
      <c r="S176" s="503"/>
      <c r="T176" s="504"/>
    </row>
    <row r="177" spans="1:21">
      <c r="A177" s="754"/>
      <c r="B177" s="506"/>
      <c r="C177" s="599" t="s">
        <v>96</v>
      </c>
      <c r="D177" s="234">
        <v>0</v>
      </c>
      <c r="E177" s="38">
        <f>32.332-28.8628</f>
        <v>3.4692000000000007</v>
      </c>
      <c r="F177" s="38">
        <f>37.8898-33.8306</f>
        <v>4.0592000000000041</v>
      </c>
      <c r="G177" s="235">
        <f>ROUND(D177*(E177+F177),2)</f>
        <v>0</v>
      </c>
      <c r="H177" s="448"/>
      <c r="I177" s="509"/>
      <c r="J177" s="409"/>
      <c r="K177" s="510"/>
      <c r="L177" s="48"/>
      <c r="M177" s="512"/>
      <c r="N177" s="513"/>
      <c r="O177" s="514"/>
      <c r="P177" s="515"/>
      <c r="Q177" s="262"/>
      <c r="R177" s="502"/>
      <c r="S177" s="503"/>
      <c r="T177" s="504"/>
    </row>
    <row r="178" spans="1:21">
      <c r="A178" s="754"/>
      <c r="B178" s="516" t="s">
        <v>89</v>
      </c>
      <c r="C178" s="512" t="s">
        <v>90</v>
      </c>
      <c r="D178" s="508">
        <v>7</v>
      </c>
      <c r="E178" s="101">
        <v>291.8</v>
      </c>
      <c r="F178" s="38">
        <v>37.889800000000001</v>
      </c>
      <c r="G178" s="50">
        <f>ROUND(D178*(E178+F178),2)</f>
        <v>2307.83</v>
      </c>
      <c r="H178" s="270"/>
      <c r="I178" s="41">
        <v>128.56</v>
      </c>
      <c r="J178" s="409">
        <f>ROUND(H178*I178,2)</f>
        <v>0</v>
      </c>
      <c r="K178" s="510"/>
      <c r="L178" s="600"/>
      <c r="M178" s="99"/>
      <c r="N178" s="518"/>
      <c r="O178" s="519"/>
      <c r="P178" s="515" t="s">
        <v>87</v>
      </c>
      <c r="Q178" s="271">
        <f>+G178+J178-M178-N178-O178</f>
        <v>2307.83</v>
      </c>
      <c r="R178" s="502" t="s">
        <v>88</v>
      </c>
      <c r="S178" s="503"/>
      <c r="T178" s="504"/>
    </row>
    <row r="179" spans="1:21">
      <c r="A179" s="754"/>
      <c r="B179" s="541"/>
      <c r="C179" s="84" t="s">
        <v>97</v>
      </c>
      <c r="D179" s="508">
        <v>0</v>
      </c>
      <c r="E179" s="41">
        <f>291.8-352.37</f>
        <v>-60.569999999999993</v>
      </c>
      <c r="F179" s="38"/>
      <c r="G179" s="50">
        <f>ROUND(D179*(E179+F179),2)</f>
        <v>0</v>
      </c>
      <c r="H179" s="432"/>
      <c r="I179" s="362"/>
      <c r="J179" s="41"/>
      <c r="K179" s="510"/>
      <c r="L179" s="600"/>
      <c r="M179" s="520"/>
      <c r="N179" s="521"/>
      <c r="O179" s="522"/>
      <c r="P179" s="523"/>
      <c r="Q179" s="362"/>
      <c r="R179" s="502"/>
      <c r="S179" s="503"/>
      <c r="T179" s="504"/>
    </row>
    <row r="180" spans="1:21">
      <c r="A180" s="754"/>
      <c r="B180" s="541"/>
      <c r="C180" s="84" t="s">
        <v>97</v>
      </c>
      <c r="D180" s="508">
        <v>0</v>
      </c>
      <c r="E180" s="41"/>
      <c r="F180" s="41"/>
      <c r="G180" s="50">
        <f>D180*(E180+F180)</f>
        <v>0</v>
      </c>
      <c r="H180" s="432"/>
      <c r="I180" s="362"/>
      <c r="J180" s="41"/>
      <c r="K180" s="510"/>
      <c r="L180" s="600"/>
      <c r="M180" s="520"/>
      <c r="N180" s="521"/>
      <c r="O180" s="522"/>
      <c r="P180" s="523"/>
      <c r="Q180" s="362"/>
      <c r="R180" s="502"/>
      <c r="S180" s="503"/>
      <c r="T180" s="504"/>
    </row>
    <row r="181" spans="1:21">
      <c r="A181" s="754"/>
      <c r="B181" s="506"/>
      <c r="C181" s="48" t="s">
        <v>143</v>
      </c>
      <c r="D181" s="37">
        <v>2205</v>
      </c>
      <c r="E181" s="41">
        <f>5.9647-6.1063</f>
        <v>-0.14160000000000039</v>
      </c>
      <c r="F181" s="297">
        <f t="shared" ref="F181:F183" si="21">+E181</f>
        <v>-0.14160000000000039</v>
      </c>
      <c r="G181" s="39">
        <f>ROUND(D181*(E181),2)</f>
        <v>-312.23</v>
      </c>
      <c r="H181" s="432"/>
      <c r="I181" s="362"/>
      <c r="J181" s="41"/>
      <c r="K181" s="510"/>
      <c r="L181" s="600"/>
      <c r="M181" s="520"/>
      <c r="N181" s="521"/>
      <c r="O181" s="522"/>
      <c r="P181" s="523"/>
      <c r="Q181" s="362"/>
      <c r="R181" s="502"/>
      <c r="S181" s="503"/>
      <c r="T181" s="504"/>
    </row>
    <row r="182" spans="1:21">
      <c r="A182" s="754"/>
      <c r="B182" s="506"/>
      <c r="C182" s="48" t="s">
        <v>144</v>
      </c>
      <c r="D182" s="37">
        <v>87</v>
      </c>
      <c r="E182" s="41">
        <v>5.9646999999999997</v>
      </c>
      <c r="F182" s="298">
        <f t="shared" si="21"/>
        <v>5.9646999999999997</v>
      </c>
      <c r="G182" s="39">
        <f>ROUND(D182*(E182),2)</f>
        <v>518.92999999999995</v>
      </c>
      <c r="H182" s="432"/>
      <c r="I182" s="362"/>
      <c r="J182" s="41"/>
      <c r="K182" s="510"/>
      <c r="L182" s="600"/>
      <c r="M182" s="520"/>
      <c r="N182" s="521"/>
      <c r="O182" s="522"/>
      <c r="P182" s="523"/>
      <c r="Q182" s="362"/>
      <c r="R182" s="502"/>
      <c r="S182" s="503"/>
      <c r="T182" s="504"/>
      <c r="U182" s="33"/>
    </row>
    <row r="183" spans="1:21" ht="15.75" thickBot="1">
      <c r="A183" s="754"/>
      <c r="B183" s="526"/>
      <c r="C183" s="99" t="s">
        <v>29</v>
      </c>
      <c r="D183" s="55">
        <v>1962</v>
      </c>
      <c r="E183" s="56">
        <v>5.9646999999999997</v>
      </c>
      <c r="F183" s="57">
        <f t="shared" si="21"/>
        <v>5.9646999999999997</v>
      </c>
      <c r="G183" s="414">
        <f>ROUND(D183*(E183),2)</f>
        <v>11702.74</v>
      </c>
      <c r="H183" s="248"/>
      <c r="I183" s="203"/>
      <c r="J183" s="60"/>
      <c r="K183" s="61"/>
      <c r="L183" s="204"/>
      <c r="M183" s="54"/>
      <c r="N183" s="527"/>
      <c r="O183" s="528"/>
      <c r="P183" s="529" t="s">
        <v>87</v>
      </c>
      <c r="Q183" s="362">
        <f>+G183+J183-M183-N183-O183</f>
        <v>11702.74</v>
      </c>
      <c r="R183" s="502" t="s">
        <v>88</v>
      </c>
      <c r="S183" s="598">
        <f>SUM(N176:N183)+O176:O183</f>
        <v>0</v>
      </c>
      <c r="T183" s="598">
        <f>SUM(Q176:Q183)</f>
        <v>-206.70000000000073</v>
      </c>
    </row>
    <row r="184" spans="1:21" ht="15.75" thickTop="1">
      <c r="A184" s="748">
        <v>115</v>
      </c>
      <c r="B184" s="494" t="s">
        <v>105</v>
      </c>
      <c r="C184" s="71">
        <f>+[1]дек!U72</f>
        <v>0</v>
      </c>
      <c r="D184" s="495">
        <v>9</v>
      </c>
      <c r="E184" s="21">
        <v>32.332000000000001</v>
      </c>
      <c r="F184" s="21">
        <v>37.889800000000001</v>
      </c>
      <c r="G184" s="185">
        <f>ROUND(D184*(E184+F184),2)</f>
        <v>632</v>
      </c>
      <c r="H184" s="496"/>
      <c r="I184" s="73">
        <v>0.85</v>
      </c>
      <c r="J184" s="73">
        <f>+H184*I184</f>
        <v>0</v>
      </c>
      <c r="K184" s="601"/>
      <c r="L184" s="498">
        <f>SUM(G184:G191)+SUM(J184:J190)</f>
        <v>19599.55</v>
      </c>
      <c r="M184" s="26">
        <v>19599.55</v>
      </c>
      <c r="N184" s="499"/>
      <c r="O184" s="500"/>
      <c r="P184" s="501" t="s">
        <v>87</v>
      </c>
      <c r="Q184" s="595">
        <f t="shared" ref="Q184" si="22">C184+G184+J184-M184-N184-O184</f>
        <v>-18967.55</v>
      </c>
    </row>
    <row r="185" spans="1:21">
      <c r="A185" s="749"/>
      <c r="B185" s="506"/>
      <c r="C185" s="507" t="s">
        <v>96</v>
      </c>
      <c r="D185" s="234">
        <v>0</v>
      </c>
      <c r="E185" s="38">
        <f>32.332-28.8628</f>
        <v>3.4692000000000007</v>
      </c>
      <c r="F185" s="38">
        <f>37.8898-33.8306</f>
        <v>4.0592000000000041</v>
      </c>
      <c r="G185" s="235">
        <f>ROUND(D185*(E185+F185),2)</f>
        <v>0</v>
      </c>
      <c r="H185" s="448"/>
      <c r="I185" s="509"/>
      <c r="J185" s="199"/>
      <c r="K185" s="517"/>
      <c r="L185" s="511"/>
      <c r="M185" s="512"/>
      <c r="N185" s="513"/>
      <c r="O185" s="514"/>
      <c r="P185" s="515"/>
      <c r="Q185" s="262"/>
      <c r="U185" s="33"/>
    </row>
    <row r="186" spans="1:21">
      <c r="A186" s="749"/>
      <c r="B186" s="516" t="s">
        <v>89</v>
      </c>
      <c r="C186" s="512" t="s">
        <v>90</v>
      </c>
      <c r="D186" s="508">
        <v>2</v>
      </c>
      <c r="E186" s="101">
        <v>291.8</v>
      </c>
      <c r="F186" s="38">
        <v>37.889800000000001</v>
      </c>
      <c r="G186" s="50">
        <f>ROUND(D186*(E186+F186),2)</f>
        <v>659.38</v>
      </c>
      <c r="H186" s="270"/>
      <c r="I186" s="41">
        <v>128.56</v>
      </c>
      <c r="J186" s="207">
        <f>+H186*I186</f>
        <v>0</v>
      </c>
      <c r="K186" s="517"/>
      <c r="L186" s="517"/>
      <c r="M186" s="99"/>
      <c r="N186" s="518"/>
      <c r="O186" s="519"/>
      <c r="P186" s="515" t="s">
        <v>87</v>
      </c>
      <c r="Q186" s="271">
        <f>+G186+J186-M186-N186-O186</f>
        <v>659.38</v>
      </c>
    </row>
    <row r="187" spans="1:21">
      <c r="A187" s="749"/>
      <c r="B187" s="541"/>
      <c r="C187" s="84" t="s">
        <v>97</v>
      </c>
      <c r="D187" s="508">
        <v>0</v>
      </c>
      <c r="E187" s="41">
        <f>291.8-352.37</f>
        <v>-60.569999999999993</v>
      </c>
      <c r="F187" s="38"/>
      <c r="G187" s="50">
        <f>ROUND(D187*(E187+F187),2)</f>
        <v>0</v>
      </c>
      <c r="H187" s="432"/>
      <c r="I187" s="362"/>
      <c r="J187" s="207"/>
      <c r="K187" s="517"/>
      <c r="L187" s="517"/>
      <c r="M187" s="520"/>
      <c r="N187" s="521"/>
      <c r="O187" s="522"/>
      <c r="P187" s="523"/>
      <c r="Q187" s="362"/>
    </row>
    <row r="188" spans="1:21">
      <c r="A188" s="749"/>
      <c r="B188" s="541"/>
      <c r="C188" s="84"/>
      <c r="D188" s="508"/>
      <c r="E188" s="41"/>
      <c r="F188" s="41"/>
      <c r="G188" s="50"/>
      <c r="H188" s="432"/>
      <c r="I188" s="362"/>
      <c r="J188" s="207"/>
      <c r="K188" s="517"/>
      <c r="L188" s="517"/>
      <c r="M188" s="520"/>
      <c r="N188" s="521"/>
      <c r="O188" s="522"/>
      <c r="P188" s="523"/>
      <c r="Q188" s="362"/>
    </row>
    <row r="189" spans="1:21">
      <c r="A189" s="749"/>
      <c r="B189" s="506"/>
      <c r="C189" s="48" t="s">
        <v>143</v>
      </c>
      <c r="D189" s="37">
        <v>3647</v>
      </c>
      <c r="E189" s="41">
        <f>5.9647-6.1063</f>
        <v>-0.14160000000000039</v>
      </c>
      <c r="F189" s="41">
        <f t="shared" ref="F189:F194" si="23">+E189</f>
        <v>-0.14160000000000039</v>
      </c>
      <c r="G189" s="39">
        <f>ROUND(D189*E189,2)</f>
        <v>-516.41999999999996</v>
      </c>
      <c r="H189" s="432"/>
      <c r="I189" s="362"/>
      <c r="J189" s="207"/>
      <c r="K189" s="517"/>
      <c r="L189" s="517"/>
      <c r="M189" s="520"/>
      <c r="N189" s="521"/>
      <c r="O189" s="522"/>
      <c r="P189" s="523"/>
      <c r="Q189" s="362"/>
    </row>
    <row r="190" spans="1:21">
      <c r="A190" s="749"/>
      <c r="B190" s="506"/>
      <c r="C190" s="48" t="s">
        <v>144</v>
      </c>
      <c r="D190" s="37">
        <v>134</v>
      </c>
      <c r="E190" s="41">
        <v>5.9646999999999997</v>
      </c>
      <c r="F190" s="41">
        <f t="shared" si="23"/>
        <v>5.9646999999999997</v>
      </c>
      <c r="G190" s="39">
        <f>ROUND(D190*E190,2)</f>
        <v>799.27</v>
      </c>
      <c r="H190" s="432"/>
      <c r="I190" s="362"/>
      <c r="J190" s="207"/>
      <c r="K190" s="517"/>
      <c r="L190" s="517"/>
      <c r="M190" s="520"/>
      <c r="N190" s="521"/>
      <c r="O190" s="522"/>
      <c r="P190" s="523"/>
      <c r="Q190" s="362"/>
      <c r="U190" s="33"/>
    </row>
    <row r="191" spans="1:21" ht="15.75" thickBot="1">
      <c r="A191" s="750"/>
      <c r="B191" s="526"/>
      <c r="C191" s="99" t="s">
        <v>29</v>
      </c>
      <c r="D191" s="55">
        <v>3022</v>
      </c>
      <c r="E191" s="56">
        <v>5.9646999999999997</v>
      </c>
      <c r="F191" s="281">
        <f t="shared" si="23"/>
        <v>5.9646999999999997</v>
      </c>
      <c r="G191" s="58">
        <f>ROUND(D191*E191,2)</f>
        <v>18025.32</v>
      </c>
      <c r="H191" s="248"/>
      <c r="I191" s="203"/>
      <c r="J191" s="60"/>
      <c r="K191" s="61"/>
      <c r="L191" s="249"/>
      <c r="M191" s="54"/>
      <c r="N191" s="521"/>
      <c r="O191" s="528"/>
      <c r="P191" s="529" t="s">
        <v>87</v>
      </c>
      <c r="Q191" s="362">
        <f>+G191+J191-M191-N191-O191</f>
        <v>18025.32</v>
      </c>
    </row>
    <row r="192" spans="1:21">
      <c r="A192" s="748">
        <v>301</v>
      </c>
      <c r="B192" s="602" t="s">
        <v>106</v>
      </c>
      <c r="C192" s="48" t="s">
        <v>143</v>
      </c>
      <c r="D192" s="184">
        <v>924.21</v>
      </c>
      <c r="E192" s="41">
        <f>5.9647-6.1063</f>
        <v>-0.14160000000000039</v>
      </c>
      <c r="F192" s="23">
        <f t="shared" si="23"/>
        <v>-0.14160000000000039</v>
      </c>
      <c r="G192" s="185">
        <f>ROUND(D192*(E192),2)</f>
        <v>-130.87</v>
      </c>
      <c r="H192" s="23"/>
      <c r="I192" s="23"/>
      <c r="J192" s="23"/>
      <c r="K192" s="23"/>
      <c r="L192" s="603">
        <f>SUM(G192:G194)</f>
        <v>4628.07</v>
      </c>
      <c r="M192" s="187">
        <v>4628.07</v>
      </c>
      <c r="N192" s="604"/>
      <c r="O192" s="500"/>
      <c r="P192" s="501"/>
      <c r="Q192" s="605"/>
    </row>
    <row r="193" spans="1:17">
      <c r="A193" s="749"/>
      <c r="B193" s="506"/>
      <c r="C193" s="48" t="s">
        <v>144</v>
      </c>
      <c r="D193" s="49">
        <v>33.85</v>
      </c>
      <c r="E193" s="41">
        <v>5.9646999999999997</v>
      </c>
      <c r="F193" s="41">
        <f t="shared" si="23"/>
        <v>5.9646999999999997</v>
      </c>
      <c r="G193" s="50">
        <f>ROUND(D193*(E193),2)</f>
        <v>201.91</v>
      </c>
      <c r="H193" s="41"/>
      <c r="I193" s="41"/>
      <c r="J193" s="41"/>
      <c r="K193" s="41"/>
      <c r="L193" s="606"/>
      <c r="M193" s="606"/>
      <c r="N193" s="607"/>
      <c r="O193" s="608"/>
      <c r="P193" s="609"/>
      <c r="Q193" s="610"/>
    </row>
    <row r="194" spans="1:17" ht="15.75" thickBot="1">
      <c r="A194" s="755"/>
      <c r="B194" s="612"/>
      <c r="C194" s="99" t="s">
        <v>29</v>
      </c>
      <c r="D194" s="613">
        <v>764</v>
      </c>
      <c r="E194" s="56">
        <v>5.9646999999999997</v>
      </c>
      <c r="F194" s="281">
        <f t="shared" si="23"/>
        <v>5.9646999999999997</v>
      </c>
      <c r="G194" s="58">
        <f>ROUND(D194*(E194),2)</f>
        <v>4557.03</v>
      </c>
      <c r="H194" s="57"/>
      <c r="I194" s="57"/>
      <c r="J194" s="57"/>
      <c r="K194" s="57"/>
      <c r="L194" s="614"/>
      <c r="M194" s="606"/>
      <c r="N194" s="615"/>
      <c r="O194" s="615"/>
      <c r="P194" s="615"/>
      <c r="Q194" s="616"/>
    </row>
    <row r="195" spans="1:17">
      <c r="A195" s="756"/>
      <c r="B195" s="602" t="s">
        <v>107</v>
      </c>
      <c r="C195" s="618" t="s">
        <v>73</v>
      </c>
      <c r="D195" s="619">
        <v>5</v>
      </c>
      <c r="E195" s="21">
        <v>32.332000000000001</v>
      </c>
      <c r="F195" s="21">
        <v>37.889800000000001</v>
      </c>
      <c r="G195" s="185">
        <f>ROUND(D195*(E195+F195),2)</f>
        <v>351.11</v>
      </c>
      <c r="H195" s="620"/>
      <c r="I195" s="620"/>
      <c r="J195" s="620"/>
      <c r="K195" s="620"/>
      <c r="L195" s="603">
        <f>SUM(G195:G199,J195:J199)</f>
        <v>4813.22</v>
      </c>
      <c r="M195" s="187">
        <v>4813.22</v>
      </c>
      <c r="N195" s="621"/>
      <c r="O195" s="621"/>
      <c r="P195" s="621"/>
      <c r="Q195" s="622"/>
    </row>
    <row r="196" spans="1:17">
      <c r="A196" s="755"/>
      <c r="B196" s="612"/>
      <c r="C196" s="542" t="s">
        <v>96</v>
      </c>
      <c r="D196" s="234">
        <v>0</v>
      </c>
      <c r="E196" s="38">
        <f>32.332-28.8628</f>
        <v>3.4692000000000007</v>
      </c>
      <c r="F196" s="38">
        <f>37.8898-33.8306</f>
        <v>4.0592000000000041</v>
      </c>
      <c r="G196" s="235">
        <f>ROUND(D196*(E196+F196),2)</f>
        <v>0</v>
      </c>
      <c r="H196" s="298"/>
      <c r="I196" s="298"/>
      <c r="J196" s="298"/>
      <c r="K196" s="298"/>
      <c r="L196" s="606"/>
      <c r="M196" s="606"/>
      <c r="N196" s="615"/>
      <c r="O196" s="615"/>
      <c r="P196" s="615"/>
      <c r="Q196" s="616"/>
    </row>
    <row r="197" spans="1:17">
      <c r="A197" s="755"/>
      <c r="B197" s="612"/>
      <c r="C197" s="48" t="s">
        <v>143</v>
      </c>
      <c r="D197" s="623">
        <v>881</v>
      </c>
      <c r="E197" s="41">
        <f>5.9647-6.1063</f>
        <v>-0.14160000000000039</v>
      </c>
      <c r="F197" s="41">
        <f>+E197</f>
        <v>-0.14160000000000039</v>
      </c>
      <c r="G197" s="50">
        <f>ROUND(D197*(E197),2)</f>
        <v>-124.75</v>
      </c>
      <c r="H197" s="298"/>
      <c r="I197" s="298"/>
      <c r="J197" s="298"/>
      <c r="K197" s="298"/>
      <c r="L197" s="614"/>
      <c r="M197" s="606"/>
      <c r="N197" s="615"/>
      <c r="O197" s="615"/>
      <c r="P197" s="615"/>
      <c r="Q197" s="616"/>
    </row>
    <row r="198" spans="1:17">
      <c r="A198" s="755"/>
      <c r="B198" s="612"/>
      <c r="C198" s="48" t="s">
        <v>144</v>
      </c>
      <c r="D198" s="623">
        <v>33</v>
      </c>
      <c r="E198" s="41">
        <v>5.9646999999999997</v>
      </c>
      <c r="F198" s="41">
        <f>+E198</f>
        <v>5.9646999999999997</v>
      </c>
      <c r="G198" s="39">
        <f>ROUND(D198*(E198),2)</f>
        <v>196.84</v>
      </c>
      <c r="H198" s="298"/>
      <c r="I198" s="298"/>
      <c r="J198" s="298"/>
      <c r="K198" s="298"/>
      <c r="L198" s="614"/>
      <c r="M198" s="273"/>
      <c r="N198" s="615"/>
      <c r="O198" s="615"/>
      <c r="P198" s="615"/>
      <c r="Q198" s="616"/>
    </row>
    <row r="199" spans="1:17" ht="15.75" thickBot="1">
      <c r="A199" s="757"/>
      <c r="B199" s="526"/>
      <c r="C199" s="99" t="s">
        <v>29</v>
      </c>
      <c r="D199" s="625">
        <v>736</v>
      </c>
      <c r="E199" s="56">
        <v>5.9646999999999997</v>
      </c>
      <c r="F199" s="281">
        <f>+E199</f>
        <v>5.9646999999999997</v>
      </c>
      <c r="G199" s="414">
        <f>ROUND(D199*(E199),2)</f>
        <v>4390.0200000000004</v>
      </c>
      <c r="H199" s="41"/>
      <c r="I199" s="41"/>
      <c r="J199" s="41"/>
      <c r="K199" s="41"/>
      <c r="L199" s="606"/>
      <c r="M199" s="606"/>
      <c r="N199" s="626"/>
      <c r="O199" s="626"/>
      <c r="P199" s="626"/>
      <c r="Q199" s="627"/>
    </row>
    <row r="200" spans="1:17" ht="15.75" thickTop="1">
      <c r="A200" s="748"/>
      <c r="B200" s="494" t="s">
        <v>108</v>
      </c>
      <c r="C200" s="71">
        <f>+[1]дек!U87</f>
        <v>0</v>
      </c>
      <c r="D200" s="495">
        <v>3</v>
      </c>
      <c r="E200" s="21">
        <v>32.332000000000001</v>
      </c>
      <c r="F200" s="21">
        <v>37.889800000000001</v>
      </c>
      <c r="G200" s="185">
        <f>ROUND(D200*(E200+F200),2)</f>
        <v>210.67</v>
      </c>
      <c r="H200" s="496"/>
      <c r="I200" s="73">
        <v>0.85</v>
      </c>
      <c r="J200" s="73">
        <f>+H200*I200</f>
        <v>0</v>
      </c>
      <c r="K200" s="628"/>
      <c r="L200" s="629">
        <f>SUM(G200:G206)+SUM(J200:J205)</f>
        <v>3127.9</v>
      </c>
      <c r="M200" s="630">
        <v>3127.9</v>
      </c>
      <c r="N200" s="594"/>
      <c r="O200" s="631"/>
      <c r="P200" s="515" t="s">
        <v>87</v>
      </c>
      <c r="Q200" s="595">
        <f t="shared" ref="Q200:Q202" si="24">C200+G200+J200-M200-N200-O200</f>
        <v>-2917.23</v>
      </c>
    </row>
    <row r="201" spans="1:17">
      <c r="A201" s="749"/>
      <c r="B201" s="506"/>
      <c r="C201" s="542" t="s">
        <v>96</v>
      </c>
      <c r="D201" s="234">
        <v>0</v>
      </c>
      <c r="E201" s="38">
        <f>32.332-28.8628</f>
        <v>3.4692000000000007</v>
      </c>
      <c r="F201" s="38">
        <f>37.8898-33.8306</f>
        <v>4.0592000000000041</v>
      </c>
      <c r="G201" s="235">
        <f>ROUND(D201*(E201+F201),2)</f>
        <v>0</v>
      </c>
      <c r="H201" s="448"/>
      <c r="I201" s="509"/>
      <c r="J201" s="409"/>
      <c r="K201" s="510"/>
      <c r="L201" s="632"/>
      <c r="M201" s="512"/>
      <c r="N201" s="513"/>
      <c r="O201" s="514"/>
      <c r="P201" s="515"/>
      <c r="Q201" s="262"/>
    </row>
    <row r="202" spans="1:17">
      <c r="A202" s="749"/>
      <c r="B202" s="516" t="s">
        <v>109</v>
      </c>
      <c r="C202" s="633"/>
      <c r="D202" s="508"/>
      <c r="E202" s="101">
        <v>291.8</v>
      </c>
      <c r="F202" s="41">
        <v>33.830599999999997</v>
      </c>
      <c r="G202" s="50">
        <f>D202*(E202+F202)</f>
        <v>0</v>
      </c>
      <c r="H202" s="270"/>
      <c r="I202" s="41">
        <v>128.56</v>
      </c>
      <c r="J202" s="409">
        <f>ROUND(H202*I202,2)</f>
        <v>0</v>
      </c>
      <c r="K202" s="510"/>
      <c r="L202" s="597"/>
      <c r="M202" s="99"/>
      <c r="N202" s="518"/>
      <c r="O202" s="519"/>
      <c r="P202" s="515" t="s">
        <v>87</v>
      </c>
      <c r="Q202" s="271">
        <f t="shared" si="24"/>
        <v>0</v>
      </c>
    </row>
    <row r="203" spans="1:17">
      <c r="A203" s="749"/>
      <c r="B203" s="541"/>
      <c r="C203" s="84" t="s">
        <v>97</v>
      </c>
      <c r="D203" s="508"/>
      <c r="E203" s="41">
        <f>291.8-352.37</f>
        <v>-60.569999999999993</v>
      </c>
      <c r="F203" s="41"/>
      <c r="G203" s="50">
        <f>D203*(E203+F203)</f>
        <v>0</v>
      </c>
      <c r="H203" s="432"/>
      <c r="I203" s="362"/>
      <c r="J203" s="207"/>
      <c r="K203" s="510"/>
      <c r="L203" s="597"/>
      <c r="M203" s="520"/>
      <c r="N203" s="521"/>
      <c r="O203" s="522"/>
      <c r="P203" s="523"/>
      <c r="Q203" s="362"/>
    </row>
    <row r="204" spans="1:17">
      <c r="A204" s="749"/>
      <c r="B204" s="506"/>
      <c r="C204" s="48" t="s">
        <v>143</v>
      </c>
      <c r="D204" s="37">
        <v>502</v>
      </c>
      <c r="E204" s="41">
        <f>5.9647-6.1063</f>
        <v>-0.14160000000000039</v>
      </c>
      <c r="F204" s="41">
        <f>+E204</f>
        <v>-0.14160000000000039</v>
      </c>
      <c r="G204" s="39">
        <f>ROUND(D204*(E204),2)-0.01</f>
        <v>-71.09</v>
      </c>
      <c r="H204" s="432"/>
      <c r="I204" s="362"/>
      <c r="J204" s="207"/>
      <c r="K204" s="510"/>
      <c r="L204" s="597"/>
      <c r="M204" s="520"/>
      <c r="N204" s="521"/>
      <c r="O204" s="522"/>
      <c r="P204" s="523"/>
      <c r="Q204" s="362"/>
    </row>
    <row r="205" spans="1:17">
      <c r="A205" s="749"/>
      <c r="B205" s="506"/>
      <c r="C205" s="48" t="s">
        <v>144</v>
      </c>
      <c r="D205" s="37">
        <v>21</v>
      </c>
      <c r="E205" s="41">
        <v>5.9646999999999997</v>
      </c>
      <c r="F205" s="41">
        <f>+E205</f>
        <v>5.9646999999999997</v>
      </c>
      <c r="G205" s="39">
        <f t="shared" ref="G205:G210" si="25">ROUND(D205*(E205),2)</f>
        <v>125.26</v>
      </c>
      <c r="H205" s="432"/>
      <c r="I205" s="362"/>
      <c r="J205" s="207"/>
      <c r="K205" s="510"/>
      <c r="L205" s="597"/>
      <c r="M205" s="520"/>
      <c r="N205" s="521"/>
      <c r="O205" s="522"/>
      <c r="P205" s="523"/>
      <c r="Q205" s="362"/>
    </row>
    <row r="206" spans="1:17" ht="15.75" thickBot="1">
      <c r="A206" s="750"/>
      <c r="B206" s="526"/>
      <c r="C206" s="99" t="s">
        <v>29</v>
      </c>
      <c r="D206" s="55">
        <v>480</v>
      </c>
      <c r="E206" s="56">
        <v>5.9646999999999997</v>
      </c>
      <c r="F206" s="281">
        <f>+E206</f>
        <v>5.9646999999999997</v>
      </c>
      <c r="G206" s="414">
        <f t="shared" si="25"/>
        <v>2863.06</v>
      </c>
      <c r="H206" s="248"/>
      <c r="I206" s="203"/>
      <c r="J206" s="60"/>
      <c r="K206" s="61"/>
      <c r="L206" s="249"/>
      <c r="M206" s="54"/>
      <c r="N206" s="527"/>
      <c r="O206" s="528"/>
      <c r="P206" s="529" t="s">
        <v>87</v>
      </c>
      <c r="Q206" s="282">
        <f>+G206+J206-M206-N206-O206</f>
        <v>2863.06</v>
      </c>
    </row>
    <row r="207" spans="1:17">
      <c r="A207" s="748"/>
      <c r="B207" s="602" t="s">
        <v>110</v>
      </c>
      <c r="C207" s="48" t="s">
        <v>143</v>
      </c>
      <c r="D207" s="184">
        <v>192</v>
      </c>
      <c r="E207" s="41">
        <f>5.9647-6.1063</f>
        <v>-0.14160000000000039</v>
      </c>
      <c r="F207" s="23">
        <f t="shared" ref="F207:F209" si="26">+E207</f>
        <v>-0.14160000000000039</v>
      </c>
      <c r="G207" s="185">
        <f>ROUND(D207*(E207),2)</f>
        <v>-27.19</v>
      </c>
      <c r="H207" s="620"/>
      <c r="I207" s="620"/>
      <c r="J207" s="620"/>
      <c r="K207" s="634"/>
      <c r="L207" s="603">
        <f>SUM(G207:G210)</f>
        <v>1153.82</v>
      </c>
      <c r="M207" s="187">
        <v>1153.82</v>
      </c>
      <c r="N207" s="604"/>
      <c r="O207" s="635"/>
      <c r="P207" s="636"/>
      <c r="Q207" s="605"/>
    </row>
    <row r="208" spans="1:17">
      <c r="A208" s="749"/>
      <c r="B208" s="506"/>
      <c r="C208" s="48" t="s">
        <v>144</v>
      </c>
      <c r="D208" s="49">
        <v>8</v>
      </c>
      <c r="E208" s="41">
        <v>5.9646999999999997</v>
      </c>
      <c r="F208" s="41">
        <f t="shared" si="26"/>
        <v>5.9646999999999997</v>
      </c>
      <c r="G208" s="50">
        <f>ROUND(D208*(E208),2)</f>
        <v>47.72</v>
      </c>
      <c r="H208" s="296"/>
      <c r="I208" s="298"/>
      <c r="J208" s="298"/>
      <c r="K208" s="637"/>
      <c r="L208" s="606"/>
      <c r="M208" s="606"/>
      <c r="N208" s="607"/>
      <c r="O208" s="608"/>
      <c r="P208" s="609"/>
      <c r="Q208" s="610"/>
    </row>
    <row r="209" spans="1:17" ht="15.75" thickBot="1">
      <c r="A209" s="755"/>
      <c r="B209" s="506"/>
      <c r="C209" s="99" t="s">
        <v>29</v>
      </c>
      <c r="D209" s="296">
        <v>190</v>
      </c>
      <c r="E209" s="56">
        <v>5.9646999999999997</v>
      </c>
      <c r="F209" s="41">
        <f t="shared" si="26"/>
        <v>5.9646999999999997</v>
      </c>
      <c r="G209" s="50">
        <f t="shared" si="25"/>
        <v>1133.29</v>
      </c>
      <c r="H209" s="296"/>
      <c r="I209" s="298"/>
      <c r="J209" s="298"/>
      <c r="K209" s="637"/>
      <c r="L209" s="614"/>
      <c r="M209" s="606"/>
      <c r="N209" s="615"/>
      <c r="O209" s="615"/>
      <c r="P209" s="615"/>
      <c r="Q209" s="616"/>
    </row>
    <row r="210" spans="1:17" ht="15.75" thickBot="1">
      <c r="A210" s="758"/>
      <c r="B210" s="639" t="s">
        <v>111</v>
      </c>
      <c r="C210" s="640"/>
      <c r="D210" s="641"/>
      <c r="E210" s="311"/>
      <c r="F210" s="109"/>
      <c r="G210" s="642">
        <f t="shared" si="25"/>
        <v>0</v>
      </c>
      <c r="H210" s="643"/>
      <c r="I210" s="109"/>
      <c r="J210" s="109"/>
      <c r="K210" s="644"/>
      <c r="L210" s="640"/>
      <c r="M210" s="640"/>
      <c r="N210" s="2"/>
      <c r="O210" s="2"/>
      <c r="P210" s="2"/>
      <c r="Q210" s="2"/>
    </row>
    <row r="211" spans="1:17" ht="15.75" thickTop="1">
      <c r="A211" s="754"/>
      <c r="B211" s="602" t="s">
        <v>112</v>
      </c>
      <c r="C211" s="48" t="s">
        <v>143</v>
      </c>
      <c r="D211" s="184">
        <v>792</v>
      </c>
      <c r="E211" s="41">
        <f>5.9647-6.1063</f>
        <v>-0.14160000000000039</v>
      </c>
      <c r="F211" s="23">
        <f t="shared" ref="F211:F215" si="27">+E211</f>
        <v>-0.14160000000000039</v>
      </c>
      <c r="G211" s="185">
        <f>ROUND(D211*(E211),2)</f>
        <v>-112.15</v>
      </c>
      <c r="H211" s="620"/>
      <c r="I211" s="620"/>
      <c r="J211" s="620"/>
      <c r="K211" s="634"/>
      <c r="L211" s="603">
        <f>SUM(G211:G214)</f>
        <v>4206.3</v>
      </c>
      <c r="M211" s="187">
        <v>4206.3</v>
      </c>
      <c r="N211" s="604"/>
      <c r="O211" s="635"/>
      <c r="P211" s="636"/>
      <c r="Q211" s="605"/>
    </row>
    <row r="212" spans="1:17">
      <c r="A212" s="754"/>
      <c r="B212" s="506"/>
      <c r="C212" s="48" t="s">
        <v>144</v>
      </c>
      <c r="D212" s="49">
        <v>31</v>
      </c>
      <c r="E212" s="41">
        <v>5.9646999999999997</v>
      </c>
      <c r="F212" s="41">
        <f t="shared" si="27"/>
        <v>5.9646999999999997</v>
      </c>
      <c r="G212" s="50">
        <f t="shared" ref="G212:G213" si="28">ROUND(D212*(E212),2)</f>
        <v>184.91</v>
      </c>
      <c r="H212" s="296"/>
      <c r="I212" s="298"/>
      <c r="J212" s="298"/>
      <c r="K212" s="637"/>
      <c r="L212" s="606"/>
      <c r="M212" s="606"/>
      <c r="N212" s="607"/>
      <c r="O212" s="608"/>
      <c r="P212" s="609"/>
      <c r="Q212" s="610"/>
    </row>
    <row r="213" spans="1:17" ht="15.75" thickBot="1">
      <c r="A213" s="754"/>
      <c r="B213" s="506"/>
      <c r="C213" s="99" t="s">
        <v>29</v>
      </c>
      <c r="D213" s="296">
        <v>693</v>
      </c>
      <c r="E213" s="56">
        <v>5.9646999999999997</v>
      </c>
      <c r="F213" s="41">
        <f t="shared" si="27"/>
        <v>5.9646999999999997</v>
      </c>
      <c r="G213" s="50">
        <f t="shared" si="28"/>
        <v>4133.54</v>
      </c>
      <c r="H213" s="296"/>
      <c r="I213" s="298"/>
      <c r="J213" s="298"/>
      <c r="K213" s="637"/>
      <c r="L213" s="614"/>
      <c r="M213" s="606"/>
      <c r="N213" s="615"/>
      <c r="O213" s="615"/>
      <c r="P213" s="615"/>
      <c r="Q213" s="616"/>
    </row>
    <row r="214" spans="1:17" ht="15.75" thickBot="1">
      <c r="A214" s="754"/>
      <c r="B214" s="639"/>
      <c r="C214" s="646"/>
      <c r="D214" s="647"/>
      <c r="E214" s="648"/>
      <c r="F214" s="646"/>
      <c r="G214" s="648"/>
      <c r="H214" s="646"/>
      <c r="I214" s="646"/>
      <c r="J214" s="646"/>
      <c r="K214" s="646"/>
      <c r="L214" s="646"/>
      <c r="M214" s="646"/>
      <c r="N214" s="615"/>
      <c r="O214" s="615"/>
      <c r="P214" s="615"/>
      <c r="Q214" s="615"/>
    </row>
    <row r="215" spans="1:17" ht="15.75" thickTop="1">
      <c r="A215" s="754"/>
      <c r="B215" s="602" t="s">
        <v>127</v>
      </c>
      <c r="C215" s="48" t="s">
        <v>143</v>
      </c>
      <c r="D215" s="184">
        <v>455.3</v>
      </c>
      <c r="E215" s="41">
        <f>5.9647-6.1063</f>
        <v>-0.14160000000000039</v>
      </c>
      <c r="F215" s="23">
        <f t="shared" si="27"/>
        <v>-0.14160000000000039</v>
      </c>
      <c r="G215" s="185">
        <f>ROUND(D215*(E215),2)</f>
        <v>-64.47</v>
      </c>
      <c r="H215" s="620"/>
      <c r="I215" s="620"/>
      <c r="J215" s="620"/>
      <c r="K215" s="634"/>
      <c r="L215" s="603">
        <f>SUM(G215:G218)</f>
        <v>2938.16</v>
      </c>
      <c r="M215" s="187">
        <v>2938.16</v>
      </c>
      <c r="N215" s="604"/>
      <c r="O215" s="635"/>
      <c r="P215" s="636"/>
      <c r="Q215" s="605"/>
    </row>
    <row r="216" spans="1:17">
      <c r="A216" s="754"/>
      <c r="B216" s="506"/>
      <c r="C216" s="48" t="s">
        <v>144</v>
      </c>
      <c r="D216" s="49">
        <v>21.4</v>
      </c>
      <c r="E216" s="41">
        <v>5.9646999999999997</v>
      </c>
      <c r="F216" s="41">
        <f>+E216</f>
        <v>5.9646999999999997</v>
      </c>
      <c r="G216" s="50">
        <f>ROUND(D216*(E216),2)</f>
        <v>127.64</v>
      </c>
      <c r="H216" s="296"/>
      <c r="I216" s="298"/>
      <c r="J216" s="298"/>
      <c r="K216" s="637"/>
      <c r="L216" s="606"/>
      <c r="M216" s="606"/>
      <c r="N216" s="607"/>
      <c r="O216" s="608"/>
      <c r="P216" s="609"/>
      <c r="Q216" s="610"/>
    </row>
    <row r="217" spans="1:17" ht="15.75" thickBot="1">
      <c r="A217" s="754"/>
      <c r="B217" s="506"/>
      <c r="C217" s="99" t="s">
        <v>29</v>
      </c>
      <c r="D217" s="296">
        <v>482</v>
      </c>
      <c r="E217" s="56">
        <v>5.9646999999999997</v>
      </c>
      <c r="F217" s="41">
        <f t="shared" ref="F217" si="29">+E217</f>
        <v>5.9646999999999997</v>
      </c>
      <c r="G217" s="50">
        <f t="shared" ref="G217" si="30">ROUND(D217*(E217),2)</f>
        <v>2874.99</v>
      </c>
      <c r="H217" s="296"/>
      <c r="I217" s="298"/>
      <c r="J217" s="298"/>
      <c r="K217" s="637"/>
      <c r="L217" s="614"/>
      <c r="M217" s="606"/>
      <c r="N217" s="615"/>
      <c r="O217" s="615"/>
      <c r="P217" s="615"/>
      <c r="Q217" s="616"/>
    </row>
    <row r="218" spans="1:17" ht="15.75" thickBot="1">
      <c r="A218" s="754"/>
      <c r="B218" s="639"/>
      <c r="C218" s="646"/>
      <c r="D218" s="647"/>
      <c r="E218" s="648"/>
      <c r="F218" s="646"/>
      <c r="G218" s="648"/>
      <c r="H218" s="646"/>
      <c r="I218" s="646"/>
      <c r="J218" s="646"/>
      <c r="K218" s="646"/>
      <c r="L218" s="646"/>
      <c r="M218" s="646"/>
      <c r="N218" s="615"/>
      <c r="O218" s="615"/>
      <c r="P218" s="615"/>
      <c r="Q218" s="615"/>
    </row>
    <row r="219" spans="1:17" ht="15.75" thickTop="1">
      <c r="A219" s="754"/>
      <c r="B219" s="602" t="s">
        <v>128</v>
      </c>
      <c r="C219" s="48" t="s">
        <v>143</v>
      </c>
      <c r="D219" s="184">
        <v>863.6</v>
      </c>
      <c r="E219" s="41">
        <f>5.9647-6.1063</f>
        <v>-0.14160000000000039</v>
      </c>
      <c r="F219" s="23">
        <f t="shared" ref="F219" si="31">+E219</f>
        <v>-0.14160000000000039</v>
      </c>
      <c r="G219" s="185">
        <f>ROUND(D219*(E219),2)+0.01</f>
        <v>-122.28</v>
      </c>
      <c r="H219" s="620"/>
      <c r="I219" s="620"/>
      <c r="J219" s="620"/>
      <c r="K219" s="634"/>
      <c r="L219" s="603">
        <f>SUM(G219:G222)</f>
        <v>4443.7</v>
      </c>
      <c r="M219" s="187">
        <v>4443.7</v>
      </c>
      <c r="N219" s="604"/>
      <c r="O219" s="635"/>
      <c r="P219" s="636"/>
      <c r="Q219" s="605"/>
    </row>
    <row r="220" spans="1:17">
      <c r="A220" s="754"/>
      <c r="B220" s="506"/>
      <c r="C220" s="48" t="s">
        <v>144</v>
      </c>
      <c r="D220" s="49">
        <v>32.5</v>
      </c>
      <c r="E220" s="41">
        <v>5.9646999999999997</v>
      </c>
      <c r="F220" s="41">
        <f>+E220</f>
        <v>5.9646999999999997</v>
      </c>
      <c r="G220" s="50">
        <f>ROUND(D220*(E220),2)</f>
        <v>193.85</v>
      </c>
      <c r="H220" s="296"/>
      <c r="I220" s="298"/>
      <c r="J220" s="298"/>
      <c r="K220" s="637"/>
      <c r="L220" s="606"/>
      <c r="M220" s="606"/>
      <c r="N220" s="607"/>
      <c r="O220" s="608"/>
      <c r="P220" s="609"/>
      <c r="Q220" s="610"/>
    </row>
    <row r="221" spans="1:17" ht="15.75" thickBot="1">
      <c r="A221" s="754"/>
      <c r="B221" s="506"/>
      <c r="C221" s="99" t="s">
        <v>29</v>
      </c>
      <c r="D221" s="296">
        <v>733</v>
      </c>
      <c r="E221" s="56">
        <v>5.9646999999999997</v>
      </c>
      <c r="F221" s="41">
        <f t="shared" ref="F221" si="32">+E221</f>
        <v>5.9646999999999997</v>
      </c>
      <c r="G221" s="50">
        <f t="shared" ref="G221" si="33">ROUND(D221*(E221),2)</f>
        <v>4372.13</v>
      </c>
      <c r="H221" s="296"/>
      <c r="I221" s="298"/>
      <c r="J221" s="298"/>
      <c r="K221" s="637"/>
      <c r="L221" s="614"/>
      <c r="M221" s="606"/>
      <c r="N221" s="615"/>
      <c r="O221" s="615"/>
      <c r="P221" s="615"/>
      <c r="Q221" s="616"/>
    </row>
    <row r="222" spans="1:17" ht="15.75" thickBot="1">
      <c r="A222" s="754"/>
      <c r="B222" s="639"/>
      <c r="C222" s="646"/>
      <c r="D222" s="647"/>
      <c r="E222" s="648"/>
      <c r="F222" s="646"/>
      <c r="G222" s="648"/>
      <c r="H222" s="646"/>
      <c r="I222" s="646"/>
      <c r="J222" s="646"/>
      <c r="K222" s="646"/>
      <c r="L222" s="646"/>
      <c r="M222" s="646"/>
      <c r="N222" s="615"/>
      <c r="O222" s="615"/>
      <c r="P222" s="615"/>
      <c r="Q222" s="615"/>
    </row>
    <row r="223" spans="1:17" ht="15.75" thickTop="1">
      <c r="A223" s="705"/>
      <c r="B223" s="615"/>
      <c r="C223" s="615"/>
      <c r="D223" s="696"/>
      <c r="E223" s="473"/>
      <c r="F223" s="615"/>
      <c r="G223" s="473"/>
      <c r="H223" s="615"/>
      <c r="I223" s="615"/>
      <c r="J223" s="615"/>
      <c r="K223" s="615"/>
      <c r="L223" s="615"/>
      <c r="M223" s="615"/>
      <c r="N223" s="615"/>
      <c r="O223" s="615"/>
      <c r="P223" s="615"/>
      <c r="Q223" s="615"/>
    </row>
    <row r="224" spans="1:17" ht="15.75" thickBot="1">
      <c r="A224" s="705"/>
      <c r="B224" s="615"/>
      <c r="C224" s="615"/>
      <c r="D224" s="696"/>
      <c r="E224" s="473"/>
      <c r="F224" s="615"/>
      <c r="G224" s="473"/>
      <c r="H224" s="615"/>
      <c r="I224" s="615"/>
      <c r="J224" s="615"/>
      <c r="K224" s="615"/>
      <c r="L224" s="615"/>
      <c r="M224" s="615"/>
      <c r="N224" s="615"/>
      <c r="O224" s="615"/>
      <c r="P224" s="615"/>
      <c r="Q224" s="615"/>
    </row>
    <row r="225" spans="1:20" s="81" customFormat="1" ht="15" customHeight="1" thickTop="1">
      <c r="A225" s="476"/>
      <c r="B225" s="158"/>
      <c r="C225" s="322"/>
      <c r="D225" s="477"/>
      <c r="E225" s="163"/>
      <c r="F225" s="163"/>
      <c r="G225" s="478"/>
      <c r="H225" s="163"/>
      <c r="I225" s="163"/>
      <c r="J225" s="163"/>
      <c r="K225" s="163"/>
      <c r="L225" s="163"/>
      <c r="M225" s="164"/>
      <c r="N225" s="479"/>
      <c r="O225" s="479"/>
      <c r="P225" s="479"/>
      <c r="Q225" s="479"/>
      <c r="R225" s="422"/>
      <c r="S225" s="399"/>
      <c r="T225" s="399"/>
    </row>
    <row r="226" spans="1:20" ht="21.75" thickBot="1">
      <c r="A226" s="171" t="s">
        <v>113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  <c r="N226" s="2"/>
      <c r="O226" s="2"/>
      <c r="P226" s="2"/>
      <c r="Q226" s="2"/>
    </row>
    <row r="227" spans="1:20" ht="15.75" customHeight="1" thickTop="1" thickBot="1">
      <c r="A227" s="1555" t="s">
        <v>1</v>
      </c>
      <c r="B227" s="1543" t="s">
        <v>2</v>
      </c>
      <c r="C227" s="1545" t="s">
        <v>3</v>
      </c>
      <c r="D227" s="1546" t="s">
        <v>4</v>
      </c>
      <c r="E227" s="1546"/>
      <c r="F227" s="1546"/>
      <c r="G227" s="1546"/>
      <c r="H227" s="1547"/>
      <c r="I227" s="1548"/>
      <c r="J227" s="1548"/>
      <c r="K227" s="1549"/>
      <c r="L227" s="1524" t="s">
        <v>6</v>
      </c>
      <c r="M227" s="1511" t="s">
        <v>7</v>
      </c>
      <c r="N227" s="1551" t="s">
        <v>8</v>
      </c>
      <c r="O227" s="1551"/>
      <c r="P227" s="1551"/>
      <c r="Q227" s="1552"/>
      <c r="R227" s="481"/>
      <c r="S227" s="482" t="s">
        <v>20</v>
      </c>
      <c r="T227" s="482" t="s">
        <v>21</v>
      </c>
    </row>
    <row r="228" spans="1:20" ht="26.25" thickBot="1">
      <c r="A228" s="1556"/>
      <c r="B228" s="1557"/>
      <c r="C228" s="1558" t="s">
        <v>10</v>
      </c>
      <c r="D228" s="483" t="s">
        <v>11</v>
      </c>
      <c r="E228" s="649" t="s">
        <v>12</v>
      </c>
      <c r="F228" s="649" t="s">
        <v>13</v>
      </c>
      <c r="G228" s="650" t="s">
        <v>14</v>
      </c>
      <c r="H228" s="651" t="s">
        <v>11</v>
      </c>
      <c r="I228" s="652" t="s">
        <v>15</v>
      </c>
      <c r="J228" s="653"/>
      <c r="K228" s="654" t="s">
        <v>16</v>
      </c>
      <c r="L228" s="1525"/>
      <c r="M228" s="1554"/>
      <c r="N228" s="655"/>
      <c r="O228" s="653"/>
      <c r="P228" s="656" t="s">
        <v>18</v>
      </c>
      <c r="Q228" s="657" t="s">
        <v>19</v>
      </c>
      <c r="R228" s="491"/>
      <c r="S228" s="492"/>
      <c r="T228" s="492"/>
    </row>
    <row r="229" spans="1:20" ht="15.75">
      <c r="A229" s="759"/>
      <c r="B229" s="659" t="s">
        <v>55</v>
      </c>
      <c r="C229" s="48" t="s">
        <v>143</v>
      </c>
      <c r="D229" s="259">
        <v>1709.8</v>
      </c>
      <c r="E229" s="41">
        <f>5.9647-6.1063</f>
        <v>-0.14160000000000039</v>
      </c>
      <c r="F229" s="620">
        <f t="shared" ref="F229:F230" si="34">+E229</f>
        <v>-0.14160000000000039</v>
      </c>
      <c r="G229" s="214">
        <f>ROUND(D229*E229,2)+0.01</f>
        <v>-242.10000000000002</v>
      </c>
      <c r="H229" s="303"/>
      <c r="I229" s="23"/>
      <c r="J229" s="23"/>
      <c r="K229" s="23"/>
      <c r="L229" s="603">
        <f>SUM(G229:G231)</f>
        <v>9250.1200000000008</v>
      </c>
      <c r="M229" s="187">
        <v>9250.1200000000008</v>
      </c>
      <c r="N229" s="660"/>
      <c r="O229" s="217"/>
      <c r="P229" s="661"/>
      <c r="Q229" s="219"/>
    </row>
    <row r="230" spans="1:20" ht="15.75">
      <c r="A230" s="760"/>
      <c r="B230" s="35"/>
      <c r="C230" s="48" t="s">
        <v>144</v>
      </c>
      <c r="D230" s="269">
        <v>53.25</v>
      </c>
      <c r="E230" s="41">
        <v>5.9646999999999997</v>
      </c>
      <c r="F230" s="298">
        <f t="shared" si="34"/>
        <v>5.9646999999999997</v>
      </c>
      <c r="G230" s="235">
        <f>ROUND(D230*E230,2)</f>
        <v>317.62</v>
      </c>
      <c r="H230" s="270"/>
      <c r="I230" s="41"/>
      <c r="J230" s="41"/>
      <c r="K230" s="41"/>
      <c r="L230" s="606"/>
      <c r="M230" s="606"/>
      <c r="N230" s="663"/>
      <c r="O230" s="237"/>
      <c r="P230" s="275"/>
      <c r="Q230" s="238"/>
    </row>
    <row r="231" spans="1:20" ht="15.75" thickBot="1">
      <c r="A231" s="761"/>
      <c r="B231" s="665"/>
      <c r="C231" s="99" t="s">
        <v>29</v>
      </c>
      <c r="D231" s="613">
        <v>1538.15</v>
      </c>
      <c r="E231" s="56">
        <v>5.9646999999999997</v>
      </c>
      <c r="F231" s="57"/>
      <c r="G231" s="247">
        <f>ROUND(D231*E231,2)</f>
        <v>9174.6</v>
      </c>
      <c r="H231" s="613"/>
      <c r="I231" s="57"/>
      <c r="J231" s="57"/>
      <c r="K231" s="57"/>
      <c r="L231" s="614"/>
      <c r="M231" s="606"/>
      <c r="N231" s="57"/>
      <c r="O231" s="57"/>
      <c r="P231" s="57"/>
      <c r="Q231" s="666"/>
    </row>
    <row r="232" spans="1:20">
      <c r="A232" s="762"/>
      <c r="B232" s="659" t="s">
        <v>116</v>
      </c>
      <c r="C232" s="668" t="s">
        <v>73</v>
      </c>
      <c r="D232" s="669">
        <v>6</v>
      </c>
      <c r="E232" s="21">
        <v>32.332000000000001</v>
      </c>
      <c r="F232" s="21">
        <v>37.889800000000001</v>
      </c>
      <c r="G232" s="214">
        <f>+D232*(E232+F232)</f>
        <v>421.33080000000001</v>
      </c>
      <c r="H232" s="687"/>
      <c r="I232" s="688">
        <v>35.612400000000001</v>
      </c>
      <c r="J232" s="670">
        <f>ROUND(H232*I232,2)</f>
        <v>0</v>
      </c>
      <c r="K232" s="689"/>
      <c r="L232" s="603">
        <f>SUM(G232:G238)+SUM(J232:J236)</f>
        <v>9231.6507999999994</v>
      </c>
      <c r="M232" s="187">
        <v>9231.65</v>
      </c>
      <c r="N232" s="670"/>
      <c r="O232" s="670"/>
      <c r="P232" s="670"/>
      <c r="Q232" s="670"/>
    </row>
    <row r="233" spans="1:20">
      <c r="A233" s="763"/>
      <c r="B233" s="672"/>
      <c r="C233" s="48"/>
      <c r="D233" s="673"/>
      <c r="E233" s="41"/>
      <c r="F233" s="298"/>
      <c r="G233" s="235">
        <f>+D233*E233</f>
        <v>0</v>
      </c>
      <c r="H233" s="687">
        <v>7</v>
      </c>
      <c r="I233" s="688">
        <v>13.13</v>
      </c>
      <c r="J233" s="670">
        <f>ROUND(H233*I233,2)</f>
        <v>91.91</v>
      </c>
      <c r="K233" s="689">
        <v>42826</v>
      </c>
      <c r="L233" s="606"/>
      <c r="M233" s="606"/>
      <c r="N233" s="298"/>
      <c r="O233" s="298"/>
      <c r="P233" s="298"/>
      <c r="Q233" s="298"/>
    </row>
    <row r="234" spans="1:20">
      <c r="A234" s="763"/>
      <c r="B234" s="442"/>
      <c r="C234" s="48"/>
      <c r="D234" s="673"/>
      <c r="E234" s="41"/>
      <c r="F234" s="298"/>
      <c r="G234" s="235">
        <f>ROUND(D234*E234,2)</f>
        <v>0</v>
      </c>
      <c r="H234" s="687"/>
      <c r="I234" s="688">
        <v>0.76700000000000002</v>
      </c>
      <c r="J234" s="670">
        <f>ROUND(H234*I234,2)</f>
        <v>0</v>
      </c>
      <c r="K234" s="689"/>
      <c r="L234" s="614">
        <f>SUM(G234:G235)</f>
        <v>0</v>
      </c>
      <c r="M234" s="606"/>
      <c r="N234" s="298"/>
      <c r="O234" s="298"/>
      <c r="P234" s="298"/>
      <c r="Q234" s="298"/>
    </row>
    <row r="235" spans="1:20">
      <c r="A235" s="763"/>
      <c r="B235" s="35"/>
      <c r="C235" s="606"/>
      <c r="D235" s="673"/>
      <c r="E235" s="41"/>
      <c r="F235" s="298"/>
      <c r="G235" s="235">
        <f>ROUND(D235*E235,2)</f>
        <v>0</v>
      </c>
      <c r="H235" s="270"/>
      <c r="I235" s="41"/>
      <c r="J235" s="670"/>
      <c r="K235" s="670"/>
      <c r="L235" s="614"/>
      <c r="M235" s="273"/>
      <c r="N235" s="298"/>
      <c r="O235" s="298"/>
      <c r="P235" s="298"/>
      <c r="Q235" s="298"/>
    </row>
    <row r="236" spans="1:20" ht="15.75">
      <c r="A236" s="764"/>
      <c r="B236" s="672"/>
      <c r="C236" s="48" t="s">
        <v>143</v>
      </c>
      <c r="D236" s="269">
        <v>1656.8</v>
      </c>
      <c r="E236" s="41">
        <f>5.9647-6.1063</f>
        <v>-0.14160000000000039</v>
      </c>
      <c r="F236" s="298">
        <f t="shared" ref="F236:F237" si="35">+E236</f>
        <v>-0.14160000000000039</v>
      </c>
      <c r="G236" s="235">
        <f>ROUND(D236*E236,2)</f>
        <v>-234.6</v>
      </c>
      <c r="H236" s="270"/>
      <c r="I236" s="41"/>
      <c r="J236" s="670"/>
      <c r="K236" s="670"/>
      <c r="L236" s="606"/>
      <c r="M236" s="606"/>
      <c r="N236" s="663"/>
      <c r="O236" s="237"/>
      <c r="P236" s="275"/>
      <c r="Q236" s="237"/>
    </row>
    <row r="237" spans="1:20" ht="15.75">
      <c r="A237" s="764"/>
      <c r="B237" s="35"/>
      <c r="C237" s="48" t="s">
        <v>144</v>
      </c>
      <c r="D237" s="269">
        <v>50.2</v>
      </c>
      <c r="E237" s="41">
        <v>5.9646999999999997</v>
      </c>
      <c r="F237" s="298">
        <f t="shared" si="35"/>
        <v>5.9646999999999997</v>
      </c>
      <c r="G237" s="235">
        <f>ROUND(D237*E237,2)-0.01</f>
        <v>299.42</v>
      </c>
      <c r="H237" s="270"/>
      <c r="I237" s="41"/>
      <c r="J237" s="41"/>
      <c r="K237" s="41"/>
      <c r="L237" s="614"/>
      <c r="M237" s="606"/>
      <c r="N237" s="663"/>
      <c r="O237" s="237"/>
      <c r="P237" s="275"/>
      <c r="Q237" s="237"/>
    </row>
    <row r="238" spans="1:20" ht="15.75" thickBot="1">
      <c r="A238" s="765"/>
      <c r="B238" s="676"/>
      <c r="C238" s="107" t="s">
        <v>29</v>
      </c>
      <c r="D238" s="643">
        <v>1450.8</v>
      </c>
      <c r="E238" s="56">
        <v>5.9646999999999997</v>
      </c>
      <c r="F238" s="109"/>
      <c r="G238" s="309">
        <f t="shared" ref="G238:G247" si="36">ROUND(D238*E238,2)</f>
        <v>8653.59</v>
      </c>
      <c r="H238" s="643"/>
      <c r="I238" s="109"/>
      <c r="J238" s="109"/>
      <c r="K238" s="109"/>
      <c r="L238" s="677"/>
      <c r="M238" s="314"/>
      <c r="N238" s="109"/>
      <c r="O238" s="109"/>
      <c r="P238" s="109"/>
      <c r="Q238" s="109"/>
      <c r="R238" s="2"/>
    </row>
    <row r="239" spans="1:20" ht="16.5" thickTop="1">
      <c r="A239" s="759"/>
      <c r="B239" s="659" t="s">
        <v>117</v>
      </c>
      <c r="C239" s="48" t="s">
        <v>143</v>
      </c>
      <c r="D239" s="259">
        <v>453.2</v>
      </c>
      <c r="E239" s="41">
        <f>5.9647-6.1063</f>
        <v>-0.14160000000000039</v>
      </c>
      <c r="F239" s="691">
        <f>+E239</f>
        <v>-0.14160000000000039</v>
      </c>
      <c r="G239" s="214">
        <f t="shared" si="36"/>
        <v>-64.17</v>
      </c>
      <c r="H239" s="303"/>
      <c r="I239" s="23"/>
      <c r="J239" s="23"/>
      <c r="K239" s="23"/>
      <c r="L239" s="603">
        <f>SUM(G239:G241)</f>
        <v>2349.7399999999998</v>
      </c>
      <c r="M239" s="187">
        <v>2349.7399999999998</v>
      </c>
      <c r="N239" s="660"/>
      <c r="O239" s="217"/>
      <c r="P239" s="661"/>
      <c r="Q239" s="219"/>
      <c r="R239" s="324"/>
    </row>
    <row r="240" spans="1:20" ht="15.75">
      <c r="A240" s="760"/>
      <c r="B240" s="35"/>
      <c r="C240" s="48" t="s">
        <v>144</v>
      </c>
      <c r="D240" s="269">
        <v>13.5</v>
      </c>
      <c r="E240" s="41">
        <v>5.9646999999999997</v>
      </c>
      <c r="F240" s="298">
        <f t="shared" ref="F240" si="37">+E240</f>
        <v>5.9646999999999997</v>
      </c>
      <c r="G240" s="235">
        <f t="shared" si="36"/>
        <v>80.52</v>
      </c>
      <c r="H240" s="270"/>
      <c r="I240" s="41"/>
      <c r="J240" s="41"/>
      <c r="K240" s="41"/>
      <c r="L240" s="606"/>
      <c r="M240" s="606"/>
      <c r="N240" s="663"/>
      <c r="O240" s="237"/>
      <c r="P240" s="275"/>
      <c r="Q240" s="238"/>
    </row>
    <row r="241" spans="1:17" ht="15.75" thickBot="1">
      <c r="A241" s="761"/>
      <c r="B241" s="665"/>
      <c r="C241" s="99" t="s">
        <v>29</v>
      </c>
      <c r="D241" s="613">
        <v>391.2</v>
      </c>
      <c r="E241" s="56">
        <v>5.9646999999999997</v>
      </c>
      <c r="F241" s="57"/>
      <c r="G241" s="247">
        <f t="shared" si="36"/>
        <v>2333.39</v>
      </c>
      <c r="H241" s="613"/>
      <c r="I241" s="57"/>
      <c r="J241" s="57"/>
      <c r="K241" s="57"/>
      <c r="L241" s="614"/>
      <c r="M241" s="606"/>
      <c r="N241" s="57"/>
      <c r="O241" s="57"/>
      <c r="P241" s="57"/>
      <c r="Q241" s="666"/>
    </row>
    <row r="242" spans="1:17" ht="15.75">
      <c r="A242" s="759"/>
      <c r="B242" s="659" t="s">
        <v>142</v>
      </c>
      <c r="C242" s="48" t="s">
        <v>143</v>
      </c>
      <c r="D242" s="259">
        <v>89.8</v>
      </c>
      <c r="E242" s="41">
        <f>5.9647-6.1063</f>
        <v>-0.14160000000000039</v>
      </c>
      <c r="F242" s="691">
        <f>+E242</f>
        <v>-0.14160000000000039</v>
      </c>
      <c r="G242" s="214">
        <f t="shared" si="36"/>
        <v>-12.72</v>
      </c>
      <c r="H242" s="303"/>
      <c r="I242" s="23"/>
      <c r="J242" s="23"/>
      <c r="K242" s="23"/>
      <c r="L242" s="603">
        <f>SUM(G242:G244)</f>
        <v>2595.6400000000003</v>
      </c>
      <c r="M242" s="187">
        <v>2595.64</v>
      </c>
      <c r="N242" s="660"/>
      <c r="O242" s="217"/>
      <c r="P242" s="661"/>
      <c r="Q242" s="219"/>
    </row>
    <row r="243" spans="1:17" ht="15.75">
      <c r="A243" s="760"/>
      <c r="B243" s="35"/>
      <c r="C243" s="48" t="s">
        <v>144</v>
      </c>
      <c r="D243" s="269">
        <v>14.6</v>
      </c>
      <c r="E243" s="41">
        <v>5.9646999999999997</v>
      </c>
      <c r="F243" s="298">
        <f t="shared" ref="F243" si="38">+E243</f>
        <v>5.9646999999999997</v>
      </c>
      <c r="G243" s="235">
        <f t="shared" si="36"/>
        <v>87.08</v>
      </c>
      <c r="H243" s="270"/>
      <c r="I243" s="41"/>
      <c r="J243" s="41"/>
      <c r="K243" s="41"/>
      <c r="L243" s="606"/>
      <c r="M243" s="606"/>
      <c r="N243" s="663"/>
      <c r="O243" s="237"/>
      <c r="P243" s="275"/>
      <c r="Q243" s="238"/>
    </row>
    <row r="244" spans="1:17" ht="15.75" thickBot="1">
      <c r="A244" s="761"/>
      <c r="B244" s="665"/>
      <c r="C244" s="99" t="s">
        <v>29</v>
      </c>
      <c r="D244" s="613">
        <v>422.7</v>
      </c>
      <c r="E244" s="56">
        <v>5.9646999999999997</v>
      </c>
      <c r="F244" s="57"/>
      <c r="G244" s="247">
        <f t="shared" si="36"/>
        <v>2521.2800000000002</v>
      </c>
      <c r="H244" s="613"/>
      <c r="I244" s="57"/>
      <c r="J244" s="57"/>
      <c r="K244" s="57"/>
      <c r="L244" s="614"/>
      <c r="M244" s="606"/>
      <c r="N244" s="57"/>
      <c r="O244" s="57"/>
      <c r="P244" s="57"/>
      <c r="Q244" s="666"/>
    </row>
    <row r="245" spans="1:17" ht="15.75">
      <c r="A245" s="759"/>
      <c r="B245" s="659" t="s">
        <v>148</v>
      </c>
      <c r="C245" s="48" t="s">
        <v>143</v>
      </c>
      <c r="D245" s="259">
        <v>0</v>
      </c>
      <c r="E245" s="41">
        <f>5.9647-6.1063</f>
        <v>-0.14160000000000039</v>
      </c>
      <c r="F245" s="691">
        <f>+E245</f>
        <v>-0.14160000000000039</v>
      </c>
      <c r="G245" s="214">
        <f t="shared" si="36"/>
        <v>0</v>
      </c>
      <c r="H245" s="303"/>
      <c r="I245" s="23"/>
      <c r="J245" s="23"/>
      <c r="K245" s="23"/>
      <c r="L245" s="603">
        <f>SUM(G245:G247)</f>
        <v>674.61</v>
      </c>
      <c r="M245" s="187">
        <v>674.61</v>
      </c>
      <c r="N245" s="660"/>
      <c r="O245" s="217"/>
      <c r="P245" s="661"/>
      <c r="Q245" s="219"/>
    </row>
    <row r="246" spans="1:17" ht="15.75">
      <c r="A246" s="760"/>
      <c r="B246" s="35"/>
      <c r="C246" s="48" t="s">
        <v>144</v>
      </c>
      <c r="D246" s="269">
        <v>3.8</v>
      </c>
      <c r="E246" s="41">
        <v>5.9646999999999997</v>
      </c>
      <c r="F246" s="298">
        <f t="shared" ref="F246" si="39">+E246</f>
        <v>5.9646999999999997</v>
      </c>
      <c r="G246" s="235">
        <f t="shared" si="36"/>
        <v>22.67</v>
      </c>
      <c r="H246" s="270"/>
      <c r="I246" s="41"/>
      <c r="J246" s="41"/>
      <c r="K246" s="41"/>
      <c r="L246" s="606"/>
      <c r="M246" s="606"/>
      <c r="N246" s="663"/>
      <c r="O246" s="237"/>
      <c r="P246" s="275"/>
      <c r="Q246" s="238"/>
    </row>
    <row r="247" spans="1:17" ht="15.75" thickBot="1">
      <c r="A247" s="761"/>
      <c r="B247" s="665"/>
      <c r="C247" s="99" t="s">
        <v>29</v>
      </c>
      <c r="D247" s="613">
        <v>109.3</v>
      </c>
      <c r="E247" s="56">
        <v>5.9646999999999997</v>
      </c>
      <c r="F247" s="57"/>
      <c r="G247" s="247">
        <f t="shared" si="36"/>
        <v>651.94000000000005</v>
      </c>
      <c r="H247" s="613"/>
      <c r="I247" s="57"/>
      <c r="J247" s="57"/>
      <c r="K247" s="57"/>
      <c r="L247" s="614"/>
      <c r="M247" s="606"/>
      <c r="N247" s="57"/>
      <c r="O247" s="57"/>
      <c r="P247" s="57"/>
      <c r="Q247" s="666"/>
    </row>
  </sheetData>
  <mergeCells count="40">
    <mergeCell ref="M227:M228"/>
    <mergeCell ref="N227:Q227"/>
    <mergeCell ref="A227:A228"/>
    <mergeCell ref="B227:B228"/>
    <mergeCell ref="C227:C228"/>
    <mergeCell ref="D227:G227"/>
    <mergeCell ref="H227:K227"/>
    <mergeCell ref="L227:L228"/>
    <mergeCell ref="M67:M68"/>
    <mergeCell ref="N67:Q67"/>
    <mergeCell ref="A149:A150"/>
    <mergeCell ref="B149:B150"/>
    <mergeCell ref="C149:C150"/>
    <mergeCell ref="D149:G149"/>
    <mergeCell ref="H149:K149"/>
    <mergeCell ref="L149:L150"/>
    <mergeCell ref="M149:M150"/>
    <mergeCell ref="N149:Q149"/>
    <mergeCell ref="A67:A68"/>
    <mergeCell ref="B67:B68"/>
    <mergeCell ref="C67:C68"/>
    <mergeCell ref="D67:G67"/>
    <mergeCell ref="H67:K67"/>
    <mergeCell ref="L67:L68"/>
    <mergeCell ref="M2:M3"/>
    <mergeCell ref="N2:P2"/>
    <mergeCell ref="A25:A26"/>
    <mergeCell ref="B25:B26"/>
    <mergeCell ref="C25:C26"/>
    <mergeCell ref="D25:G25"/>
    <mergeCell ref="H25:K25"/>
    <mergeCell ref="L25:L26"/>
    <mergeCell ref="M25:M26"/>
    <mergeCell ref="N25:P25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63"/>
  <sheetViews>
    <sheetView topLeftCell="A127" zoomScale="90" zoomScaleNormal="90" workbookViewId="0">
      <selection activeCell="D159" sqref="D159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+[1]июнь17!U4</f>
        <v>1.7629499999166001</v>
      </c>
      <c r="D4" s="20">
        <v>32</v>
      </c>
      <c r="E4" s="21">
        <v>36.214199999999998</v>
      </c>
      <c r="F4" s="21">
        <v>42.4328</v>
      </c>
      <c r="G4" s="22">
        <f>ROUND(D4*(E4+F4),2)</f>
        <v>2516.6999999999998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117809.76999999999</v>
      </c>
      <c r="M4" s="26">
        <v>117812.99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-1.457050000099116</v>
      </c>
    </row>
    <row r="5" spans="1:21">
      <c r="A5" s="34"/>
      <c r="B5" s="35"/>
      <c r="C5" s="36" t="s">
        <v>26</v>
      </c>
      <c r="D5" s="37">
        <v>0</v>
      </c>
      <c r="E5" s="38">
        <f>32.332-28.8628</f>
        <v>3.4692000000000007</v>
      </c>
      <c r="F5" s="38">
        <f>37.8898-33.8306</f>
        <v>4.0592000000000041</v>
      </c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149</v>
      </c>
      <c r="D6" s="49">
        <v>16101.7</v>
      </c>
      <c r="E6" s="41">
        <f>5.8666-5.9647</f>
        <v>-9.8099999999999632E-2</v>
      </c>
      <c r="F6" s="41">
        <f>+E6</f>
        <v>-9.8099999999999632E-2</v>
      </c>
      <c r="G6" s="50">
        <f>ROUND(D6*E6,2)</f>
        <v>-1579.58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150</v>
      </c>
      <c r="D7" s="49">
        <v>580.29999999999995</v>
      </c>
      <c r="E7" s="41">
        <v>5.8666</v>
      </c>
      <c r="F7" s="41">
        <f>+E7</f>
        <v>5.8666</v>
      </c>
      <c r="G7" s="50">
        <f>ROUND(D7*E7,2)</f>
        <v>3404.39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19341.400000000001</v>
      </c>
      <c r="E8" s="56">
        <v>5.8666</v>
      </c>
      <c r="F8" s="57">
        <f>+E8</f>
        <v>5.8666</v>
      </c>
      <c r="G8" s="58">
        <f>ROUND(D8*E8,2)</f>
        <v>113468.26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113468.26</v>
      </c>
      <c r="R8" s="66" t="s">
        <v>25</v>
      </c>
      <c r="S8" s="67">
        <f>SUM(O4:O8)</f>
        <v>0</v>
      </c>
      <c r="T8" s="68">
        <f>SUM(Q4:Q8)</f>
        <v>113468.26</v>
      </c>
    </row>
    <row r="9" spans="1:21" s="81" customFormat="1">
      <c r="A9" s="69" t="s">
        <v>30</v>
      </c>
      <c r="B9" s="70" t="s">
        <v>31</v>
      </c>
      <c r="C9" s="71">
        <f>+[1]июнь17!U9</f>
        <v>0.15120000000752043</v>
      </c>
      <c r="D9" s="72">
        <v>92</v>
      </c>
      <c r="E9" s="21">
        <v>36.214199999999998</v>
      </c>
      <c r="F9" s="21">
        <v>42.4328</v>
      </c>
      <c r="G9" s="22">
        <f>ROUND(D9*(E9+F9),2)</f>
        <v>7235.52</v>
      </c>
      <c r="H9" s="72"/>
      <c r="I9" s="21">
        <v>4.5999999999999996</v>
      </c>
      <c r="J9" s="73">
        <f>+H9*I9</f>
        <v>0</v>
      </c>
      <c r="K9" s="24"/>
      <c r="L9" s="74">
        <f>SUM(G9:G16,J9:J15)</f>
        <v>42668.3</v>
      </c>
      <c r="M9" s="26">
        <v>42672.41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-3.9587999999930616</v>
      </c>
    </row>
    <row r="10" spans="1:21" s="81" customFormat="1">
      <c r="A10" s="82"/>
      <c r="B10" s="83"/>
      <c r="C10" s="84" t="s">
        <v>26</v>
      </c>
      <c r="D10" s="37"/>
      <c r="E10" s="38">
        <f>32.332-28.8628</f>
        <v>3.4692000000000007</v>
      </c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>
        <v>0</v>
      </c>
      <c r="E11" s="101">
        <v>291.8</v>
      </c>
      <c r="F11" s="38">
        <v>37.889800000000001</v>
      </c>
      <c r="G11" s="39">
        <f>ROUND(D11*(E11+F11),2)</f>
        <v>0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>
        <v>0</v>
      </c>
      <c r="E12" s="41">
        <f>291.8-352.37</f>
        <v>-60.569999999999993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149</v>
      </c>
      <c r="D14" s="49">
        <v>5905.7</v>
      </c>
      <c r="E14" s="41">
        <f>5.8666-5.9647</f>
        <v>-9.8099999999999632E-2</v>
      </c>
      <c r="F14" s="41">
        <f>+E14</f>
        <v>-9.8099999999999632E-2</v>
      </c>
      <c r="G14" s="50">
        <f>ROUND(D14*E14*70%+D14*F14*30%,2)</f>
        <v>-579.35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150</v>
      </c>
      <c r="D15" s="49">
        <v>178.8</v>
      </c>
      <c r="E15" s="41">
        <v>5.8666</v>
      </c>
      <c r="F15" s="41">
        <f>+E15</f>
        <v>5.8666</v>
      </c>
      <c r="G15" s="50">
        <f>ROUND(D15*E15*70%+D15*F15*30%,2)</f>
        <v>1048.95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5959.7</v>
      </c>
      <c r="E16" s="56">
        <v>5.8666</v>
      </c>
      <c r="F16" s="109">
        <f>+E16</f>
        <v>5.8666</v>
      </c>
      <c r="G16" s="110">
        <f>ROUND(D16*E16*70%+D16*F16*30%,2)</f>
        <v>34963.18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1215.56</v>
      </c>
      <c r="M23" s="26">
        <v>1215.56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149</v>
      </c>
      <c r="D24" s="37">
        <v>0</v>
      </c>
      <c r="E24" s="38"/>
      <c r="F24" s="38"/>
      <c r="G24" s="39">
        <f>ROUND(D24*(E24+F24),2)</f>
        <v>0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30"/>
      <c r="S24" s="31"/>
      <c r="T24" s="32"/>
      <c r="U24"/>
    </row>
    <row r="25" spans="1:21" s="140" customFormat="1">
      <c r="A25" s="34"/>
      <c r="B25" s="35"/>
      <c r="C25" s="48" t="s">
        <v>150</v>
      </c>
      <c r="D25" s="49">
        <v>6</v>
      </c>
      <c r="E25" s="41">
        <v>5.8666</v>
      </c>
      <c r="F25" s="41">
        <f>+E25</f>
        <v>5.8666</v>
      </c>
      <c r="G25" s="50">
        <f>ROUND(D25*E25,2)</f>
        <v>35.200000000000003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>
      <c r="A26" s="766"/>
      <c r="B26" s="767"/>
      <c r="C26" s="99" t="s">
        <v>29</v>
      </c>
      <c r="D26" s="49">
        <v>201.2</v>
      </c>
      <c r="E26" s="101">
        <v>5.8666</v>
      </c>
      <c r="F26" s="41">
        <f>+E26</f>
        <v>5.8666</v>
      </c>
      <c r="G26" s="50">
        <f>ROUND(D26*E26,2)</f>
        <v>1180.3599999999999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f>+[1]июнь17!U27</f>
        <v>-3.5419120000151452</v>
      </c>
      <c r="D30" s="184">
        <v>56.78</v>
      </c>
      <c r="E30" s="21">
        <v>36.214199999999998</v>
      </c>
      <c r="F30" s="21">
        <v>42.4328</v>
      </c>
      <c r="G30" s="185">
        <f>ROUND(D30*(E30+F30),2)</f>
        <v>4465.58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134901.85999999999</v>
      </c>
      <c r="M30" s="187">
        <v>134898.23999999999</v>
      </c>
      <c r="N30" s="188"/>
      <c r="O30" s="23">
        <v>3998.87</v>
      </c>
      <c r="P30" s="189" t="s">
        <v>47</v>
      </c>
      <c r="Q30" s="23">
        <f t="shared" ref="Q30:Q35" si="0">C30+G30+J30-M30-N30-O30</f>
        <v>-134435.07191200001</v>
      </c>
      <c r="R30" s="190" t="s">
        <v>48</v>
      </c>
      <c r="S30" s="176"/>
      <c r="U30" s="33">
        <f>+C30+L30-M30</f>
        <v>7.8087999980198219E-2</v>
      </c>
    </row>
    <row r="31" spans="1:21">
      <c r="A31" s="191"/>
      <c r="B31" s="192"/>
      <c r="C31" s="36" t="s">
        <v>26</v>
      </c>
      <c r="D31" s="37">
        <v>0</v>
      </c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149</v>
      </c>
      <c r="D32" s="49">
        <v>24297</v>
      </c>
      <c r="E32" s="41">
        <f>5.8666-5.9647</f>
        <v>-9.8099999999999632E-2</v>
      </c>
      <c r="F32" s="41">
        <f>+E32</f>
        <v>-9.8099999999999632E-2</v>
      </c>
      <c r="G32" s="50">
        <f>ROUND(D32*F32,2)</f>
        <v>-2383.54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150</v>
      </c>
      <c r="D33" s="49">
        <v>240</v>
      </c>
      <c r="E33" s="41">
        <v>5.8666</v>
      </c>
      <c r="F33" s="41">
        <f>+E33</f>
        <v>5.8666</v>
      </c>
      <c r="G33" s="50">
        <f>ROUND(D33*E33,2)</f>
        <v>1407.98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22400</v>
      </c>
      <c r="E34" s="56">
        <v>5.8666</v>
      </c>
      <c r="F34" s="57">
        <f>+E34</f>
        <v>5.8666</v>
      </c>
      <c r="G34" s="58">
        <f>ROUND(D34*E34,2)</f>
        <v>131411.84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62701.83</v>
      </c>
      <c r="R34" s="209" t="s">
        <v>50</v>
      </c>
      <c r="S34" s="210">
        <f>SUM(O30:O34)</f>
        <v>72708.87999999999</v>
      </c>
      <c r="T34" s="210">
        <f>SUM(Q30:Q34)</f>
        <v>-71733.241912000012</v>
      </c>
    </row>
    <row r="35" spans="1:21">
      <c r="A35" s="211" t="s">
        <v>51</v>
      </c>
      <c r="B35" s="212" t="s">
        <v>52</v>
      </c>
      <c r="C35" s="71">
        <f>+[1]июнь17!U32</f>
        <v>-2.272246000058658</v>
      </c>
      <c r="D35" s="213">
        <v>127.64</v>
      </c>
      <c r="E35" s="21">
        <v>36.214199999999998</v>
      </c>
      <c r="F35" s="21">
        <v>42.4328</v>
      </c>
      <c r="G35" s="214">
        <f>ROUND(D35*(E35+F35),2)</f>
        <v>10038.5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44288.159999999996</v>
      </c>
      <c r="M35" s="187">
        <v>44284.58</v>
      </c>
      <c r="N35" s="188"/>
      <c r="O35" s="217">
        <v>4253.6899999999996</v>
      </c>
      <c r="P35" s="218" t="s">
        <v>47</v>
      </c>
      <c r="Q35" s="219">
        <f t="shared" si="0"/>
        <v>-38502.042246000063</v>
      </c>
      <c r="R35" s="220" t="s">
        <v>53</v>
      </c>
      <c r="S35" s="221"/>
      <c r="T35" s="222"/>
      <c r="U35" s="33">
        <f>+C35+L35-M35</f>
        <v>1.3077539999358123</v>
      </c>
    </row>
    <row r="36" spans="1:21">
      <c r="A36" s="223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/>
      <c r="E37" s="101">
        <v>155.72</v>
      </c>
      <c r="F37" s="38">
        <v>37.889800000000001</v>
      </c>
      <c r="G37" s="235">
        <f>ROUND(D37*(E37+F37),2)</f>
        <v>0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-5456.6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/>
      <c r="E38" s="240">
        <f>155.72-178.43</f>
        <v>-22.710000000000008</v>
      </c>
      <c r="F38" s="240"/>
      <c r="G38" s="235">
        <f>+ROUND(D38*E38,2)</f>
        <v>0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>
        <v>0</v>
      </c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149</v>
      </c>
      <c r="D40" s="49">
        <v>6830.9</v>
      </c>
      <c r="E40" s="41">
        <f>5.8666-5.9647</f>
        <v>-9.8099999999999632E-2</v>
      </c>
      <c r="F40" s="41">
        <f t="shared" ref="F40:F48" si="2">+E40</f>
        <v>-9.8099999999999632E-2</v>
      </c>
      <c r="G40" s="50">
        <f>ROUND(D40*E40,2)</f>
        <v>-670.11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150</v>
      </c>
      <c r="D41" s="49">
        <v>63</v>
      </c>
      <c r="E41" s="41">
        <v>5.8666</v>
      </c>
      <c r="F41" s="41">
        <f t="shared" si="2"/>
        <v>5.8666</v>
      </c>
      <c r="G41" s="50">
        <f>ROUND(D41*E41,2)</f>
        <v>369.6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5889.3</v>
      </c>
      <c r="E42" s="56">
        <v>5.8666</v>
      </c>
      <c r="F42" s="57">
        <f t="shared" si="2"/>
        <v>5.8666</v>
      </c>
      <c r="G42" s="247">
        <f>ROUND(D42*E42*70%+D42*F42*30%,2)</f>
        <v>34550.17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18772.269999999997</v>
      </c>
      <c r="R42" s="255" t="s">
        <v>54</v>
      </c>
      <c r="S42" s="256">
        <f>SUM(O35:O42)</f>
        <v>25488.190000000002</v>
      </c>
      <c r="T42" s="256">
        <f>SUM(Q35:Q42)</f>
        <v>-25186.372246000064</v>
      </c>
    </row>
    <row r="43" spans="1:21" ht="15.75">
      <c r="A43" s="257"/>
      <c r="B43" s="258" t="s">
        <v>55</v>
      </c>
      <c r="C43" s="48" t="s">
        <v>149</v>
      </c>
      <c r="D43" s="259">
        <v>1856.53</v>
      </c>
      <c r="E43" s="41">
        <f>5.8666-5.9647</f>
        <v>-9.8099999999999632E-2</v>
      </c>
      <c r="F43" s="41">
        <f t="shared" si="2"/>
        <v>-9.8099999999999632E-2</v>
      </c>
      <c r="G43" s="214">
        <f>ROUND(D43*E43,2)+0.01</f>
        <v>-182.12</v>
      </c>
      <c r="H43" s="260"/>
      <c r="I43" s="261"/>
      <c r="J43" s="261"/>
      <c r="K43" s="262"/>
      <c r="L43" s="263">
        <f>SUM(G43:G45)</f>
        <v>10683.41</v>
      </c>
      <c r="M43" s="187">
        <v>10683.41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150</v>
      </c>
      <c r="D44" s="269">
        <v>19.61</v>
      </c>
      <c r="E44" s="41">
        <v>5.8666</v>
      </c>
      <c r="F44" s="41">
        <f t="shared" si="2"/>
        <v>5.8666</v>
      </c>
      <c r="G44" s="235">
        <f>ROUND(D44*E44,2)</f>
        <v>115.04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1832.49</v>
      </c>
      <c r="E45" s="56">
        <v>5.8666</v>
      </c>
      <c r="F45" s="57">
        <f t="shared" si="2"/>
        <v>5.8666</v>
      </c>
      <c r="G45" s="247">
        <f t="shared" ref="G45:G48" si="3">ROUND(D45*E45,2)</f>
        <v>10750.49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149</v>
      </c>
      <c r="D46" s="259">
        <v>307.60000000000002</v>
      </c>
      <c r="E46" s="41">
        <f>5.8666-5.9647</f>
        <v>-9.8099999999999632E-2</v>
      </c>
      <c r="F46" s="41">
        <f t="shared" si="2"/>
        <v>-9.8099999999999632E-2</v>
      </c>
      <c r="G46" s="214">
        <f>ROUND(D46*E46,2)+0.01</f>
        <v>-30.169999999999998</v>
      </c>
      <c r="H46" s="260"/>
      <c r="I46" s="261"/>
      <c r="J46" s="261"/>
      <c r="K46" s="262"/>
      <c r="L46" s="286">
        <f>SUM(G46:G48)</f>
        <v>1478.72</v>
      </c>
      <c r="M46" s="227">
        <v>1478.72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150</v>
      </c>
      <c r="D47" s="269">
        <v>2.7</v>
      </c>
      <c r="E47" s="41">
        <v>5.8666</v>
      </c>
      <c r="F47" s="41">
        <f t="shared" si="2"/>
        <v>5.8666</v>
      </c>
      <c r="G47" s="235">
        <f>ROUND(D47*E47,2)</f>
        <v>15.84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254.5</v>
      </c>
      <c r="E48" s="56">
        <v>5.8666</v>
      </c>
      <c r="F48" s="57">
        <f t="shared" si="2"/>
        <v>5.8666</v>
      </c>
      <c r="G48" s="247">
        <f t="shared" si="3"/>
        <v>1493.05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5.75">
      <c r="A49" s="285"/>
      <c r="B49" s="291" t="s">
        <v>57</v>
      </c>
      <c r="C49" s="292"/>
      <c r="D49" s="259">
        <v>0.73499999999999999</v>
      </c>
      <c r="E49" s="21">
        <v>36.214199999999998</v>
      </c>
      <c r="F49" s="21">
        <v>42.4328</v>
      </c>
      <c r="G49" s="214">
        <f>ROUND(D49*(E49+F49),2)</f>
        <v>57.81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201.41</v>
      </c>
      <c r="M49" s="227">
        <v>201.41</v>
      </c>
      <c r="N49" s="264"/>
      <c r="O49" s="229"/>
      <c r="P49" s="265"/>
      <c r="Q49" s="229"/>
      <c r="R49" s="242"/>
      <c r="S49" s="266"/>
      <c r="T49" s="266"/>
    </row>
    <row r="50" spans="1:20" ht="15.75">
      <c r="A50" s="289"/>
      <c r="B50" s="268"/>
      <c r="C50" s="292"/>
      <c r="D50" s="269">
        <v>0</v>
      </c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>
      <c r="A51" s="289"/>
      <c r="B51" s="268"/>
      <c r="C51" s="48" t="s">
        <v>149</v>
      </c>
      <c r="D51" s="296">
        <v>25.3</v>
      </c>
      <c r="E51" s="41">
        <f>5.8666-5.9647</f>
        <v>-9.8099999999999632E-2</v>
      </c>
      <c r="F51" s="41">
        <f>+E51</f>
        <v>-9.8099999999999632E-2</v>
      </c>
      <c r="G51" s="235">
        <f>ROUND(D51*E51,2)</f>
        <v>-2.48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5.75">
      <c r="A52" s="289"/>
      <c r="B52" s="268"/>
      <c r="C52" s="48" t="s">
        <v>150</v>
      </c>
      <c r="D52" s="269">
        <v>0.3</v>
      </c>
      <c r="E52" s="41">
        <v>5.8666</v>
      </c>
      <c r="F52" s="41">
        <f>+E52</f>
        <v>5.8666</v>
      </c>
      <c r="G52" s="235">
        <f>ROUND(D52*E52,2)</f>
        <v>1.76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thickBot="1">
      <c r="A53" s="290"/>
      <c r="B53" s="277"/>
      <c r="C53" s="99" t="s">
        <v>29</v>
      </c>
      <c r="D53" s="279">
        <v>24.6</v>
      </c>
      <c r="E53" s="56">
        <v>5.8666</v>
      </c>
      <c r="F53" s="57">
        <f>+E53</f>
        <v>5.8666</v>
      </c>
      <c r="G53" s="247">
        <f>ROUND(D53*E53,2)</f>
        <v>144.32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>
      <c r="A54" s="299"/>
      <c r="B54" s="258" t="s">
        <v>58</v>
      </c>
      <c r="C54" s="48" t="s">
        <v>59</v>
      </c>
      <c r="D54" s="259">
        <v>0.437</v>
      </c>
      <c r="E54" s="21">
        <v>36.214199999999998</v>
      </c>
      <c r="F54" s="21">
        <v>42.4328</v>
      </c>
      <c r="G54" s="214">
        <f>ROUND(D54*(E54+F54),2)</f>
        <v>34.369999999999997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1266.43</v>
      </c>
      <c r="M54" s="227">
        <v>1266.43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>
        <v>0</v>
      </c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149</v>
      </c>
      <c r="D56" s="296">
        <v>220.5</v>
      </c>
      <c r="E56" s="41">
        <f>5.8666-5.9647</f>
        <v>-9.8099999999999632E-2</v>
      </c>
      <c r="F56" s="41">
        <f t="shared" ref="F56:F70" si="6">+E56</f>
        <v>-9.8099999999999632E-2</v>
      </c>
      <c r="G56" s="235">
        <f t="shared" ref="G56:G64" si="7">ROUND(D56*E56,2)</f>
        <v>-21.63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150</v>
      </c>
      <c r="D57" s="269">
        <v>2.2999999999999998</v>
      </c>
      <c r="E57" s="41">
        <v>5.8666</v>
      </c>
      <c r="F57" s="41">
        <f t="shared" si="6"/>
        <v>5.8666</v>
      </c>
      <c r="G57" s="235">
        <f t="shared" si="7"/>
        <v>13.49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211.4</v>
      </c>
      <c r="E58" s="56">
        <v>5.8666</v>
      </c>
      <c r="F58" s="57">
        <f t="shared" si="6"/>
        <v>5.8666</v>
      </c>
      <c r="G58" s="247">
        <f t="shared" si="7"/>
        <v>1240.2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149</v>
      </c>
      <c r="D59" s="296">
        <v>169.2</v>
      </c>
      <c r="E59" s="41">
        <f>5.8666-5.9647</f>
        <v>-9.8099999999999632E-2</v>
      </c>
      <c r="F59" s="41">
        <f t="shared" si="6"/>
        <v>-9.8099999999999632E-2</v>
      </c>
      <c r="G59" s="235">
        <f>ROUND(D59*E59,2)</f>
        <v>-16.600000000000001</v>
      </c>
      <c r="H59" s="270"/>
      <c r="I59" s="41"/>
      <c r="J59" s="41"/>
      <c r="K59" s="271"/>
      <c r="L59" s="294">
        <f>SUM(G59:G61)</f>
        <v>972.45</v>
      </c>
      <c r="M59" s="227">
        <v>972.45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150</v>
      </c>
      <c r="D60" s="269">
        <v>1.78</v>
      </c>
      <c r="E60" s="41">
        <v>5.8666</v>
      </c>
      <c r="F60" s="41">
        <f t="shared" si="6"/>
        <v>5.8666</v>
      </c>
      <c r="G60" s="235">
        <f t="shared" si="7"/>
        <v>10.44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166.81</v>
      </c>
      <c r="E61" s="56">
        <v>5.8666</v>
      </c>
      <c r="F61" s="57">
        <f t="shared" si="6"/>
        <v>5.8666</v>
      </c>
      <c r="G61" s="247">
        <f t="shared" si="7"/>
        <v>978.61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149</v>
      </c>
      <c r="D62" s="296">
        <v>271.27</v>
      </c>
      <c r="E62" s="41">
        <f>5.8666-5.9647</f>
        <v>-9.8099999999999632E-2</v>
      </c>
      <c r="F62" s="41">
        <f t="shared" si="6"/>
        <v>-9.8099999999999632E-2</v>
      </c>
      <c r="G62" s="235">
        <f>ROUND(D62*E62,2)</f>
        <v>-26.61</v>
      </c>
      <c r="H62" s="270"/>
      <c r="I62" s="41"/>
      <c r="J62" s="41"/>
      <c r="K62" s="271"/>
      <c r="L62" s="294">
        <f>SUM(G62:G64)</f>
        <v>1590.34</v>
      </c>
      <c r="M62" s="227">
        <v>1590.34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150</v>
      </c>
      <c r="D63" s="269">
        <v>2.92</v>
      </c>
      <c r="E63" s="41">
        <v>5.8666</v>
      </c>
      <c r="F63" s="41">
        <f t="shared" si="6"/>
        <v>5.8666</v>
      </c>
      <c r="G63" s="235">
        <f t="shared" si="7"/>
        <v>17.13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272.7</v>
      </c>
      <c r="E64" s="56">
        <v>5.8666</v>
      </c>
      <c r="F64" s="57">
        <f t="shared" si="6"/>
        <v>5.8666</v>
      </c>
      <c r="G64" s="247">
        <f t="shared" si="7"/>
        <v>1599.82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706"/>
      <c r="B65" s="192" t="s">
        <v>145</v>
      </c>
      <c r="C65" s="48" t="s">
        <v>149</v>
      </c>
      <c r="D65" s="296">
        <v>5.26</v>
      </c>
      <c r="E65" s="41">
        <f>5.8666-5.9647</f>
        <v>-9.8099999999999632E-2</v>
      </c>
      <c r="F65" s="41">
        <f t="shared" si="6"/>
        <v>-9.8099999999999632E-2</v>
      </c>
      <c r="G65" s="235">
        <f>ROUND(D65*E65,2)+0.01</f>
        <v>-0.51</v>
      </c>
      <c r="H65" s="270"/>
      <c r="I65" s="41"/>
      <c r="J65" s="41"/>
      <c r="K65" s="271"/>
      <c r="L65" s="294">
        <f>SUM(G65:G67)</f>
        <v>29.11</v>
      </c>
      <c r="M65" s="227">
        <v>29.11</v>
      </c>
      <c r="N65" s="274"/>
      <c r="O65" s="237"/>
      <c r="P65" s="275"/>
      <c r="Q65" s="237"/>
      <c r="R65" s="242"/>
      <c r="S65" s="266"/>
      <c r="T65" s="266"/>
    </row>
    <row r="66" spans="1:21" ht="15.75">
      <c r="A66" s="706"/>
      <c r="B66" s="192"/>
      <c r="C66" s="48" t="s">
        <v>150</v>
      </c>
      <c r="D66" s="269">
        <v>0.05</v>
      </c>
      <c r="E66" s="41">
        <v>5.8666</v>
      </c>
      <c r="F66" s="41">
        <f t="shared" si="6"/>
        <v>5.8666</v>
      </c>
      <c r="G66" s="235">
        <f t="shared" ref="G66:G67" si="8">ROUND(D66*E66,2)</f>
        <v>0.28999999999999998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290"/>
      <c r="B67" s="277"/>
      <c r="C67" s="99" t="s">
        <v>29</v>
      </c>
      <c r="D67" s="279">
        <v>5</v>
      </c>
      <c r="E67" s="56">
        <v>5.8666</v>
      </c>
      <c r="F67" s="57">
        <f t="shared" si="6"/>
        <v>5.8666</v>
      </c>
      <c r="G67" s="247">
        <f t="shared" si="8"/>
        <v>29.33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706"/>
      <c r="B68" s="192" t="s">
        <v>152</v>
      </c>
      <c r="C68" s="48" t="s">
        <v>149</v>
      </c>
      <c r="D68" s="296"/>
      <c r="E68" s="41">
        <f>5.8666-5.9647</f>
        <v>-9.8099999999999632E-2</v>
      </c>
      <c r="F68" s="41">
        <f t="shared" si="6"/>
        <v>-9.8099999999999632E-2</v>
      </c>
      <c r="G68" s="235">
        <f>ROUND(D68*E68,2)+0.01</f>
        <v>0.01</v>
      </c>
      <c r="H68" s="270"/>
      <c r="I68" s="41"/>
      <c r="J68" s="41"/>
      <c r="K68" s="271"/>
      <c r="L68" s="294">
        <f>SUM(G68:G70)</f>
        <v>604.79</v>
      </c>
      <c r="M68" s="227">
        <v>604.79</v>
      </c>
      <c r="N68" s="274"/>
      <c r="O68" s="237"/>
      <c r="P68" s="275"/>
      <c r="Q68" s="237"/>
      <c r="R68" s="242"/>
      <c r="S68" s="266"/>
      <c r="T68" s="266"/>
    </row>
    <row r="69" spans="1:21" ht="15.75">
      <c r="A69" s="706"/>
      <c r="B69" s="192"/>
      <c r="C69" s="48" t="s">
        <v>150</v>
      </c>
      <c r="D69" s="269">
        <v>1.0900000000000001</v>
      </c>
      <c r="E69" s="41">
        <v>5.8666</v>
      </c>
      <c r="F69" s="41">
        <f t="shared" si="6"/>
        <v>5.8666</v>
      </c>
      <c r="G69" s="235">
        <f t="shared" ref="G69:G70" si="9">ROUND(D69*E69,2)</f>
        <v>6.39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706"/>
      <c r="B70" s="192"/>
      <c r="C70" s="99" t="s">
        <v>29</v>
      </c>
      <c r="D70" s="279">
        <v>102</v>
      </c>
      <c r="E70" s="56">
        <v>5.8666</v>
      </c>
      <c r="F70" s="57">
        <f t="shared" si="6"/>
        <v>5.8666</v>
      </c>
      <c r="G70" s="247">
        <f t="shared" si="9"/>
        <v>598.39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1" ht="16.5" thickTop="1">
      <c r="A71" s="320"/>
      <c r="B71" s="321"/>
      <c r="C71" s="322"/>
      <c r="D71" s="323"/>
      <c r="E71" s="163"/>
      <c r="F71" s="324"/>
      <c r="G71" s="325"/>
      <c r="H71" s="163"/>
      <c r="I71" s="163"/>
      <c r="J71" s="163"/>
      <c r="K71" s="163"/>
      <c r="L71" s="163"/>
      <c r="M71" s="326"/>
      <c r="N71" s="327"/>
      <c r="O71" s="328"/>
      <c r="P71" s="329"/>
      <c r="Q71" s="328"/>
      <c r="R71" s="330"/>
      <c r="S71" s="331"/>
      <c r="T71" s="266"/>
    </row>
    <row r="72" spans="1:21" ht="21.75" thickBot="1">
      <c r="A72" s="171" t="s">
        <v>60</v>
      </c>
      <c r="B72" s="2"/>
      <c r="C72" s="3"/>
      <c r="D72" s="2"/>
      <c r="E72" s="2"/>
      <c r="F72" s="2"/>
      <c r="G72" s="332"/>
      <c r="H72" s="332"/>
      <c r="I72" s="332"/>
      <c r="J72" s="2"/>
      <c r="K72" s="2"/>
      <c r="L72" s="2"/>
      <c r="M72" s="3"/>
      <c r="N72" s="2"/>
      <c r="O72" s="2"/>
      <c r="P72" s="2"/>
      <c r="Q72" s="2"/>
      <c r="R72" s="2"/>
      <c r="S72" s="2"/>
    </row>
    <row r="73" spans="1:21" ht="15" customHeight="1" thickTop="1">
      <c r="A73" s="1553" t="s">
        <v>1</v>
      </c>
      <c r="B73" s="1516" t="s">
        <v>2</v>
      </c>
      <c r="C73" s="1518" t="s">
        <v>3</v>
      </c>
      <c r="D73" s="1532" t="s">
        <v>4</v>
      </c>
      <c r="E73" s="1532"/>
      <c r="F73" s="1532"/>
      <c r="G73" s="1532"/>
      <c r="H73" s="1533" t="s">
        <v>5</v>
      </c>
      <c r="I73" s="1534"/>
      <c r="J73" s="1534"/>
      <c r="K73" s="1534"/>
      <c r="L73" s="1524" t="s">
        <v>6</v>
      </c>
      <c r="M73" s="1537" t="s">
        <v>7</v>
      </c>
      <c r="N73" s="1538" t="s">
        <v>8</v>
      </c>
      <c r="O73" s="1538"/>
      <c r="P73" s="1538"/>
      <c r="Q73" s="1539"/>
      <c r="R73" s="5"/>
      <c r="S73" s="5"/>
      <c r="T73" s="5" t="s">
        <v>61</v>
      </c>
      <c r="U73" t="s">
        <v>21</v>
      </c>
    </row>
    <row r="74" spans="1:21" ht="27" customHeight="1" thickBot="1">
      <c r="A74" s="1531"/>
      <c r="B74" s="1517"/>
      <c r="C74" s="1519" t="s">
        <v>10</v>
      </c>
      <c r="D74" s="333" t="s">
        <v>11</v>
      </c>
      <c r="E74" s="7" t="s">
        <v>12</v>
      </c>
      <c r="F74" s="7" t="s">
        <v>13</v>
      </c>
      <c r="G74" s="334" t="s">
        <v>14</v>
      </c>
      <c r="H74" s="335" t="s">
        <v>11</v>
      </c>
      <c r="I74" s="333" t="s">
        <v>15</v>
      </c>
      <c r="J74" s="336" t="s">
        <v>14</v>
      </c>
      <c r="K74" s="11" t="s">
        <v>16</v>
      </c>
      <c r="L74" s="1525"/>
      <c r="M74" s="1511"/>
      <c r="N74" s="337" t="s">
        <v>62</v>
      </c>
      <c r="O74" s="338" t="s">
        <v>44</v>
      </c>
      <c r="P74" s="13" t="s">
        <v>18</v>
      </c>
      <c r="Q74" s="14" t="s">
        <v>19</v>
      </c>
    </row>
    <row r="75" spans="1:21" ht="14.25" customHeight="1">
      <c r="A75" s="339" t="s">
        <v>63</v>
      </c>
      <c r="B75" s="18" t="s">
        <v>64</v>
      </c>
      <c r="C75" s="71">
        <f>+[1]июнь17!U69</f>
        <v>-0.95649999976740219</v>
      </c>
      <c r="D75" s="340">
        <v>43</v>
      </c>
      <c r="E75" s="21">
        <v>36.214199999999998</v>
      </c>
      <c r="F75" s="21">
        <v>42.4328</v>
      </c>
      <c r="G75" s="185">
        <f>ROUND(D75*(E75+F75),2)</f>
        <v>3381.82</v>
      </c>
      <c r="H75" s="184"/>
      <c r="I75" s="23"/>
      <c r="J75" s="341">
        <v>0</v>
      </c>
      <c r="K75" s="342"/>
      <c r="L75" s="343">
        <f>SUM(G75:G80,J75:J79)</f>
        <v>273800.51</v>
      </c>
      <c r="M75" s="344">
        <v>273795.40000000002</v>
      </c>
      <c r="N75" s="345"/>
      <c r="O75" s="346">
        <v>7157.88</v>
      </c>
      <c r="P75" s="347" t="s">
        <v>24</v>
      </c>
      <c r="Q75" s="348">
        <f t="shared" ref="Q75:Q81" si="10">C75+G75+J75-M75-N75-O75</f>
        <v>-277572.41649999982</v>
      </c>
      <c r="R75" s="349" t="s">
        <v>65</v>
      </c>
      <c r="S75" s="350" t="s">
        <v>20</v>
      </c>
      <c r="T75" s="351" t="s">
        <v>21</v>
      </c>
      <c r="U75" s="352">
        <f>+L75-M75+C75</f>
        <v>4.153500000218628</v>
      </c>
    </row>
    <row r="76" spans="1:21" ht="14.25" customHeight="1">
      <c r="A76" s="353"/>
      <c r="B76" s="35"/>
      <c r="C76" s="84" t="s">
        <v>26</v>
      </c>
      <c r="D76" s="37">
        <v>0</v>
      </c>
      <c r="E76" s="38">
        <f>32.332-28.8628</f>
        <v>3.4692000000000007</v>
      </c>
      <c r="F76" s="38">
        <f>37.8898-33.8306</f>
        <v>4.0592000000000041</v>
      </c>
      <c r="G76" s="39">
        <f>ROUND(D76*(E76+F76),2)</f>
        <v>0</v>
      </c>
      <c r="H76" s="49"/>
      <c r="I76" s="271"/>
      <c r="J76" s="101"/>
      <c r="K76" s="354"/>
      <c r="L76" s="355"/>
      <c r="M76" s="356"/>
      <c r="N76" s="357"/>
      <c r="O76" s="358"/>
      <c r="P76" s="359"/>
      <c r="Q76" s="360"/>
      <c r="R76" s="349"/>
      <c r="S76" s="350"/>
      <c r="T76" s="351"/>
      <c r="U76" s="352"/>
    </row>
    <row r="77" spans="1:21">
      <c r="A77" s="353"/>
      <c r="B77" s="35"/>
      <c r="C77" s="48"/>
      <c r="D77" s="49">
        <v>0</v>
      </c>
      <c r="E77" s="41">
        <f>4.4128-4.4153</f>
        <v>-2.5000000000003908E-3</v>
      </c>
      <c r="F77" s="41">
        <f>+E77</f>
        <v>-2.5000000000003908E-3</v>
      </c>
      <c r="G77" s="50">
        <f>ROUND(D77*E77*70%+D77*F77*30%,2)</f>
        <v>0</v>
      </c>
      <c r="H77" s="49"/>
      <c r="I77" s="271">
        <v>0</v>
      </c>
      <c r="J77" s="41">
        <f>H77*I77</f>
        <v>0</v>
      </c>
      <c r="K77" s="354"/>
      <c r="L77" s="355"/>
      <c r="M77" s="356"/>
      <c r="N77" s="357"/>
      <c r="O77" s="358"/>
      <c r="P77" s="359"/>
      <c r="Q77" s="360"/>
      <c r="R77" s="349"/>
      <c r="S77" s="350"/>
      <c r="T77" s="351"/>
      <c r="U77" s="352"/>
    </row>
    <row r="78" spans="1:21">
      <c r="A78" s="353"/>
      <c r="B78" s="35"/>
      <c r="C78" s="48" t="s">
        <v>149</v>
      </c>
      <c r="D78" s="49">
        <v>41923</v>
      </c>
      <c r="E78" s="41">
        <f>6.0829-6.0908</f>
        <v>-7.899999999999352E-3</v>
      </c>
      <c r="F78" s="38">
        <f>+E78</f>
        <v>-7.899999999999352E-3</v>
      </c>
      <c r="G78" s="50">
        <f>ROUND(+D78*E78,2)</f>
        <v>-331.19</v>
      </c>
      <c r="H78" s="49"/>
      <c r="I78" s="271"/>
      <c r="J78" s="41"/>
      <c r="K78" s="354"/>
      <c r="L78" s="355"/>
      <c r="M78" s="356"/>
      <c r="N78" s="357"/>
      <c r="O78" s="358"/>
      <c r="P78" s="359"/>
      <c r="Q78" s="360"/>
      <c r="R78" s="349"/>
      <c r="S78" s="350"/>
      <c r="T78" s="351"/>
      <c r="U78" s="352"/>
    </row>
    <row r="79" spans="1:21">
      <c r="A79" s="353"/>
      <c r="B79" s="35"/>
      <c r="C79" s="48" t="s">
        <v>150</v>
      </c>
      <c r="D79" s="49">
        <v>107</v>
      </c>
      <c r="E79" s="41">
        <v>6.0829000000000004</v>
      </c>
      <c r="F79" s="41">
        <f>+E79</f>
        <v>6.0829000000000004</v>
      </c>
      <c r="G79" s="50">
        <f>ROUND(D79*E79,2)</f>
        <v>650.87</v>
      </c>
      <c r="H79" s="361"/>
      <c r="I79" s="362"/>
      <c r="J79" s="207"/>
      <c r="K79" s="363"/>
      <c r="L79" s="364"/>
      <c r="M79" s="365"/>
      <c r="N79" s="366"/>
      <c r="O79" s="367"/>
      <c r="P79" s="368"/>
      <c r="Q79" s="360"/>
      <c r="R79" s="349"/>
      <c r="S79" s="350"/>
      <c r="T79" s="351"/>
      <c r="U79" s="352"/>
    </row>
    <row r="80" spans="1:21" ht="15.75" thickBot="1">
      <c r="A80" s="369"/>
      <c r="B80" s="53" t="s">
        <v>66</v>
      </c>
      <c r="C80" s="99" t="s">
        <v>29</v>
      </c>
      <c r="D80" s="55">
        <v>44403</v>
      </c>
      <c r="E80" s="56">
        <v>6.0829000000000004</v>
      </c>
      <c r="F80" s="370">
        <f>+E80</f>
        <v>6.0829000000000004</v>
      </c>
      <c r="G80" s="58">
        <f>ROUND(D80*E80,2)</f>
        <v>270099.01</v>
      </c>
      <c r="H80" s="248"/>
      <c r="I80" s="203"/>
      <c r="J80" s="60"/>
      <c r="K80" s="203"/>
      <c r="L80" s="204"/>
      <c r="M80" s="371"/>
      <c r="N80" s="372"/>
      <c r="O80" s="373">
        <v>165882.5</v>
      </c>
      <c r="P80" s="374" t="s">
        <v>24</v>
      </c>
      <c r="Q80" s="373">
        <f>G80+J80-M80-N80-O80</f>
        <v>104216.51000000001</v>
      </c>
      <c r="R80" s="349" t="s">
        <v>65</v>
      </c>
      <c r="S80" s="375">
        <f>SUM(O75:O80)</f>
        <v>173040.38</v>
      </c>
      <c r="T80" s="375">
        <f>SUM(Q75:Q80)</f>
        <v>-173355.90649999981</v>
      </c>
    </row>
    <row r="81" spans="1:21" s="81" customFormat="1" ht="15" customHeight="1">
      <c r="A81" s="376">
        <v>301</v>
      </c>
      <c r="B81" s="70" t="s">
        <v>67</v>
      </c>
      <c r="C81" s="377"/>
      <c r="D81" s="378">
        <v>521</v>
      </c>
      <c r="E81" s="21">
        <v>36.214199999999998</v>
      </c>
      <c r="F81" s="21">
        <v>42.4328</v>
      </c>
      <c r="G81" s="379">
        <f>ROUND(D81*(E81+F81),2)</f>
        <v>40975.089999999997</v>
      </c>
      <c r="H81" s="380"/>
      <c r="I81" s="381">
        <v>183.82</v>
      </c>
      <c r="J81" s="381">
        <f>H81*I81</f>
        <v>0</v>
      </c>
      <c r="K81" s="342"/>
      <c r="L81" s="382">
        <f>+SUM(G81:G90,J81:J89)</f>
        <v>179195.89</v>
      </c>
      <c r="M81" s="26">
        <v>179195.89</v>
      </c>
      <c r="N81" s="383"/>
      <c r="O81" s="77"/>
      <c r="P81" s="77" t="s">
        <v>68</v>
      </c>
      <c r="Q81" s="384">
        <f t="shared" si="10"/>
        <v>-138220.80000000002</v>
      </c>
      <c r="R81" s="385" t="s">
        <v>69</v>
      </c>
      <c r="S81" s="386"/>
      <c r="T81" s="387"/>
      <c r="U81" s="388"/>
    </row>
    <row r="82" spans="1:21" s="81" customFormat="1" ht="12.75">
      <c r="A82" s="389"/>
      <c r="B82" s="83"/>
      <c r="C82" s="390" t="s">
        <v>26</v>
      </c>
      <c r="D82" s="37">
        <v>0</v>
      </c>
      <c r="E82" s="38">
        <f>32.332-28.8628</f>
        <v>3.4692000000000007</v>
      </c>
      <c r="F82" s="38">
        <v>0</v>
      </c>
      <c r="G82" s="39">
        <f>ROUND(D82*(E82+F82),2)</f>
        <v>0</v>
      </c>
      <c r="H82" s="391"/>
      <c r="I82" s="392"/>
      <c r="J82" s="392"/>
      <c r="K82" s="393"/>
      <c r="L82" s="394"/>
      <c r="M82" s="90"/>
      <c r="N82" s="395"/>
      <c r="O82" s="94"/>
      <c r="P82" s="94"/>
      <c r="Q82" s="396"/>
      <c r="R82" s="397"/>
      <c r="S82" s="398"/>
      <c r="T82" s="399"/>
    </row>
    <row r="83" spans="1:21" s="81" customFormat="1" ht="12.75">
      <c r="A83" s="389"/>
      <c r="B83" s="98" t="s">
        <v>32</v>
      </c>
      <c r="C83" s="99" t="s">
        <v>33</v>
      </c>
      <c r="D83" s="37">
        <v>92</v>
      </c>
      <c r="E83" s="101">
        <v>291.8</v>
      </c>
      <c r="F83" s="38">
        <v>42.4328</v>
      </c>
      <c r="G83" s="400">
        <f>ROUND(D83*(E83+F83),2)</f>
        <v>30749.42</v>
      </c>
      <c r="H83" s="401"/>
      <c r="I83" s="402"/>
      <c r="J83" s="402"/>
      <c r="K83" s="403"/>
      <c r="L83" s="404"/>
      <c r="M83" s="102"/>
      <c r="N83" s="405"/>
      <c r="O83" s="406"/>
      <c r="P83" s="406" t="s">
        <v>68</v>
      </c>
      <c r="Q83" s="407">
        <f>+G83+J83-M83-N83-O83</f>
        <v>30749.42</v>
      </c>
      <c r="R83" s="397" t="s">
        <v>69</v>
      </c>
      <c r="S83" s="398"/>
      <c r="T83" s="399"/>
    </row>
    <row r="84" spans="1:21" s="81" customFormat="1" ht="15" customHeight="1">
      <c r="A84" s="389"/>
      <c r="B84" s="98"/>
      <c r="C84" s="84"/>
      <c r="D84" s="37">
        <v>0</v>
      </c>
      <c r="E84" s="41">
        <f>291.8-352.37</f>
        <v>-60.569999999999993</v>
      </c>
      <c r="F84" s="38">
        <v>0</v>
      </c>
      <c r="G84" s="400">
        <f>+D84*(E84+F84)</f>
        <v>0</v>
      </c>
      <c r="H84" s="401"/>
      <c r="I84" s="402"/>
      <c r="J84" s="402"/>
      <c r="K84" s="408"/>
      <c r="L84" s="404"/>
      <c r="M84" s="102"/>
      <c r="N84" s="405"/>
      <c r="O84" s="406"/>
      <c r="P84" s="406"/>
      <c r="Q84" s="407"/>
      <c r="R84" s="397"/>
      <c r="S84" s="398"/>
      <c r="T84" s="399"/>
    </row>
    <row r="85" spans="1:21" s="81" customFormat="1" ht="15" customHeight="1">
      <c r="A85" s="389"/>
      <c r="B85" s="83"/>
      <c r="C85" s="84"/>
      <c r="D85" s="37"/>
      <c r="E85" s="41"/>
      <c r="F85" s="38"/>
      <c r="G85" s="400"/>
      <c r="H85" s="401"/>
      <c r="I85" s="402"/>
      <c r="J85" s="402"/>
      <c r="K85" s="408"/>
      <c r="L85" s="404"/>
      <c r="M85" s="102"/>
      <c r="N85" s="405"/>
      <c r="O85" s="406"/>
      <c r="P85" s="406"/>
      <c r="Q85" s="407"/>
      <c r="R85" s="397"/>
      <c r="S85" s="398"/>
      <c r="T85" s="399"/>
    </row>
    <row r="86" spans="1:21" s="81" customFormat="1" ht="15" customHeight="1">
      <c r="A86" s="389"/>
      <c r="B86" s="83" t="s">
        <v>70</v>
      </c>
      <c r="C86" s="84"/>
      <c r="D86" s="37"/>
      <c r="E86" s="41"/>
      <c r="F86" s="38">
        <v>33.830599999999997</v>
      </c>
      <c r="G86" s="400"/>
      <c r="H86" s="401"/>
      <c r="I86" s="402"/>
      <c r="J86" s="402"/>
      <c r="K86" s="408"/>
      <c r="L86" s="404"/>
      <c r="M86" s="102"/>
      <c r="N86" s="405"/>
      <c r="O86" s="406"/>
      <c r="P86" s="406"/>
      <c r="Q86" s="407"/>
      <c r="R86" s="397"/>
      <c r="S86" s="398"/>
      <c r="T86" s="399"/>
    </row>
    <row r="87" spans="1:21" s="81" customFormat="1" ht="15" customHeight="1">
      <c r="A87" s="389"/>
      <c r="B87" s="83"/>
      <c r="C87" s="48"/>
      <c r="D87" s="37">
        <v>0</v>
      </c>
      <c r="E87" s="41">
        <f>4.4128-4.4153</f>
        <v>-2.5000000000003908E-3</v>
      </c>
      <c r="F87" s="38"/>
      <c r="G87" s="39">
        <f>ROUND(D87*(E87+F87),2)</f>
        <v>0</v>
      </c>
      <c r="H87" s="37"/>
      <c r="I87" s="409"/>
      <c r="J87" s="409"/>
      <c r="K87" s="408"/>
      <c r="L87" s="404"/>
      <c r="M87" s="102"/>
      <c r="N87" s="405"/>
      <c r="O87" s="406"/>
      <c r="P87" s="406"/>
      <c r="Q87" s="407"/>
      <c r="R87" s="397"/>
      <c r="S87" s="398"/>
      <c r="T87" s="399"/>
    </row>
    <row r="88" spans="1:21" s="81" customFormat="1" ht="15" customHeight="1">
      <c r="A88" s="389"/>
      <c r="B88" s="83"/>
      <c r="C88" s="48" t="s">
        <v>149</v>
      </c>
      <c r="D88" s="37">
        <v>16332</v>
      </c>
      <c r="E88" s="41">
        <f>6.0829-6.0908</f>
        <v>-7.899999999999352E-3</v>
      </c>
      <c r="F88" s="38">
        <f>+E88</f>
        <v>-7.899999999999352E-3</v>
      </c>
      <c r="G88" s="39">
        <f>ROUND(D88*E88,2)-0.01</f>
        <v>-129.03</v>
      </c>
      <c r="H88" s="37"/>
      <c r="I88" s="409"/>
      <c r="J88" s="409"/>
      <c r="K88" s="408"/>
      <c r="L88" s="404"/>
      <c r="M88" s="102"/>
      <c r="N88" s="405"/>
      <c r="O88" s="406"/>
      <c r="P88" s="406"/>
      <c r="Q88" s="407"/>
      <c r="R88" s="397"/>
      <c r="S88" s="398"/>
      <c r="T88" s="399"/>
    </row>
    <row r="89" spans="1:21" s="81" customFormat="1" ht="15" customHeight="1">
      <c r="A89" s="389"/>
      <c r="B89" s="83"/>
      <c r="C89" s="48" t="s">
        <v>150</v>
      </c>
      <c r="D89" s="37">
        <v>42</v>
      </c>
      <c r="E89" s="41">
        <v>6.0829000000000004</v>
      </c>
      <c r="F89" s="41">
        <f>+E89</f>
        <v>6.0829000000000004</v>
      </c>
      <c r="G89" s="39">
        <f>ROUND(D89*E89,2)-0.01</f>
        <v>255.47</v>
      </c>
      <c r="H89" s="37"/>
      <c r="I89" s="409"/>
      <c r="J89" s="409"/>
      <c r="K89" s="410"/>
      <c r="L89" s="404"/>
      <c r="M89" s="102"/>
      <c r="N89" s="405"/>
      <c r="O89" s="406"/>
      <c r="P89" s="406"/>
      <c r="Q89" s="407"/>
      <c r="R89" s="397"/>
      <c r="S89" s="398"/>
      <c r="T89" s="399"/>
    </row>
    <row r="90" spans="1:21" s="81" customFormat="1" ht="15.75" customHeight="1" thickBot="1">
      <c r="A90" s="411"/>
      <c r="B90" s="412"/>
      <c r="C90" s="99" t="s">
        <v>29</v>
      </c>
      <c r="D90" s="413">
        <v>17647</v>
      </c>
      <c r="E90" s="56">
        <v>6.0829000000000004</v>
      </c>
      <c r="F90" s="370">
        <f>+E90</f>
        <v>6.0829000000000004</v>
      </c>
      <c r="G90" s="414">
        <f>ROUND(D90*E90,2)</f>
        <v>107344.94</v>
      </c>
      <c r="H90" s="248"/>
      <c r="I90" s="60"/>
      <c r="J90" s="60"/>
      <c r="K90" s="203"/>
      <c r="L90" s="204"/>
      <c r="M90" s="371"/>
      <c r="N90" s="415"/>
      <c r="O90" s="416"/>
      <c r="P90" s="416" t="s">
        <v>68</v>
      </c>
      <c r="Q90" s="417">
        <f>+G90+J90-M90-N90-O90</f>
        <v>107344.94</v>
      </c>
      <c r="R90" s="418" t="s">
        <v>69</v>
      </c>
      <c r="S90" s="419">
        <f>SUM(O81:O90)</f>
        <v>0</v>
      </c>
      <c r="T90" s="419">
        <f>SUM(Q81:Q90)</f>
        <v>-126.44000000001688</v>
      </c>
    </row>
    <row r="91" spans="1:21" s="81" customFormat="1" ht="15.75" customHeight="1">
      <c r="A91" s="376"/>
      <c r="B91" s="420" t="s">
        <v>72</v>
      </c>
      <c r="C91" s="377" t="s">
        <v>73</v>
      </c>
      <c r="D91" s="378">
        <v>141</v>
      </c>
      <c r="E91" s="21">
        <v>36.214199999999998</v>
      </c>
      <c r="F91" s="21">
        <v>42.4328</v>
      </c>
      <c r="G91" s="22">
        <f>+D91*(E91+F91)</f>
        <v>11089.226999999999</v>
      </c>
      <c r="H91" s="303"/>
      <c r="I91" s="23"/>
      <c r="J91" s="341"/>
      <c r="K91" s="342"/>
      <c r="L91" s="263">
        <f>SUM(G91:G95,J91:J95)</f>
        <v>199267.677</v>
      </c>
      <c r="M91" s="26">
        <v>199267.68</v>
      </c>
      <c r="N91" s="421"/>
      <c r="O91" s="77"/>
      <c r="P91" s="77"/>
      <c r="Q91" s="384"/>
      <c r="R91" s="422"/>
      <c r="S91" s="399"/>
      <c r="T91" s="399"/>
    </row>
    <row r="92" spans="1:21" s="81" customFormat="1" ht="15.75" customHeight="1">
      <c r="A92" s="389"/>
      <c r="B92" s="83"/>
      <c r="C92" s="84" t="s">
        <v>26</v>
      </c>
      <c r="D92" s="37">
        <v>0</v>
      </c>
      <c r="E92" s="38">
        <f>32.332-28.8628</f>
        <v>3.4692000000000007</v>
      </c>
      <c r="F92" s="38">
        <f>37.8898-33.8306</f>
        <v>4.0592000000000041</v>
      </c>
      <c r="G92" s="39">
        <f>ROUND(D92*(E92+F92),2)</f>
        <v>0</v>
      </c>
      <c r="H92" s="270"/>
      <c r="I92" s="41"/>
      <c r="J92" s="41"/>
      <c r="K92" s="271"/>
      <c r="L92" s="272"/>
      <c r="M92" s="102"/>
      <c r="N92" s="423"/>
      <c r="O92" s="406"/>
      <c r="P92" s="406"/>
      <c r="Q92" s="424"/>
      <c r="R92" s="422"/>
      <c r="S92" s="399"/>
      <c r="T92" s="399"/>
    </row>
    <row r="93" spans="1:21" s="81" customFormat="1" ht="15.75" customHeight="1">
      <c r="A93" s="389"/>
      <c r="B93" s="83"/>
      <c r="C93" s="48" t="s">
        <v>149</v>
      </c>
      <c r="D93" s="37">
        <v>29531</v>
      </c>
      <c r="E93" s="41">
        <f>6.0829-6.0908</f>
        <v>-7.899999999999352E-3</v>
      </c>
      <c r="F93" s="38"/>
      <c r="G93" s="39">
        <f>ROUND(D93*(E93),2)</f>
        <v>-233.29</v>
      </c>
      <c r="H93" s="270"/>
      <c r="I93" s="41"/>
      <c r="J93" s="41"/>
      <c r="K93" s="271"/>
      <c r="L93" s="272"/>
      <c r="M93" s="102"/>
      <c r="N93" s="423"/>
      <c r="O93" s="406"/>
      <c r="P93" s="406"/>
      <c r="Q93" s="424"/>
      <c r="R93" s="422"/>
      <c r="S93" s="399"/>
      <c r="T93" s="399"/>
    </row>
    <row r="94" spans="1:21" s="81" customFormat="1" ht="15.75" customHeight="1">
      <c r="A94" s="389"/>
      <c r="B94" s="83"/>
      <c r="C94" s="48" t="s">
        <v>150</v>
      </c>
      <c r="D94" s="37">
        <v>74</v>
      </c>
      <c r="E94" s="41">
        <v>6.0829000000000004</v>
      </c>
      <c r="F94" s="38"/>
      <c r="G94" s="39">
        <f>ROUND(D94*(E94),2)</f>
        <v>450.13</v>
      </c>
      <c r="H94" s="270"/>
      <c r="I94" s="41"/>
      <c r="J94" s="41"/>
      <c r="K94" s="271"/>
      <c r="L94" s="272"/>
      <c r="M94" s="102"/>
      <c r="N94" s="423"/>
      <c r="O94" s="406"/>
      <c r="P94" s="406"/>
      <c r="Q94" s="425"/>
      <c r="R94" s="422"/>
      <c r="S94" s="399"/>
      <c r="T94" s="399"/>
    </row>
    <row r="95" spans="1:21" s="81" customFormat="1" ht="15.75" customHeight="1" thickBot="1">
      <c r="A95" s="411"/>
      <c r="B95" s="412"/>
      <c r="C95" s="99" t="s">
        <v>29</v>
      </c>
      <c r="D95" s="413">
        <v>30900</v>
      </c>
      <c r="E95" s="56">
        <v>6.0829000000000004</v>
      </c>
      <c r="F95" s="281"/>
      <c r="G95" s="414">
        <f>ROUND(D95*(E95),2)</f>
        <v>187961.61</v>
      </c>
      <c r="H95" s="280"/>
      <c r="I95" s="281"/>
      <c r="J95" s="281"/>
      <c r="K95" s="282"/>
      <c r="L95" s="204"/>
      <c r="M95" s="371"/>
      <c r="N95" s="426"/>
      <c r="O95" s="416"/>
      <c r="P95" s="416"/>
      <c r="Q95" s="417"/>
      <c r="R95" s="422"/>
      <c r="S95" s="399"/>
      <c r="T95" s="399"/>
    </row>
    <row r="96" spans="1:21" s="81" customFormat="1" ht="15.75" customHeight="1">
      <c r="A96" s="376"/>
      <c r="B96" s="427" t="s">
        <v>74</v>
      </c>
      <c r="C96" s="377" t="s">
        <v>73</v>
      </c>
      <c r="D96" s="378">
        <v>11</v>
      </c>
      <c r="E96" s="21">
        <v>36.214199999999998</v>
      </c>
      <c r="F96" s="21">
        <v>42.4328</v>
      </c>
      <c r="G96" s="22">
        <f>ROUND(D96*(E96+F96),2)</f>
        <v>865.12</v>
      </c>
      <c r="H96" s="303"/>
      <c r="I96" s="23"/>
      <c r="J96" s="23">
        <v>0</v>
      </c>
      <c r="K96" s="342"/>
      <c r="L96" s="263">
        <f>SUM(G96:G102,J96:J102)</f>
        <v>18120.03</v>
      </c>
      <c r="M96" s="26">
        <v>18120.03</v>
      </c>
      <c r="N96" s="421"/>
      <c r="O96" s="77"/>
      <c r="P96" s="77"/>
      <c r="Q96" s="384"/>
      <c r="R96" s="422"/>
      <c r="S96" s="399"/>
      <c r="T96" s="399"/>
    </row>
    <row r="97" spans="1:20" s="81" customFormat="1" ht="15.75" customHeight="1">
      <c r="A97" s="389"/>
      <c r="B97" s="98" t="s">
        <v>75</v>
      </c>
      <c r="C97" s="84" t="s">
        <v>26</v>
      </c>
      <c r="D97" s="37"/>
      <c r="E97" s="38">
        <f>32.332-28.8628</f>
        <v>3.4692000000000007</v>
      </c>
      <c r="F97" s="38">
        <f>37.8898-33.8306</f>
        <v>4.0592000000000041</v>
      </c>
      <c r="G97" s="39">
        <f>ROUND(D97*(E97+F97),2)</f>
        <v>0</v>
      </c>
      <c r="H97" s="270"/>
      <c r="I97" s="41"/>
      <c r="J97" s="41"/>
      <c r="K97" s="354"/>
      <c r="L97" s="272"/>
      <c r="M97" s="102"/>
      <c r="N97" s="423"/>
      <c r="O97" s="406"/>
      <c r="P97" s="406"/>
      <c r="Q97" s="424"/>
      <c r="R97" s="422"/>
      <c r="S97" s="399"/>
      <c r="T97" s="399"/>
    </row>
    <row r="98" spans="1:20" s="81" customFormat="1" ht="15.75" customHeight="1">
      <c r="A98" s="389"/>
      <c r="B98" s="83"/>
      <c r="C98" s="99" t="s">
        <v>33</v>
      </c>
      <c r="D98" s="428">
        <v>5</v>
      </c>
      <c r="E98" s="101">
        <v>291.8</v>
      </c>
      <c r="F98" s="38">
        <v>42.43</v>
      </c>
      <c r="G98" s="39">
        <f>ROUND(D98*(E98+F98),2)</f>
        <v>1671.15</v>
      </c>
      <c r="H98" s="270"/>
      <c r="I98" s="41"/>
      <c r="J98" s="41"/>
      <c r="K98" s="271"/>
      <c r="L98" s="272"/>
      <c r="M98" s="102"/>
      <c r="N98" s="423"/>
      <c r="O98" s="406"/>
      <c r="P98" s="406"/>
      <c r="Q98" s="424"/>
      <c r="R98" s="422"/>
      <c r="S98" s="399"/>
      <c r="T98" s="399"/>
    </row>
    <row r="99" spans="1:20" s="81" customFormat="1" ht="15.75" customHeight="1">
      <c r="A99" s="389"/>
      <c r="B99" s="83"/>
      <c r="C99" s="48" t="s">
        <v>76</v>
      </c>
      <c r="D99" s="37"/>
      <c r="E99" s="41">
        <f>291.8-352.37</f>
        <v>-60.569999999999993</v>
      </c>
      <c r="F99" s="38"/>
      <c r="G99" s="39">
        <f>ROUND(D99*(E99+F99),2)</f>
        <v>0</v>
      </c>
      <c r="H99" s="270"/>
      <c r="I99" s="41"/>
      <c r="J99" s="41"/>
      <c r="K99" s="271"/>
      <c r="L99" s="272"/>
      <c r="M99" s="102"/>
      <c r="N99" s="423"/>
      <c r="O99" s="406"/>
      <c r="P99" s="406"/>
      <c r="Q99" s="424"/>
      <c r="R99" s="422"/>
      <c r="S99" s="399"/>
      <c r="T99" s="399"/>
    </row>
    <row r="100" spans="1:20" s="81" customFormat="1" ht="15.75" customHeight="1">
      <c r="A100" s="389"/>
      <c r="B100" s="83"/>
      <c r="C100" s="48" t="s">
        <v>149</v>
      </c>
      <c r="D100" s="37">
        <v>2468</v>
      </c>
      <c r="E100" s="41">
        <f>6.0829-6.0908</f>
        <v>-7.899999999999352E-3</v>
      </c>
      <c r="F100" s="38"/>
      <c r="G100" s="39">
        <f>ROUND(D100*(E100+F100),2)+0.01</f>
        <v>-19.489999999999998</v>
      </c>
      <c r="H100" s="270"/>
      <c r="I100" s="41"/>
      <c r="J100" s="41"/>
      <c r="K100" s="271"/>
      <c r="L100" s="272"/>
      <c r="M100" s="102"/>
      <c r="N100" s="423"/>
      <c r="O100" s="406"/>
      <c r="P100" s="406"/>
      <c r="Q100" s="424"/>
      <c r="R100" s="422"/>
      <c r="S100" s="399"/>
      <c r="T100" s="399"/>
    </row>
    <row r="101" spans="1:20" s="81" customFormat="1" ht="15.75" customHeight="1">
      <c r="A101" s="389"/>
      <c r="B101" s="83"/>
      <c r="C101" s="48" t="s">
        <v>150</v>
      </c>
      <c r="D101" s="37">
        <v>6.1</v>
      </c>
      <c r="E101" s="41">
        <v>6.0829000000000004</v>
      </c>
      <c r="F101" s="38"/>
      <c r="G101" s="39">
        <f>ROUND(D101*E101,2)</f>
        <v>37.11</v>
      </c>
      <c r="H101" s="270"/>
      <c r="I101" s="41"/>
      <c r="J101" s="41"/>
      <c r="K101" s="271"/>
      <c r="L101" s="272"/>
      <c r="M101" s="102"/>
      <c r="N101" s="423"/>
      <c r="O101" s="406"/>
      <c r="P101" s="406"/>
      <c r="Q101" s="425"/>
      <c r="R101" s="422"/>
      <c r="S101" s="399"/>
      <c r="T101" s="399"/>
    </row>
    <row r="102" spans="1:20" s="81" customFormat="1" ht="15" customHeight="1" thickBot="1">
      <c r="A102" s="411"/>
      <c r="B102" s="412"/>
      <c r="C102" s="99" t="s">
        <v>29</v>
      </c>
      <c r="D102" s="413">
        <v>2559</v>
      </c>
      <c r="E102" s="56">
        <v>6.0829000000000004</v>
      </c>
      <c r="F102" s="281"/>
      <c r="G102" s="414">
        <f t="shared" ref="G102:G109" si="11">ROUND(D102*(E102+F102),2)</f>
        <v>15566.14</v>
      </c>
      <c r="H102" s="280"/>
      <c r="I102" s="281"/>
      <c r="J102" s="281"/>
      <c r="K102" s="282"/>
      <c r="L102" s="204"/>
      <c r="M102" s="371"/>
      <c r="N102" s="426"/>
      <c r="O102" s="416"/>
      <c r="P102" s="416"/>
      <c r="Q102" s="417"/>
      <c r="R102" s="422"/>
      <c r="S102" s="399"/>
      <c r="T102" s="399"/>
    </row>
    <row r="103" spans="1:20" s="81" customFormat="1" ht="15" customHeight="1">
      <c r="A103" s="376"/>
      <c r="B103" s="420" t="s">
        <v>77</v>
      </c>
      <c r="C103" s="377" t="s">
        <v>73</v>
      </c>
      <c r="D103" s="378">
        <v>6</v>
      </c>
      <c r="E103" s="21">
        <v>36.214199999999998</v>
      </c>
      <c r="F103" s="21">
        <v>42.4328</v>
      </c>
      <c r="G103" s="22">
        <f t="shared" si="11"/>
        <v>471.88</v>
      </c>
      <c r="H103" s="303"/>
      <c r="I103" s="23">
        <v>183.82</v>
      </c>
      <c r="J103" s="381">
        <f>H103*I103</f>
        <v>0</v>
      </c>
      <c r="K103" s="342"/>
      <c r="L103" s="382">
        <f>+SUM(G103:G109,J103:J109)</f>
        <v>5236.72</v>
      </c>
      <c r="M103" s="26">
        <v>5236.72</v>
      </c>
      <c r="N103" s="421"/>
      <c r="O103" s="77"/>
      <c r="P103" s="77"/>
      <c r="Q103" s="384"/>
      <c r="R103" s="422"/>
      <c r="S103" s="399"/>
      <c r="T103" s="399"/>
    </row>
    <row r="104" spans="1:20" s="81" customFormat="1" ht="15" customHeight="1">
      <c r="A104" s="389"/>
      <c r="B104" s="83"/>
      <c r="C104" s="84" t="s">
        <v>26</v>
      </c>
      <c r="D104" s="37"/>
      <c r="E104" s="38">
        <v>3.4692000000000007</v>
      </c>
      <c r="F104" s="38"/>
      <c r="G104" s="39">
        <f t="shared" si="11"/>
        <v>0</v>
      </c>
      <c r="H104" s="270"/>
      <c r="I104" s="41"/>
      <c r="J104" s="402"/>
      <c r="K104" s="354"/>
      <c r="L104" s="429"/>
      <c r="M104" s="102"/>
      <c r="N104" s="430"/>
      <c r="O104" s="431"/>
      <c r="P104" s="431"/>
      <c r="Q104" s="424"/>
      <c r="R104" s="422"/>
      <c r="S104" s="399"/>
      <c r="T104" s="399"/>
    </row>
    <row r="105" spans="1:20" s="81" customFormat="1" ht="15" customHeight="1">
      <c r="A105" s="389"/>
      <c r="B105" s="98" t="s">
        <v>32</v>
      </c>
      <c r="C105" s="99" t="s">
        <v>33</v>
      </c>
      <c r="D105" s="37">
        <v>5</v>
      </c>
      <c r="E105" s="101">
        <v>291.8</v>
      </c>
      <c r="F105" s="38">
        <v>42.4328</v>
      </c>
      <c r="G105" s="39">
        <f t="shared" si="11"/>
        <v>1671.16</v>
      </c>
      <c r="H105" s="270"/>
      <c r="I105" s="41"/>
      <c r="J105" s="41"/>
      <c r="K105" s="271"/>
      <c r="L105" s="272"/>
      <c r="M105" s="102"/>
      <c r="N105" s="430"/>
      <c r="O105" s="431"/>
      <c r="P105" s="431"/>
      <c r="Q105" s="424"/>
      <c r="R105" s="422"/>
      <c r="S105" s="399"/>
      <c r="T105" s="399"/>
    </row>
    <row r="106" spans="1:20" s="81" customFormat="1" ht="15" customHeight="1">
      <c r="A106" s="389"/>
      <c r="B106" s="83"/>
      <c r="C106" s="48" t="s">
        <v>78</v>
      </c>
      <c r="D106" s="37"/>
      <c r="E106" s="41">
        <f>291.8-352.37</f>
        <v>-60.569999999999993</v>
      </c>
      <c r="F106" s="38"/>
      <c r="G106" s="39">
        <f>ROUND(D106*(E106+F106),2)</f>
        <v>0</v>
      </c>
      <c r="H106" s="270"/>
      <c r="I106" s="41"/>
      <c r="J106" s="41"/>
      <c r="K106" s="271"/>
      <c r="L106" s="272"/>
      <c r="M106" s="102"/>
      <c r="N106" s="430"/>
      <c r="O106" s="431"/>
      <c r="P106" s="431"/>
      <c r="Q106" s="424"/>
      <c r="R106" s="422"/>
      <c r="S106" s="399"/>
      <c r="T106" s="399"/>
    </row>
    <row r="107" spans="1:20" s="81" customFormat="1" ht="15" customHeight="1">
      <c r="A107" s="389"/>
      <c r="B107" s="83"/>
      <c r="C107" s="48" t="s">
        <v>149</v>
      </c>
      <c r="D107" s="37">
        <v>473.1</v>
      </c>
      <c r="E107" s="41">
        <f>6.0829-6.0908</f>
        <v>-7.899999999999352E-3</v>
      </c>
      <c r="F107" s="38"/>
      <c r="G107" s="39">
        <f>ROUND(D107*(E107+F107),2)+0.01</f>
        <v>-3.7300000000000004</v>
      </c>
      <c r="H107" s="270"/>
      <c r="I107" s="41"/>
      <c r="J107" s="41"/>
      <c r="K107" s="271"/>
      <c r="L107" s="272"/>
      <c r="M107" s="102"/>
      <c r="N107" s="430"/>
      <c r="O107" s="431"/>
      <c r="P107" s="431"/>
      <c r="Q107" s="424"/>
      <c r="R107" s="422"/>
      <c r="S107" s="399"/>
      <c r="T107" s="399"/>
    </row>
    <row r="108" spans="1:20" s="81" customFormat="1" ht="15" customHeight="1">
      <c r="A108" s="389"/>
      <c r="B108" s="83"/>
      <c r="C108" s="48" t="s">
        <v>150</v>
      </c>
      <c r="D108" s="37">
        <v>1.2</v>
      </c>
      <c r="E108" s="41">
        <v>6.0829000000000004</v>
      </c>
      <c r="F108" s="38"/>
      <c r="G108" s="39">
        <f t="shared" si="11"/>
        <v>7.3</v>
      </c>
      <c r="H108" s="432"/>
      <c r="I108" s="207"/>
      <c r="J108" s="207"/>
      <c r="K108" s="362"/>
      <c r="L108" s="433"/>
      <c r="M108" s="63"/>
      <c r="N108" s="434"/>
      <c r="O108" s="435"/>
      <c r="P108" s="435"/>
      <c r="Q108" s="425"/>
      <c r="R108" s="422"/>
      <c r="S108" s="399"/>
      <c r="T108" s="399"/>
    </row>
    <row r="109" spans="1:20" s="81" customFormat="1" ht="15" customHeight="1" thickBot="1">
      <c r="A109" s="411"/>
      <c r="B109" s="412"/>
      <c r="C109" s="99" t="s">
        <v>29</v>
      </c>
      <c r="D109" s="413">
        <v>508</v>
      </c>
      <c r="E109" s="56">
        <v>6.0829000000000004</v>
      </c>
      <c r="F109" s="281"/>
      <c r="G109" s="414">
        <f t="shared" si="11"/>
        <v>3090.11</v>
      </c>
      <c r="H109" s="280"/>
      <c r="I109" s="281"/>
      <c r="J109" s="281"/>
      <c r="K109" s="282"/>
      <c r="L109" s="204"/>
      <c r="M109" s="371"/>
      <c r="N109" s="426"/>
      <c r="O109" s="416"/>
      <c r="P109" s="416"/>
      <c r="Q109" s="417"/>
      <c r="R109" s="436"/>
      <c r="S109" s="399"/>
      <c r="T109" s="399"/>
    </row>
    <row r="110" spans="1:20" s="81" customFormat="1" ht="15" customHeight="1">
      <c r="A110" s="437"/>
      <c r="B110" s="438" t="s">
        <v>38</v>
      </c>
      <c r="C110" s="439"/>
      <c r="D110" s="378"/>
      <c r="E110" s="23"/>
      <c r="F110" s="23"/>
      <c r="G110" s="22"/>
      <c r="H110" s="303"/>
      <c r="I110" s="23"/>
      <c r="J110" s="23"/>
      <c r="K110" s="304"/>
      <c r="L110" s="382">
        <f>+SUM(G110:G113,J110:J113)</f>
        <v>2606.3000000000002</v>
      </c>
      <c r="M110" s="26">
        <v>2606.3000000000002</v>
      </c>
      <c r="N110" s="421"/>
      <c r="O110" s="77"/>
      <c r="P110" s="77"/>
      <c r="Q110" s="77">
        <f>+L110-M110</f>
        <v>0</v>
      </c>
      <c r="R110" s="440"/>
      <c r="S110" s="399"/>
      <c r="T110" s="399"/>
    </row>
    <row r="111" spans="1:20" s="81" customFormat="1" ht="15" customHeight="1">
      <c r="A111" s="441"/>
      <c r="B111" s="442"/>
      <c r="C111" s="48" t="s">
        <v>149</v>
      </c>
      <c r="D111" s="37">
        <v>413</v>
      </c>
      <c r="E111" s="41">
        <f>6.0829-6.0908</f>
        <v>-7.899999999999352E-3</v>
      </c>
      <c r="F111" s="41"/>
      <c r="G111" s="39">
        <f>ROUND(D111*E111,2)</f>
        <v>-3.26</v>
      </c>
      <c r="H111" s="260"/>
      <c r="I111" s="261"/>
      <c r="J111" s="261"/>
      <c r="K111" s="262"/>
      <c r="L111" s="394"/>
      <c r="M111" s="90"/>
      <c r="N111" s="443"/>
      <c r="O111" s="94"/>
      <c r="P111" s="94"/>
      <c r="Q111" s="94"/>
      <c r="R111" s="422"/>
      <c r="S111" s="399"/>
      <c r="T111" s="399"/>
    </row>
    <row r="112" spans="1:20" s="81" customFormat="1">
      <c r="A112" s="441"/>
      <c r="B112" s="444"/>
      <c r="C112" s="48" t="s">
        <v>150</v>
      </c>
      <c r="D112" s="37">
        <v>1</v>
      </c>
      <c r="E112" s="41">
        <v>6.0829000000000004</v>
      </c>
      <c r="F112" s="41"/>
      <c r="G112" s="39">
        <f t="shared" ref="G112:G122" si="12">ROUND(D112*E112,2)</f>
        <v>6.08</v>
      </c>
      <c r="H112" s="432"/>
      <c r="I112" s="207"/>
      <c r="J112" s="207"/>
      <c r="K112" s="362"/>
      <c r="L112" s="433"/>
      <c r="M112" s="63"/>
      <c r="N112" s="423"/>
      <c r="O112" s="406"/>
      <c r="P112" s="406"/>
      <c r="Q112" s="406"/>
      <c r="R112" s="422"/>
      <c r="S112" s="399"/>
      <c r="T112" s="399"/>
    </row>
    <row r="113" spans="1:20" s="81" customFormat="1" ht="15" customHeight="1" thickBot="1">
      <c r="A113" s="445"/>
      <c r="B113" s="446"/>
      <c r="C113" s="99" t="s">
        <v>29</v>
      </c>
      <c r="D113" s="413">
        <v>428</v>
      </c>
      <c r="E113" s="56">
        <v>6.0829000000000004</v>
      </c>
      <c r="F113" s="281"/>
      <c r="G113" s="414">
        <f t="shared" si="12"/>
        <v>2603.48</v>
      </c>
      <c r="H113" s="280"/>
      <c r="I113" s="281"/>
      <c r="J113" s="281"/>
      <c r="K113" s="282"/>
      <c r="L113" s="204"/>
      <c r="M113" s="371"/>
      <c r="N113" s="434"/>
      <c r="O113" s="435"/>
      <c r="P113" s="435"/>
      <c r="Q113" s="435"/>
      <c r="R113" s="422"/>
      <c r="S113" s="399"/>
      <c r="T113" s="399"/>
    </row>
    <row r="114" spans="1:20" s="81" customFormat="1" ht="15" customHeight="1">
      <c r="A114" s="437"/>
      <c r="B114" s="438" t="s">
        <v>122</v>
      </c>
      <c r="C114" s="439"/>
      <c r="D114" s="378"/>
      <c r="E114" s="23"/>
      <c r="F114" s="23"/>
      <c r="G114" s="22"/>
      <c r="H114" s="303"/>
      <c r="I114" s="23"/>
      <c r="J114" s="23"/>
      <c r="K114" s="304"/>
      <c r="L114" s="382">
        <f>+SUM(G114:G117,J114:J117)</f>
        <v>2010.4299999999998</v>
      </c>
      <c r="M114" s="26">
        <v>2010.43</v>
      </c>
      <c r="N114" s="421"/>
      <c r="O114" s="77"/>
      <c r="P114" s="77"/>
      <c r="Q114" s="77"/>
      <c r="R114" s="440"/>
      <c r="S114" s="399"/>
      <c r="T114" s="399"/>
    </row>
    <row r="115" spans="1:20" s="81" customFormat="1" ht="15" customHeight="1" thickBot="1">
      <c r="A115" s="441"/>
      <c r="B115" s="442"/>
      <c r="C115" s="48" t="s">
        <v>149</v>
      </c>
      <c r="D115" s="37">
        <v>218.52</v>
      </c>
      <c r="E115" s="41">
        <f>6.0829-6.0908</f>
        <v>-7.899999999999352E-3</v>
      </c>
      <c r="F115" s="41"/>
      <c r="G115" s="414">
        <f>ROUND(D115*E115,2)-0.01</f>
        <v>-1.74</v>
      </c>
      <c r="H115" s="260"/>
      <c r="I115" s="261"/>
      <c r="J115" s="261"/>
      <c r="K115" s="262"/>
      <c r="L115" s="394"/>
      <c r="M115" s="90"/>
      <c r="N115" s="443"/>
      <c r="O115" s="94"/>
      <c r="P115" s="94"/>
      <c r="Q115" s="94"/>
      <c r="R115" s="422"/>
      <c r="S115" s="399"/>
      <c r="T115" s="399"/>
    </row>
    <row r="116" spans="1:20" s="81" customFormat="1" ht="15" customHeight="1" thickBot="1">
      <c r="A116" s="441"/>
      <c r="B116" s="444"/>
      <c r="C116" s="48" t="s">
        <v>150</v>
      </c>
      <c r="D116" s="37">
        <v>0.79</v>
      </c>
      <c r="E116" s="41">
        <v>6.0829000000000004</v>
      </c>
      <c r="F116" s="41"/>
      <c r="G116" s="414">
        <f t="shared" si="12"/>
        <v>4.8099999999999996</v>
      </c>
      <c r="H116" s="432"/>
      <c r="I116" s="207"/>
      <c r="J116" s="207"/>
      <c r="K116" s="362"/>
      <c r="L116" s="433"/>
      <c r="M116" s="63"/>
      <c r="N116" s="423"/>
      <c r="O116" s="406"/>
      <c r="P116" s="406"/>
      <c r="Q116" s="406"/>
      <c r="R116" s="422"/>
      <c r="S116" s="399"/>
      <c r="T116" s="399"/>
    </row>
    <row r="117" spans="1:20" s="81" customFormat="1" ht="15" customHeight="1" thickBot="1">
      <c r="A117" s="445"/>
      <c r="B117" s="446"/>
      <c r="C117" s="99" t="s">
        <v>29</v>
      </c>
      <c r="D117" s="413">
        <v>330</v>
      </c>
      <c r="E117" s="56">
        <v>6.0829000000000004</v>
      </c>
      <c r="F117" s="281"/>
      <c r="G117" s="414">
        <f t="shared" si="12"/>
        <v>2007.36</v>
      </c>
      <c r="H117" s="280"/>
      <c r="I117" s="281"/>
      <c r="J117" s="281"/>
      <c r="K117" s="282"/>
      <c r="L117" s="204"/>
      <c r="M117" s="371"/>
      <c r="N117" s="434"/>
      <c r="O117" s="435"/>
      <c r="P117" s="435"/>
      <c r="Q117" s="435"/>
      <c r="R117" s="422"/>
      <c r="S117" s="399"/>
      <c r="T117" s="399"/>
    </row>
    <row r="118" spans="1:20" s="81" customFormat="1" ht="15" customHeight="1">
      <c r="A118" s="447"/>
      <c r="B118" s="438" t="s">
        <v>79</v>
      </c>
      <c r="C118" s="48" t="s">
        <v>149</v>
      </c>
      <c r="D118" s="448">
        <v>4767</v>
      </c>
      <c r="E118" s="41">
        <f>6.0829-6.0908</f>
        <v>-7.899999999999352E-3</v>
      </c>
      <c r="F118" s="261"/>
      <c r="G118" s="449">
        <f>ROUND(D118*E118,2)</f>
        <v>-37.659999999999997</v>
      </c>
      <c r="H118" s="303"/>
      <c r="I118" s="23"/>
      <c r="J118" s="23"/>
      <c r="K118" s="304"/>
      <c r="L118" s="263">
        <f>SUM(G118:G120)</f>
        <v>28685.79</v>
      </c>
      <c r="M118" s="26">
        <v>28685.79</v>
      </c>
      <c r="N118" s="421"/>
      <c r="O118" s="77"/>
      <c r="P118" s="77"/>
      <c r="Q118" s="384"/>
      <c r="R118" s="422"/>
      <c r="S118" s="399"/>
      <c r="T118" s="399"/>
    </row>
    <row r="119" spans="1:20" s="81" customFormat="1" ht="15" customHeight="1">
      <c r="A119" s="450"/>
      <c r="B119" s="442"/>
      <c r="C119" s="48" t="s">
        <v>150</v>
      </c>
      <c r="D119" s="448">
        <v>11</v>
      </c>
      <c r="E119" s="41">
        <v>6.0829000000000004</v>
      </c>
      <c r="F119" s="261"/>
      <c r="G119" s="449">
        <f t="shared" si="12"/>
        <v>66.91</v>
      </c>
      <c r="H119" s="260"/>
      <c r="I119" s="261"/>
      <c r="J119" s="261"/>
      <c r="K119" s="262"/>
      <c r="L119" s="286"/>
      <c r="M119" s="90"/>
      <c r="N119" s="423"/>
      <c r="O119" s="406"/>
      <c r="P119" s="406"/>
      <c r="Q119" s="407"/>
      <c r="R119" s="422"/>
      <c r="S119" s="399"/>
      <c r="T119" s="399"/>
    </row>
    <row r="120" spans="1:20" s="81" customFormat="1" ht="15" customHeight="1" thickBot="1">
      <c r="A120" s="451"/>
      <c r="B120" s="446"/>
      <c r="C120" s="99" t="s">
        <v>29</v>
      </c>
      <c r="D120" s="452">
        <v>4711</v>
      </c>
      <c r="E120" s="56">
        <v>6.0829000000000004</v>
      </c>
      <c r="F120" s="207"/>
      <c r="G120" s="453">
        <f t="shared" si="12"/>
        <v>28656.54</v>
      </c>
      <c r="H120" s="280"/>
      <c r="I120" s="281"/>
      <c r="J120" s="281"/>
      <c r="K120" s="282"/>
      <c r="L120" s="204"/>
      <c r="M120" s="371"/>
      <c r="N120" s="426"/>
      <c r="O120" s="416"/>
      <c r="P120" s="416"/>
      <c r="Q120" s="417"/>
      <c r="R120" s="422"/>
      <c r="S120" s="399"/>
      <c r="T120" s="399"/>
    </row>
    <row r="121" spans="1:20" s="81" customFormat="1" ht="15" customHeight="1">
      <c r="A121" s="741"/>
      <c r="B121" s="438" t="s">
        <v>80</v>
      </c>
      <c r="C121" s="48" t="s">
        <v>150</v>
      </c>
      <c r="D121" s="378">
        <f>2761.6-2755</f>
        <v>6.5999999999999091</v>
      </c>
      <c r="E121" s="454">
        <v>6.8343999999999996</v>
      </c>
      <c r="F121" s="23"/>
      <c r="G121" s="22">
        <f>ROUND(D121*E121,2)</f>
        <v>45.11</v>
      </c>
      <c r="H121" s="303"/>
      <c r="I121" s="23"/>
      <c r="J121" s="23"/>
      <c r="K121" s="304"/>
      <c r="L121" s="263">
        <f>SUM(G121:G122)</f>
        <v>18873.88</v>
      </c>
      <c r="M121" s="26">
        <v>18873.88</v>
      </c>
      <c r="N121" s="421"/>
      <c r="O121" s="77"/>
      <c r="P121" s="77"/>
      <c r="Q121" s="384"/>
      <c r="R121" s="422"/>
      <c r="S121" s="399"/>
      <c r="T121" s="399"/>
    </row>
    <row r="122" spans="1:20" s="81" customFormat="1" ht="15" customHeight="1">
      <c r="A122" s="742"/>
      <c r="B122" s="442"/>
      <c r="C122" s="48" t="s">
        <v>153</v>
      </c>
      <c r="D122" s="37">
        <v>2755</v>
      </c>
      <c r="E122" s="455">
        <v>6.8343999999999996</v>
      </c>
      <c r="F122" s="41"/>
      <c r="G122" s="39">
        <f t="shared" si="12"/>
        <v>18828.77</v>
      </c>
      <c r="H122" s="270"/>
      <c r="I122" s="41"/>
      <c r="J122" s="41"/>
      <c r="K122" s="271"/>
      <c r="L122" s="272"/>
      <c r="M122" s="102"/>
      <c r="N122" s="423"/>
      <c r="O122" s="406"/>
      <c r="P122" s="406"/>
      <c r="Q122" s="407"/>
      <c r="R122" s="422"/>
      <c r="S122" s="399"/>
      <c r="T122" s="399"/>
    </row>
    <row r="123" spans="1:20" s="81" customFormat="1" ht="15" customHeight="1" thickBot="1">
      <c r="A123" s="743"/>
      <c r="B123" s="446"/>
      <c r="C123" s="456"/>
      <c r="D123" s="413"/>
      <c r="E123" s="281"/>
      <c r="F123" s="281"/>
      <c r="G123" s="414"/>
      <c r="H123" s="280"/>
      <c r="I123" s="281"/>
      <c r="J123" s="281"/>
      <c r="K123" s="282"/>
      <c r="L123" s="204"/>
      <c r="M123" s="371"/>
      <c r="N123" s="426"/>
      <c r="O123" s="416"/>
      <c r="P123" s="416"/>
      <c r="Q123" s="417"/>
      <c r="R123" s="422"/>
      <c r="S123" s="399"/>
      <c r="T123" s="399"/>
    </row>
    <row r="124" spans="1:20" s="81" customFormat="1" ht="15" customHeight="1">
      <c r="A124" s="437"/>
      <c r="B124" s="438" t="s">
        <v>82</v>
      </c>
      <c r="C124" s="377" t="s">
        <v>73</v>
      </c>
      <c r="D124" s="378">
        <v>29</v>
      </c>
      <c r="E124" s="21">
        <v>36.214199999999998</v>
      </c>
      <c r="F124" s="21">
        <v>42.4328</v>
      </c>
      <c r="G124" s="22">
        <f>+D124*(E124+F124)</f>
        <v>2280.7629999999999</v>
      </c>
      <c r="H124" s="303"/>
      <c r="I124" s="23"/>
      <c r="J124" s="341"/>
      <c r="K124" s="342"/>
      <c r="L124" s="263">
        <f>SUM(G124:G128,J124:J128)</f>
        <v>87163.383000000002</v>
      </c>
      <c r="M124" s="26">
        <v>87163.38</v>
      </c>
      <c r="N124" s="421"/>
      <c r="O124" s="77"/>
      <c r="P124" s="77"/>
      <c r="Q124" s="384"/>
      <c r="R124" s="422"/>
      <c r="S124" s="399"/>
      <c r="T124" s="399"/>
    </row>
    <row r="125" spans="1:20" s="81" customFormat="1" ht="15" customHeight="1">
      <c r="A125" s="441"/>
      <c r="B125" s="442"/>
      <c r="C125" s="36" t="s">
        <v>26</v>
      </c>
      <c r="D125" s="37">
        <v>0</v>
      </c>
      <c r="E125" s="38">
        <v>3.4692000000000007</v>
      </c>
      <c r="F125" s="38">
        <f>37.8898-33.8306</f>
        <v>4.0592000000000041</v>
      </c>
      <c r="G125" s="39">
        <f>ROUND(D125*(E125+F125),2)</f>
        <v>0</v>
      </c>
      <c r="H125" s="457"/>
      <c r="I125" s="199"/>
      <c r="J125" s="199"/>
      <c r="K125" s="458"/>
      <c r="L125" s="459"/>
      <c r="M125" s="44"/>
      <c r="N125" s="430"/>
      <c r="O125" s="431"/>
      <c r="P125" s="431"/>
      <c r="Q125" s="424"/>
      <c r="R125" s="422"/>
      <c r="S125" s="399"/>
      <c r="T125" s="399"/>
    </row>
    <row r="126" spans="1:20" s="81" customFormat="1" ht="15" customHeight="1">
      <c r="A126" s="441"/>
      <c r="B126" s="442"/>
      <c r="C126" s="48" t="s">
        <v>149</v>
      </c>
      <c r="D126" s="37">
        <v>12087</v>
      </c>
      <c r="E126" s="41">
        <f>6.0829-6.0908</f>
        <v>-7.899999999999352E-3</v>
      </c>
      <c r="F126" s="38"/>
      <c r="G126" s="39">
        <f>ROUND(D126*(E126),2)-0.01</f>
        <v>-95.5</v>
      </c>
      <c r="H126" s="270"/>
      <c r="I126" s="41"/>
      <c r="J126" s="41"/>
      <c r="K126" s="271"/>
      <c r="L126" s="272"/>
      <c r="M126" s="102"/>
      <c r="N126" s="430"/>
      <c r="O126" s="431"/>
      <c r="P126" s="431"/>
      <c r="Q126" s="424"/>
      <c r="R126" s="422"/>
      <c r="S126" s="399"/>
      <c r="T126" s="399"/>
    </row>
    <row r="127" spans="1:20" s="81" customFormat="1" ht="15" customHeight="1">
      <c r="A127" s="441"/>
      <c r="B127" s="442"/>
      <c r="C127" s="48" t="s">
        <v>150</v>
      </c>
      <c r="D127" s="37">
        <v>33</v>
      </c>
      <c r="E127" s="41">
        <v>6.0829000000000004</v>
      </c>
      <c r="F127" s="38"/>
      <c r="G127" s="39">
        <f>ROUND(D127*(E127),2)</f>
        <v>200.74</v>
      </c>
      <c r="H127" s="270"/>
      <c r="I127" s="41"/>
      <c r="J127" s="41"/>
      <c r="K127" s="271"/>
      <c r="L127" s="272"/>
      <c r="M127" s="102"/>
      <c r="N127" s="434"/>
      <c r="O127" s="435"/>
      <c r="P127" s="435"/>
      <c r="Q127" s="425"/>
      <c r="R127" s="422"/>
      <c r="S127" s="399"/>
      <c r="T127" s="399"/>
    </row>
    <row r="128" spans="1:20" s="81" customFormat="1" ht="15" customHeight="1" thickBot="1">
      <c r="A128" s="460"/>
      <c r="B128" s="461"/>
      <c r="C128" s="99" t="s">
        <v>29</v>
      </c>
      <c r="D128" s="462">
        <v>13937</v>
      </c>
      <c r="E128" s="56">
        <v>6.0829000000000004</v>
      </c>
      <c r="F128" s="311"/>
      <c r="G128" s="110">
        <f>ROUND(D128*(E128),2)</f>
        <v>84777.38</v>
      </c>
      <c r="H128" s="310"/>
      <c r="I128" s="311"/>
      <c r="J128" s="311"/>
      <c r="K128" s="312"/>
      <c r="L128" s="313"/>
      <c r="M128" s="115"/>
      <c r="N128" s="463"/>
      <c r="O128" s="464"/>
      <c r="P128" s="464"/>
      <c r="Q128" s="465"/>
      <c r="R128" s="466"/>
      <c r="S128" s="467"/>
      <c r="T128" s="399"/>
    </row>
    <row r="129" spans="1:20" s="81" customFormat="1" ht="15" customHeight="1" thickTop="1">
      <c r="A129" s="437"/>
      <c r="B129" s="438" t="s">
        <v>83</v>
      </c>
      <c r="C129" s="377" t="s">
        <v>73</v>
      </c>
      <c r="D129" s="378">
        <v>1</v>
      </c>
      <c r="E129" s="21">
        <v>36.214199999999998</v>
      </c>
      <c r="F129" s="21">
        <v>42.4328</v>
      </c>
      <c r="G129" s="22">
        <f>+D129*(E129+F129)</f>
        <v>78.646999999999991</v>
      </c>
      <c r="H129" s="303"/>
      <c r="I129" s="23"/>
      <c r="J129" s="341"/>
      <c r="K129" s="342"/>
      <c r="L129" s="263">
        <f>SUM(G129:G133,J129:J133)</f>
        <v>462.58699999999999</v>
      </c>
      <c r="M129" s="26">
        <v>462.59</v>
      </c>
      <c r="N129" s="421"/>
      <c r="O129" s="77"/>
      <c r="P129" s="77"/>
      <c r="Q129" s="384"/>
      <c r="R129" s="422"/>
      <c r="S129" s="399"/>
      <c r="T129" s="399"/>
    </row>
    <row r="130" spans="1:20" s="81" customFormat="1" ht="15" customHeight="1">
      <c r="A130" s="441"/>
      <c r="B130" s="442"/>
      <c r="C130" s="36" t="s">
        <v>26</v>
      </c>
      <c r="D130" s="37">
        <v>0</v>
      </c>
      <c r="E130" s="38">
        <v>3.4692000000000007</v>
      </c>
      <c r="F130" s="38">
        <f>37.8898-33.8306</f>
        <v>4.0592000000000041</v>
      </c>
      <c r="G130" s="39">
        <f>ROUND(D130*(E130+F130),2)</f>
        <v>0</v>
      </c>
      <c r="H130" s="457"/>
      <c r="I130" s="199"/>
      <c r="J130" s="199"/>
      <c r="K130" s="458"/>
      <c r="L130" s="459"/>
      <c r="M130" s="44"/>
      <c r="N130" s="430"/>
      <c r="O130" s="431"/>
      <c r="P130" s="431"/>
      <c r="Q130" s="424"/>
      <c r="R130" s="422"/>
      <c r="S130" s="399"/>
      <c r="T130" s="399"/>
    </row>
    <row r="131" spans="1:20" s="81" customFormat="1" ht="15" customHeight="1">
      <c r="A131" s="441"/>
      <c r="B131" s="442"/>
      <c r="C131" s="48" t="s">
        <v>149</v>
      </c>
      <c r="D131" s="37">
        <v>64.2</v>
      </c>
      <c r="E131" s="41">
        <f>6.0829-6.0908</f>
        <v>-7.899999999999352E-3</v>
      </c>
      <c r="F131" s="38"/>
      <c r="G131" s="39">
        <f>ROUND(D131*(E131),2)+0.01</f>
        <v>-0.5</v>
      </c>
      <c r="H131" s="270"/>
      <c r="I131" s="41"/>
      <c r="J131" s="41"/>
      <c r="K131" s="271"/>
      <c r="L131" s="272"/>
      <c r="M131" s="102"/>
      <c r="N131" s="430"/>
      <c r="O131" s="431"/>
      <c r="P131" s="431"/>
      <c r="Q131" s="424"/>
      <c r="R131" s="422"/>
      <c r="S131" s="399"/>
      <c r="T131" s="399"/>
    </row>
    <row r="132" spans="1:20" s="81" customFormat="1" ht="15" customHeight="1">
      <c r="A132" s="441"/>
      <c r="B132" s="442"/>
      <c r="C132" s="48" t="s">
        <v>150</v>
      </c>
      <c r="D132" s="37">
        <v>0.2</v>
      </c>
      <c r="E132" s="41">
        <v>6.0829000000000004</v>
      </c>
      <c r="F132" s="38"/>
      <c r="G132" s="39">
        <f>ROUND(D132*(E132),2)</f>
        <v>1.22</v>
      </c>
      <c r="H132" s="270"/>
      <c r="I132" s="41"/>
      <c r="J132" s="41"/>
      <c r="K132" s="271"/>
      <c r="L132" s="272"/>
      <c r="M132" s="102"/>
      <c r="N132" s="434"/>
      <c r="O132" s="435"/>
      <c r="P132" s="435"/>
      <c r="Q132" s="425"/>
      <c r="R132" s="422"/>
      <c r="S132" s="399"/>
      <c r="T132" s="399"/>
    </row>
    <row r="133" spans="1:20" s="81" customFormat="1" ht="15.75" customHeight="1" thickBot="1">
      <c r="A133" s="460"/>
      <c r="B133" s="461"/>
      <c r="C133" s="99" t="s">
        <v>29</v>
      </c>
      <c r="D133" s="462">
        <v>63</v>
      </c>
      <c r="E133" s="56">
        <v>6.0829000000000004</v>
      </c>
      <c r="F133" s="311"/>
      <c r="G133" s="110">
        <f>ROUND(D133*(E133),2)</f>
        <v>383.22</v>
      </c>
      <c r="H133" s="310"/>
      <c r="I133" s="311"/>
      <c r="J133" s="311"/>
      <c r="K133" s="312"/>
      <c r="L133" s="313"/>
      <c r="M133" s="115"/>
      <c r="N133" s="463"/>
      <c r="O133" s="464"/>
      <c r="P133" s="464"/>
      <c r="Q133" s="465"/>
      <c r="R133" s="422"/>
      <c r="S133" s="399"/>
      <c r="T133" s="399"/>
    </row>
    <row r="134" spans="1:20" s="81" customFormat="1" ht="15.75" customHeight="1" thickTop="1">
      <c r="A134" s="447"/>
      <c r="B134" s="438" t="s">
        <v>126</v>
      </c>
      <c r="C134" s="48" t="s">
        <v>149</v>
      </c>
      <c r="D134" s="448">
        <v>55.1</v>
      </c>
      <c r="E134" s="41">
        <f>6.0829-6.0908</f>
        <v>-7.899999999999352E-3</v>
      </c>
      <c r="F134" s="261"/>
      <c r="G134" s="449">
        <f>ROUND(D134*E134,2)</f>
        <v>-0.44</v>
      </c>
      <c r="H134" s="303"/>
      <c r="I134" s="23"/>
      <c r="J134" s="23"/>
      <c r="K134" s="304"/>
      <c r="L134" s="263">
        <f>SUM(G134:G136)</f>
        <v>346.90000000000003</v>
      </c>
      <c r="M134" s="26">
        <v>346.9</v>
      </c>
      <c r="N134" s="421"/>
      <c r="O134" s="77"/>
      <c r="P134" s="77"/>
      <c r="Q134" s="384"/>
      <c r="R134" s="422"/>
      <c r="S134" s="399"/>
      <c r="T134" s="399"/>
    </row>
    <row r="135" spans="1:20" s="81" customFormat="1" ht="15.75" customHeight="1">
      <c r="A135" s="450"/>
      <c r="B135" s="442"/>
      <c r="C135" s="48" t="s">
        <v>150</v>
      </c>
      <c r="D135" s="448">
        <v>0.1</v>
      </c>
      <c r="E135" s="41">
        <v>6.0829000000000004</v>
      </c>
      <c r="F135" s="261"/>
      <c r="G135" s="449">
        <f t="shared" ref="G135:G136" si="13">ROUND(D135*E135,2)</f>
        <v>0.61</v>
      </c>
      <c r="H135" s="260"/>
      <c r="I135" s="261"/>
      <c r="J135" s="261"/>
      <c r="K135" s="262"/>
      <c r="L135" s="286"/>
      <c r="M135" s="90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 thickBot="1">
      <c r="A136" s="697"/>
      <c r="B136" s="698"/>
      <c r="C136" s="99" t="s">
        <v>29</v>
      </c>
      <c r="D136" s="596">
        <v>57</v>
      </c>
      <c r="E136" s="56">
        <v>6.0829000000000004</v>
      </c>
      <c r="F136" s="41"/>
      <c r="G136" s="39">
        <f t="shared" si="13"/>
        <v>346.73</v>
      </c>
      <c r="H136" s="280"/>
      <c r="I136" s="281"/>
      <c r="J136" s="281"/>
      <c r="K136" s="282"/>
      <c r="L136" s="204"/>
      <c r="M136" s="371"/>
      <c r="N136" s="426"/>
      <c r="O136" s="416"/>
      <c r="P136" s="416"/>
      <c r="Q136" s="417"/>
      <c r="R136" s="422"/>
      <c r="S136" s="399"/>
      <c r="T136" s="399"/>
    </row>
    <row r="137" spans="1:20" s="81" customFormat="1" ht="15.75" customHeight="1">
      <c r="A137" s="468"/>
      <c r="B137" s="699" t="s">
        <v>133</v>
      </c>
      <c r="C137" s="48" t="s">
        <v>149</v>
      </c>
      <c r="D137" s="471">
        <v>527.29999999999995</v>
      </c>
      <c r="E137" s="41">
        <f>6.0829-6.0908</f>
        <v>-7.899999999999352E-3</v>
      </c>
      <c r="F137" s="473"/>
      <c r="G137" s="449">
        <f>ROUND(D137*E137,2)</f>
        <v>-4.17</v>
      </c>
      <c r="H137" s="303"/>
      <c r="I137" s="23"/>
      <c r="J137" s="23"/>
      <c r="K137" s="304"/>
      <c r="L137" s="263">
        <f>SUM(G137:G139)</f>
        <v>2953.34</v>
      </c>
      <c r="M137" s="26">
        <v>2953.34</v>
      </c>
      <c r="N137" s="421"/>
      <c r="O137" s="77"/>
      <c r="P137" s="77"/>
      <c r="Q137" s="384"/>
      <c r="R137" s="422"/>
      <c r="S137" s="399"/>
      <c r="T137" s="399"/>
    </row>
    <row r="138" spans="1:20" s="81" customFormat="1" ht="15.75" customHeight="1">
      <c r="A138" s="468"/>
      <c r="B138" s="469"/>
      <c r="C138" s="48" t="s">
        <v>150</v>
      </c>
      <c r="D138" s="471">
        <v>1.2</v>
      </c>
      <c r="E138" s="41">
        <v>6.0829000000000004</v>
      </c>
      <c r="F138" s="473"/>
      <c r="G138" s="449">
        <f>ROUND(D138*E138,2)</f>
        <v>7.3</v>
      </c>
      <c r="H138" s="260"/>
      <c r="I138" s="261"/>
      <c r="J138" s="261"/>
      <c r="K138" s="262"/>
      <c r="L138" s="286"/>
      <c r="M138" s="90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 thickBot="1">
      <c r="A139" s="701"/>
      <c r="B139" s="702"/>
      <c r="C139" s="99" t="s">
        <v>29</v>
      </c>
      <c r="D139" s="703">
        <v>485</v>
      </c>
      <c r="E139" s="56">
        <v>6.0829000000000004</v>
      </c>
      <c r="F139" s="704"/>
      <c r="G139" s="39">
        <f t="shared" ref="G139" si="14">ROUND(D139*E139,2)</f>
        <v>2950.21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>
      <c r="A140" s="468"/>
      <c r="B140" s="699" t="s">
        <v>134</v>
      </c>
      <c r="C140" s="48" t="s">
        <v>149</v>
      </c>
      <c r="D140" s="471">
        <v>673.6</v>
      </c>
      <c r="E140" s="41">
        <f>6.0829-6.0908</f>
        <v>-7.899999999999352E-3</v>
      </c>
      <c r="F140" s="473"/>
      <c r="G140" s="449">
        <f>ROUND(D140*E140,2)</f>
        <v>-5.32</v>
      </c>
      <c r="H140" s="303"/>
      <c r="I140" s="23"/>
      <c r="J140" s="23"/>
      <c r="K140" s="304"/>
      <c r="L140" s="263">
        <f>SUM(G140:G142)</f>
        <v>4214.3900000000003</v>
      </c>
      <c r="M140" s="26">
        <v>4214.3900000000003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468"/>
      <c r="B141" s="469"/>
      <c r="C141" s="48" t="s">
        <v>150</v>
      </c>
      <c r="D141" s="471">
        <v>1.7</v>
      </c>
      <c r="E141" s="41">
        <v>6.0829000000000004</v>
      </c>
      <c r="F141" s="473"/>
      <c r="G141" s="449">
        <f t="shared" ref="G141:G142" si="15">ROUND(D141*E141,2)</f>
        <v>10.34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701"/>
      <c r="B142" s="702"/>
      <c r="C142" s="99" t="s">
        <v>29</v>
      </c>
      <c r="D142" s="703">
        <v>692</v>
      </c>
      <c r="E142" s="56">
        <v>6.0829000000000004</v>
      </c>
      <c r="F142" s="704"/>
      <c r="G142" s="39">
        <f t="shared" si="15"/>
        <v>4209.37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468"/>
      <c r="B143" s="699" t="s">
        <v>140</v>
      </c>
      <c r="C143" s="48" t="s">
        <v>149</v>
      </c>
      <c r="D143" s="471">
        <v>843</v>
      </c>
      <c r="E143" s="41">
        <f>6.0829-6.0908</f>
        <v>-7.899999999999352E-3</v>
      </c>
      <c r="F143" s="473"/>
      <c r="G143" s="449">
        <f>ROUND(D143*E143,2)</f>
        <v>-6.66</v>
      </c>
      <c r="H143" s="303"/>
      <c r="I143" s="23"/>
      <c r="J143" s="23"/>
      <c r="K143" s="304"/>
      <c r="L143" s="263">
        <f>SUM(G143:G145)</f>
        <v>5407.73</v>
      </c>
      <c r="M143" s="26">
        <v>5407.73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150</v>
      </c>
      <c r="D144" s="471">
        <v>2.1</v>
      </c>
      <c r="E144" s="41">
        <v>6.0829000000000004</v>
      </c>
      <c r="F144" s="473"/>
      <c r="G144" s="449">
        <f>ROUND(D144*E144,2)</f>
        <v>12.77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701"/>
      <c r="B145" s="702"/>
      <c r="C145" s="99" t="s">
        <v>29</v>
      </c>
      <c r="D145" s="703">
        <v>888</v>
      </c>
      <c r="E145" s="56">
        <v>6.0829000000000004</v>
      </c>
      <c r="F145" s="704"/>
      <c r="G145" s="39">
        <f t="shared" ref="G145" si="16">ROUND(D145*E145,2)</f>
        <v>5401.62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0" s="81" customFormat="1" ht="15.75" customHeight="1">
      <c r="A146" s="468"/>
      <c r="B146" s="699" t="s">
        <v>141</v>
      </c>
      <c r="C146" s="48" t="s">
        <v>149</v>
      </c>
      <c r="D146" s="471">
        <v>682.6</v>
      </c>
      <c r="E146" s="41">
        <f>6.0829-6.0908</f>
        <v>-7.899999999999352E-3</v>
      </c>
      <c r="F146" s="473"/>
      <c r="G146" s="449">
        <f>ROUND(D146*E146,2)</f>
        <v>-5.39</v>
      </c>
      <c r="H146" s="303"/>
      <c r="I146" s="23"/>
      <c r="J146" s="23"/>
      <c r="K146" s="304"/>
      <c r="L146" s="263">
        <f>SUM(G146:G148)</f>
        <v>3908.95</v>
      </c>
      <c r="M146" s="26">
        <v>3908.95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.75" customHeight="1">
      <c r="A147" s="468"/>
      <c r="B147" s="469"/>
      <c r="C147" s="48" t="s">
        <v>150</v>
      </c>
      <c r="D147" s="471">
        <v>1.5</v>
      </c>
      <c r="E147" s="41">
        <v>6.0829000000000004</v>
      </c>
      <c r="F147" s="473"/>
      <c r="G147" s="449">
        <f>ROUND(D147*E147,2)</f>
        <v>9.1199999999999992</v>
      </c>
      <c r="H147" s="260"/>
      <c r="I147" s="261"/>
      <c r="J147" s="261"/>
      <c r="K147" s="262"/>
      <c r="L147" s="286"/>
      <c r="M147" s="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701"/>
      <c r="B148" s="702"/>
      <c r="C148" s="99" t="s">
        <v>29</v>
      </c>
      <c r="D148" s="703">
        <v>642</v>
      </c>
      <c r="E148" s="56">
        <v>6.0829000000000004</v>
      </c>
      <c r="F148" s="704"/>
      <c r="G148" s="39">
        <f t="shared" ref="G148" si="17">ROUND(D148*E148,2)</f>
        <v>3905.22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>
      <c r="A149" s="468"/>
      <c r="B149" s="699" t="s">
        <v>147</v>
      </c>
      <c r="C149" s="48" t="s">
        <v>149</v>
      </c>
      <c r="D149" s="471">
        <v>21.1</v>
      </c>
      <c r="E149" s="41">
        <f>6.0829-6.0908</f>
        <v>-7.899999999999352E-3</v>
      </c>
      <c r="F149" s="473"/>
      <c r="G149" s="449">
        <f>ROUND(D149*E149,2)+0.01</f>
        <v>-0.16</v>
      </c>
      <c r="H149" s="303"/>
      <c r="I149" s="23"/>
      <c r="J149" s="23"/>
      <c r="K149" s="304"/>
      <c r="L149" s="263">
        <f>SUM(G149:G151)</f>
        <v>682.93999999999994</v>
      </c>
      <c r="M149" s="26">
        <v>682.94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468"/>
      <c r="B150" s="469"/>
      <c r="C150" s="48" t="s">
        <v>150</v>
      </c>
      <c r="D150" s="471">
        <v>0.3</v>
      </c>
      <c r="E150" s="41">
        <v>6.0829000000000004</v>
      </c>
      <c r="F150" s="473"/>
      <c r="G150" s="449">
        <f>ROUND(D150*E150,2)</f>
        <v>1.82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701"/>
      <c r="B151" s="702"/>
      <c r="C151" s="99" t="s">
        <v>29</v>
      </c>
      <c r="D151" s="703">
        <v>112</v>
      </c>
      <c r="E151" s="56">
        <v>6.0829000000000004</v>
      </c>
      <c r="F151" s="704"/>
      <c r="G151" s="39">
        <f t="shared" ref="G151" si="18">ROUND(D151*E151,2)</f>
        <v>681.28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468"/>
      <c r="B152" s="699" t="s">
        <v>154</v>
      </c>
      <c r="C152" s="48" t="s">
        <v>149</v>
      </c>
      <c r="D152" s="471">
        <v>0</v>
      </c>
      <c r="E152" s="41">
        <f>6.0829-6.0908</f>
        <v>-7.899999999999352E-3</v>
      </c>
      <c r="F152" s="473"/>
      <c r="G152" s="449">
        <f>ROUND(D152*E152,2)</f>
        <v>0</v>
      </c>
      <c r="H152" s="303"/>
      <c r="I152" s="23"/>
      <c r="J152" s="23"/>
      <c r="K152" s="304"/>
      <c r="L152" s="263">
        <f>SUM(G152:G154)</f>
        <v>1389.94</v>
      </c>
      <c r="M152" s="26">
        <v>1389.94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468"/>
      <c r="B153" s="469"/>
      <c r="C153" s="48" t="s">
        <v>150</v>
      </c>
      <c r="D153" s="471">
        <v>0.5</v>
      </c>
      <c r="E153" s="41">
        <v>6.0829000000000004</v>
      </c>
      <c r="F153" s="473"/>
      <c r="G153" s="449">
        <f>ROUND(D153*E153,2)</f>
        <v>3.04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701"/>
      <c r="B154" s="702"/>
      <c r="C154" s="99" t="s">
        <v>29</v>
      </c>
      <c r="D154" s="703">
        <v>228</v>
      </c>
      <c r="E154" s="56">
        <v>6.0829000000000004</v>
      </c>
      <c r="F154" s="704"/>
      <c r="G154" s="39">
        <f t="shared" ref="G154" si="19">ROUND(D154*E154,2)</f>
        <v>1386.9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468"/>
      <c r="B155" s="699" t="s">
        <v>155</v>
      </c>
      <c r="C155" s="48" t="s">
        <v>149</v>
      </c>
      <c r="D155" s="471">
        <v>0</v>
      </c>
      <c r="E155" s="41">
        <f>6.0829-6.0908</f>
        <v>-7.899999999999352E-3</v>
      </c>
      <c r="F155" s="473"/>
      <c r="G155" s="449">
        <f>ROUND(D155*E155,2)</f>
        <v>0</v>
      </c>
      <c r="H155" s="303"/>
      <c r="I155" s="23"/>
      <c r="J155" s="23"/>
      <c r="K155" s="304"/>
      <c r="L155" s="263">
        <f>SUM(G155:G157)</f>
        <v>67.09</v>
      </c>
      <c r="M155" s="26">
        <v>67.09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150</v>
      </c>
      <c r="D156" s="471">
        <v>0.03</v>
      </c>
      <c r="E156" s="41">
        <v>6.0829000000000004</v>
      </c>
      <c r="F156" s="473"/>
      <c r="G156" s="449">
        <f>ROUND(D156*E156,2)</f>
        <v>0.18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701"/>
      <c r="B157" s="702"/>
      <c r="C157" s="99" t="s">
        <v>29</v>
      </c>
      <c r="D157" s="703">
        <v>11</v>
      </c>
      <c r="E157" s="56">
        <v>6.0829000000000004</v>
      </c>
      <c r="F157" s="704"/>
      <c r="G157" s="39">
        <f t="shared" ref="G157" si="20">ROUND(D157*E157,2)</f>
        <v>66.91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468"/>
      <c r="B158" s="699" t="s">
        <v>156</v>
      </c>
      <c r="C158" s="48" t="s">
        <v>149</v>
      </c>
      <c r="D158" s="471">
        <v>0</v>
      </c>
      <c r="E158" s="41">
        <f>6.0829-6.0908</f>
        <v>-7.899999999999352E-3</v>
      </c>
      <c r="F158" s="473"/>
      <c r="G158" s="449">
        <f>ROUND(D158*E158,2)</f>
        <v>0</v>
      </c>
      <c r="H158" s="303"/>
      <c r="I158" s="23"/>
      <c r="J158" s="23"/>
      <c r="K158" s="304"/>
      <c r="L158" s="263">
        <f>SUM(G158:G160)</f>
        <v>433.09999999999997</v>
      </c>
      <c r="M158" s="26">
        <v>433.1</v>
      </c>
      <c r="N158" s="421"/>
      <c r="O158" s="77"/>
      <c r="P158" s="77"/>
      <c r="Q158" s="384"/>
      <c r="R158" s="771" t="s">
        <v>157</v>
      </c>
      <c r="S158" s="399"/>
      <c r="T158" s="399"/>
    </row>
    <row r="159" spans="1:20" s="81" customFormat="1" ht="15.75" customHeight="1">
      <c r="A159" s="468"/>
      <c r="B159" s="469"/>
      <c r="C159" s="48" t="s">
        <v>150</v>
      </c>
      <c r="D159" s="471">
        <v>0.2</v>
      </c>
      <c r="E159" s="41">
        <v>6.0829000000000004</v>
      </c>
      <c r="F159" s="473"/>
      <c r="G159" s="449">
        <f>ROUND(D159*E159,2)-0.01</f>
        <v>1.21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701"/>
      <c r="B160" s="702"/>
      <c r="C160" s="99" t="s">
        <v>29</v>
      </c>
      <c r="D160" s="703">
        <v>71</v>
      </c>
      <c r="E160" s="56">
        <v>6.0829000000000004</v>
      </c>
      <c r="F160" s="704"/>
      <c r="G160" s="39">
        <f t="shared" ref="G160" si="21">ROUND(D160*E160,2)</f>
        <v>431.89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1" s="81" customFormat="1" ht="15.75" customHeight="1" thickBot="1">
      <c r="A161" s="686"/>
      <c r="B161" s="469"/>
      <c r="C161" s="470"/>
      <c r="D161" s="471"/>
      <c r="E161" s="472"/>
      <c r="F161" s="473"/>
      <c r="G161" s="474"/>
      <c r="H161" s="473"/>
      <c r="I161" s="473"/>
      <c r="J161" s="473"/>
      <c r="K161" s="473"/>
      <c r="L161" s="473"/>
      <c r="M161" s="475"/>
      <c r="N161" s="399"/>
      <c r="O161" s="399"/>
      <c r="P161" s="399"/>
      <c r="Q161" s="399"/>
      <c r="R161" s="422"/>
      <c r="S161" s="399"/>
      <c r="T161" s="399"/>
    </row>
    <row r="162" spans="1:21" s="81" customFormat="1" ht="15" customHeight="1" thickTop="1">
      <c r="A162" s="476"/>
      <c r="B162" s="158"/>
      <c r="C162" s="322"/>
      <c r="D162" s="477"/>
      <c r="E162" s="163"/>
      <c r="F162" s="163"/>
      <c r="G162" s="478"/>
      <c r="H162" s="163"/>
      <c r="I162" s="163"/>
      <c r="J162" s="163"/>
      <c r="K162" s="163"/>
      <c r="L162" s="163"/>
      <c r="M162" s="164"/>
      <c r="N162" s="479"/>
      <c r="O162" s="479"/>
      <c r="P162" s="479"/>
      <c r="Q162" s="479"/>
      <c r="R162" s="480"/>
      <c r="S162" s="479"/>
      <c r="T162" s="399"/>
    </row>
    <row r="163" spans="1:21" ht="21.75" thickBot="1">
      <c r="A163" s="171" t="s">
        <v>84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  <c r="N163" s="2"/>
      <c r="O163" s="2"/>
      <c r="P163" s="2"/>
      <c r="Q163" s="2"/>
      <c r="R163" s="2"/>
      <c r="S163" s="2"/>
      <c r="T163" s="2"/>
    </row>
    <row r="164" spans="1:21" ht="15.75" customHeight="1" thickTop="1" thickBot="1">
      <c r="A164" s="1540" t="s">
        <v>1</v>
      </c>
      <c r="B164" s="1542" t="s">
        <v>2</v>
      </c>
      <c r="C164" s="1544" t="s">
        <v>3</v>
      </c>
      <c r="D164" s="1546" t="s">
        <v>4</v>
      </c>
      <c r="E164" s="1546"/>
      <c r="F164" s="1546"/>
      <c r="G164" s="1546"/>
      <c r="H164" s="1547" t="s">
        <v>5</v>
      </c>
      <c r="I164" s="1548"/>
      <c r="J164" s="1548"/>
      <c r="K164" s="1549"/>
      <c r="L164" s="1524" t="s">
        <v>6</v>
      </c>
      <c r="M164" s="1511" t="s">
        <v>7</v>
      </c>
      <c r="N164" s="1551" t="s">
        <v>8</v>
      </c>
      <c r="O164" s="1551"/>
      <c r="P164" s="1551"/>
      <c r="Q164" s="1552" t="s">
        <v>18</v>
      </c>
      <c r="R164" s="481" t="s">
        <v>85</v>
      </c>
      <c r="S164" s="482" t="s">
        <v>20</v>
      </c>
      <c r="T164" s="482" t="s">
        <v>21</v>
      </c>
    </row>
    <row r="165" spans="1:21" ht="40.5" customHeight="1" thickTop="1" thickBot="1">
      <c r="A165" s="1541"/>
      <c r="B165" s="1543"/>
      <c r="C165" s="1545" t="s">
        <v>10</v>
      </c>
      <c r="D165" s="483" t="s">
        <v>11</v>
      </c>
      <c r="E165" s="484" t="s">
        <v>12</v>
      </c>
      <c r="F165" s="484" t="s">
        <v>13</v>
      </c>
      <c r="G165" s="485" t="s">
        <v>14</v>
      </c>
      <c r="H165" s="483" t="s">
        <v>11</v>
      </c>
      <c r="I165" s="486" t="s">
        <v>15</v>
      </c>
      <c r="J165" s="485"/>
      <c r="K165" s="487" t="s">
        <v>16</v>
      </c>
      <c r="L165" s="1525"/>
      <c r="M165" s="1550"/>
      <c r="N165" s="488" t="s">
        <v>14</v>
      </c>
      <c r="O165" s="485"/>
      <c r="P165" s="489" t="s">
        <v>18</v>
      </c>
      <c r="Q165" s="490" t="s">
        <v>19</v>
      </c>
      <c r="R165" s="491"/>
      <c r="S165" s="492"/>
      <c r="T165" s="492"/>
    </row>
    <row r="166" spans="1:21">
      <c r="A166" s="493">
        <v>501</v>
      </c>
      <c r="B166" s="494" t="s">
        <v>86</v>
      </c>
      <c r="C166" s="71"/>
      <c r="D166" s="495">
        <v>32</v>
      </c>
      <c r="E166" s="21">
        <v>36.214199999999998</v>
      </c>
      <c r="F166" s="21">
        <v>42.4328</v>
      </c>
      <c r="G166" s="185">
        <f>ROUND(D166*(E166+F166),2)</f>
        <v>2516.6999999999998</v>
      </c>
      <c r="H166" s="496"/>
      <c r="I166" s="73">
        <v>0.85</v>
      </c>
      <c r="J166" s="73">
        <f>+H166*I166</f>
        <v>0</v>
      </c>
      <c r="K166" s="497"/>
      <c r="L166" s="498">
        <f>+SUM(G166:G173,C173)+J166+J168</f>
        <v>51902.713199999998</v>
      </c>
      <c r="M166" s="26">
        <v>51902.71</v>
      </c>
      <c r="N166" s="499"/>
      <c r="O166" s="500"/>
      <c r="P166" s="501" t="s">
        <v>87</v>
      </c>
      <c r="Q166" s="304">
        <f t="shared" ref="Q166:Q184" si="22">C166+G166+J166-M166-N166-O166</f>
        <v>-49386.01</v>
      </c>
      <c r="R166" s="502" t="s">
        <v>88</v>
      </c>
      <c r="S166" s="503"/>
      <c r="T166" s="504"/>
      <c r="U166" s="33">
        <f>+C166+L166-M166</f>
        <v>3.1999999991967343E-3</v>
      </c>
    </row>
    <row r="167" spans="1:21" ht="15.75" thickBot="1">
      <c r="A167" s="505"/>
      <c r="B167" s="506"/>
      <c r="C167" s="507"/>
      <c r="D167" s="508">
        <v>0</v>
      </c>
      <c r="E167" s="38">
        <f>32.332-28.8628</f>
        <v>3.4692000000000007</v>
      </c>
      <c r="F167" s="38">
        <f>37.8898-33.8306</f>
        <v>4.0592000000000041</v>
      </c>
      <c r="G167" s="50">
        <f>ROUND(D167*(E167+F167),2)</f>
        <v>0</v>
      </c>
      <c r="H167" s="448"/>
      <c r="I167" s="509"/>
      <c r="J167" s="409"/>
      <c r="K167" s="510"/>
      <c r="L167" s="511"/>
      <c r="M167" s="512"/>
      <c r="N167" s="513"/>
      <c r="O167" s="514"/>
      <c r="P167" s="515"/>
      <c r="Q167" s="262"/>
      <c r="R167" s="502"/>
      <c r="S167" s="503"/>
      <c r="T167" s="504"/>
      <c r="U167" s="33"/>
    </row>
    <row r="168" spans="1:21">
      <c r="A168" s="505"/>
      <c r="B168" s="516" t="s">
        <v>89</v>
      </c>
      <c r="C168" s="512" t="s">
        <v>90</v>
      </c>
      <c r="D168" s="508">
        <v>19</v>
      </c>
      <c r="E168" s="101">
        <v>291.8</v>
      </c>
      <c r="F168" s="21">
        <v>42.4328</v>
      </c>
      <c r="G168" s="50">
        <f>D168*(E168+F168)</f>
        <v>6350.4232000000002</v>
      </c>
      <c r="H168" s="270"/>
      <c r="I168" s="41">
        <v>128.56</v>
      </c>
      <c r="J168" s="409">
        <f>+H168*I168</f>
        <v>0</v>
      </c>
      <c r="K168" s="510"/>
      <c r="L168" s="517"/>
      <c r="M168" s="99"/>
      <c r="N168" s="518"/>
      <c r="O168" s="519"/>
      <c r="P168" s="515" t="s">
        <v>87</v>
      </c>
      <c r="Q168" s="271">
        <f>+G168+J168-M168-N168-O168</f>
        <v>6350.4232000000002</v>
      </c>
      <c r="R168" s="502" t="s">
        <v>88</v>
      </c>
      <c r="S168" s="503"/>
      <c r="T168" s="504"/>
    </row>
    <row r="169" spans="1:21">
      <c r="A169" s="505"/>
      <c r="B169" s="506" t="s">
        <v>91</v>
      </c>
      <c r="C169" s="507"/>
      <c r="D169" s="508"/>
      <c r="E169" s="41">
        <f>291.8-352.37</f>
        <v>-60.569999999999993</v>
      </c>
      <c r="F169" s="38"/>
      <c r="G169" s="50">
        <f>ROUND(D169*(E169+F169),2)</f>
        <v>0</v>
      </c>
      <c r="H169" s="432"/>
      <c r="I169" s="362"/>
      <c r="J169" s="409"/>
      <c r="K169" s="510"/>
      <c r="L169" s="517"/>
      <c r="M169" s="520"/>
      <c r="N169" s="521"/>
      <c r="O169" s="522"/>
      <c r="P169" s="523"/>
      <c r="Q169" s="362"/>
      <c r="R169" s="502"/>
      <c r="S169" s="503"/>
      <c r="T169" s="504"/>
    </row>
    <row r="170" spans="1:21">
      <c r="A170" s="505"/>
      <c r="B170" s="506" t="s">
        <v>91</v>
      </c>
      <c r="C170" s="507"/>
      <c r="D170" s="508"/>
      <c r="E170" s="38"/>
      <c r="F170" s="41"/>
      <c r="G170" s="50">
        <f>D170*(E170+F170)</f>
        <v>0</v>
      </c>
      <c r="H170" s="432"/>
      <c r="I170" s="362"/>
      <c r="J170" s="409"/>
      <c r="K170" s="510"/>
      <c r="L170" s="517"/>
      <c r="M170" s="520"/>
      <c r="N170" s="521"/>
      <c r="O170" s="522"/>
      <c r="P170" s="523"/>
      <c r="Q170" s="362"/>
      <c r="R170" s="502"/>
      <c r="S170" s="503"/>
      <c r="T170" s="504"/>
    </row>
    <row r="171" spans="1:21">
      <c r="A171" s="505"/>
      <c r="B171" s="506" t="s">
        <v>92</v>
      </c>
      <c r="C171" s="48" t="s">
        <v>149</v>
      </c>
      <c r="D171" s="508">
        <v>6417</v>
      </c>
      <c r="E171" s="41">
        <f>5.8666-5.9647</f>
        <v>-9.8099999999999632E-2</v>
      </c>
      <c r="F171" s="41">
        <f>+E171</f>
        <v>-9.8099999999999632E-2</v>
      </c>
      <c r="G171" s="39">
        <f>ROUNDDOWN(D171*E171,2)-0.01</f>
        <v>-629.51</v>
      </c>
      <c r="H171" s="432"/>
      <c r="I171" s="362"/>
      <c r="J171" s="41"/>
      <c r="K171" s="510"/>
      <c r="L171" s="517"/>
      <c r="M171" s="520"/>
      <c r="N171" s="521"/>
      <c r="O171" s="522"/>
      <c r="P171" s="523"/>
      <c r="Q171" s="362"/>
      <c r="R171" s="502"/>
      <c r="S171" s="503"/>
      <c r="T171" s="504"/>
    </row>
    <row r="172" spans="1:21">
      <c r="A172" s="505"/>
      <c r="B172" s="506"/>
      <c r="C172" s="48" t="s">
        <v>150</v>
      </c>
      <c r="D172" s="508">
        <v>316</v>
      </c>
      <c r="E172" s="41">
        <v>5.8666</v>
      </c>
      <c r="F172" s="41">
        <f>+E172</f>
        <v>5.8666</v>
      </c>
      <c r="G172" s="39">
        <f>ROUND(D172*E172,2)-0.01</f>
        <v>1853.84</v>
      </c>
      <c r="H172" s="432"/>
      <c r="I172" s="362"/>
      <c r="J172" s="207"/>
      <c r="K172" s="524"/>
      <c r="L172" s="517"/>
      <c r="M172" s="520"/>
      <c r="N172" s="521"/>
      <c r="O172" s="522"/>
      <c r="P172" s="523"/>
      <c r="Q172" s="362"/>
      <c r="R172" s="502"/>
      <c r="S172" s="503"/>
      <c r="T172" s="504"/>
    </row>
    <row r="173" spans="1:21" ht="15.75" thickBot="1">
      <c r="A173" s="525"/>
      <c r="B173" s="526"/>
      <c r="C173" s="99" t="s">
        <v>29</v>
      </c>
      <c r="D173" s="55">
        <v>7127</v>
      </c>
      <c r="E173" s="56">
        <v>5.8666</v>
      </c>
      <c r="F173" s="57">
        <f>+E173</f>
        <v>5.8666</v>
      </c>
      <c r="G173" s="58">
        <f>ROUND(D173*E173,2)</f>
        <v>41811.26</v>
      </c>
      <c r="H173" s="248"/>
      <c r="I173" s="203"/>
      <c r="J173" s="60"/>
      <c r="K173" s="61"/>
      <c r="L173" s="249"/>
      <c r="M173" s="54"/>
      <c r="N173" s="527"/>
      <c r="O173" s="528"/>
      <c r="P173" s="529" t="s">
        <v>87</v>
      </c>
      <c r="Q173" s="282">
        <f>+G173+J173-M173-N173-O173</f>
        <v>41811.26</v>
      </c>
      <c r="R173" s="530" t="s">
        <v>88</v>
      </c>
      <c r="S173" s="531">
        <f>SUM(N166:N173)+O166:O173</f>
        <v>0</v>
      </c>
      <c r="T173" s="531">
        <f>SUM(Q166:Q173)</f>
        <v>-1224.3268000000025</v>
      </c>
      <c r="U173" s="33"/>
    </row>
    <row r="174" spans="1:21" ht="15.75" thickTop="1">
      <c r="A174" s="339" t="s">
        <v>93</v>
      </c>
      <c r="B174" s="532" t="s">
        <v>94</v>
      </c>
      <c r="C174" s="71">
        <f>+[1]дек!U51</f>
        <v>-6.0000000303261913E-4</v>
      </c>
      <c r="D174" s="213">
        <v>63</v>
      </c>
      <c r="E174" s="21">
        <v>36.214199999999998</v>
      </c>
      <c r="F174" s="21">
        <v>42.4328</v>
      </c>
      <c r="G174" s="214">
        <f>ROUND(D174*(E174+F174),2)</f>
        <v>4954.76</v>
      </c>
      <c r="H174" s="496"/>
      <c r="I174" s="73">
        <v>0.85</v>
      </c>
      <c r="J174" s="73">
        <f>H174*I174</f>
        <v>0</v>
      </c>
      <c r="K174" s="497"/>
      <c r="L174" s="533">
        <f>+SUM(G174:G181,)+J174+J176</f>
        <v>45651.11</v>
      </c>
      <c r="M174" s="26">
        <v>45651.11</v>
      </c>
      <c r="N174" s="534"/>
      <c r="O174" s="535"/>
      <c r="P174" s="536" t="s">
        <v>87</v>
      </c>
      <c r="Q174" s="537">
        <f t="shared" si="22"/>
        <v>-40696.350600000005</v>
      </c>
      <c r="R174" s="538" t="s">
        <v>95</v>
      </c>
      <c r="S174" s="539"/>
      <c r="T174" s="540"/>
      <c r="U174" s="33"/>
    </row>
    <row r="175" spans="1:21" ht="15.75" thickBot="1">
      <c r="A175" s="353"/>
      <c r="B175" s="541"/>
      <c r="C175" s="542" t="s">
        <v>96</v>
      </c>
      <c r="D175" s="234">
        <v>0</v>
      </c>
      <c r="E175" s="38">
        <f>32.332-28.8628</f>
        <v>3.4692000000000007</v>
      </c>
      <c r="F175" s="38">
        <f>37.8898-33.8306</f>
        <v>4.0592000000000041</v>
      </c>
      <c r="G175" s="235">
        <f>ROUND(D175*(E175+F175),2)</f>
        <v>0</v>
      </c>
      <c r="H175" s="448"/>
      <c r="I175" s="509"/>
      <c r="J175" s="509"/>
      <c r="K175" s="543"/>
      <c r="L175" s="544"/>
      <c r="M175" s="545"/>
      <c r="N175" s="546"/>
      <c r="O175" s="547"/>
      <c r="P175" s="548"/>
      <c r="Q175" s="549"/>
      <c r="R175" s="550"/>
      <c r="S175" s="551"/>
      <c r="T175" s="552"/>
      <c r="U175" s="33"/>
    </row>
    <row r="176" spans="1:21">
      <c r="A176" s="353"/>
      <c r="B176" s="516" t="s">
        <v>32</v>
      </c>
      <c r="C176" s="99" t="s">
        <v>90</v>
      </c>
      <c r="D176" s="234">
        <v>0</v>
      </c>
      <c r="E176" s="101">
        <v>291.8</v>
      </c>
      <c r="F176" s="21">
        <v>42.4328</v>
      </c>
      <c r="G176" s="235">
        <f>ROUND(D176*(E176+F176),2)</f>
        <v>0</v>
      </c>
      <c r="H176" s="270"/>
      <c r="I176" s="41">
        <v>128.56</v>
      </c>
      <c r="J176" s="41">
        <f>ROUND(H176*I176,2)</f>
        <v>0</v>
      </c>
      <c r="K176" s="510"/>
      <c r="L176" s="553"/>
      <c r="M176" s="554"/>
      <c r="N176" s="555"/>
      <c r="O176" s="556"/>
      <c r="P176" s="557" t="s">
        <v>87</v>
      </c>
      <c r="Q176" s="558">
        <f>+G176+J176-M176-N176-O176</f>
        <v>0</v>
      </c>
      <c r="R176" s="550" t="s">
        <v>95</v>
      </c>
      <c r="S176" s="551"/>
      <c r="T176" s="552"/>
    </row>
    <row r="177" spans="1:21">
      <c r="A177" s="353"/>
      <c r="B177" s="541"/>
      <c r="C177" s="84" t="s">
        <v>97</v>
      </c>
      <c r="D177" s="234"/>
      <c r="E177" s="41">
        <f>291.8-352.37</f>
        <v>-60.569999999999993</v>
      </c>
      <c r="F177" s="38"/>
      <c r="G177" s="50">
        <f>ROUND(D177*E177,2)</f>
        <v>0</v>
      </c>
      <c r="H177" s="432"/>
      <c r="I177" s="362"/>
      <c r="J177" s="41"/>
      <c r="K177" s="510"/>
      <c r="L177" s="559"/>
      <c r="M177" s="560"/>
      <c r="N177" s="561"/>
      <c r="O177" s="562"/>
      <c r="P177" s="563"/>
      <c r="Q177" s="564"/>
      <c r="R177" s="550"/>
      <c r="S177" s="551"/>
      <c r="T177" s="552"/>
    </row>
    <row r="178" spans="1:21">
      <c r="A178" s="353"/>
      <c r="B178" s="541"/>
      <c r="C178" s="84" t="s">
        <v>97</v>
      </c>
      <c r="D178" s="234"/>
      <c r="E178" s="38"/>
      <c r="F178" s="240"/>
      <c r="G178" s="50">
        <f>D178*(E178+F178)</f>
        <v>0</v>
      </c>
      <c r="H178" s="432"/>
      <c r="I178" s="362"/>
      <c r="J178" s="41"/>
      <c r="K178" s="510"/>
      <c r="L178" s="559"/>
      <c r="M178" s="560"/>
      <c r="N178" s="561"/>
      <c r="O178" s="562"/>
      <c r="P178" s="563"/>
      <c r="Q178" s="564"/>
      <c r="R178" s="550"/>
      <c r="S178" s="551"/>
      <c r="T178" s="552"/>
    </row>
    <row r="179" spans="1:21">
      <c r="A179" s="353"/>
      <c r="B179" s="541"/>
      <c r="C179" s="48" t="s">
        <v>149</v>
      </c>
      <c r="D179" s="37">
        <v>5624</v>
      </c>
      <c r="E179" s="41">
        <f>5.8666-5.9647</f>
        <v>-9.8099999999999632E-2</v>
      </c>
      <c r="F179" s="41">
        <f>+E179</f>
        <v>-9.8099999999999632E-2</v>
      </c>
      <c r="G179" s="235">
        <f>ROUND(D179*E179,2)-0.01</f>
        <v>-551.72</v>
      </c>
      <c r="H179" s="565"/>
      <c r="I179" s="564"/>
      <c r="J179" s="566"/>
      <c r="K179" s="567"/>
      <c r="L179" s="559"/>
      <c r="M179" s="560"/>
      <c r="N179" s="561"/>
      <c r="O179" s="562"/>
      <c r="P179" s="563"/>
      <c r="Q179" s="564"/>
      <c r="R179" s="550"/>
      <c r="S179" s="551"/>
      <c r="T179" s="552"/>
      <c r="U179" s="352"/>
    </row>
    <row r="180" spans="1:21">
      <c r="A180" s="353"/>
      <c r="B180" s="541"/>
      <c r="C180" s="48" t="s">
        <v>150</v>
      </c>
      <c r="D180" s="37">
        <v>298</v>
      </c>
      <c r="E180" s="41">
        <v>5.8666</v>
      </c>
      <c r="F180" s="41">
        <f>+E180</f>
        <v>5.8666</v>
      </c>
      <c r="G180" s="235">
        <f>ROUND(D180*E180,2)</f>
        <v>1748.25</v>
      </c>
      <c r="H180" s="565"/>
      <c r="I180" s="564"/>
      <c r="J180" s="566"/>
      <c r="K180" s="567"/>
      <c r="L180" s="559"/>
      <c r="M180" s="560"/>
      <c r="N180" s="561"/>
      <c r="O180" s="562"/>
      <c r="P180" s="563"/>
      <c r="Q180" s="564"/>
      <c r="R180" s="550"/>
      <c r="S180" s="551"/>
      <c r="T180" s="552"/>
      <c r="U180" s="33"/>
    </row>
    <row r="181" spans="1:21" ht="15.75" thickBot="1">
      <c r="A181" s="369"/>
      <c r="B181" s="568"/>
      <c r="C181" s="99" t="s">
        <v>29</v>
      </c>
      <c r="D181" s="246">
        <v>6733</v>
      </c>
      <c r="E181" s="56">
        <v>5.8666</v>
      </c>
      <c r="F181" s="57">
        <f>+E181</f>
        <v>5.8666</v>
      </c>
      <c r="G181" s="247">
        <f>ROUND(D181*E181,2)</f>
        <v>39499.82</v>
      </c>
      <c r="H181" s="248"/>
      <c r="I181" s="203"/>
      <c r="J181" s="60"/>
      <c r="K181" s="61"/>
      <c r="L181" s="204"/>
      <c r="M181" s="560"/>
      <c r="N181" s="561"/>
      <c r="O181" s="528"/>
      <c r="P181" s="529" t="s">
        <v>87</v>
      </c>
      <c r="Q181" s="564">
        <f>+G181+J181-M181-N181-O181</f>
        <v>39499.82</v>
      </c>
      <c r="R181" s="550" t="s">
        <v>95</v>
      </c>
      <c r="S181" s="569">
        <f>SUM(N174:N181)+O174:O181</f>
        <v>0</v>
      </c>
      <c r="T181" s="570">
        <f>SUM(Q176:Q181)</f>
        <v>39499.82</v>
      </c>
    </row>
    <row r="182" spans="1:21" ht="15.75" hidden="1" outlineLevel="1" thickBot="1">
      <c r="A182" s="571"/>
      <c r="B182" s="572" t="s">
        <v>98</v>
      </c>
      <c r="C182" s="573" t="s">
        <v>99</v>
      </c>
      <c r="D182" s="574">
        <v>0</v>
      </c>
      <c r="E182" s="575">
        <f>3.193-2.9732</f>
        <v>0.21980000000000022</v>
      </c>
      <c r="F182" s="575">
        <f>3.193-2.9732</f>
        <v>0.21980000000000022</v>
      </c>
      <c r="G182" s="576">
        <f>D182*E182*70%+D182*F182*30%</f>
        <v>0</v>
      </c>
      <c r="H182" s="577"/>
      <c r="I182" s="578"/>
      <c r="J182" s="579"/>
      <c r="K182" s="579"/>
      <c r="L182" s="580"/>
      <c r="M182" s="581"/>
      <c r="N182" s="582"/>
      <c r="O182" s="535"/>
      <c r="P182" s="536"/>
      <c r="Q182" s="583"/>
      <c r="R182" s="584"/>
      <c r="S182" s="569"/>
      <c r="T182" s="585"/>
    </row>
    <row r="183" spans="1:21" s="81" customFormat="1" ht="16.5" hidden="1" customHeight="1" outlineLevel="1" thickBot="1">
      <c r="A183" s="586" t="s">
        <v>100</v>
      </c>
      <c r="B183" s="587" t="s">
        <v>98</v>
      </c>
      <c r="C183" s="588">
        <f>+[1]авг!C52</f>
        <v>0</v>
      </c>
      <c r="D183" s="589">
        <v>0</v>
      </c>
      <c r="E183" s="575">
        <v>3.1930000000000001</v>
      </c>
      <c r="F183" s="575">
        <f>+E183</f>
        <v>3.1930000000000001</v>
      </c>
      <c r="G183" s="576">
        <f>D183*E183*70%+D183*F183*30%</f>
        <v>0</v>
      </c>
      <c r="H183" s="579"/>
      <c r="I183" s="579"/>
      <c r="J183" s="579"/>
      <c r="K183" s="579"/>
      <c r="L183" s="579">
        <f>+C183+G183+G182</f>
        <v>0</v>
      </c>
      <c r="M183" s="590">
        <v>0</v>
      </c>
      <c r="N183" s="500"/>
      <c r="O183" s="528"/>
      <c r="P183" s="529" t="s">
        <v>87</v>
      </c>
      <c r="Q183" s="591">
        <f t="shared" si="22"/>
        <v>0</v>
      </c>
      <c r="R183" s="592" t="s">
        <v>101</v>
      </c>
      <c r="S183" s="77">
        <f>SUM(N183:N183)+SUM(O183:O183)</f>
        <v>0</v>
      </c>
      <c r="T183" s="593">
        <f>SUM(Q183:Q183)</f>
        <v>0</v>
      </c>
    </row>
    <row r="184" spans="1:21" ht="15.75" collapsed="1" thickTop="1">
      <c r="A184" s="505">
        <v>115</v>
      </c>
      <c r="B184" s="494" t="s">
        <v>102</v>
      </c>
      <c r="C184" s="71">
        <f>+[1]дек!U57</f>
        <v>0</v>
      </c>
      <c r="D184" s="495">
        <v>31</v>
      </c>
      <c r="E184" s="21">
        <v>36.214199999999998</v>
      </c>
      <c r="F184" s="21">
        <v>42.4328</v>
      </c>
      <c r="G184" s="185">
        <f>ROUND(D184*(E184+F184),2)</f>
        <v>2438.06</v>
      </c>
      <c r="H184" s="496"/>
      <c r="I184" s="73">
        <v>0.85</v>
      </c>
      <c r="J184" s="73">
        <f>+H184*I184</f>
        <v>0</v>
      </c>
      <c r="K184" s="497"/>
      <c r="L184" s="498">
        <f>SUM(G184:G190)+SUM(J184:J189)</f>
        <v>22179.75</v>
      </c>
      <c r="M184" s="26">
        <v>22179.75</v>
      </c>
      <c r="N184" s="594"/>
      <c r="O184" s="535"/>
      <c r="P184" s="536" t="s">
        <v>87</v>
      </c>
      <c r="Q184" s="595">
        <f t="shared" si="22"/>
        <v>-19741.689999999999</v>
      </c>
      <c r="R184" s="502" t="s">
        <v>88</v>
      </c>
      <c r="S184" s="503"/>
      <c r="T184" s="504"/>
    </row>
    <row r="185" spans="1:21" ht="15.75" thickBot="1">
      <c r="A185" s="505"/>
      <c r="B185" s="506"/>
      <c r="C185" s="542"/>
      <c r="D185" s="508"/>
      <c r="E185" s="38">
        <f>32.332-28.8628</f>
        <v>3.4692000000000007</v>
      </c>
      <c r="F185" s="38">
        <f>37.8898-33.8306</f>
        <v>4.0592000000000041</v>
      </c>
      <c r="G185" s="50">
        <f>ROUND(D185*(E185+F185),2)</f>
        <v>0</v>
      </c>
      <c r="H185" s="596"/>
      <c r="I185" s="409"/>
      <c r="J185" s="509"/>
      <c r="K185" s="543"/>
      <c r="L185" s="511"/>
      <c r="M185" s="99"/>
      <c r="N185" s="513"/>
      <c r="O185" s="514"/>
      <c r="P185" s="515"/>
      <c r="Q185" s="262"/>
      <c r="R185" s="502"/>
      <c r="S185" s="503"/>
      <c r="T185" s="504"/>
    </row>
    <row r="186" spans="1:21">
      <c r="A186" s="505"/>
      <c r="B186" s="516" t="s">
        <v>103</v>
      </c>
      <c r="C186" s="99" t="s">
        <v>90</v>
      </c>
      <c r="D186" s="508">
        <v>10</v>
      </c>
      <c r="E186" s="101">
        <v>291.8</v>
      </c>
      <c r="F186" s="21">
        <v>42.4328</v>
      </c>
      <c r="G186" s="50">
        <f>ROUND(D186*(E186+F186),2)</f>
        <v>3342.33</v>
      </c>
      <c r="H186" s="270"/>
      <c r="I186" s="41">
        <v>128.56</v>
      </c>
      <c r="J186" s="409">
        <f>+H186*I186</f>
        <v>0</v>
      </c>
      <c r="K186" s="510"/>
      <c r="L186" s="597"/>
      <c r="M186" s="99"/>
      <c r="N186" s="518"/>
      <c r="O186" s="519"/>
      <c r="P186" s="515" t="s">
        <v>87</v>
      </c>
      <c r="Q186" s="271">
        <f>+G186+J186-M186-N186-O186</f>
        <v>3342.33</v>
      </c>
      <c r="R186" s="502" t="s">
        <v>88</v>
      </c>
      <c r="S186" s="503"/>
      <c r="T186" s="504"/>
    </row>
    <row r="187" spans="1:21">
      <c r="A187" s="505"/>
      <c r="B187" s="506"/>
      <c r="C187" s="390" t="s">
        <v>97</v>
      </c>
      <c r="D187" s="508">
        <v>0</v>
      </c>
      <c r="E187" s="41">
        <f>291.8-352.37</f>
        <v>-60.569999999999993</v>
      </c>
      <c r="F187" s="38"/>
      <c r="G187" s="50">
        <f>D187*(E187+F187)</f>
        <v>0</v>
      </c>
      <c r="H187" s="432"/>
      <c r="I187" s="362"/>
      <c r="J187" s="41"/>
      <c r="K187" s="510"/>
      <c r="L187" s="597"/>
      <c r="M187" s="99"/>
      <c r="N187" s="521"/>
      <c r="O187" s="522"/>
      <c r="P187" s="523"/>
      <c r="Q187" s="362"/>
      <c r="R187" s="502"/>
      <c r="S187" s="503"/>
      <c r="T187" s="504"/>
    </row>
    <row r="188" spans="1:21">
      <c r="A188" s="505"/>
      <c r="B188" s="506"/>
      <c r="C188" s="48" t="s">
        <v>149</v>
      </c>
      <c r="D188" s="37">
        <v>1891</v>
      </c>
      <c r="E188" s="41">
        <f>5.8666-5.9647</f>
        <v>-9.8099999999999632E-2</v>
      </c>
      <c r="F188" s="297">
        <f t="shared" ref="F188:F190" si="23">+E188</f>
        <v>-9.8099999999999632E-2</v>
      </c>
      <c r="G188" s="39">
        <f>ROUND(D188*(E188+F188)/2,2)-0.01</f>
        <v>-185.51999999999998</v>
      </c>
      <c r="H188" s="432"/>
      <c r="I188" s="362"/>
      <c r="J188" s="41"/>
      <c r="K188" s="510"/>
      <c r="L188" s="597"/>
      <c r="M188" s="99"/>
      <c r="N188" s="521"/>
      <c r="O188" s="522"/>
      <c r="P188" s="523"/>
      <c r="Q188" s="362"/>
      <c r="R188" s="502"/>
      <c r="S188" s="503"/>
      <c r="T188" s="504"/>
    </row>
    <row r="189" spans="1:21">
      <c r="A189" s="505"/>
      <c r="B189" s="506"/>
      <c r="C189" s="48" t="s">
        <v>150</v>
      </c>
      <c r="D189" s="37">
        <v>120</v>
      </c>
      <c r="E189" s="41">
        <v>5.8666</v>
      </c>
      <c r="F189" s="298">
        <f t="shared" si="23"/>
        <v>5.8666</v>
      </c>
      <c r="G189" s="39">
        <f>ROUND(D189*E189,2)</f>
        <v>703.99</v>
      </c>
      <c r="H189" s="432"/>
      <c r="I189" s="362"/>
      <c r="J189" s="41"/>
      <c r="K189" s="510"/>
      <c r="L189" s="597"/>
      <c r="M189" s="99"/>
      <c r="N189" s="521"/>
      <c r="O189" s="522"/>
      <c r="P189" s="523"/>
      <c r="Q189" s="362"/>
      <c r="R189" s="502"/>
      <c r="S189" s="503"/>
      <c r="T189" s="504"/>
    </row>
    <row r="190" spans="1:21" ht="15.75" thickBot="1">
      <c r="A190" s="505"/>
      <c r="B190" s="526"/>
      <c r="C190" s="99" t="s">
        <v>29</v>
      </c>
      <c r="D190" s="55">
        <v>2707</v>
      </c>
      <c r="E190" s="56">
        <v>5.8666</v>
      </c>
      <c r="F190" s="57">
        <f t="shared" si="23"/>
        <v>5.8666</v>
      </c>
      <c r="G190" s="414">
        <f>ROUND(D190*E190,2)</f>
        <v>15880.89</v>
      </c>
      <c r="H190" s="248"/>
      <c r="I190" s="203"/>
      <c r="J190" s="60"/>
      <c r="K190" s="61"/>
      <c r="L190" s="249"/>
      <c r="M190" s="54"/>
      <c r="N190" s="527"/>
      <c r="O190" s="528"/>
      <c r="P190" s="529" t="s">
        <v>87</v>
      </c>
      <c r="Q190" s="58">
        <f>+G190+J190-M190-N190-O190</f>
        <v>15880.89</v>
      </c>
      <c r="R190" s="502" t="s">
        <v>88</v>
      </c>
      <c r="S190" s="598">
        <f>SUM(N184:N190)+O184:O190</f>
        <v>0</v>
      </c>
      <c r="T190" s="598">
        <f>SUM(Q184:Q190)</f>
        <v>-518.47000000000116</v>
      </c>
    </row>
    <row r="191" spans="1:21">
      <c r="A191" s="645"/>
      <c r="B191" s="494" t="s">
        <v>104</v>
      </c>
      <c r="C191" s="71">
        <f>+[1]дек!U66</f>
        <v>0</v>
      </c>
      <c r="D191" s="495">
        <v>33</v>
      </c>
      <c r="E191" s="21">
        <v>36.214199999999998</v>
      </c>
      <c r="F191" s="21">
        <v>42.4328</v>
      </c>
      <c r="G191" s="185">
        <f>ROUND(D191*(E191+F191),2)</f>
        <v>2595.35</v>
      </c>
      <c r="H191" s="496"/>
      <c r="I191" s="73">
        <v>0.85</v>
      </c>
      <c r="J191" s="73">
        <f>+H191*I191</f>
        <v>0</v>
      </c>
      <c r="K191" s="497"/>
      <c r="L191" s="439">
        <f>SUM(G191:G198)+SUM(J191:J197)</f>
        <v>18145.18</v>
      </c>
      <c r="M191" s="26">
        <v>18145.18</v>
      </c>
      <c r="N191" s="499"/>
      <c r="O191" s="500"/>
      <c r="P191" s="501" t="s">
        <v>87</v>
      </c>
      <c r="Q191" s="185">
        <f t="shared" ref="Q191" si="24">C191+G191+J191-M191-N191-O191</f>
        <v>-15549.83</v>
      </c>
      <c r="R191" s="502" t="s">
        <v>88</v>
      </c>
      <c r="S191" s="503"/>
      <c r="T191" s="504"/>
    </row>
    <row r="192" spans="1:21" ht="15.75" thickBot="1">
      <c r="A192" s="645"/>
      <c r="B192" s="506"/>
      <c r="C192" s="599" t="s">
        <v>96</v>
      </c>
      <c r="D192" s="234">
        <v>0</v>
      </c>
      <c r="E192" s="38">
        <f>32.332-28.8628</f>
        <v>3.4692000000000007</v>
      </c>
      <c r="F192" s="38">
        <f>37.8898-33.8306</f>
        <v>4.0592000000000041</v>
      </c>
      <c r="G192" s="235">
        <f>ROUND(D192*(E192+F192),2)</f>
        <v>0</v>
      </c>
      <c r="H192" s="448"/>
      <c r="I192" s="509"/>
      <c r="J192" s="409"/>
      <c r="K192" s="510"/>
      <c r="L192" s="48"/>
      <c r="M192" s="512"/>
      <c r="N192" s="513"/>
      <c r="O192" s="514"/>
      <c r="P192" s="515"/>
      <c r="Q192" s="262"/>
      <c r="R192" s="502"/>
      <c r="S192" s="503"/>
      <c r="T192" s="504"/>
    </row>
    <row r="193" spans="1:21">
      <c r="A193" s="645"/>
      <c r="B193" s="516" t="s">
        <v>89</v>
      </c>
      <c r="C193" s="512" t="s">
        <v>90</v>
      </c>
      <c r="D193" s="508">
        <v>6</v>
      </c>
      <c r="E193" s="101">
        <v>291.8</v>
      </c>
      <c r="F193" s="21">
        <v>42.4328</v>
      </c>
      <c r="G193" s="50">
        <f>ROUND(D193*(E193+F193),2)</f>
        <v>2005.4</v>
      </c>
      <c r="H193" s="270"/>
      <c r="I193" s="41">
        <v>128.56</v>
      </c>
      <c r="J193" s="409">
        <f>ROUND(H193*I193,2)</f>
        <v>0</v>
      </c>
      <c r="K193" s="510"/>
      <c r="L193" s="600"/>
      <c r="M193" s="99"/>
      <c r="N193" s="518"/>
      <c r="O193" s="519"/>
      <c r="P193" s="515" t="s">
        <v>87</v>
      </c>
      <c r="Q193" s="271">
        <f>+G193+J193-M193-N193-O193</f>
        <v>2005.4</v>
      </c>
      <c r="R193" s="502" t="s">
        <v>88</v>
      </c>
      <c r="S193" s="503"/>
      <c r="T193" s="504"/>
    </row>
    <row r="194" spans="1:21">
      <c r="A194" s="645"/>
      <c r="B194" s="541"/>
      <c r="C194" s="84" t="s">
        <v>97</v>
      </c>
      <c r="D194" s="508">
        <v>0</v>
      </c>
      <c r="E194" s="41">
        <f>291.8-352.37</f>
        <v>-60.569999999999993</v>
      </c>
      <c r="F194" s="38"/>
      <c r="G194" s="50">
        <f>ROUND(D194*(E194+F194),2)</f>
        <v>0</v>
      </c>
      <c r="H194" s="432"/>
      <c r="I194" s="362"/>
      <c r="J194" s="41"/>
      <c r="K194" s="510"/>
      <c r="L194" s="600"/>
      <c r="M194" s="520"/>
      <c r="N194" s="521"/>
      <c r="O194" s="522"/>
      <c r="P194" s="523"/>
      <c r="Q194" s="362"/>
      <c r="R194" s="502"/>
      <c r="S194" s="503"/>
      <c r="T194" s="504"/>
    </row>
    <row r="195" spans="1:21">
      <c r="A195" s="645"/>
      <c r="B195" s="541"/>
      <c r="C195" s="84" t="s">
        <v>97</v>
      </c>
      <c r="D195" s="508">
        <v>0</v>
      </c>
      <c r="E195" s="41"/>
      <c r="F195" s="41"/>
      <c r="G195" s="50">
        <f>D195*(E195+F195)</f>
        <v>0</v>
      </c>
      <c r="H195" s="432"/>
      <c r="I195" s="362"/>
      <c r="J195" s="41"/>
      <c r="K195" s="510"/>
      <c r="L195" s="600"/>
      <c r="M195" s="520"/>
      <c r="N195" s="521"/>
      <c r="O195" s="522"/>
      <c r="P195" s="523"/>
      <c r="Q195" s="362"/>
      <c r="R195" s="502"/>
      <c r="S195" s="503"/>
      <c r="T195" s="504"/>
    </row>
    <row r="196" spans="1:21">
      <c r="A196" s="645"/>
      <c r="B196" s="506"/>
      <c r="C196" s="48" t="s">
        <v>149</v>
      </c>
      <c r="D196" s="37">
        <v>2049</v>
      </c>
      <c r="E196" s="41">
        <f>5.8666-5.9647</f>
        <v>-9.8099999999999632E-2</v>
      </c>
      <c r="F196" s="297">
        <f t="shared" ref="F196:F198" si="25">+E196</f>
        <v>-9.8099999999999632E-2</v>
      </c>
      <c r="G196" s="39">
        <f>ROUND(D196*(E196),2)</f>
        <v>-201.01</v>
      </c>
      <c r="H196" s="432"/>
      <c r="I196" s="362"/>
      <c r="J196" s="41"/>
      <c r="K196" s="510"/>
      <c r="L196" s="600"/>
      <c r="M196" s="520"/>
      <c r="N196" s="521"/>
      <c r="O196" s="522"/>
      <c r="P196" s="523"/>
      <c r="Q196" s="362"/>
      <c r="R196" s="502"/>
      <c r="S196" s="503"/>
      <c r="T196" s="504"/>
    </row>
    <row r="197" spans="1:21">
      <c r="A197" s="645"/>
      <c r="B197" s="506"/>
      <c r="C197" s="48" t="s">
        <v>150</v>
      </c>
      <c r="D197" s="37">
        <v>99</v>
      </c>
      <c r="E197" s="41">
        <v>5.8666</v>
      </c>
      <c r="F197" s="298">
        <f t="shared" si="25"/>
        <v>5.8666</v>
      </c>
      <c r="G197" s="39">
        <f>ROUND(D197*(E197),2)</f>
        <v>580.79</v>
      </c>
      <c r="H197" s="432"/>
      <c r="I197" s="362"/>
      <c r="J197" s="41"/>
      <c r="K197" s="510"/>
      <c r="L197" s="600"/>
      <c r="M197" s="520"/>
      <c r="N197" s="521"/>
      <c r="O197" s="522"/>
      <c r="P197" s="523"/>
      <c r="Q197" s="362"/>
      <c r="R197" s="502"/>
      <c r="S197" s="503"/>
      <c r="T197" s="504"/>
      <c r="U197" s="33"/>
    </row>
    <row r="198" spans="1:21" ht="15.75" thickBot="1">
      <c r="A198" s="645"/>
      <c r="B198" s="526"/>
      <c r="C198" s="99" t="s">
        <v>29</v>
      </c>
      <c r="D198" s="55">
        <v>2244</v>
      </c>
      <c r="E198" s="56">
        <v>5.8666</v>
      </c>
      <c r="F198" s="57">
        <f t="shared" si="25"/>
        <v>5.8666</v>
      </c>
      <c r="G198" s="414">
        <f>ROUND(D198*(E198),2)</f>
        <v>13164.65</v>
      </c>
      <c r="H198" s="248"/>
      <c r="I198" s="203"/>
      <c r="J198" s="60"/>
      <c r="K198" s="61"/>
      <c r="L198" s="204"/>
      <c r="M198" s="54"/>
      <c r="N198" s="527"/>
      <c r="O198" s="528"/>
      <c r="P198" s="529" t="s">
        <v>87</v>
      </c>
      <c r="Q198" s="362">
        <f>+G198+J198-M198-N198-O198</f>
        <v>13164.65</v>
      </c>
      <c r="R198" s="502" t="s">
        <v>88</v>
      </c>
      <c r="S198" s="598">
        <f>SUM(N191:N198)+O191:O198</f>
        <v>0</v>
      </c>
      <c r="T198" s="598">
        <f>SUM(Q191:Q198)</f>
        <v>-379.78000000000065</v>
      </c>
    </row>
    <row r="199" spans="1:21" ht="15.75" thickTop="1">
      <c r="A199" s="493">
        <v>115</v>
      </c>
      <c r="B199" s="494" t="s">
        <v>105</v>
      </c>
      <c r="C199" s="71">
        <f>+[1]дек!U72</f>
        <v>0</v>
      </c>
      <c r="D199" s="495">
        <v>12</v>
      </c>
      <c r="E199" s="21">
        <v>36.214199999999998</v>
      </c>
      <c r="F199" s="21">
        <v>42.4328</v>
      </c>
      <c r="G199" s="185">
        <f>ROUND(D199*(E199+F199),2)</f>
        <v>943.76</v>
      </c>
      <c r="H199" s="496"/>
      <c r="I199" s="73">
        <v>0.85</v>
      </c>
      <c r="J199" s="73">
        <f>+H199*I199</f>
        <v>0</v>
      </c>
      <c r="K199" s="601"/>
      <c r="L199" s="498">
        <f>SUM(G199:G206)+SUM(J199:J205)</f>
        <v>22217.219999999998</v>
      </c>
      <c r="M199" s="26">
        <v>22217.22</v>
      </c>
      <c r="N199" s="499"/>
      <c r="O199" s="500"/>
      <c r="P199" s="501" t="s">
        <v>87</v>
      </c>
      <c r="Q199" s="595">
        <f t="shared" ref="Q199" si="26">C199+G199+J199-M199-N199-O199</f>
        <v>-21273.460000000003</v>
      </c>
    </row>
    <row r="200" spans="1:21" ht="15.75" thickBot="1">
      <c r="A200" s="505"/>
      <c r="B200" s="506"/>
      <c r="C200" s="507" t="s">
        <v>96</v>
      </c>
      <c r="D200" s="234">
        <v>0</v>
      </c>
      <c r="E200" s="38">
        <f>32.332-28.8628</f>
        <v>3.4692000000000007</v>
      </c>
      <c r="F200" s="38">
        <f>37.8898-33.8306</f>
        <v>4.0592000000000041</v>
      </c>
      <c r="G200" s="235">
        <f>ROUND(D200*(E200+F200),2)</f>
        <v>0</v>
      </c>
      <c r="H200" s="448"/>
      <c r="I200" s="509"/>
      <c r="J200" s="199"/>
      <c r="K200" s="517"/>
      <c r="L200" s="511"/>
      <c r="M200" s="512"/>
      <c r="N200" s="513"/>
      <c r="O200" s="514"/>
      <c r="P200" s="515"/>
      <c r="Q200" s="262"/>
      <c r="U200" s="33"/>
    </row>
    <row r="201" spans="1:21">
      <c r="A201" s="505"/>
      <c r="B201" s="516" t="s">
        <v>89</v>
      </c>
      <c r="C201" s="512" t="s">
        <v>90</v>
      </c>
      <c r="D201" s="508">
        <v>1</v>
      </c>
      <c r="E201" s="101">
        <v>291.8</v>
      </c>
      <c r="F201" s="21">
        <v>42.4328</v>
      </c>
      <c r="G201" s="50">
        <f>ROUND(D201*(E201+F201),2)</f>
        <v>334.23</v>
      </c>
      <c r="H201" s="270"/>
      <c r="I201" s="41">
        <v>128.56</v>
      </c>
      <c r="J201" s="207">
        <f>+H201*I201</f>
        <v>0</v>
      </c>
      <c r="K201" s="517"/>
      <c r="L201" s="517"/>
      <c r="M201" s="99"/>
      <c r="N201" s="518"/>
      <c r="O201" s="519"/>
      <c r="P201" s="515" t="s">
        <v>87</v>
      </c>
      <c r="Q201" s="271">
        <f>+G201+J201-M201-N201-O201</f>
        <v>334.23</v>
      </c>
    </row>
    <row r="202" spans="1:21">
      <c r="A202" s="505"/>
      <c r="B202" s="541"/>
      <c r="C202" s="84" t="s">
        <v>97</v>
      </c>
      <c r="D202" s="508">
        <v>0</v>
      </c>
      <c r="E202" s="41">
        <f>291.8-352.37</f>
        <v>-60.569999999999993</v>
      </c>
      <c r="F202" s="38"/>
      <c r="G202" s="50">
        <f>ROUND(D202*(E202+F202),2)</f>
        <v>0</v>
      </c>
      <c r="H202" s="432"/>
      <c r="I202" s="362"/>
      <c r="J202" s="207"/>
      <c r="K202" s="517"/>
      <c r="L202" s="517"/>
      <c r="M202" s="520"/>
      <c r="N202" s="521"/>
      <c r="O202" s="522"/>
      <c r="P202" s="523"/>
      <c r="Q202" s="362"/>
    </row>
    <row r="203" spans="1:21">
      <c r="A203" s="505"/>
      <c r="B203" s="541"/>
      <c r="C203" s="84"/>
      <c r="D203" s="508"/>
      <c r="E203" s="41"/>
      <c r="F203" s="41"/>
      <c r="G203" s="50"/>
      <c r="H203" s="432"/>
      <c r="I203" s="362"/>
      <c r="J203" s="207"/>
      <c r="K203" s="517"/>
      <c r="L203" s="517"/>
      <c r="M203" s="520"/>
      <c r="N203" s="521"/>
      <c r="O203" s="522"/>
      <c r="P203" s="523"/>
      <c r="Q203" s="362"/>
    </row>
    <row r="204" spans="1:21">
      <c r="A204" s="505"/>
      <c r="B204" s="506"/>
      <c r="C204" s="48" t="s">
        <v>149</v>
      </c>
      <c r="D204" s="37">
        <v>3156</v>
      </c>
      <c r="E204" s="41">
        <f>5.8666-5.9647</f>
        <v>-9.8099999999999632E-2</v>
      </c>
      <c r="F204" s="41">
        <f t="shared" ref="F204:F209" si="27">+E204</f>
        <v>-9.8099999999999632E-2</v>
      </c>
      <c r="G204" s="39">
        <f>ROUND(D204*E204,2)</f>
        <v>-309.60000000000002</v>
      </c>
      <c r="H204" s="432"/>
      <c r="I204" s="362"/>
      <c r="J204" s="207"/>
      <c r="K204" s="517"/>
      <c r="L204" s="517"/>
      <c r="M204" s="520"/>
      <c r="N204" s="521"/>
      <c r="O204" s="522"/>
      <c r="P204" s="523"/>
      <c r="Q204" s="362"/>
    </row>
    <row r="205" spans="1:21">
      <c r="A205" s="505"/>
      <c r="B205" s="506"/>
      <c r="C205" s="48" t="s">
        <v>150</v>
      </c>
      <c r="D205" s="37">
        <v>154</v>
      </c>
      <c r="E205" s="41">
        <v>5.8666</v>
      </c>
      <c r="F205" s="41">
        <f t="shared" si="27"/>
        <v>5.8666</v>
      </c>
      <c r="G205" s="39">
        <f>ROUND(D205*E205,2)</f>
        <v>903.46</v>
      </c>
      <c r="H205" s="432"/>
      <c r="I205" s="362"/>
      <c r="J205" s="207"/>
      <c r="K205" s="517"/>
      <c r="L205" s="517"/>
      <c r="M205" s="520"/>
      <c r="N205" s="521"/>
      <c r="O205" s="522"/>
      <c r="P205" s="523"/>
      <c r="Q205" s="362"/>
      <c r="U205" s="33"/>
    </row>
    <row r="206" spans="1:21" ht="15.75" thickBot="1">
      <c r="A206" s="525"/>
      <c r="B206" s="526"/>
      <c r="C206" s="99" t="s">
        <v>29</v>
      </c>
      <c r="D206" s="55">
        <v>3468</v>
      </c>
      <c r="E206" s="56">
        <v>5.8666</v>
      </c>
      <c r="F206" s="281">
        <f t="shared" si="27"/>
        <v>5.8666</v>
      </c>
      <c r="G206" s="58">
        <f>ROUND(D206*E206,2)</f>
        <v>20345.37</v>
      </c>
      <c r="H206" s="248"/>
      <c r="I206" s="203"/>
      <c r="J206" s="60"/>
      <c r="K206" s="61"/>
      <c r="L206" s="249"/>
      <c r="M206" s="54"/>
      <c r="N206" s="521"/>
      <c r="O206" s="528"/>
      <c r="P206" s="529" t="s">
        <v>87</v>
      </c>
      <c r="Q206" s="362">
        <f>+G206+J206-M206-N206-O206</f>
        <v>20345.37</v>
      </c>
    </row>
    <row r="207" spans="1:21">
      <c r="A207" s="493">
        <v>301</v>
      </c>
      <c r="B207" s="602" t="s">
        <v>106</v>
      </c>
      <c r="C207" s="48" t="s">
        <v>149</v>
      </c>
      <c r="D207" s="184">
        <v>797.85</v>
      </c>
      <c r="E207" s="41">
        <f>5.8666-5.9647</f>
        <v>-9.8099999999999632E-2</v>
      </c>
      <c r="F207" s="23">
        <f t="shared" si="27"/>
        <v>-9.8099999999999632E-2</v>
      </c>
      <c r="G207" s="185">
        <f>ROUND(D207*(E207),2)</f>
        <v>-78.27</v>
      </c>
      <c r="H207" s="23"/>
      <c r="I207" s="23"/>
      <c r="J207" s="23"/>
      <c r="K207" s="23"/>
      <c r="L207" s="603">
        <f>SUM(G207:G209)</f>
        <v>5313.0199999999995</v>
      </c>
      <c r="M207" s="187">
        <v>5313.02</v>
      </c>
      <c r="N207" s="604"/>
      <c r="O207" s="500"/>
      <c r="P207" s="501"/>
      <c r="Q207" s="605"/>
    </row>
    <row r="208" spans="1:21">
      <c r="A208" s="505"/>
      <c r="B208" s="506"/>
      <c r="C208" s="48" t="s">
        <v>150</v>
      </c>
      <c r="D208" s="49">
        <v>38.979999999999997</v>
      </c>
      <c r="E208" s="41">
        <v>5.8666</v>
      </c>
      <c r="F208" s="41">
        <f t="shared" si="27"/>
        <v>5.8666</v>
      </c>
      <c r="G208" s="50">
        <f>ROUND(D208*(E208),2)</f>
        <v>228.68</v>
      </c>
      <c r="H208" s="41"/>
      <c r="I208" s="41"/>
      <c r="J208" s="41"/>
      <c r="K208" s="41"/>
      <c r="L208" s="606"/>
      <c r="M208" s="606"/>
      <c r="N208" s="607"/>
      <c r="O208" s="608"/>
      <c r="P208" s="609"/>
      <c r="Q208" s="610"/>
    </row>
    <row r="209" spans="1:17" ht="15.75" thickBot="1">
      <c r="A209" s="611"/>
      <c r="B209" s="612"/>
      <c r="C209" s="99" t="s">
        <v>29</v>
      </c>
      <c r="D209" s="613">
        <v>880</v>
      </c>
      <c r="E209" s="56">
        <v>5.8666</v>
      </c>
      <c r="F209" s="281">
        <f t="shared" si="27"/>
        <v>5.8666</v>
      </c>
      <c r="G209" s="58">
        <f>ROUND(D209*(E209),2)</f>
        <v>5162.6099999999997</v>
      </c>
      <c r="H209" s="57"/>
      <c r="I209" s="57"/>
      <c r="J209" s="57"/>
      <c r="K209" s="57"/>
      <c r="L209" s="614"/>
      <c r="M209" s="606"/>
      <c r="N209" s="615"/>
      <c r="O209" s="615"/>
      <c r="P209" s="615"/>
      <c r="Q209" s="616"/>
    </row>
    <row r="210" spans="1:17">
      <c r="A210" s="617"/>
      <c r="B210" s="602" t="s">
        <v>107</v>
      </c>
      <c r="C210" s="618" t="s">
        <v>73</v>
      </c>
      <c r="D210" s="619">
        <v>6</v>
      </c>
      <c r="E210" s="21">
        <v>36.214199999999998</v>
      </c>
      <c r="F210" s="21">
        <v>42.4328</v>
      </c>
      <c r="G210" s="185">
        <f>ROUND(D210*(E210+F210),2)</f>
        <v>471.88</v>
      </c>
      <c r="H210" s="620"/>
      <c r="I210" s="620"/>
      <c r="J210" s="620"/>
      <c r="K210" s="620"/>
      <c r="L210" s="603">
        <f>SUM(G210:G214,J210:J214)</f>
        <v>5494.51</v>
      </c>
      <c r="M210" s="187">
        <v>5494.51</v>
      </c>
      <c r="N210" s="621"/>
      <c r="O210" s="621"/>
      <c r="P210" s="621"/>
      <c r="Q210" s="622"/>
    </row>
    <row r="211" spans="1:17">
      <c r="A211" s="611"/>
      <c r="B211" s="612"/>
      <c r="C211" s="542" t="s">
        <v>96</v>
      </c>
      <c r="D211" s="234">
        <v>0</v>
      </c>
      <c r="E211" s="38">
        <f>32.332-28.8628</f>
        <v>3.4692000000000007</v>
      </c>
      <c r="F211" s="38">
        <f>37.8898-33.8306</f>
        <v>4.0592000000000041</v>
      </c>
      <c r="G211" s="235">
        <f>ROUND(D211*(E211+F211),2)</f>
        <v>0</v>
      </c>
      <c r="H211" s="298"/>
      <c r="I211" s="298"/>
      <c r="J211" s="298"/>
      <c r="K211" s="298"/>
      <c r="L211" s="606"/>
      <c r="M211" s="606"/>
      <c r="N211" s="615"/>
      <c r="O211" s="615"/>
      <c r="P211" s="615"/>
      <c r="Q211" s="616"/>
    </row>
    <row r="212" spans="1:17">
      <c r="A212" s="611"/>
      <c r="B212" s="612"/>
      <c r="C212" s="48" t="s">
        <v>149</v>
      </c>
      <c r="D212" s="623">
        <v>769</v>
      </c>
      <c r="E212" s="41">
        <f>5.8666-5.9647</f>
        <v>-9.8099999999999632E-2</v>
      </c>
      <c r="F212" s="41">
        <f>+E212</f>
        <v>-9.8099999999999632E-2</v>
      </c>
      <c r="G212" s="50">
        <f>ROUND(D212*(E212),2)</f>
        <v>-75.44</v>
      </c>
      <c r="H212" s="298"/>
      <c r="I212" s="298"/>
      <c r="J212" s="298"/>
      <c r="K212" s="298"/>
      <c r="L212" s="614"/>
      <c r="M212" s="606"/>
      <c r="N212" s="615"/>
      <c r="O212" s="615"/>
      <c r="P212" s="615"/>
      <c r="Q212" s="616"/>
    </row>
    <row r="213" spans="1:17">
      <c r="A213" s="611"/>
      <c r="B213" s="612"/>
      <c r="C213" s="48" t="s">
        <v>150</v>
      </c>
      <c r="D213" s="623">
        <v>37</v>
      </c>
      <c r="E213" s="41">
        <v>5.8666</v>
      </c>
      <c r="F213" s="41">
        <f>+E213</f>
        <v>5.8666</v>
      </c>
      <c r="G213" s="39">
        <f>ROUND(D213*(E213),2)</f>
        <v>217.06</v>
      </c>
      <c r="H213" s="298"/>
      <c r="I213" s="298"/>
      <c r="J213" s="298"/>
      <c r="K213" s="298"/>
      <c r="L213" s="614"/>
      <c r="M213" s="273"/>
      <c r="N213" s="615"/>
      <c r="O213" s="615"/>
      <c r="P213" s="615"/>
      <c r="Q213" s="616"/>
    </row>
    <row r="214" spans="1:17" ht="15.75" thickBot="1">
      <c r="A214" s="624"/>
      <c r="B214" s="526"/>
      <c r="C214" s="99" t="s">
        <v>29</v>
      </c>
      <c r="D214" s="625">
        <v>832</v>
      </c>
      <c r="E214" s="56">
        <v>5.8666</v>
      </c>
      <c r="F214" s="281">
        <f>+E214</f>
        <v>5.8666</v>
      </c>
      <c r="G214" s="414">
        <f>ROUND(D214*(E214),2)</f>
        <v>4881.01</v>
      </c>
      <c r="H214" s="41"/>
      <c r="I214" s="41"/>
      <c r="J214" s="41"/>
      <c r="K214" s="41"/>
      <c r="L214" s="606"/>
      <c r="M214" s="606"/>
      <c r="N214" s="626"/>
      <c r="O214" s="626"/>
      <c r="P214" s="626"/>
      <c r="Q214" s="627"/>
    </row>
    <row r="215" spans="1:17" ht="15.75" thickTop="1">
      <c r="A215" s="493"/>
      <c r="B215" s="494" t="s">
        <v>108</v>
      </c>
      <c r="C215" s="71">
        <f>+[1]дек!U87</f>
        <v>0</v>
      </c>
      <c r="D215" s="495">
        <v>6</v>
      </c>
      <c r="E215" s="21">
        <v>36.214199999999998</v>
      </c>
      <c r="F215" s="21">
        <v>42.4328</v>
      </c>
      <c r="G215" s="185">
        <f>ROUND(D215*(E215+F215),2)</f>
        <v>471.88</v>
      </c>
      <c r="H215" s="496"/>
      <c r="I215" s="73">
        <v>0.85</v>
      </c>
      <c r="J215" s="73">
        <f>+H215*I215</f>
        <v>0</v>
      </c>
      <c r="K215" s="628"/>
      <c r="L215" s="629">
        <f>SUM(G215:G221)+SUM(J215:J220)</f>
        <v>2481.91</v>
      </c>
      <c r="M215" s="630">
        <v>2481.91</v>
      </c>
      <c r="N215" s="594"/>
      <c r="O215" s="631"/>
      <c r="P215" s="515" t="s">
        <v>87</v>
      </c>
      <c r="Q215" s="595">
        <f t="shared" ref="Q215:Q217" si="28">C215+G215+J215-M215-N215-O215</f>
        <v>-2010.0299999999997</v>
      </c>
    </row>
    <row r="216" spans="1:17" ht="15.75" thickBot="1">
      <c r="A216" s="505"/>
      <c r="B216" s="506"/>
      <c r="C216" s="542" t="s">
        <v>96</v>
      </c>
      <c r="D216" s="234">
        <v>0</v>
      </c>
      <c r="E216" s="38">
        <f>32.332-28.8628</f>
        <v>3.4692000000000007</v>
      </c>
      <c r="F216" s="38">
        <f>37.8898-33.8306</f>
        <v>4.0592000000000041</v>
      </c>
      <c r="G216" s="235">
        <f>ROUND(D216*(E216+F216),2)</f>
        <v>0</v>
      </c>
      <c r="H216" s="448"/>
      <c r="I216" s="509"/>
      <c r="J216" s="409"/>
      <c r="K216" s="510"/>
      <c r="L216" s="632"/>
      <c r="M216" s="512"/>
      <c r="N216" s="513"/>
      <c r="O216" s="514"/>
      <c r="P216" s="515"/>
      <c r="Q216" s="262"/>
    </row>
    <row r="217" spans="1:17">
      <c r="A217" s="505"/>
      <c r="B217" s="516" t="s">
        <v>109</v>
      </c>
      <c r="C217" s="633"/>
      <c r="D217" s="508"/>
      <c r="E217" s="101">
        <v>291.8</v>
      </c>
      <c r="F217" s="21">
        <v>42.4328</v>
      </c>
      <c r="G217" s="50">
        <f>D217*(E217+F217)</f>
        <v>0</v>
      </c>
      <c r="H217" s="270"/>
      <c r="I217" s="41">
        <v>128.56</v>
      </c>
      <c r="J217" s="409">
        <f>ROUND(H217*I217,2)</f>
        <v>0</v>
      </c>
      <c r="K217" s="510"/>
      <c r="L217" s="597"/>
      <c r="M217" s="99"/>
      <c r="N217" s="518"/>
      <c r="O217" s="519"/>
      <c r="P217" s="515" t="s">
        <v>87</v>
      </c>
      <c r="Q217" s="271">
        <f t="shared" si="28"/>
        <v>0</v>
      </c>
    </row>
    <row r="218" spans="1:17">
      <c r="A218" s="505"/>
      <c r="B218" s="541"/>
      <c r="C218" s="84" t="s">
        <v>97</v>
      </c>
      <c r="D218" s="508"/>
      <c r="E218" s="41">
        <f>291.8-352.37</f>
        <v>-60.569999999999993</v>
      </c>
      <c r="F218" s="41"/>
      <c r="G218" s="50">
        <f>D218*(E218+F218)</f>
        <v>0</v>
      </c>
      <c r="H218" s="432"/>
      <c r="I218" s="362"/>
      <c r="J218" s="207"/>
      <c r="K218" s="510"/>
      <c r="L218" s="597"/>
      <c r="M218" s="520"/>
      <c r="N218" s="521"/>
      <c r="O218" s="522"/>
      <c r="P218" s="523"/>
      <c r="Q218" s="362"/>
    </row>
    <row r="219" spans="1:17">
      <c r="A219" s="505"/>
      <c r="B219" s="506"/>
      <c r="C219" s="48" t="s">
        <v>149</v>
      </c>
      <c r="D219" s="37">
        <v>501</v>
      </c>
      <c r="E219" s="41">
        <f>5.8666-5.9647</f>
        <v>-9.8099999999999632E-2</v>
      </c>
      <c r="F219" s="41">
        <f>+E219</f>
        <v>-9.8099999999999632E-2</v>
      </c>
      <c r="G219" s="39">
        <f>ROUND(D219*(E219),2)</f>
        <v>-49.15</v>
      </c>
      <c r="H219" s="432"/>
      <c r="I219" s="362"/>
      <c r="J219" s="207"/>
      <c r="K219" s="510"/>
      <c r="L219" s="597"/>
      <c r="M219" s="520"/>
      <c r="N219" s="521"/>
      <c r="O219" s="522"/>
      <c r="P219" s="523"/>
      <c r="Q219" s="362"/>
    </row>
    <row r="220" spans="1:17">
      <c r="A220" s="505"/>
      <c r="B220" s="506"/>
      <c r="C220" s="48" t="s">
        <v>150</v>
      </c>
      <c r="D220" s="37">
        <v>15</v>
      </c>
      <c r="E220" s="41">
        <v>5.8666</v>
      </c>
      <c r="F220" s="41">
        <f>+E220</f>
        <v>5.8666</v>
      </c>
      <c r="G220" s="39">
        <f t="shared" ref="G220:G225" si="29">ROUND(D220*(E220),2)</f>
        <v>88</v>
      </c>
      <c r="H220" s="432"/>
      <c r="I220" s="362"/>
      <c r="J220" s="207"/>
      <c r="K220" s="510"/>
      <c r="L220" s="597"/>
      <c r="M220" s="520"/>
      <c r="N220" s="521"/>
      <c r="O220" s="522"/>
      <c r="P220" s="523"/>
      <c r="Q220" s="362"/>
    </row>
    <row r="221" spans="1:17" ht="15.75" thickBot="1">
      <c r="A221" s="525"/>
      <c r="B221" s="526"/>
      <c r="C221" s="99" t="s">
        <v>29</v>
      </c>
      <c r="D221" s="55">
        <v>336</v>
      </c>
      <c r="E221" s="56">
        <v>5.8666</v>
      </c>
      <c r="F221" s="281">
        <f>+E221</f>
        <v>5.8666</v>
      </c>
      <c r="G221" s="414">
        <f t="shared" si="29"/>
        <v>1971.18</v>
      </c>
      <c r="H221" s="248"/>
      <c r="I221" s="203"/>
      <c r="J221" s="60"/>
      <c r="K221" s="61"/>
      <c r="L221" s="249"/>
      <c r="M221" s="54"/>
      <c r="N221" s="527"/>
      <c r="O221" s="528"/>
      <c r="P221" s="529" t="s">
        <v>87</v>
      </c>
      <c r="Q221" s="282">
        <f>+G221+J221-M221-N221-O221</f>
        <v>1971.18</v>
      </c>
    </row>
    <row r="222" spans="1:17">
      <c r="A222" s="493"/>
      <c r="B222" s="602" t="s">
        <v>110</v>
      </c>
      <c r="C222" s="48" t="s">
        <v>149</v>
      </c>
      <c r="D222" s="184">
        <v>198</v>
      </c>
      <c r="E222" s="41">
        <f>5.8666-5.9647</f>
        <v>-9.8099999999999632E-2</v>
      </c>
      <c r="F222" s="23">
        <f t="shared" ref="F222:F224" si="30">+E222</f>
        <v>-9.8099999999999632E-2</v>
      </c>
      <c r="G222" s="185">
        <f>ROUND(D222*(E222),2)-0.01</f>
        <v>-19.430000000000003</v>
      </c>
      <c r="H222" s="620"/>
      <c r="I222" s="620"/>
      <c r="J222" s="620"/>
      <c r="K222" s="634"/>
      <c r="L222" s="603">
        <f>SUM(G222:G225)</f>
        <v>1898.95</v>
      </c>
      <c r="M222" s="187">
        <v>1898.95</v>
      </c>
      <c r="N222" s="604"/>
      <c r="O222" s="635"/>
      <c r="P222" s="636"/>
      <c r="Q222" s="605"/>
    </row>
    <row r="223" spans="1:17">
      <c r="A223" s="505"/>
      <c r="B223" s="506"/>
      <c r="C223" s="48" t="s">
        <v>150</v>
      </c>
      <c r="D223" s="49">
        <v>14</v>
      </c>
      <c r="E223" s="41">
        <v>5.8666</v>
      </c>
      <c r="F223" s="41">
        <f t="shared" si="30"/>
        <v>5.8666</v>
      </c>
      <c r="G223" s="50">
        <f>ROUND(D223*(E223),2)</f>
        <v>82.13</v>
      </c>
      <c r="H223" s="296"/>
      <c r="I223" s="298"/>
      <c r="J223" s="298"/>
      <c r="K223" s="637"/>
      <c r="L223" s="606"/>
      <c r="M223" s="606"/>
      <c r="N223" s="607"/>
      <c r="O223" s="608"/>
      <c r="P223" s="609"/>
      <c r="Q223" s="610"/>
    </row>
    <row r="224" spans="1:17" ht="15.75" thickBot="1">
      <c r="A224" s="611"/>
      <c r="B224" s="506"/>
      <c r="C224" s="99" t="s">
        <v>29</v>
      </c>
      <c r="D224" s="296">
        <v>313</v>
      </c>
      <c r="E224" s="56">
        <v>5.8666</v>
      </c>
      <c r="F224" s="41">
        <f t="shared" si="30"/>
        <v>5.8666</v>
      </c>
      <c r="G224" s="50">
        <f t="shared" si="29"/>
        <v>1836.25</v>
      </c>
      <c r="H224" s="296"/>
      <c r="I224" s="298"/>
      <c r="J224" s="298"/>
      <c r="K224" s="637"/>
      <c r="L224" s="614"/>
      <c r="M224" s="606"/>
      <c r="N224" s="615"/>
      <c r="O224" s="615"/>
      <c r="P224" s="615"/>
      <c r="Q224" s="616"/>
    </row>
    <row r="225" spans="1:20" ht="15.75" thickBot="1">
      <c r="A225" s="638"/>
      <c r="B225" s="639" t="s">
        <v>111</v>
      </c>
      <c r="C225" s="640"/>
      <c r="D225" s="641"/>
      <c r="E225" s="311"/>
      <c r="F225" s="109"/>
      <c r="G225" s="642">
        <f t="shared" si="29"/>
        <v>0</v>
      </c>
      <c r="H225" s="643"/>
      <c r="I225" s="109"/>
      <c r="J225" s="109"/>
      <c r="K225" s="644"/>
      <c r="L225" s="640"/>
      <c r="M225" s="640"/>
      <c r="N225" s="2"/>
      <c r="O225" s="2"/>
      <c r="P225" s="2"/>
      <c r="Q225" s="2"/>
    </row>
    <row r="226" spans="1:20" ht="15.75" thickTop="1">
      <c r="A226" s="645"/>
      <c r="B226" s="602" t="s">
        <v>112</v>
      </c>
      <c r="C226" s="48" t="s">
        <v>149</v>
      </c>
      <c r="D226" s="184">
        <v>724</v>
      </c>
      <c r="E226" s="41">
        <f>5.8666-5.9647</f>
        <v>-9.8099999999999632E-2</v>
      </c>
      <c r="F226" s="23">
        <f t="shared" ref="F226:F230" si="31">+E226</f>
        <v>-9.8099999999999632E-2</v>
      </c>
      <c r="G226" s="185">
        <f>ROUND(D226*(E226),2)</f>
        <v>-71.02</v>
      </c>
      <c r="H226" s="620"/>
      <c r="I226" s="620"/>
      <c r="J226" s="620"/>
      <c r="K226" s="634"/>
      <c r="L226" s="603">
        <f>SUM(G226:G229)</f>
        <v>4680.9199999999992</v>
      </c>
      <c r="M226" s="187">
        <v>4680.92</v>
      </c>
      <c r="N226" s="604"/>
      <c r="O226" s="635"/>
      <c r="P226" s="636"/>
      <c r="Q226" s="605"/>
    </row>
    <row r="227" spans="1:20">
      <c r="A227" s="645"/>
      <c r="B227" s="506"/>
      <c r="C227" s="48" t="s">
        <v>150</v>
      </c>
      <c r="D227" s="49">
        <v>34</v>
      </c>
      <c r="E227" s="41">
        <v>5.8666</v>
      </c>
      <c r="F227" s="41">
        <f t="shared" si="31"/>
        <v>5.8666</v>
      </c>
      <c r="G227" s="50">
        <f t="shared" ref="G227:G228" si="32">ROUND(D227*(E227),2)</f>
        <v>199.46</v>
      </c>
      <c r="H227" s="296"/>
      <c r="I227" s="298"/>
      <c r="J227" s="298"/>
      <c r="K227" s="637"/>
      <c r="L227" s="606"/>
      <c r="M227" s="606"/>
      <c r="N227" s="607"/>
      <c r="O227" s="608"/>
      <c r="P227" s="609"/>
      <c r="Q227" s="610"/>
    </row>
    <row r="228" spans="1:20" ht="15.75" thickBot="1">
      <c r="A228" s="645"/>
      <c r="B228" s="506"/>
      <c r="C228" s="99" t="s">
        <v>29</v>
      </c>
      <c r="D228" s="296">
        <v>776</v>
      </c>
      <c r="E228" s="56">
        <v>5.8666</v>
      </c>
      <c r="F228" s="41">
        <f t="shared" si="31"/>
        <v>5.8666</v>
      </c>
      <c r="G228" s="50">
        <f t="shared" si="32"/>
        <v>4552.4799999999996</v>
      </c>
      <c r="H228" s="296"/>
      <c r="I228" s="298"/>
      <c r="J228" s="298"/>
      <c r="K228" s="637"/>
      <c r="L228" s="614"/>
      <c r="M228" s="606"/>
      <c r="N228" s="615"/>
      <c r="O228" s="615"/>
      <c r="P228" s="615"/>
      <c r="Q228" s="616"/>
    </row>
    <row r="229" spans="1:20" ht="15.75" thickBot="1">
      <c r="A229" s="645"/>
      <c r="B229" s="639"/>
      <c r="C229" s="646"/>
      <c r="D229" s="647"/>
      <c r="E229" s="648"/>
      <c r="F229" s="646"/>
      <c r="G229" s="648"/>
      <c r="H229" s="646"/>
      <c r="I229" s="646"/>
      <c r="J229" s="646"/>
      <c r="K229" s="646"/>
      <c r="L229" s="646"/>
      <c r="M229" s="646"/>
      <c r="N229" s="615"/>
      <c r="O229" s="615"/>
      <c r="P229" s="615"/>
      <c r="Q229" s="615"/>
    </row>
    <row r="230" spans="1:20" ht="15.75" thickTop="1">
      <c r="A230" s="645"/>
      <c r="B230" s="602" t="s">
        <v>127</v>
      </c>
      <c r="C230" s="48" t="s">
        <v>149</v>
      </c>
      <c r="D230" s="184">
        <v>503.4</v>
      </c>
      <c r="E230" s="41">
        <f>5.8666-5.9647</f>
        <v>-9.8099999999999632E-2</v>
      </c>
      <c r="F230" s="23">
        <f t="shared" si="31"/>
        <v>-9.8099999999999632E-2</v>
      </c>
      <c r="G230" s="185">
        <f>ROUND(D230*(E230),2)</f>
        <v>-49.38</v>
      </c>
      <c r="H230" s="620"/>
      <c r="I230" s="620"/>
      <c r="J230" s="620"/>
      <c r="K230" s="634"/>
      <c r="L230" s="603">
        <f>SUM(G230:G233)</f>
        <v>3816.7000000000003</v>
      </c>
      <c r="M230" s="187">
        <v>3816.7</v>
      </c>
      <c r="N230" s="604"/>
      <c r="O230" s="635"/>
      <c r="P230" s="636"/>
      <c r="Q230" s="605"/>
    </row>
    <row r="231" spans="1:20">
      <c r="A231" s="645"/>
      <c r="B231" s="506"/>
      <c r="C231" s="48" t="s">
        <v>150</v>
      </c>
      <c r="D231" s="49">
        <v>28</v>
      </c>
      <c r="E231" s="41">
        <v>5.8666</v>
      </c>
      <c r="F231" s="41">
        <f>+E231</f>
        <v>5.8666</v>
      </c>
      <c r="G231" s="50">
        <f>ROUND(D231*(E231),2)</f>
        <v>164.26</v>
      </c>
      <c r="H231" s="296"/>
      <c r="I231" s="298"/>
      <c r="J231" s="298"/>
      <c r="K231" s="637"/>
      <c r="L231" s="606"/>
      <c r="M231" s="606"/>
      <c r="N231" s="607"/>
      <c r="O231" s="608"/>
      <c r="P231" s="609"/>
      <c r="Q231" s="610"/>
    </row>
    <row r="232" spans="1:20" ht="15.75" thickBot="1">
      <c r="A232" s="645"/>
      <c r="B232" s="506"/>
      <c r="C232" s="99" t="s">
        <v>29</v>
      </c>
      <c r="D232" s="296">
        <v>631</v>
      </c>
      <c r="E232" s="56">
        <v>5.8666</v>
      </c>
      <c r="F232" s="41">
        <f t="shared" ref="F232" si="33">+E232</f>
        <v>5.8666</v>
      </c>
      <c r="G232" s="50">
        <f t="shared" ref="G232" si="34">ROUND(D232*(E232),2)</f>
        <v>3701.82</v>
      </c>
      <c r="H232" s="296"/>
      <c r="I232" s="298"/>
      <c r="J232" s="298"/>
      <c r="K232" s="637"/>
      <c r="L232" s="614"/>
      <c r="M232" s="606"/>
      <c r="N232" s="615"/>
      <c r="O232" s="615"/>
      <c r="P232" s="615"/>
      <c r="Q232" s="616"/>
    </row>
    <row r="233" spans="1:20" ht="15.75" thickBot="1">
      <c r="A233" s="645"/>
      <c r="B233" s="639"/>
      <c r="C233" s="646"/>
      <c r="D233" s="647"/>
      <c r="E233" s="648"/>
      <c r="F233" s="646"/>
      <c r="G233" s="648"/>
      <c r="H233" s="646"/>
      <c r="I233" s="646"/>
      <c r="J233" s="646"/>
      <c r="K233" s="646"/>
      <c r="L233" s="646"/>
      <c r="M233" s="646"/>
      <c r="N233" s="615"/>
      <c r="O233" s="615"/>
      <c r="P233" s="615"/>
      <c r="Q233" s="615"/>
    </row>
    <row r="234" spans="1:20" ht="15.75" thickTop="1">
      <c r="A234" s="645"/>
      <c r="B234" s="602" t="s">
        <v>128</v>
      </c>
      <c r="C234" s="48" t="s">
        <v>149</v>
      </c>
      <c r="D234" s="184">
        <v>765.5</v>
      </c>
      <c r="E234" s="41">
        <f>5.8666-5.9647</f>
        <v>-9.8099999999999632E-2</v>
      </c>
      <c r="F234" s="23">
        <f t="shared" ref="F234" si="35">+E234</f>
        <v>-9.8099999999999632E-2</v>
      </c>
      <c r="G234" s="185">
        <f>ROUND(D234*(E234),2)</f>
        <v>-75.099999999999994</v>
      </c>
      <c r="H234" s="620"/>
      <c r="I234" s="620"/>
      <c r="J234" s="620"/>
      <c r="K234" s="634"/>
      <c r="L234" s="603">
        <f>SUM(G234:G237)</f>
        <v>5475.29</v>
      </c>
      <c r="M234" s="187">
        <v>5475.29</v>
      </c>
      <c r="N234" s="604"/>
      <c r="O234" s="635"/>
      <c r="P234" s="636"/>
      <c r="Q234" s="605"/>
    </row>
    <row r="235" spans="1:20">
      <c r="A235" s="645"/>
      <c r="B235" s="506"/>
      <c r="C235" s="48" t="s">
        <v>150</v>
      </c>
      <c r="D235" s="49">
        <v>40.1</v>
      </c>
      <c r="E235" s="41">
        <v>5.8666</v>
      </c>
      <c r="F235" s="41">
        <f>+E235</f>
        <v>5.8666</v>
      </c>
      <c r="G235" s="50">
        <f>ROUND(D235*(E235),2)</f>
        <v>235.25</v>
      </c>
      <c r="H235" s="296"/>
      <c r="I235" s="298"/>
      <c r="J235" s="298"/>
      <c r="K235" s="637"/>
      <c r="L235" s="606"/>
      <c r="M235" s="606"/>
      <c r="N235" s="607"/>
      <c r="O235" s="608"/>
      <c r="P235" s="609"/>
      <c r="Q235" s="610"/>
    </row>
    <row r="236" spans="1:20" ht="15.75" thickBot="1">
      <c r="A236" s="645"/>
      <c r="B236" s="506"/>
      <c r="C236" s="99" t="s">
        <v>29</v>
      </c>
      <c r="D236" s="296">
        <v>906</v>
      </c>
      <c r="E236" s="56">
        <v>5.8666</v>
      </c>
      <c r="F236" s="41">
        <f t="shared" ref="F236" si="36">+E236</f>
        <v>5.8666</v>
      </c>
      <c r="G236" s="50">
        <f t="shared" ref="G236" si="37">ROUND(D236*(E236),2)</f>
        <v>5315.14</v>
      </c>
      <c r="H236" s="296"/>
      <c r="I236" s="298"/>
      <c r="J236" s="298"/>
      <c r="K236" s="637"/>
      <c r="L236" s="614"/>
      <c r="M236" s="606"/>
      <c r="N236" s="615"/>
      <c r="O236" s="615"/>
      <c r="P236" s="615"/>
      <c r="Q236" s="616"/>
    </row>
    <row r="237" spans="1:20" ht="15.75" thickBot="1">
      <c r="A237" s="645"/>
      <c r="B237" s="639"/>
      <c r="C237" s="646"/>
      <c r="D237" s="647"/>
      <c r="E237" s="648"/>
      <c r="F237" s="646"/>
      <c r="G237" s="648"/>
      <c r="H237" s="646"/>
      <c r="I237" s="646"/>
      <c r="J237" s="646"/>
      <c r="K237" s="646"/>
      <c r="L237" s="646"/>
      <c r="M237" s="646"/>
      <c r="N237" s="615"/>
      <c r="O237" s="615"/>
      <c r="P237" s="615"/>
      <c r="Q237" s="615"/>
    </row>
    <row r="238" spans="1:20" ht="15.75" thickTop="1">
      <c r="A238" s="705"/>
      <c r="B238" s="615"/>
      <c r="C238" s="615"/>
      <c r="D238" s="696"/>
      <c r="E238" s="473"/>
      <c r="F238" s="615"/>
      <c r="G238" s="473"/>
      <c r="H238" s="615"/>
      <c r="I238" s="615"/>
      <c r="J238" s="615"/>
      <c r="K238" s="615"/>
      <c r="L238" s="615"/>
      <c r="M238" s="615"/>
      <c r="N238" s="615"/>
      <c r="O238" s="615"/>
      <c r="P238" s="615"/>
      <c r="Q238" s="615"/>
    </row>
    <row r="239" spans="1:20" ht="15.75" thickBot="1">
      <c r="A239" s="705"/>
      <c r="B239" s="615"/>
      <c r="C239" s="615"/>
      <c r="D239" s="696"/>
      <c r="E239" s="473"/>
      <c r="F239" s="615"/>
      <c r="G239" s="473"/>
      <c r="H239" s="615"/>
      <c r="I239" s="615"/>
      <c r="J239" s="615"/>
      <c r="K239" s="615"/>
      <c r="L239" s="615"/>
      <c r="M239" s="615"/>
      <c r="N239" s="615"/>
      <c r="O239" s="615"/>
      <c r="P239" s="615"/>
      <c r="Q239" s="615"/>
    </row>
    <row r="240" spans="1:20" s="81" customFormat="1" ht="15" customHeight="1" thickTop="1">
      <c r="A240" s="476"/>
      <c r="B240" s="158"/>
      <c r="C240" s="322"/>
      <c r="D240" s="477"/>
      <c r="E240" s="163"/>
      <c r="F240" s="163"/>
      <c r="G240" s="478"/>
      <c r="H240" s="163"/>
      <c r="I240" s="163"/>
      <c r="J240" s="163"/>
      <c r="K240" s="163"/>
      <c r="L240" s="163"/>
      <c r="M240" s="164"/>
      <c r="N240" s="479"/>
      <c r="O240" s="479"/>
      <c r="P240" s="479"/>
      <c r="Q240" s="479"/>
      <c r="R240" s="422"/>
      <c r="S240" s="399"/>
      <c r="T240" s="399"/>
    </row>
    <row r="241" spans="1:20" ht="21.75" thickBot="1">
      <c r="A241" s="171" t="s">
        <v>113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  <c r="N241" s="2"/>
      <c r="O241" s="2"/>
      <c r="P241" s="2"/>
      <c r="Q241" s="2"/>
    </row>
    <row r="242" spans="1:20" ht="15.75" customHeight="1" thickTop="1" thickBot="1">
      <c r="A242" s="1555" t="s">
        <v>1</v>
      </c>
      <c r="B242" s="1543" t="s">
        <v>2</v>
      </c>
      <c r="C242" s="1545" t="s">
        <v>3</v>
      </c>
      <c r="D242" s="1546" t="s">
        <v>4</v>
      </c>
      <c r="E242" s="1546"/>
      <c r="F242" s="1546"/>
      <c r="G242" s="1546"/>
      <c r="H242" s="1547"/>
      <c r="I242" s="1548"/>
      <c r="J242" s="1548"/>
      <c r="K242" s="1549"/>
      <c r="L242" s="1524" t="s">
        <v>6</v>
      </c>
      <c r="M242" s="1511" t="s">
        <v>7</v>
      </c>
      <c r="N242" s="1551" t="s">
        <v>8</v>
      </c>
      <c r="O242" s="1551"/>
      <c r="P242" s="1551"/>
      <c r="Q242" s="1552"/>
      <c r="R242" s="481"/>
      <c r="S242" s="482" t="s">
        <v>20</v>
      </c>
      <c r="T242" s="482" t="s">
        <v>21</v>
      </c>
    </row>
    <row r="243" spans="1:20" ht="26.25" thickBot="1">
      <c r="A243" s="1556"/>
      <c r="B243" s="1557"/>
      <c r="C243" s="1558" t="s">
        <v>10</v>
      </c>
      <c r="D243" s="483" t="s">
        <v>11</v>
      </c>
      <c r="E243" s="649" t="s">
        <v>12</v>
      </c>
      <c r="F243" s="649" t="s">
        <v>13</v>
      </c>
      <c r="G243" s="650" t="s">
        <v>14</v>
      </c>
      <c r="H243" s="651" t="s">
        <v>11</v>
      </c>
      <c r="I243" s="652" t="s">
        <v>15</v>
      </c>
      <c r="J243" s="653"/>
      <c r="K243" s="654" t="s">
        <v>16</v>
      </c>
      <c r="L243" s="1525"/>
      <c r="M243" s="1554"/>
      <c r="N243" s="655"/>
      <c r="O243" s="653"/>
      <c r="P243" s="656" t="s">
        <v>18</v>
      </c>
      <c r="Q243" s="657" t="s">
        <v>19</v>
      </c>
      <c r="R243" s="491"/>
      <c r="S243" s="492"/>
      <c r="T243" s="492"/>
    </row>
    <row r="244" spans="1:20" ht="15.75">
      <c r="A244" s="658"/>
      <c r="B244" s="659" t="s">
        <v>55</v>
      </c>
      <c r="C244" s="48" t="s">
        <v>149</v>
      </c>
      <c r="D244" s="259">
        <v>1591.4</v>
      </c>
      <c r="E244" s="41">
        <f>5.8666-5.9647</f>
        <v>-9.8099999999999632E-2</v>
      </c>
      <c r="F244" s="620">
        <f t="shared" ref="F244:F245" si="38">+E244</f>
        <v>-9.8099999999999632E-2</v>
      </c>
      <c r="G244" s="214">
        <f>ROUND(D244*E244,2)-0.01</f>
        <v>-156.13</v>
      </c>
      <c r="H244" s="303"/>
      <c r="I244" s="23"/>
      <c r="J244" s="23"/>
      <c r="K244" s="23"/>
      <c r="L244" s="603">
        <f>SUM(G244:G246)</f>
        <v>10942.31</v>
      </c>
      <c r="M244" s="187">
        <v>10942.31</v>
      </c>
      <c r="N244" s="660"/>
      <c r="O244" s="217"/>
      <c r="P244" s="661"/>
      <c r="Q244" s="219"/>
    </row>
    <row r="245" spans="1:20" ht="15.75">
      <c r="A245" s="662"/>
      <c r="B245" s="35"/>
      <c r="C245" s="48" t="s">
        <v>150</v>
      </c>
      <c r="D245" s="269">
        <v>63.29</v>
      </c>
      <c r="E245" s="41">
        <v>5.8666</v>
      </c>
      <c r="F245" s="298">
        <f t="shared" si="38"/>
        <v>5.8666</v>
      </c>
      <c r="G245" s="235">
        <f>ROUND(D245*E245,2)</f>
        <v>371.3</v>
      </c>
      <c r="H245" s="270"/>
      <c r="I245" s="41"/>
      <c r="J245" s="41"/>
      <c r="K245" s="41"/>
      <c r="L245" s="606"/>
      <c r="M245" s="606"/>
      <c r="N245" s="663"/>
      <c r="O245" s="237"/>
      <c r="P245" s="275"/>
      <c r="Q245" s="238"/>
    </row>
    <row r="246" spans="1:20" ht="15.75" thickBot="1">
      <c r="A246" s="664"/>
      <c r="B246" s="665"/>
      <c r="C246" s="99" t="s">
        <v>29</v>
      </c>
      <c r="D246" s="613">
        <v>1828.51</v>
      </c>
      <c r="E246" s="56">
        <v>5.8666</v>
      </c>
      <c r="F246" s="57"/>
      <c r="G246" s="247">
        <f>ROUND(D246*E246,2)</f>
        <v>10727.14</v>
      </c>
      <c r="H246" s="613"/>
      <c r="I246" s="57"/>
      <c r="J246" s="57"/>
      <c r="K246" s="57"/>
      <c r="L246" s="614"/>
      <c r="M246" s="606"/>
      <c r="N246" s="57"/>
      <c r="O246" s="57"/>
      <c r="P246" s="57"/>
      <c r="Q246" s="666"/>
    </row>
    <row r="247" spans="1:20">
      <c r="A247" s="667"/>
      <c r="B247" s="659" t="s">
        <v>116</v>
      </c>
      <c r="C247" s="668" t="s">
        <v>73</v>
      </c>
      <c r="D247" s="669">
        <v>8</v>
      </c>
      <c r="E247" s="21">
        <v>36.214199999999998</v>
      </c>
      <c r="F247" s="21">
        <v>42.4328</v>
      </c>
      <c r="G247" s="214">
        <f>+D247*(E247+F247)</f>
        <v>629.17599999999993</v>
      </c>
      <c r="H247" s="687"/>
      <c r="I247" s="688">
        <v>35.612400000000001</v>
      </c>
      <c r="J247" s="670">
        <f>ROUND(H247*I247,2)</f>
        <v>0</v>
      </c>
      <c r="K247" s="689"/>
      <c r="L247" s="603">
        <f>SUM(G247:G253)+SUM(J247:J251)</f>
        <v>11963.966</v>
      </c>
      <c r="M247" s="187">
        <v>11963.97</v>
      </c>
      <c r="N247" s="670"/>
      <c r="O247" s="670"/>
      <c r="P247" s="670"/>
      <c r="Q247" s="670"/>
    </row>
    <row r="248" spans="1:20">
      <c r="A248" s="671"/>
      <c r="B248" s="672"/>
      <c r="C248" s="48"/>
      <c r="D248" s="673"/>
      <c r="E248" s="41"/>
      <c r="F248" s="298"/>
      <c r="G248" s="235">
        <f>+D248*E248</f>
        <v>0</v>
      </c>
      <c r="H248" s="687">
        <v>7</v>
      </c>
      <c r="I248" s="688">
        <v>147.77000000000001</v>
      </c>
      <c r="J248" s="670">
        <f>ROUND(H248*I248,2)</f>
        <v>1034.3900000000001</v>
      </c>
      <c r="K248" s="689">
        <v>42826</v>
      </c>
      <c r="L248" s="606"/>
      <c r="M248" s="606"/>
      <c r="N248" s="298"/>
      <c r="O248" s="298"/>
      <c r="P248" s="298"/>
      <c r="Q248" s="298"/>
    </row>
    <row r="249" spans="1:20">
      <c r="A249" s="671"/>
      <c r="B249" s="442"/>
      <c r="C249" s="48"/>
      <c r="D249" s="673"/>
      <c r="E249" s="41"/>
      <c r="F249" s="298"/>
      <c r="G249" s="235">
        <f>ROUND(D249*E249,2)</f>
        <v>0</v>
      </c>
      <c r="H249" s="687">
        <v>8</v>
      </c>
      <c r="I249" s="688">
        <v>0.52</v>
      </c>
      <c r="J249" s="670">
        <f>ROUND(H249*I249,2)</f>
        <v>4.16</v>
      </c>
      <c r="K249" s="689">
        <v>42856</v>
      </c>
      <c r="L249" s="614">
        <f>SUM(G249:G250)</f>
        <v>0</v>
      </c>
      <c r="M249" s="606"/>
      <c r="N249" s="298"/>
      <c r="O249" s="298"/>
      <c r="P249" s="298"/>
      <c r="Q249" s="298"/>
    </row>
    <row r="250" spans="1:20">
      <c r="A250" s="671"/>
      <c r="B250" s="35"/>
      <c r="C250" s="606"/>
      <c r="D250" s="673"/>
      <c r="E250" s="41"/>
      <c r="F250" s="298"/>
      <c r="G250" s="235">
        <f>ROUND(D250*E250,2)</f>
        <v>0</v>
      </c>
      <c r="H250" s="270">
        <v>8</v>
      </c>
      <c r="I250" s="41">
        <v>15.15</v>
      </c>
      <c r="J250" s="670">
        <f>ROUND(H250*I250,2)</f>
        <v>121.2</v>
      </c>
      <c r="K250" s="689">
        <v>42856</v>
      </c>
      <c r="L250" s="614"/>
      <c r="M250" s="273"/>
      <c r="N250" s="298"/>
      <c r="O250" s="298"/>
      <c r="P250" s="298"/>
      <c r="Q250" s="298"/>
    </row>
    <row r="251" spans="1:20" ht="15.75">
      <c r="A251" s="674"/>
      <c r="B251" s="672"/>
      <c r="C251" s="48" t="s">
        <v>149</v>
      </c>
      <c r="D251" s="269">
        <v>1501</v>
      </c>
      <c r="E251" s="41">
        <f>5.8666-5.9647</f>
        <v>-9.8099999999999632E-2</v>
      </c>
      <c r="F251" s="298">
        <f t="shared" ref="F251:F252" si="39">+E251</f>
        <v>-9.8099999999999632E-2</v>
      </c>
      <c r="G251" s="235">
        <f>ROUND(D251*E251,2)</f>
        <v>-147.25</v>
      </c>
      <c r="H251" s="270"/>
      <c r="I251" s="41"/>
      <c r="J251" s="670"/>
      <c r="K251" s="670"/>
      <c r="L251" s="606"/>
      <c r="M251" s="606"/>
      <c r="N251" s="663"/>
      <c r="O251" s="237"/>
      <c r="P251" s="275"/>
      <c r="Q251" s="237"/>
    </row>
    <row r="252" spans="1:20" ht="15.75">
      <c r="A252" s="674"/>
      <c r="B252" s="35"/>
      <c r="C252" s="48" t="s">
        <v>150</v>
      </c>
      <c r="D252" s="269">
        <v>58.8</v>
      </c>
      <c r="E252" s="41">
        <v>5.8666</v>
      </c>
      <c r="F252" s="298">
        <f t="shared" si="39"/>
        <v>5.8666</v>
      </c>
      <c r="G252" s="235">
        <f>ROUND(D252*E252,2)</f>
        <v>344.96</v>
      </c>
      <c r="H252" s="270"/>
      <c r="I252" s="41"/>
      <c r="J252" s="41"/>
      <c r="K252" s="41"/>
      <c r="L252" s="614"/>
      <c r="M252" s="606"/>
      <c r="N252" s="663"/>
      <c r="O252" s="237"/>
      <c r="P252" s="275"/>
      <c r="Q252" s="237"/>
    </row>
    <row r="253" spans="1:20" ht="15.75" thickBot="1">
      <c r="A253" s="675"/>
      <c r="B253" s="676"/>
      <c r="C253" s="107" t="s">
        <v>29</v>
      </c>
      <c r="D253" s="643">
        <v>1700.7</v>
      </c>
      <c r="E253" s="56">
        <v>5.8666</v>
      </c>
      <c r="F253" s="109"/>
      <c r="G253" s="309">
        <f t="shared" ref="G253:G263" si="40">ROUND(D253*E253,2)</f>
        <v>9977.33</v>
      </c>
      <c r="H253" s="643"/>
      <c r="I253" s="109"/>
      <c r="J253" s="109"/>
      <c r="K253" s="109"/>
      <c r="L253" s="677"/>
      <c r="M253" s="314"/>
      <c r="N253" s="109"/>
      <c r="O253" s="109"/>
      <c r="P253" s="109"/>
      <c r="Q253" s="109"/>
      <c r="R253" s="2"/>
    </row>
    <row r="254" spans="1:20" ht="16.5" thickTop="1">
      <c r="A254" s="658"/>
      <c r="B254" s="659" t="s">
        <v>117</v>
      </c>
      <c r="C254" s="48" t="s">
        <v>149</v>
      </c>
      <c r="D254" s="259">
        <v>404.7</v>
      </c>
      <c r="E254" s="41">
        <f>5.8666-5.9647</f>
        <v>-9.8099999999999632E-2</v>
      </c>
      <c r="F254" s="691">
        <f>+E254</f>
        <v>-9.8099999999999632E-2</v>
      </c>
      <c r="G254" s="214">
        <f>ROUND(D254*E254,2)-0.01</f>
        <v>-39.71</v>
      </c>
      <c r="H254" s="303"/>
      <c r="I254" s="23"/>
      <c r="J254" s="23"/>
      <c r="K254" s="23"/>
      <c r="L254" s="603">
        <f>SUM(G254:G256)</f>
        <v>2707.62</v>
      </c>
      <c r="M254" s="187">
        <v>2707.62</v>
      </c>
      <c r="N254" s="660"/>
      <c r="O254" s="217"/>
      <c r="P254" s="661"/>
      <c r="Q254" s="219"/>
      <c r="R254" s="324"/>
    </row>
    <row r="255" spans="1:20" ht="15.75">
      <c r="A255" s="662"/>
      <c r="B255" s="35"/>
      <c r="C255" s="772" t="s">
        <v>150</v>
      </c>
      <c r="D255" s="773">
        <v>15.7</v>
      </c>
      <c r="E255" s="207">
        <v>5.8666</v>
      </c>
      <c r="F255" s="774">
        <f t="shared" ref="F255" si="41">+E255</f>
        <v>5.8666</v>
      </c>
      <c r="G255" s="775">
        <f t="shared" si="40"/>
        <v>92.11</v>
      </c>
      <c r="H255" s="432"/>
      <c r="I255" s="207"/>
      <c r="J255" s="207"/>
      <c r="K255" s="207"/>
      <c r="L255" s="776"/>
      <c r="M255" s="776"/>
      <c r="N255" s="777"/>
      <c r="O255" s="778"/>
      <c r="P255" s="779"/>
      <c r="Q255" s="780"/>
    </row>
    <row r="256" spans="1:20" ht="15.75" thickBot="1">
      <c r="A256" s="781"/>
      <c r="B256" s="782"/>
      <c r="C256" s="54" t="s">
        <v>29</v>
      </c>
      <c r="D256" s="613">
        <v>452.6</v>
      </c>
      <c r="E256" s="56">
        <v>5.8666</v>
      </c>
      <c r="F256" s="57"/>
      <c r="G256" s="247">
        <f t="shared" si="40"/>
        <v>2655.22</v>
      </c>
      <c r="H256" s="613"/>
      <c r="I256" s="57"/>
      <c r="J256" s="57"/>
      <c r="K256" s="57"/>
      <c r="L256" s="783"/>
      <c r="M256" s="784"/>
      <c r="N256" s="57"/>
      <c r="O256" s="57"/>
      <c r="P256" s="57"/>
      <c r="Q256" s="666"/>
    </row>
    <row r="257" spans="1:17" ht="15.75">
      <c r="A257" s="662"/>
      <c r="B257" s="785" t="s">
        <v>142</v>
      </c>
      <c r="C257" s="786" t="s">
        <v>73</v>
      </c>
      <c r="D257" s="787">
        <v>1</v>
      </c>
      <c r="E257" s="21">
        <v>36.214199999999998</v>
      </c>
      <c r="F257" s="21">
        <v>42.4328</v>
      </c>
      <c r="G257" s="214">
        <f>+D257*(E257+F257)</f>
        <v>78.646999999999991</v>
      </c>
      <c r="H257" s="457"/>
      <c r="I257" s="199"/>
      <c r="J257" s="199"/>
      <c r="K257" s="199"/>
      <c r="L257" s="603">
        <f>SUM(G257:G260)</f>
        <v>5122.6770000000006</v>
      </c>
      <c r="M257" s="187">
        <v>5122.68</v>
      </c>
      <c r="N257" s="788"/>
      <c r="O257" s="789"/>
      <c r="P257" s="790"/>
      <c r="Q257" s="791"/>
    </row>
    <row r="258" spans="1:17" ht="15.75">
      <c r="A258" s="792"/>
      <c r="B258" s="793"/>
      <c r="C258" s="48" t="s">
        <v>149</v>
      </c>
      <c r="D258" s="269">
        <v>437.3</v>
      </c>
      <c r="E258" s="41">
        <f>5.8666-5.9647</f>
        <v>-9.8099999999999632E-2</v>
      </c>
      <c r="F258" s="297">
        <f>+E258</f>
        <v>-9.8099999999999632E-2</v>
      </c>
      <c r="G258" s="235">
        <f t="shared" si="40"/>
        <v>-42.9</v>
      </c>
      <c r="H258" s="270"/>
      <c r="I258" s="41"/>
      <c r="J258" s="41"/>
      <c r="K258" s="41"/>
      <c r="L258" s="614"/>
      <c r="M258" s="273"/>
      <c r="N258" s="663"/>
      <c r="O258" s="237"/>
      <c r="P258" s="275"/>
      <c r="Q258" s="238"/>
    </row>
    <row r="259" spans="1:17" ht="15.75">
      <c r="A259" s="794"/>
      <c r="B259" s="767"/>
      <c r="C259" s="48" t="s">
        <v>150</v>
      </c>
      <c r="D259" s="269">
        <v>29</v>
      </c>
      <c r="E259" s="41">
        <v>5.8666</v>
      </c>
      <c r="F259" s="298">
        <f t="shared" ref="F259" si="42">+E259</f>
        <v>5.8666</v>
      </c>
      <c r="G259" s="235">
        <f t="shared" si="40"/>
        <v>170.13</v>
      </c>
      <c r="H259" s="270"/>
      <c r="I259" s="41"/>
      <c r="J259" s="41"/>
      <c r="K259" s="41"/>
      <c r="L259" s="606"/>
      <c r="M259" s="606"/>
      <c r="N259" s="663"/>
      <c r="O259" s="237"/>
      <c r="P259" s="275"/>
      <c r="Q259" s="238"/>
    </row>
    <row r="260" spans="1:17" ht="15.75" thickBot="1">
      <c r="A260" s="664"/>
      <c r="B260" s="665"/>
      <c r="C260" s="512" t="s">
        <v>29</v>
      </c>
      <c r="D260" s="795">
        <v>838.1</v>
      </c>
      <c r="E260" s="796">
        <v>5.8666</v>
      </c>
      <c r="F260" s="797"/>
      <c r="G260" s="798">
        <f t="shared" si="40"/>
        <v>4916.8</v>
      </c>
      <c r="H260" s="795"/>
      <c r="I260" s="797"/>
      <c r="J260" s="797"/>
      <c r="K260" s="797"/>
      <c r="L260" s="799"/>
      <c r="M260" s="292"/>
      <c r="N260" s="797"/>
      <c r="O260" s="797"/>
      <c r="P260" s="797"/>
      <c r="Q260" s="800"/>
    </row>
    <row r="261" spans="1:17" ht="15.75">
      <c r="A261" s="658"/>
      <c r="B261" s="659" t="s">
        <v>148</v>
      </c>
      <c r="C261" s="48" t="s">
        <v>149</v>
      </c>
      <c r="D261" s="259">
        <v>113.1</v>
      </c>
      <c r="E261" s="41">
        <f>5.8666-5.9647</f>
        <v>-9.8099999999999632E-2</v>
      </c>
      <c r="F261" s="691">
        <f>+E261</f>
        <v>-9.8099999999999632E-2</v>
      </c>
      <c r="G261" s="214">
        <f t="shared" si="40"/>
        <v>-11.1</v>
      </c>
      <c r="H261" s="303"/>
      <c r="I261" s="23"/>
      <c r="J261" s="23"/>
      <c r="K261" s="23"/>
      <c r="L261" s="603">
        <f>SUM(G261:G263)</f>
        <v>1526.54</v>
      </c>
      <c r="M261" s="187">
        <v>1526.54</v>
      </c>
      <c r="N261" s="660"/>
      <c r="O261" s="217"/>
      <c r="P261" s="661"/>
      <c r="Q261" s="219"/>
    </row>
    <row r="262" spans="1:17" ht="15.75">
      <c r="A262" s="662"/>
      <c r="B262" s="35"/>
      <c r="C262" s="48" t="s">
        <v>150</v>
      </c>
      <c r="D262" s="269">
        <v>8.8000000000000007</v>
      </c>
      <c r="E262" s="41">
        <v>5.8666</v>
      </c>
      <c r="F262" s="298">
        <f t="shared" ref="F262" si="43">+E262</f>
        <v>5.8666</v>
      </c>
      <c r="G262" s="235">
        <f t="shared" si="40"/>
        <v>51.63</v>
      </c>
      <c r="H262" s="270"/>
      <c r="I262" s="41"/>
      <c r="J262" s="41"/>
      <c r="K262" s="41"/>
      <c r="L262" s="606"/>
      <c r="M262" s="606"/>
      <c r="N262" s="663"/>
      <c r="O262" s="237"/>
      <c r="P262" s="275"/>
      <c r="Q262" s="238"/>
    </row>
    <row r="263" spans="1:17" ht="15.75" thickBot="1">
      <c r="A263" s="664"/>
      <c r="B263" s="665"/>
      <c r="C263" s="99" t="s">
        <v>29</v>
      </c>
      <c r="D263" s="613">
        <v>253.3</v>
      </c>
      <c r="E263" s="56">
        <v>5.8666</v>
      </c>
      <c r="F263" s="57"/>
      <c r="G263" s="247">
        <f t="shared" si="40"/>
        <v>1486.01</v>
      </c>
      <c r="H263" s="613"/>
      <c r="I263" s="57"/>
      <c r="J263" s="57"/>
      <c r="K263" s="57"/>
      <c r="L263" s="614"/>
      <c r="M263" s="606"/>
      <c r="N263" s="57"/>
      <c r="O263" s="57"/>
      <c r="P263" s="57"/>
      <c r="Q263" s="666"/>
    </row>
  </sheetData>
  <mergeCells count="40">
    <mergeCell ref="M242:M243"/>
    <mergeCell ref="N242:Q242"/>
    <mergeCell ref="A242:A243"/>
    <mergeCell ref="B242:B243"/>
    <mergeCell ref="C242:C243"/>
    <mergeCell ref="D242:G242"/>
    <mergeCell ref="H242:K242"/>
    <mergeCell ref="L242:L243"/>
    <mergeCell ref="M73:M74"/>
    <mergeCell ref="N73:Q73"/>
    <mergeCell ref="A164:A165"/>
    <mergeCell ref="B164:B165"/>
    <mergeCell ref="C164:C165"/>
    <mergeCell ref="D164:G164"/>
    <mergeCell ref="H164:K164"/>
    <mergeCell ref="L164:L165"/>
    <mergeCell ref="M164:M165"/>
    <mergeCell ref="N164:Q164"/>
    <mergeCell ref="A73:A74"/>
    <mergeCell ref="B73:B74"/>
    <mergeCell ref="C73:C74"/>
    <mergeCell ref="D73:G73"/>
    <mergeCell ref="H73:K73"/>
    <mergeCell ref="L73:L74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76"/>
  <sheetViews>
    <sheetView topLeftCell="A169" zoomScale="90" zoomScaleNormal="90" workbookViewId="0">
      <selection activeCell="E190" sqref="E19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+[1]июль17!U4</f>
        <v>-1.457050000099116</v>
      </c>
      <c r="D4" s="20">
        <v>38</v>
      </c>
      <c r="E4" s="21">
        <v>36.214199999999998</v>
      </c>
      <c r="F4" s="21">
        <v>42.4328</v>
      </c>
      <c r="G4" s="22">
        <f>ROUND(D4*(E4+F4),2)</f>
        <v>2988.59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156725.47999999998</v>
      </c>
      <c r="M4" s="26">
        <v>156720.76999999999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3.2529499999072868</v>
      </c>
    </row>
    <row r="5" spans="1:21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158</v>
      </c>
      <c r="D6" s="49">
        <v>19921.7</v>
      </c>
      <c r="E6" s="41">
        <f>6.5554-5.8666</f>
        <v>0.68879999999999963</v>
      </c>
      <c r="F6" s="41">
        <f>+E6</f>
        <v>0.68879999999999963</v>
      </c>
      <c r="G6" s="50">
        <f>ROUND(D6*E6,2)</f>
        <v>13722.07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39</v>
      </c>
      <c r="D7" s="49">
        <v>622.1</v>
      </c>
      <c r="E7" s="41">
        <v>6.5553999999999997</v>
      </c>
      <c r="F7" s="41">
        <f>+E7</f>
        <v>6.5553999999999997</v>
      </c>
      <c r="G7" s="50">
        <f>ROUND(D7*E7,2)</f>
        <v>4078.11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20736.599999999999</v>
      </c>
      <c r="E8" s="56">
        <v>6.5553999999999997</v>
      </c>
      <c r="F8" s="57">
        <f>+E8</f>
        <v>6.5553999999999997</v>
      </c>
      <c r="G8" s="58">
        <f>ROUND(D8*E8,2)</f>
        <v>135936.71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135936.71</v>
      </c>
      <c r="R8" s="66" t="s">
        <v>25</v>
      </c>
      <c r="S8" s="67">
        <f>SUM(O4:O8)</f>
        <v>0</v>
      </c>
      <c r="T8" s="68">
        <f>SUM(Q4:Q8)</f>
        <v>135936.71</v>
      </c>
    </row>
    <row r="9" spans="1:21" s="81" customFormat="1">
      <c r="A9" s="69" t="s">
        <v>30</v>
      </c>
      <c r="B9" s="70" t="s">
        <v>31</v>
      </c>
      <c r="C9" s="71">
        <f>+[1]июль17!U9</f>
        <v>-3.9587999999930616</v>
      </c>
      <c r="D9" s="72">
        <v>102</v>
      </c>
      <c r="E9" s="21">
        <v>36.214199999999998</v>
      </c>
      <c r="F9" s="21">
        <v>42.4328</v>
      </c>
      <c r="G9" s="22">
        <f>ROUND(D9*(E9+F9),2)</f>
        <v>8021.99</v>
      </c>
      <c r="H9" s="72"/>
      <c r="I9" s="21">
        <v>4.5999999999999996</v>
      </c>
      <c r="J9" s="73">
        <f>+H9*I9</f>
        <v>0</v>
      </c>
      <c r="K9" s="24"/>
      <c r="L9" s="74">
        <f>SUM(G9:G16,J9:J15)</f>
        <v>57111.41</v>
      </c>
      <c r="M9" s="26">
        <v>57109.74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-2.2887999999875319</v>
      </c>
    </row>
    <row r="10" spans="1:21" s="81" customFormat="1">
      <c r="A10" s="82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/>
      <c r="E11" s="101">
        <v>304.86</v>
      </c>
      <c r="F11" s="38">
        <v>37.889800000000001</v>
      </c>
      <c r="G11" s="39">
        <f>ROUND(D11*(E11+F11),2)</f>
        <v>0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/>
      <c r="E12" s="41">
        <f>304.86-291.8</f>
        <v>13.060000000000002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158</v>
      </c>
      <c r="D14" s="49">
        <v>6138.5</v>
      </c>
      <c r="E14" s="41">
        <f>6.5554-5.8666</f>
        <v>0.68879999999999963</v>
      </c>
      <c r="F14" s="41">
        <f>+E14</f>
        <v>0.68879999999999963</v>
      </c>
      <c r="G14" s="50">
        <f>ROUND(D14*E14*70%+D14*F14*30%,2)</f>
        <v>4228.2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39</v>
      </c>
      <c r="D15" s="49">
        <v>199.3</v>
      </c>
      <c r="E15" s="41">
        <v>6.5553999999999997</v>
      </c>
      <c r="F15" s="41">
        <f>+E15</f>
        <v>6.5553999999999997</v>
      </c>
      <c r="G15" s="50">
        <f>ROUND(D15*E15*70%+D15*F15*30%,2)</f>
        <v>1306.49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6644.1</v>
      </c>
      <c r="E16" s="56">
        <v>6.5553999999999997</v>
      </c>
      <c r="F16" s="109">
        <f>+E16</f>
        <v>6.5553999999999997</v>
      </c>
      <c r="G16" s="110">
        <f>ROUND(D16*E16*70%+D16*F16*30%,2)</f>
        <v>43554.73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2193.9</v>
      </c>
      <c r="M23" s="26">
        <v>2193.9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158</v>
      </c>
      <c r="D24" s="37">
        <v>207.2</v>
      </c>
      <c r="E24" s="41">
        <f>6.5554-5.8666</f>
        <v>0.68879999999999963</v>
      </c>
      <c r="F24" s="38"/>
      <c r="G24" s="39">
        <f>ROUND(D24*(E24+F24),2)</f>
        <v>142.72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30"/>
      <c r="S24" s="31"/>
      <c r="T24" s="32"/>
      <c r="U24"/>
    </row>
    <row r="25" spans="1:21" s="140" customFormat="1">
      <c r="A25" s="34"/>
      <c r="B25" s="35"/>
      <c r="C25" s="48" t="s">
        <v>39</v>
      </c>
      <c r="D25" s="49">
        <v>9.1</v>
      </c>
      <c r="E25" s="41">
        <v>6.5553999999999997</v>
      </c>
      <c r="F25" s="41">
        <f>+E25</f>
        <v>6.5553999999999997</v>
      </c>
      <c r="G25" s="50">
        <f>ROUND(D25*E25,2)</f>
        <v>59.65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766"/>
      <c r="B26" s="767"/>
      <c r="C26" s="99" t="s">
        <v>29</v>
      </c>
      <c r="D26" s="49">
        <v>303.8</v>
      </c>
      <c r="E26" s="56">
        <v>6.5553999999999997</v>
      </c>
      <c r="F26" s="41">
        <f>+E26</f>
        <v>6.5553999999999997</v>
      </c>
      <c r="G26" s="50">
        <f>ROUND(D26*E26,2)</f>
        <v>1991.53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f>+[1]июль17!U30</f>
        <v>7.8087999980198219E-2</v>
      </c>
      <c r="D30" s="184">
        <v>46.28</v>
      </c>
      <c r="E30" s="21">
        <v>36.214199999999998</v>
      </c>
      <c r="F30" s="21">
        <v>42.4328</v>
      </c>
      <c r="G30" s="185">
        <f>ROUND(D30*(E30+F30),2)</f>
        <v>3639.78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199710.93</v>
      </c>
      <c r="M30" s="187">
        <v>199708.51</v>
      </c>
      <c r="N30" s="188"/>
      <c r="O30" s="23">
        <v>3998.87</v>
      </c>
      <c r="P30" s="189" t="s">
        <v>47</v>
      </c>
      <c r="Q30" s="23">
        <f t="shared" ref="Q30:Q35" si="0">C30+G30+J30-M30-N30-O30</f>
        <v>-200067.52191200003</v>
      </c>
      <c r="R30" s="190" t="s">
        <v>48</v>
      </c>
      <c r="S30" s="176"/>
      <c r="U30" s="33">
        <f>+C30+L30-M30</f>
        <v>2.4980879999639001</v>
      </c>
    </row>
    <row r="31" spans="1:21">
      <c r="A31" s="191"/>
      <c r="B31" s="192"/>
      <c r="C31" s="36" t="s">
        <v>26</v>
      </c>
      <c r="D31" s="37"/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158</v>
      </c>
      <c r="D32" s="49">
        <v>22640</v>
      </c>
      <c r="E32" s="41">
        <f>6.5554-5.8666</f>
        <v>0.68879999999999963</v>
      </c>
      <c r="F32" s="41">
        <f>+E32</f>
        <v>0.68879999999999963</v>
      </c>
      <c r="G32" s="50">
        <f>ROUND(D32*F32,2)</f>
        <v>15594.43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39</v>
      </c>
      <c r="D33" s="49">
        <v>291</v>
      </c>
      <c r="E33" s="41">
        <v>6.5553999999999997</v>
      </c>
      <c r="F33" s="41">
        <f>+E33</f>
        <v>6.5553999999999997</v>
      </c>
      <c r="G33" s="50">
        <f>ROUND(D33*E33,2)</f>
        <v>1907.62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27240</v>
      </c>
      <c r="E34" s="56">
        <v>6.5553999999999997</v>
      </c>
      <c r="F34" s="57">
        <f>+E34</f>
        <v>6.5553999999999997</v>
      </c>
      <c r="G34" s="58">
        <f>ROUND(D34*E34,2)</f>
        <v>178569.1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109859.09000000001</v>
      </c>
      <c r="R34" s="209" t="s">
        <v>50</v>
      </c>
      <c r="S34" s="210">
        <f>SUM(O30:O34)</f>
        <v>72708.87999999999</v>
      </c>
      <c r="T34" s="210">
        <f>SUM(Q30:Q34)</f>
        <v>-90208.431912000015</v>
      </c>
    </row>
    <row r="35" spans="1:21">
      <c r="A35" s="211" t="s">
        <v>51</v>
      </c>
      <c r="B35" s="212" t="s">
        <v>52</v>
      </c>
      <c r="C35" s="71">
        <f>+[1]июль17!U35</f>
        <v>1.3077539999358123</v>
      </c>
      <c r="D35" s="213">
        <v>154.43</v>
      </c>
      <c r="E35" s="21">
        <v>36.214199999999998</v>
      </c>
      <c r="F35" s="21">
        <v>42.4328</v>
      </c>
      <c r="G35" s="214">
        <f>ROUND(D35*(E35+F35),2)</f>
        <v>12145.46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61631.05</v>
      </c>
      <c r="M35" s="187">
        <v>61630.94</v>
      </c>
      <c r="N35" s="188"/>
      <c r="O35" s="217">
        <v>4253.6899999999996</v>
      </c>
      <c r="P35" s="218" t="s">
        <v>47</v>
      </c>
      <c r="Q35" s="219">
        <f t="shared" si="0"/>
        <v>-53737.86224600007</v>
      </c>
      <c r="R35" s="220" t="s">
        <v>53</v>
      </c>
      <c r="S35" s="221"/>
      <c r="T35" s="222"/>
      <c r="U35" s="33">
        <f>+C35+L35-M35</f>
        <v>1.4177539999363944</v>
      </c>
    </row>
    <row r="36" spans="1:21" ht="15.75" thickBot="1">
      <c r="A36" s="223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/>
      <c r="E37" s="101">
        <v>197.35</v>
      </c>
      <c r="F37" s="21">
        <v>42.4328</v>
      </c>
      <c r="G37" s="235">
        <f>ROUND(D37*(E37+F37),2)</f>
        <v>0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-5456.6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/>
      <c r="E38" s="240">
        <f>155.72-178.43</f>
        <v>-22.710000000000008</v>
      </c>
      <c r="F38" s="240"/>
      <c r="G38" s="235">
        <f>+ROUND(D38*E38,2)</f>
        <v>0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/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158</v>
      </c>
      <c r="D40" s="49">
        <v>5952.3</v>
      </c>
      <c r="E40" s="41">
        <f>6.5554-5.8666</f>
        <v>0.68879999999999963</v>
      </c>
      <c r="F40" s="41">
        <f t="shared" ref="F40:F48" si="2">+E40</f>
        <v>0.68879999999999963</v>
      </c>
      <c r="G40" s="50">
        <f>ROUND(D40*E40,2)-0.01</f>
        <v>4099.9299999999994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39</v>
      </c>
      <c r="D41" s="49">
        <v>73.3</v>
      </c>
      <c r="E41" s="41">
        <v>6.5553999999999997</v>
      </c>
      <c r="F41" s="41">
        <f t="shared" si="2"/>
        <v>6.5553999999999997</v>
      </c>
      <c r="G41" s="50">
        <f>ROUND(D41*E41,2)</f>
        <v>480.51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6850.1</v>
      </c>
      <c r="E42" s="56">
        <v>6.5553999999999997</v>
      </c>
      <c r="F42" s="57">
        <f t="shared" si="2"/>
        <v>6.5553999999999997</v>
      </c>
      <c r="G42" s="247">
        <f>ROUND(D42*E42*70%+D42*F42*30%,2)</f>
        <v>44905.15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29127.25</v>
      </c>
      <c r="R42" s="255" t="s">
        <v>54</v>
      </c>
      <c r="S42" s="256">
        <f>SUM(O35:O42)</f>
        <v>25488.190000000002</v>
      </c>
      <c r="T42" s="256">
        <f>SUM(Q35:Q42)</f>
        <v>-30067.212246000068</v>
      </c>
    </row>
    <row r="43" spans="1:21" ht="15.75">
      <c r="A43" s="257"/>
      <c r="B43" s="258" t="s">
        <v>55</v>
      </c>
      <c r="C43" s="48" t="s">
        <v>158</v>
      </c>
      <c r="D43" s="259">
        <v>1852.1</v>
      </c>
      <c r="E43" s="41">
        <f>6.5554-5.8666</f>
        <v>0.68879999999999963</v>
      </c>
      <c r="F43" s="41">
        <f t="shared" si="2"/>
        <v>0.68879999999999963</v>
      </c>
      <c r="G43" s="214">
        <f>ROUND(D43*E43,2)</f>
        <v>1275.73</v>
      </c>
      <c r="H43" s="260"/>
      <c r="I43" s="261"/>
      <c r="J43" s="261"/>
      <c r="K43" s="262"/>
      <c r="L43" s="263">
        <f>SUM(G43:G45)</f>
        <v>15627.07</v>
      </c>
      <c r="M43" s="187">
        <v>15627.07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39</v>
      </c>
      <c r="D44" s="269">
        <v>23.18</v>
      </c>
      <c r="E44" s="41">
        <v>6.5553999999999997</v>
      </c>
      <c r="F44" s="41">
        <f t="shared" si="2"/>
        <v>6.5553999999999997</v>
      </c>
      <c r="G44" s="235">
        <f>ROUND(D44*E44,2)</f>
        <v>151.94999999999999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2166.06</v>
      </c>
      <c r="E45" s="56">
        <v>6.5553999999999997</v>
      </c>
      <c r="F45" s="57">
        <f t="shared" si="2"/>
        <v>6.5553999999999997</v>
      </c>
      <c r="G45" s="247">
        <f t="shared" ref="G45:G48" si="3">ROUND(D45*E45,2)</f>
        <v>14199.39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158</v>
      </c>
      <c r="D46" s="259">
        <v>257.2</v>
      </c>
      <c r="E46" s="41">
        <f>6.5554-5.8666</f>
        <v>0.68879999999999963</v>
      </c>
      <c r="F46" s="41">
        <f t="shared" si="2"/>
        <v>0.68879999999999963</v>
      </c>
      <c r="G46" s="214">
        <f>ROUND(D46*E46,2)-0.01</f>
        <v>177.15</v>
      </c>
      <c r="H46" s="260"/>
      <c r="I46" s="261"/>
      <c r="J46" s="261"/>
      <c r="K46" s="262"/>
      <c r="L46" s="286">
        <f>SUM(G46:G48)</f>
        <v>2140.5</v>
      </c>
      <c r="M46" s="227">
        <v>2140.5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39</v>
      </c>
      <c r="D47" s="269">
        <v>3.2</v>
      </c>
      <c r="E47" s="41">
        <v>6.5553999999999997</v>
      </c>
      <c r="F47" s="41">
        <f t="shared" si="2"/>
        <v>6.5553999999999997</v>
      </c>
      <c r="G47" s="235">
        <f>ROUND(D47*E47,2)</f>
        <v>20.98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296.3</v>
      </c>
      <c r="E48" s="56">
        <v>6.5553999999999997</v>
      </c>
      <c r="F48" s="57">
        <f t="shared" si="2"/>
        <v>6.5553999999999997</v>
      </c>
      <c r="G48" s="247">
        <f t="shared" si="3"/>
        <v>1942.37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5.75">
      <c r="A49" s="285"/>
      <c r="B49" s="291" t="s">
        <v>57</v>
      </c>
      <c r="C49" s="292"/>
      <c r="D49" s="259">
        <v>1.2869999999999999</v>
      </c>
      <c r="E49" s="21">
        <v>36.214199999999998</v>
      </c>
      <c r="F49" s="21">
        <v>42.4328</v>
      </c>
      <c r="G49" s="214">
        <f>ROUND(D49*(E49+F49),2)</f>
        <v>101.22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404.19000000000005</v>
      </c>
      <c r="M49" s="227">
        <v>404.19</v>
      </c>
      <c r="N49" s="264"/>
      <c r="O49" s="229"/>
      <c r="P49" s="265"/>
      <c r="Q49" s="229"/>
      <c r="R49" s="242"/>
      <c r="S49" s="266"/>
      <c r="T49" s="266"/>
    </row>
    <row r="50" spans="1:20" ht="15.75">
      <c r="A50" s="28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>
      <c r="A51" s="289"/>
      <c r="B51" s="268"/>
      <c r="C51" s="48" t="s">
        <v>158</v>
      </c>
      <c r="D51" s="296">
        <v>24.9</v>
      </c>
      <c r="E51" s="41">
        <f>6.5554-5.8666</f>
        <v>0.68879999999999963</v>
      </c>
      <c r="F51" s="41">
        <f>+E51</f>
        <v>0.68879999999999963</v>
      </c>
      <c r="G51" s="235">
        <f>ROUND(D51*E51,2)</f>
        <v>17.149999999999999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5.75">
      <c r="A52" s="289"/>
      <c r="B52" s="268"/>
      <c r="C52" s="48" t="s">
        <v>39</v>
      </c>
      <c r="D52" s="269">
        <v>0.5</v>
      </c>
      <c r="E52" s="41">
        <v>6.5553999999999997</v>
      </c>
      <c r="F52" s="41">
        <f>+E52</f>
        <v>6.5553999999999997</v>
      </c>
      <c r="G52" s="235">
        <f>ROUND(D52*E52,2)</f>
        <v>3.28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thickBot="1">
      <c r="A53" s="290"/>
      <c r="B53" s="277"/>
      <c r="C53" s="99" t="s">
        <v>29</v>
      </c>
      <c r="D53" s="279">
        <v>43.1</v>
      </c>
      <c r="E53" s="56">
        <v>6.5553999999999997</v>
      </c>
      <c r="F53" s="57">
        <f>+E53</f>
        <v>6.5553999999999997</v>
      </c>
      <c r="G53" s="247">
        <f>ROUND(D53*E53,2)</f>
        <v>282.54000000000002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>
      <c r="A54" s="299"/>
      <c r="B54" s="258" t="s">
        <v>58</v>
      </c>
      <c r="C54" s="48" t="s">
        <v>59</v>
      </c>
      <c r="D54" s="259">
        <v>0.35</v>
      </c>
      <c r="E54" s="21">
        <v>36.214199999999998</v>
      </c>
      <c r="F54" s="21">
        <v>42.4328</v>
      </c>
      <c r="G54" s="214">
        <f>ROUND(D54*(E54+F54),2)</f>
        <v>27.53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1477.29</v>
      </c>
      <c r="M54" s="227">
        <v>1477.29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/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158</v>
      </c>
      <c r="D56" s="296">
        <v>213.7</v>
      </c>
      <c r="E56" s="41">
        <f>6.5554-5.8666</f>
        <v>0.68879999999999963</v>
      </c>
      <c r="F56" s="41">
        <f t="shared" ref="F56:F73" si="6">+E56</f>
        <v>0.68879999999999963</v>
      </c>
      <c r="G56" s="235">
        <f t="shared" ref="G56:G64" si="7">ROUND(D56*E56,2)</f>
        <v>147.19999999999999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39</v>
      </c>
      <c r="D57" s="269">
        <v>2.1</v>
      </c>
      <c r="E57" s="41">
        <v>6.5553999999999997</v>
      </c>
      <c r="F57" s="41">
        <f t="shared" si="6"/>
        <v>6.5553999999999997</v>
      </c>
      <c r="G57" s="235">
        <f t="shared" si="7"/>
        <v>13.77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196.6</v>
      </c>
      <c r="E58" s="56">
        <v>6.5553999999999997</v>
      </c>
      <c r="F58" s="57">
        <f t="shared" si="6"/>
        <v>6.5553999999999997</v>
      </c>
      <c r="G58" s="247">
        <f t="shared" si="7"/>
        <v>1288.79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158</v>
      </c>
      <c r="D59" s="296">
        <v>168.59</v>
      </c>
      <c r="E59" s="41">
        <f>6.5554-5.8666</f>
        <v>0.68879999999999963</v>
      </c>
      <c r="F59" s="41">
        <f t="shared" si="6"/>
        <v>0.68879999999999963</v>
      </c>
      <c r="G59" s="235">
        <f>ROUND(D59*E59,2)+0.01</f>
        <v>116.13000000000001</v>
      </c>
      <c r="H59" s="270"/>
      <c r="I59" s="41"/>
      <c r="J59" s="41"/>
      <c r="K59" s="271"/>
      <c r="L59" s="294">
        <f>SUM(G59:G61)</f>
        <v>1446.8700000000001</v>
      </c>
      <c r="M59" s="227">
        <v>1446.87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39</v>
      </c>
      <c r="D60" s="269">
        <v>2.15</v>
      </c>
      <c r="E60" s="41">
        <v>6.5553999999999997</v>
      </c>
      <c r="F60" s="41">
        <f t="shared" si="6"/>
        <v>6.5553999999999997</v>
      </c>
      <c r="G60" s="235">
        <f t="shared" si="7"/>
        <v>14.09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200.85</v>
      </c>
      <c r="E61" s="56">
        <v>6.5553999999999997</v>
      </c>
      <c r="F61" s="57">
        <f t="shared" si="6"/>
        <v>6.5553999999999997</v>
      </c>
      <c r="G61" s="247">
        <f t="shared" si="7"/>
        <v>1316.65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158</v>
      </c>
      <c r="D62" s="296">
        <v>275.62</v>
      </c>
      <c r="E62" s="41">
        <f>6.5554-5.8666</f>
        <v>0.68879999999999963</v>
      </c>
      <c r="F62" s="41">
        <f t="shared" si="6"/>
        <v>0.68879999999999963</v>
      </c>
      <c r="G62" s="235">
        <f>ROUND(D62*E62,2)</f>
        <v>189.85</v>
      </c>
      <c r="H62" s="270"/>
      <c r="I62" s="41"/>
      <c r="J62" s="41"/>
      <c r="K62" s="271"/>
      <c r="L62" s="294">
        <f>SUM(G62:G64)</f>
        <v>2266.27</v>
      </c>
      <c r="M62" s="227">
        <v>2266.27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39</v>
      </c>
      <c r="D63" s="269">
        <v>3.35</v>
      </c>
      <c r="E63" s="41">
        <v>6.5553999999999997</v>
      </c>
      <c r="F63" s="41">
        <f t="shared" si="6"/>
        <v>6.5553999999999997</v>
      </c>
      <c r="G63" s="235">
        <f t="shared" si="7"/>
        <v>21.96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313.39999999999998</v>
      </c>
      <c r="E64" s="56">
        <v>6.5553999999999997</v>
      </c>
      <c r="F64" s="57">
        <f t="shared" si="6"/>
        <v>6.5553999999999997</v>
      </c>
      <c r="G64" s="247">
        <f t="shared" si="7"/>
        <v>2054.46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01"/>
      <c r="B65" s="192" t="s">
        <v>145</v>
      </c>
      <c r="C65" s="48" t="s">
        <v>158</v>
      </c>
      <c r="D65" s="296"/>
      <c r="E65" s="41">
        <f>6.5554-5.8666</f>
        <v>0.68879999999999963</v>
      </c>
      <c r="F65" s="41">
        <f t="shared" si="6"/>
        <v>0.68879999999999963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1" ht="15.75">
      <c r="A66" s="801"/>
      <c r="B66" s="192"/>
      <c r="C66" s="48" t="s">
        <v>39</v>
      </c>
      <c r="D66" s="269"/>
      <c r="E66" s="41">
        <v>6.5553999999999997</v>
      </c>
      <c r="F66" s="41">
        <f t="shared" si="6"/>
        <v>6.5553999999999997</v>
      </c>
      <c r="G66" s="235">
        <f t="shared" ref="G66:G67" si="8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02"/>
      <c r="B67" s="277"/>
      <c r="C67" s="99" t="s">
        <v>29</v>
      </c>
      <c r="D67" s="279"/>
      <c r="E67" s="56">
        <v>6.5553999999999997</v>
      </c>
      <c r="F67" s="57">
        <f t="shared" si="6"/>
        <v>6.5553999999999997</v>
      </c>
      <c r="G67" s="247">
        <f t="shared" si="8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706"/>
      <c r="B68" s="192" t="s">
        <v>152</v>
      </c>
      <c r="C68" s="48" t="s">
        <v>158</v>
      </c>
      <c r="D68" s="296">
        <v>103.09</v>
      </c>
      <c r="E68" s="41">
        <f>6.5554-5.8666</f>
        <v>0.68879999999999963</v>
      </c>
      <c r="F68" s="41">
        <f t="shared" si="6"/>
        <v>0.68879999999999963</v>
      </c>
      <c r="G68" s="235">
        <f>ROUND(D68*E68,2)</f>
        <v>71.010000000000005</v>
      </c>
      <c r="H68" s="270"/>
      <c r="I68" s="41"/>
      <c r="J68" s="41"/>
      <c r="K68" s="271"/>
      <c r="L68" s="294">
        <f>SUM(G68:G70)</f>
        <v>2868.33</v>
      </c>
      <c r="M68" s="227">
        <v>2868.33</v>
      </c>
      <c r="N68" s="274"/>
      <c r="O68" s="237"/>
      <c r="P68" s="275"/>
      <c r="Q68" s="237"/>
      <c r="R68" s="242"/>
      <c r="S68" s="266"/>
      <c r="T68" s="266"/>
    </row>
    <row r="69" spans="1:21" ht="15.75">
      <c r="A69" s="706"/>
      <c r="B69" s="192"/>
      <c r="C69" s="772" t="s">
        <v>39</v>
      </c>
      <c r="D69" s="269">
        <v>4.5199999999999996</v>
      </c>
      <c r="E69" s="41">
        <v>6.5553999999999997</v>
      </c>
      <c r="F69" s="41">
        <f t="shared" si="6"/>
        <v>6.5553999999999997</v>
      </c>
      <c r="G69" s="235">
        <f t="shared" ref="G69:G70" si="9">ROUND(D69*E69,2)</f>
        <v>29.63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803"/>
      <c r="B70" s="804"/>
      <c r="C70" s="54" t="s">
        <v>29</v>
      </c>
      <c r="D70" s="279">
        <v>422.2</v>
      </c>
      <c r="E70" s="56">
        <v>6.5553999999999997</v>
      </c>
      <c r="F70" s="57">
        <f t="shared" si="6"/>
        <v>6.5553999999999997</v>
      </c>
      <c r="G70" s="247">
        <f t="shared" si="9"/>
        <v>2767.69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1">
      <c r="A71" s="706"/>
      <c r="B71" s="192" t="s">
        <v>159</v>
      </c>
      <c r="C71" s="700" t="s">
        <v>158</v>
      </c>
      <c r="D71" s="296">
        <v>0</v>
      </c>
      <c r="E71" s="41">
        <f>6.5554-5.8666</f>
        <v>0.68879999999999963</v>
      </c>
      <c r="F71" s="41">
        <f t="shared" si="6"/>
        <v>0.68879999999999963</v>
      </c>
      <c r="G71" s="235">
        <f>ROUND(D71*E71,2)</f>
        <v>0</v>
      </c>
      <c r="H71" s="270"/>
      <c r="I71" s="41"/>
      <c r="J71" s="41"/>
      <c r="K71" s="271"/>
      <c r="L71" s="294">
        <f>SUM(G71:G73)</f>
        <v>210.69</v>
      </c>
      <c r="M71" s="227">
        <v>210.69</v>
      </c>
      <c r="N71" s="274"/>
      <c r="O71" s="237"/>
      <c r="P71" s="275"/>
      <c r="Q71" s="237"/>
      <c r="R71" s="242"/>
      <c r="S71" s="266"/>
      <c r="T71" s="266"/>
    </row>
    <row r="72" spans="1:21" ht="15.75">
      <c r="A72" s="706"/>
      <c r="B72" s="192"/>
      <c r="C72" s="48" t="s">
        <v>39</v>
      </c>
      <c r="D72" s="269">
        <v>0.34</v>
      </c>
      <c r="E72" s="41">
        <v>6.5553999999999997</v>
      </c>
      <c r="F72" s="41">
        <f t="shared" si="6"/>
        <v>6.5553999999999997</v>
      </c>
      <c r="G72" s="235">
        <f t="shared" ref="G72:G73" si="10">ROUND(D72*E72,2)</f>
        <v>2.23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1" ht="16.5" thickBot="1">
      <c r="A73" s="706"/>
      <c r="B73" s="192"/>
      <c r="C73" s="99" t="s">
        <v>29</v>
      </c>
      <c r="D73" s="279">
        <v>31.8</v>
      </c>
      <c r="E73" s="56">
        <v>6.5553999999999997</v>
      </c>
      <c r="F73" s="57">
        <f t="shared" si="6"/>
        <v>6.5553999999999997</v>
      </c>
      <c r="G73" s="247">
        <f t="shared" si="10"/>
        <v>208.46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1" ht="16.5" thickTop="1">
      <c r="A74" s="320"/>
      <c r="B74" s="321"/>
      <c r="C74" s="322"/>
      <c r="D74" s="323"/>
      <c r="E74" s="163"/>
      <c r="F74" s="324"/>
      <c r="G74" s="325"/>
      <c r="H74" s="163"/>
      <c r="I74" s="163"/>
      <c r="J74" s="163"/>
      <c r="K74" s="163"/>
      <c r="L74" s="163"/>
      <c r="M74" s="326"/>
      <c r="N74" s="327"/>
      <c r="O74" s="328"/>
      <c r="P74" s="329"/>
      <c r="Q74" s="328"/>
      <c r="R74" s="330"/>
      <c r="S74" s="331"/>
      <c r="T74" s="266"/>
    </row>
    <row r="75" spans="1:21" ht="21.75" thickBot="1">
      <c r="A75" s="171" t="s">
        <v>60</v>
      </c>
      <c r="B75" s="2"/>
      <c r="C75" s="3"/>
      <c r="D75" s="2"/>
      <c r="E75" s="2"/>
      <c r="F75" s="2"/>
      <c r="G75" s="332"/>
      <c r="H75" s="332"/>
      <c r="I75" s="332"/>
      <c r="J75" s="2"/>
      <c r="K75" s="2"/>
      <c r="L75" s="2"/>
      <c r="M75" s="3"/>
      <c r="N75" s="2"/>
      <c r="O75" s="2"/>
      <c r="P75" s="2"/>
      <c r="Q75" s="2"/>
      <c r="R75" s="2"/>
      <c r="S75" s="2"/>
    </row>
    <row r="76" spans="1:21" ht="15" customHeight="1" thickTop="1">
      <c r="A76" s="1553" t="s">
        <v>1</v>
      </c>
      <c r="B76" s="1516" t="s">
        <v>2</v>
      </c>
      <c r="C76" s="1518" t="s">
        <v>3</v>
      </c>
      <c r="D76" s="1532" t="s">
        <v>4</v>
      </c>
      <c r="E76" s="1532"/>
      <c r="F76" s="1532"/>
      <c r="G76" s="1532"/>
      <c r="H76" s="1533" t="s">
        <v>5</v>
      </c>
      <c r="I76" s="1534"/>
      <c r="J76" s="1534"/>
      <c r="K76" s="1534"/>
      <c r="L76" s="1524" t="s">
        <v>6</v>
      </c>
      <c r="M76" s="1537" t="s">
        <v>7</v>
      </c>
      <c r="N76" s="1538" t="s">
        <v>8</v>
      </c>
      <c r="O76" s="1538"/>
      <c r="P76" s="1538"/>
      <c r="Q76" s="1539"/>
      <c r="R76" s="5"/>
      <c r="S76" s="5"/>
      <c r="T76" s="5" t="s">
        <v>61</v>
      </c>
      <c r="U76" t="s">
        <v>21</v>
      </c>
    </row>
    <row r="77" spans="1:21" ht="27" customHeight="1" thickBot="1">
      <c r="A77" s="1531"/>
      <c r="B77" s="1517"/>
      <c r="C77" s="1519" t="s">
        <v>10</v>
      </c>
      <c r="D77" s="333" t="s">
        <v>11</v>
      </c>
      <c r="E77" s="7" t="s">
        <v>12</v>
      </c>
      <c r="F77" s="7" t="s">
        <v>13</v>
      </c>
      <c r="G77" s="334" t="s">
        <v>14</v>
      </c>
      <c r="H77" s="335" t="s">
        <v>11</v>
      </c>
      <c r="I77" s="333" t="s">
        <v>15</v>
      </c>
      <c r="J77" s="336" t="s">
        <v>14</v>
      </c>
      <c r="K77" s="11" t="s">
        <v>16</v>
      </c>
      <c r="L77" s="1525"/>
      <c r="M77" s="1511"/>
      <c r="N77" s="337" t="s">
        <v>62</v>
      </c>
      <c r="O77" s="338" t="s">
        <v>44</v>
      </c>
      <c r="P77" s="13" t="s">
        <v>18</v>
      </c>
      <c r="Q77" s="14" t="s">
        <v>19</v>
      </c>
    </row>
    <row r="78" spans="1:21" ht="14.25" customHeight="1">
      <c r="A78" s="339" t="s">
        <v>63</v>
      </c>
      <c r="B78" s="18" t="s">
        <v>64</v>
      </c>
      <c r="C78" s="71">
        <f>+[1]июль17!U75</f>
        <v>4.153500000218628</v>
      </c>
      <c r="D78" s="340">
        <v>49</v>
      </c>
      <c r="E78" s="21">
        <v>36.214199999999998</v>
      </c>
      <c r="F78" s="21">
        <v>42.4328</v>
      </c>
      <c r="G78" s="185">
        <f>ROUND(D78*(E78+F78),2)</f>
        <v>3853.7</v>
      </c>
      <c r="H78" s="184"/>
      <c r="I78" s="23"/>
      <c r="J78" s="341">
        <v>0</v>
      </c>
      <c r="K78" s="342"/>
      <c r="L78" s="343">
        <f>SUM(G78:G83,J78:J82)</f>
        <v>345390.89</v>
      </c>
      <c r="M78" s="344">
        <v>345396.43</v>
      </c>
      <c r="N78" s="345"/>
      <c r="O78" s="346">
        <v>7157.88</v>
      </c>
      <c r="P78" s="347" t="s">
        <v>24</v>
      </c>
      <c r="Q78" s="348">
        <f t="shared" ref="Q78:Q84" si="11">C78+G78+J78-M78-N78-O78</f>
        <v>-348696.4564999998</v>
      </c>
      <c r="R78" s="349" t="s">
        <v>65</v>
      </c>
      <c r="S78" s="350" t="s">
        <v>20</v>
      </c>
      <c r="T78" s="351" t="s">
        <v>21</v>
      </c>
      <c r="U78" s="352">
        <f>+L78-M78+C78</f>
        <v>-1.3864999997604173</v>
      </c>
    </row>
    <row r="79" spans="1:21" ht="14.25" customHeight="1">
      <c r="A79" s="353"/>
      <c r="B79" s="35"/>
      <c r="C79" s="84" t="s">
        <v>26</v>
      </c>
      <c r="D79" s="37"/>
      <c r="E79" s="38">
        <f>32.332-28.8628</f>
        <v>3.4692000000000007</v>
      </c>
      <c r="F79" s="38">
        <f>37.8898-33.8306</f>
        <v>4.0592000000000041</v>
      </c>
      <c r="G79" s="39">
        <f>ROUND(D79*(E79+F79),2)</f>
        <v>0</v>
      </c>
      <c r="H79" s="49"/>
      <c r="I79" s="271"/>
      <c r="J79" s="101"/>
      <c r="K79" s="354"/>
      <c r="L79" s="355"/>
      <c r="M79" s="356"/>
      <c r="N79" s="357"/>
      <c r="O79" s="358"/>
      <c r="P79" s="359"/>
      <c r="Q79" s="360"/>
      <c r="R79" s="349"/>
      <c r="S79" s="350"/>
      <c r="T79" s="351"/>
      <c r="U79" s="352"/>
    </row>
    <row r="80" spans="1:21">
      <c r="A80" s="353"/>
      <c r="B80" s="35"/>
      <c r="C80" s="48"/>
      <c r="D80" s="49"/>
      <c r="E80" s="41">
        <f>4.4128-4.4153</f>
        <v>-2.5000000000003908E-3</v>
      </c>
      <c r="F80" s="41">
        <f>+E80</f>
        <v>-2.5000000000003908E-3</v>
      </c>
      <c r="G80" s="50">
        <f>ROUND(D80*E80*70%+D80*F80*30%,2)</f>
        <v>0</v>
      </c>
      <c r="H80" s="49"/>
      <c r="I80" s="271">
        <v>0</v>
      </c>
      <c r="J80" s="41">
        <f>H80*I80</f>
        <v>0</v>
      </c>
      <c r="K80" s="354"/>
      <c r="L80" s="355"/>
      <c r="M80" s="356"/>
      <c r="N80" s="357"/>
      <c r="O80" s="358"/>
      <c r="P80" s="359"/>
      <c r="Q80" s="360"/>
      <c r="R80" s="349"/>
      <c r="S80" s="350"/>
      <c r="T80" s="351"/>
      <c r="U80" s="352"/>
    </row>
    <row r="81" spans="1:21">
      <c r="A81" s="353"/>
      <c r="B81" s="35"/>
      <c r="C81" s="48" t="s">
        <v>158</v>
      </c>
      <c r="D81" s="49">
        <v>44510</v>
      </c>
      <c r="E81" s="41">
        <f>6.8344-6.0829</f>
        <v>0.75149999999999917</v>
      </c>
      <c r="F81" s="38">
        <f>+E81</f>
        <v>0.75149999999999917</v>
      </c>
      <c r="G81" s="50">
        <f>ROUND(+D81*E81,2)</f>
        <v>33449.269999999997</v>
      </c>
      <c r="H81" s="49"/>
      <c r="I81" s="271"/>
      <c r="J81" s="41"/>
      <c r="K81" s="354"/>
      <c r="L81" s="355"/>
      <c r="M81" s="356"/>
      <c r="N81" s="357"/>
      <c r="O81" s="358"/>
      <c r="P81" s="359"/>
      <c r="Q81" s="360"/>
      <c r="R81" s="349"/>
      <c r="S81" s="350"/>
      <c r="T81" s="351"/>
      <c r="U81" s="352"/>
    </row>
    <row r="82" spans="1:21">
      <c r="A82" s="353"/>
      <c r="B82" s="35"/>
      <c r="C82" s="48" t="s">
        <v>39</v>
      </c>
      <c r="D82" s="49">
        <v>108</v>
      </c>
      <c r="E82" s="41">
        <v>6.8343999999999996</v>
      </c>
      <c r="F82" s="41">
        <f>+E82</f>
        <v>6.8343999999999996</v>
      </c>
      <c r="G82" s="50">
        <f>ROUND(D82*E82,2)</f>
        <v>738.12</v>
      </c>
      <c r="H82" s="361"/>
      <c r="I82" s="362"/>
      <c r="J82" s="207"/>
      <c r="K82" s="363"/>
      <c r="L82" s="364"/>
      <c r="M82" s="365"/>
      <c r="N82" s="366"/>
      <c r="O82" s="367"/>
      <c r="P82" s="368"/>
      <c r="Q82" s="360"/>
      <c r="R82" s="349"/>
      <c r="S82" s="350"/>
      <c r="T82" s="351"/>
      <c r="U82" s="352"/>
    </row>
    <row r="83" spans="1:21" ht="15.75" thickBot="1">
      <c r="A83" s="369"/>
      <c r="B83" s="53" t="s">
        <v>66</v>
      </c>
      <c r="C83" s="99" t="s">
        <v>29</v>
      </c>
      <c r="D83" s="55">
        <v>44971</v>
      </c>
      <c r="E83" s="56">
        <v>6.8343999999999996</v>
      </c>
      <c r="F83" s="370">
        <f>+E83</f>
        <v>6.8343999999999996</v>
      </c>
      <c r="G83" s="58">
        <f>ROUND(D83*E83,2)</f>
        <v>307349.8</v>
      </c>
      <c r="H83" s="248"/>
      <c r="I83" s="203"/>
      <c r="J83" s="60"/>
      <c r="K83" s="203"/>
      <c r="L83" s="204"/>
      <c r="M83" s="371"/>
      <c r="N83" s="372"/>
      <c r="O83" s="373">
        <v>165882.5</v>
      </c>
      <c r="P83" s="374" t="s">
        <v>24</v>
      </c>
      <c r="Q83" s="373">
        <f>G83+J83-M83-N83-O83</f>
        <v>141467.29999999999</v>
      </c>
      <c r="R83" s="349" t="s">
        <v>65</v>
      </c>
      <c r="S83" s="375">
        <f>SUM(O78:O83)</f>
        <v>173040.38</v>
      </c>
      <c r="T83" s="375">
        <f>SUM(Q78:Q83)</f>
        <v>-207229.15649999981</v>
      </c>
    </row>
    <row r="84" spans="1:21" s="81" customFormat="1" ht="15" customHeight="1">
      <c r="A84" s="376">
        <v>301</v>
      </c>
      <c r="B84" s="70" t="s">
        <v>67</v>
      </c>
      <c r="C84" s="377"/>
      <c r="D84" s="378">
        <v>499</v>
      </c>
      <c r="E84" s="21">
        <v>36.214199999999998</v>
      </c>
      <c r="F84" s="21">
        <v>42.4328</v>
      </c>
      <c r="G84" s="379">
        <f>ROUND(D84*(E84+F84),2)</f>
        <v>39244.85</v>
      </c>
      <c r="H84" s="380"/>
      <c r="I84" s="381">
        <v>183.82</v>
      </c>
      <c r="J84" s="381">
        <f>H84*I84</f>
        <v>0</v>
      </c>
      <c r="K84" s="342"/>
      <c r="L84" s="382">
        <f>+SUM(G84:G93,J84:J92)</f>
        <v>196821.19</v>
      </c>
      <c r="M84" s="26">
        <v>196821.19</v>
      </c>
      <c r="N84" s="383"/>
      <c r="O84" s="77"/>
      <c r="P84" s="77" t="s">
        <v>68</v>
      </c>
      <c r="Q84" s="384">
        <f t="shared" si="11"/>
        <v>-157576.34</v>
      </c>
      <c r="R84" s="385" t="s">
        <v>69</v>
      </c>
      <c r="S84" s="386"/>
      <c r="T84" s="387"/>
      <c r="U84" s="388"/>
    </row>
    <row r="85" spans="1:21" s="81" customFormat="1" ht="12.75">
      <c r="A85" s="389"/>
      <c r="B85" s="83"/>
      <c r="C85" s="390" t="s">
        <v>26</v>
      </c>
      <c r="D85" s="37"/>
      <c r="E85" s="38">
        <f>32.332-28.8628</f>
        <v>3.4692000000000007</v>
      </c>
      <c r="F85" s="38">
        <v>0</v>
      </c>
      <c r="G85" s="39">
        <f>ROUND(D85*(E85+F85),2)</f>
        <v>0</v>
      </c>
      <c r="H85" s="391"/>
      <c r="I85" s="392"/>
      <c r="J85" s="392"/>
      <c r="K85" s="393"/>
      <c r="L85" s="394"/>
      <c r="M85" s="90"/>
      <c r="N85" s="395"/>
      <c r="O85" s="94"/>
      <c r="P85" s="94"/>
      <c r="Q85" s="396"/>
      <c r="R85" s="397"/>
      <c r="S85" s="398"/>
      <c r="T85" s="399"/>
    </row>
    <row r="86" spans="1:21" s="81" customFormat="1" ht="12.75">
      <c r="A86" s="389"/>
      <c r="B86" s="98" t="s">
        <v>32</v>
      </c>
      <c r="C86" s="99" t="s">
        <v>33</v>
      </c>
      <c r="D86" s="37">
        <f>76+8</f>
        <v>84</v>
      </c>
      <c r="E86" s="101">
        <v>304.86</v>
      </c>
      <c r="F86" s="38">
        <v>42.4328</v>
      </c>
      <c r="G86" s="400">
        <f>ROUND(D86*(E86+F86),2)</f>
        <v>29172.6</v>
      </c>
      <c r="H86" s="401"/>
      <c r="I86" s="402"/>
      <c r="J86" s="402"/>
      <c r="K86" s="403"/>
      <c r="L86" s="404"/>
      <c r="M86" s="102"/>
      <c r="N86" s="405"/>
      <c r="O86" s="406"/>
      <c r="P86" s="406" t="s">
        <v>68</v>
      </c>
      <c r="Q86" s="407">
        <f>+G86+J86-M86-N86-O86</f>
        <v>29172.6</v>
      </c>
      <c r="R86" s="397" t="s">
        <v>69</v>
      </c>
      <c r="S86" s="398"/>
      <c r="T86" s="399"/>
    </row>
    <row r="87" spans="1:21" s="81" customFormat="1" ht="15" customHeight="1">
      <c r="A87" s="389"/>
      <c r="B87" s="98"/>
      <c r="C87" s="84"/>
      <c r="D87" s="37">
        <f>76+16</f>
        <v>92</v>
      </c>
      <c r="E87" s="41">
        <f>304.86-291.8</f>
        <v>13.060000000000002</v>
      </c>
      <c r="F87" s="38">
        <v>0</v>
      </c>
      <c r="G87" s="400">
        <f>+D87*(E87+F87)</f>
        <v>1201.5200000000002</v>
      </c>
      <c r="H87" s="401"/>
      <c r="I87" s="402"/>
      <c r="J87" s="402"/>
      <c r="K87" s="408"/>
      <c r="L87" s="404"/>
      <c r="M87" s="102"/>
      <c r="N87" s="405"/>
      <c r="O87" s="406"/>
      <c r="P87" s="406"/>
      <c r="Q87" s="407"/>
      <c r="R87" s="397"/>
      <c r="S87" s="398"/>
      <c r="T87" s="399"/>
    </row>
    <row r="88" spans="1:21" s="81" customFormat="1" ht="15" customHeight="1">
      <c r="A88" s="389"/>
      <c r="B88" s="83"/>
      <c r="C88" s="84"/>
      <c r="D88" s="37"/>
      <c r="E88" s="41"/>
      <c r="F88" s="38"/>
      <c r="G88" s="400"/>
      <c r="H88" s="401"/>
      <c r="I88" s="402"/>
      <c r="J88" s="402"/>
      <c r="K88" s="408"/>
      <c r="L88" s="404"/>
      <c r="M88" s="102"/>
      <c r="N88" s="405"/>
      <c r="O88" s="406"/>
      <c r="P88" s="406"/>
      <c r="Q88" s="407"/>
      <c r="R88" s="397"/>
      <c r="S88" s="398"/>
      <c r="T88" s="399"/>
    </row>
    <row r="89" spans="1:21" s="81" customFormat="1" ht="15" customHeight="1">
      <c r="A89" s="389"/>
      <c r="B89" s="83" t="s">
        <v>70</v>
      </c>
      <c r="C89" s="84"/>
      <c r="D89" s="37"/>
      <c r="E89" s="41"/>
      <c r="F89" s="38">
        <v>33.830599999999997</v>
      </c>
      <c r="G89" s="400"/>
      <c r="H89" s="401"/>
      <c r="I89" s="402"/>
      <c r="J89" s="402"/>
      <c r="K89" s="408"/>
      <c r="L89" s="404"/>
      <c r="M89" s="102"/>
      <c r="N89" s="405"/>
      <c r="O89" s="406"/>
      <c r="P89" s="406"/>
      <c r="Q89" s="407"/>
      <c r="R89" s="397"/>
      <c r="S89" s="398"/>
      <c r="T89" s="399"/>
    </row>
    <row r="90" spans="1:21" s="81" customFormat="1" ht="15" customHeight="1">
      <c r="A90" s="389"/>
      <c r="B90" s="83"/>
      <c r="C90" s="48"/>
      <c r="D90" s="37"/>
      <c r="E90" s="41">
        <f>4.4128-4.4153</f>
        <v>-2.5000000000003908E-3</v>
      </c>
      <c r="F90" s="38"/>
      <c r="G90" s="39">
        <f>ROUND(D90*(E90+F90),2)</f>
        <v>0</v>
      </c>
      <c r="H90" s="37"/>
      <c r="I90" s="409"/>
      <c r="J90" s="409"/>
      <c r="K90" s="408"/>
      <c r="L90" s="404"/>
      <c r="M90" s="102"/>
      <c r="N90" s="405"/>
      <c r="O90" s="406"/>
      <c r="P90" s="406"/>
      <c r="Q90" s="407"/>
      <c r="R90" s="397"/>
      <c r="S90" s="398"/>
      <c r="T90" s="399"/>
    </row>
    <row r="91" spans="1:21" s="81" customFormat="1" ht="15" customHeight="1">
      <c r="A91" s="389"/>
      <c r="B91" s="83"/>
      <c r="C91" s="48" t="s">
        <v>158</v>
      </c>
      <c r="D91" s="37">
        <v>17689</v>
      </c>
      <c r="E91" s="41">
        <f>6.8344-6.0829</f>
        <v>0.75149999999999917</v>
      </c>
      <c r="F91" s="38">
        <f>+E91</f>
        <v>0.75149999999999917</v>
      </c>
      <c r="G91" s="39">
        <f>ROUND(D91*E91,2)</f>
        <v>13293.28</v>
      </c>
      <c r="H91" s="37"/>
      <c r="I91" s="409"/>
      <c r="J91" s="409"/>
      <c r="K91" s="408"/>
      <c r="L91" s="404"/>
      <c r="M91" s="102"/>
      <c r="N91" s="405"/>
      <c r="O91" s="406"/>
      <c r="P91" s="406"/>
      <c r="Q91" s="407"/>
      <c r="R91" s="397"/>
      <c r="S91" s="398"/>
      <c r="T91" s="399"/>
    </row>
    <row r="92" spans="1:21" s="81" customFormat="1" ht="15" customHeight="1">
      <c r="A92" s="389"/>
      <c r="B92" s="83"/>
      <c r="C92" s="48" t="s">
        <v>39</v>
      </c>
      <c r="D92" s="37">
        <v>40</v>
      </c>
      <c r="E92" s="41">
        <v>6.8343999999999996</v>
      </c>
      <c r="F92" s="41">
        <f>+E92</f>
        <v>6.8343999999999996</v>
      </c>
      <c r="G92" s="39">
        <f>ROUND(D92*E92,2)-0.01</f>
        <v>273.37</v>
      </c>
      <c r="H92" s="37"/>
      <c r="I92" s="409"/>
      <c r="J92" s="409"/>
      <c r="K92" s="410"/>
      <c r="L92" s="404"/>
      <c r="M92" s="102"/>
      <c r="N92" s="405"/>
      <c r="O92" s="406"/>
      <c r="P92" s="406"/>
      <c r="Q92" s="407"/>
      <c r="R92" s="397"/>
      <c r="S92" s="398"/>
      <c r="T92" s="399"/>
    </row>
    <row r="93" spans="1:21" s="81" customFormat="1" ht="15.75" customHeight="1" thickBot="1">
      <c r="A93" s="411"/>
      <c r="B93" s="412"/>
      <c r="C93" s="99" t="s">
        <v>29</v>
      </c>
      <c r="D93" s="413">
        <v>16627</v>
      </c>
      <c r="E93" s="56">
        <v>6.8343999999999996</v>
      </c>
      <c r="F93" s="370">
        <f>+E93</f>
        <v>6.8343999999999996</v>
      </c>
      <c r="G93" s="414">
        <f>ROUND(D93*E93,2)</f>
        <v>113635.57</v>
      </c>
      <c r="H93" s="248"/>
      <c r="I93" s="60"/>
      <c r="J93" s="60"/>
      <c r="K93" s="203"/>
      <c r="L93" s="204"/>
      <c r="M93" s="371"/>
      <c r="N93" s="415"/>
      <c r="O93" s="416"/>
      <c r="P93" s="416" t="s">
        <v>68</v>
      </c>
      <c r="Q93" s="417">
        <f>+G93+J93-M93-N93-O93</f>
        <v>113635.57</v>
      </c>
      <c r="R93" s="418" t="s">
        <v>69</v>
      </c>
      <c r="S93" s="419">
        <f>SUM(O84:O93)</f>
        <v>0</v>
      </c>
      <c r="T93" s="419">
        <f>SUM(Q84:Q93)</f>
        <v>-14768.169999999984</v>
      </c>
    </row>
    <row r="94" spans="1:21" s="81" customFormat="1" ht="15.75" customHeight="1">
      <c r="A94" s="376"/>
      <c r="B94" s="420" t="s">
        <v>72</v>
      </c>
      <c r="C94" s="377" t="s">
        <v>73</v>
      </c>
      <c r="D94" s="378">
        <v>148</v>
      </c>
      <c r="E94" s="21">
        <v>36.214199999999998</v>
      </c>
      <c r="F94" s="21">
        <v>42.4328</v>
      </c>
      <c r="G94" s="22">
        <f>+D94*(E94+F94)</f>
        <v>11639.755999999999</v>
      </c>
      <c r="H94" s="303"/>
      <c r="I94" s="23"/>
      <c r="J94" s="341"/>
      <c r="K94" s="342"/>
      <c r="L94" s="263">
        <f>SUM(G94:G98,J94:J98)</f>
        <v>258114.56599999999</v>
      </c>
      <c r="M94" s="26">
        <v>258114.57</v>
      </c>
      <c r="N94" s="421"/>
      <c r="O94" s="77"/>
      <c r="P94" s="77"/>
      <c r="Q94" s="384"/>
      <c r="R94" s="422"/>
      <c r="S94" s="399"/>
      <c r="T94" s="399"/>
    </row>
    <row r="95" spans="1:21" s="81" customFormat="1" ht="15.75" customHeight="1">
      <c r="A95" s="389"/>
      <c r="B95" s="83"/>
      <c r="C95" s="84" t="s">
        <v>26</v>
      </c>
      <c r="D95" s="37"/>
      <c r="E95" s="38">
        <f>32.332-28.8628</f>
        <v>3.4692000000000007</v>
      </c>
      <c r="F95" s="38">
        <f>37.8898-33.8306</f>
        <v>4.0592000000000041</v>
      </c>
      <c r="G95" s="39">
        <f>ROUND(D95*(E95+F95),2)</f>
        <v>0</v>
      </c>
      <c r="H95" s="270"/>
      <c r="I95" s="41"/>
      <c r="J95" s="41"/>
      <c r="K95" s="271"/>
      <c r="L95" s="272"/>
      <c r="M95" s="102"/>
      <c r="N95" s="423"/>
      <c r="O95" s="406"/>
      <c r="P95" s="406"/>
      <c r="Q95" s="424"/>
      <c r="R95" s="422"/>
      <c r="S95" s="399"/>
      <c r="T95" s="399"/>
    </row>
    <row r="96" spans="1:21" s="81" customFormat="1" ht="15.75" customHeight="1">
      <c r="A96" s="389"/>
      <c r="B96" s="83"/>
      <c r="C96" s="48" t="s">
        <v>158</v>
      </c>
      <c r="D96" s="37">
        <v>30974</v>
      </c>
      <c r="E96" s="41">
        <f>6.8344-6.0829</f>
        <v>0.75149999999999917</v>
      </c>
      <c r="F96" s="38"/>
      <c r="G96" s="39">
        <f>ROUND(D96*(E96),2)+0.02</f>
        <v>23276.98</v>
      </c>
      <c r="H96" s="270"/>
      <c r="I96" s="41"/>
      <c r="J96" s="41"/>
      <c r="K96" s="271"/>
      <c r="L96" s="272"/>
      <c r="M96" s="102"/>
      <c r="N96" s="423"/>
      <c r="O96" s="406"/>
      <c r="P96" s="406"/>
      <c r="Q96" s="424"/>
      <c r="R96" s="422"/>
      <c r="S96" s="399"/>
      <c r="T96" s="399"/>
    </row>
    <row r="97" spans="1:20" s="81" customFormat="1" ht="15.75" customHeight="1">
      <c r="A97" s="389"/>
      <c r="B97" s="83"/>
      <c r="C97" s="48" t="s">
        <v>39</v>
      </c>
      <c r="D97" s="37">
        <v>78</v>
      </c>
      <c r="E97" s="41">
        <v>6.8343999999999996</v>
      </c>
      <c r="F97" s="38"/>
      <c r="G97" s="39">
        <f>ROUND(D97*(E97),2)</f>
        <v>533.08000000000004</v>
      </c>
      <c r="H97" s="270"/>
      <c r="I97" s="41"/>
      <c r="J97" s="41"/>
      <c r="K97" s="271"/>
      <c r="L97" s="272"/>
      <c r="M97" s="102"/>
      <c r="N97" s="423"/>
      <c r="O97" s="406"/>
      <c r="P97" s="406"/>
      <c r="Q97" s="425"/>
      <c r="R97" s="422"/>
      <c r="S97" s="399"/>
      <c r="T97" s="399"/>
    </row>
    <row r="98" spans="1:20" s="81" customFormat="1" ht="15.75" customHeight="1" thickBot="1">
      <c r="A98" s="411"/>
      <c r="B98" s="412"/>
      <c r="C98" s="99" t="s">
        <v>29</v>
      </c>
      <c r="D98" s="413">
        <v>32580</v>
      </c>
      <c r="E98" s="56">
        <v>6.8343999999999996</v>
      </c>
      <c r="F98" s="281"/>
      <c r="G98" s="414">
        <f>ROUND(D98*(E98),2)</f>
        <v>222664.75</v>
      </c>
      <c r="H98" s="280"/>
      <c r="I98" s="281"/>
      <c r="J98" s="281"/>
      <c r="K98" s="282"/>
      <c r="L98" s="204"/>
      <c r="M98" s="371"/>
      <c r="N98" s="426"/>
      <c r="O98" s="416"/>
      <c r="P98" s="416"/>
      <c r="Q98" s="417"/>
      <c r="R98" s="422"/>
      <c r="S98" s="399"/>
      <c r="T98" s="399"/>
    </row>
    <row r="99" spans="1:20" s="81" customFormat="1" ht="15.75" customHeight="1">
      <c r="A99" s="376"/>
      <c r="B99" s="427" t="s">
        <v>74</v>
      </c>
      <c r="C99" s="377" t="s">
        <v>73</v>
      </c>
      <c r="D99" s="378">
        <v>13</v>
      </c>
      <c r="E99" s="21">
        <v>36.214199999999998</v>
      </c>
      <c r="F99" s="21">
        <v>42.4328</v>
      </c>
      <c r="G99" s="22">
        <f>ROUND(D99*(E99+F99),2)</f>
        <v>1022.41</v>
      </c>
      <c r="H99" s="303"/>
      <c r="I99" s="23"/>
      <c r="J99" s="23">
        <v>0</v>
      </c>
      <c r="K99" s="342"/>
      <c r="L99" s="263">
        <f>SUM(G99:G105,J99:J105)</f>
        <v>22495.309999999998</v>
      </c>
      <c r="M99" s="26">
        <v>22495.31</v>
      </c>
      <c r="N99" s="421"/>
      <c r="O99" s="77"/>
      <c r="P99" s="77"/>
      <c r="Q99" s="384"/>
      <c r="R99" s="422"/>
      <c r="S99" s="399"/>
      <c r="T99" s="399"/>
    </row>
    <row r="100" spans="1:20" s="81" customFormat="1" ht="15.75" customHeight="1">
      <c r="A100" s="389"/>
      <c r="B100" s="98" t="s">
        <v>75</v>
      </c>
      <c r="C100" s="84" t="s">
        <v>26</v>
      </c>
      <c r="D100" s="37"/>
      <c r="E100" s="38">
        <f>32.332-28.8628</f>
        <v>3.4692000000000007</v>
      </c>
      <c r="F100" s="38">
        <f>37.8898-33.8306</f>
        <v>4.0592000000000041</v>
      </c>
      <c r="G100" s="39">
        <f>ROUND(D100*(E100+F100),2)</f>
        <v>0</v>
      </c>
      <c r="H100" s="270"/>
      <c r="I100" s="41"/>
      <c r="J100" s="41"/>
      <c r="K100" s="354"/>
      <c r="L100" s="272"/>
      <c r="M100" s="102"/>
      <c r="N100" s="423"/>
      <c r="O100" s="406"/>
      <c r="P100" s="406"/>
      <c r="Q100" s="424"/>
      <c r="R100" s="422"/>
      <c r="S100" s="399"/>
      <c r="T100" s="399"/>
    </row>
    <row r="101" spans="1:20" s="81" customFormat="1" ht="15.75" customHeight="1">
      <c r="A101" s="389"/>
      <c r="B101" s="83"/>
      <c r="C101" s="99" t="s">
        <v>33</v>
      </c>
      <c r="D101" s="428">
        <v>5</v>
      </c>
      <c r="E101" s="101">
        <v>304.86</v>
      </c>
      <c r="F101" s="38">
        <v>42.43</v>
      </c>
      <c r="G101" s="39">
        <f>ROUND(D101*(E101+F101),2)</f>
        <v>1736.45</v>
      </c>
      <c r="H101" s="270"/>
      <c r="I101" s="41"/>
      <c r="J101" s="41"/>
      <c r="K101" s="271"/>
      <c r="L101" s="272"/>
      <c r="M101" s="102"/>
      <c r="N101" s="423"/>
      <c r="O101" s="406"/>
      <c r="P101" s="406"/>
      <c r="Q101" s="424"/>
      <c r="R101" s="422"/>
      <c r="S101" s="399"/>
      <c r="T101" s="399"/>
    </row>
    <row r="102" spans="1:20" s="81" customFormat="1" ht="15.75" customHeight="1">
      <c r="A102" s="389"/>
      <c r="B102" s="83"/>
      <c r="C102" s="48" t="s">
        <v>76</v>
      </c>
      <c r="D102" s="37">
        <v>5</v>
      </c>
      <c r="E102" s="41">
        <f>304.86-291.8</f>
        <v>13.060000000000002</v>
      </c>
      <c r="F102" s="38"/>
      <c r="G102" s="39">
        <f>ROUND(D102*(E102+F102),2)</f>
        <v>65.3</v>
      </c>
      <c r="H102" s="270"/>
      <c r="I102" s="41"/>
      <c r="J102" s="41"/>
      <c r="K102" s="271"/>
      <c r="L102" s="272"/>
      <c r="M102" s="102"/>
      <c r="N102" s="423"/>
      <c r="O102" s="406"/>
      <c r="P102" s="406"/>
      <c r="Q102" s="424"/>
      <c r="R102" s="422"/>
      <c r="S102" s="399"/>
      <c r="T102" s="399"/>
    </row>
    <row r="103" spans="1:20" s="81" customFormat="1" ht="15.75" customHeight="1">
      <c r="A103" s="389"/>
      <c r="B103" s="83"/>
      <c r="C103" s="48" t="s">
        <v>158</v>
      </c>
      <c r="D103" s="37">
        <v>2565.1</v>
      </c>
      <c r="E103" s="41">
        <f>6.8344-6.0829</f>
        <v>0.75149999999999917</v>
      </c>
      <c r="F103" s="38"/>
      <c r="G103" s="39">
        <f>ROUND(D103*(E103+F103),2)+0.01</f>
        <v>1927.68</v>
      </c>
      <c r="H103" s="270"/>
      <c r="I103" s="41"/>
      <c r="J103" s="41"/>
      <c r="K103" s="271"/>
      <c r="L103" s="272"/>
      <c r="M103" s="102"/>
      <c r="N103" s="423"/>
      <c r="O103" s="406"/>
      <c r="P103" s="406"/>
      <c r="Q103" s="424"/>
      <c r="R103" s="422"/>
      <c r="S103" s="399"/>
      <c r="T103" s="399"/>
    </row>
    <row r="104" spans="1:20" s="81" customFormat="1" ht="15.75" customHeight="1">
      <c r="A104" s="389"/>
      <c r="B104" s="83"/>
      <c r="C104" s="48" t="s">
        <v>39</v>
      </c>
      <c r="D104" s="37">
        <v>6.2</v>
      </c>
      <c r="E104" s="41">
        <v>6.8343999999999996</v>
      </c>
      <c r="F104" s="38"/>
      <c r="G104" s="39">
        <f>ROUND(D104*E104,2)</f>
        <v>42.37</v>
      </c>
      <c r="H104" s="270"/>
      <c r="I104" s="41"/>
      <c r="J104" s="41"/>
      <c r="K104" s="271"/>
      <c r="L104" s="272"/>
      <c r="M104" s="102"/>
      <c r="N104" s="423"/>
      <c r="O104" s="406"/>
      <c r="P104" s="406"/>
      <c r="Q104" s="425"/>
      <c r="R104" s="422"/>
      <c r="S104" s="399"/>
      <c r="T104" s="399"/>
    </row>
    <row r="105" spans="1:20" s="81" customFormat="1" ht="15" customHeight="1" thickBot="1">
      <c r="A105" s="411"/>
      <c r="B105" s="412"/>
      <c r="C105" s="99" t="s">
        <v>29</v>
      </c>
      <c r="D105" s="413">
        <v>2590</v>
      </c>
      <c r="E105" s="56">
        <v>6.8343999999999996</v>
      </c>
      <c r="F105" s="281"/>
      <c r="G105" s="414">
        <f t="shared" ref="G105:G112" si="12">ROUND(D105*(E105+F105),2)</f>
        <v>17701.099999999999</v>
      </c>
      <c r="H105" s="280"/>
      <c r="I105" s="281"/>
      <c r="J105" s="281"/>
      <c r="K105" s="282"/>
      <c r="L105" s="204"/>
      <c r="M105" s="371"/>
      <c r="N105" s="426"/>
      <c r="O105" s="416"/>
      <c r="P105" s="416"/>
      <c r="Q105" s="417"/>
      <c r="R105" s="422"/>
      <c r="S105" s="399"/>
      <c r="T105" s="399"/>
    </row>
    <row r="106" spans="1:20" s="81" customFormat="1" ht="15" customHeight="1">
      <c r="A106" s="376"/>
      <c r="B106" s="420" t="s">
        <v>77</v>
      </c>
      <c r="C106" s="377" t="s">
        <v>73</v>
      </c>
      <c r="D106" s="378">
        <v>5</v>
      </c>
      <c r="E106" s="21">
        <v>36.214199999999998</v>
      </c>
      <c r="F106" s="21">
        <v>42.4328</v>
      </c>
      <c r="G106" s="22">
        <f t="shared" si="12"/>
        <v>393.24</v>
      </c>
      <c r="H106" s="303"/>
      <c r="I106" s="23">
        <v>183.82</v>
      </c>
      <c r="J106" s="381">
        <f>H106*I106</f>
        <v>0</v>
      </c>
      <c r="K106" s="342"/>
      <c r="L106" s="382">
        <f>+SUM(G106:G112,J106:J112)</f>
        <v>5904.76</v>
      </c>
      <c r="M106" s="26">
        <v>5904.76</v>
      </c>
      <c r="N106" s="421"/>
      <c r="O106" s="77"/>
      <c r="P106" s="77"/>
      <c r="Q106" s="384"/>
      <c r="R106" s="422"/>
      <c r="S106" s="399"/>
      <c r="T106" s="399"/>
    </row>
    <row r="107" spans="1:20" s="81" customFormat="1" ht="15" customHeight="1">
      <c r="A107" s="389"/>
      <c r="B107" s="83"/>
      <c r="C107" s="84" t="s">
        <v>26</v>
      </c>
      <c r="D107" s="37"/>
      <c r="E107" s="38">
        <v>3.4692000000000007</v>
      </c>
      <c r="F107" s="38"/>
      <c r="G107" s="39">
        <f t="shared" si="12"/>
        <v>0</v>
      </c>
      <c r="H107" s="270"/>
      <c r="I107" s="41"/>
      <c r="J107" s="402"/>
      <c r="K107" s="354"/>
      <c r="L107" s="429"/>
      <c r="M107" s="102"/>
      <c r="N107" s="430"/>
      <c r="O107" s="431"/>
      <c r="P107" s="431"/>
      <c r="Q107" s="424"/>
      <c r="R107" s="422"/>
      <c r="S107" s="399"/>
      <c r="T107" s="399"/>
    </row>
    <row r="108" spans="1:20" s="81" customFormat="1" ht="15" customHeight="1">
      <c r="A108" s="389"/>
      <c r="B108" s="98" t="s">
        <v>32</v>
      </c>
      <c r="C108" s="99" t="s">
        <v>33</v>
      </c>
      <c r="D108" s="37">
        <v>6</v>
      </c>
      <c r="E108" s="101">
        <v>304.86</v>
      </c>
      <c r="F108" s="38">
        <v>42.4328</v>
      </c>
      <c r="G108" s="39">
        <f t="shared" si="12"/>
        <v>2083.7600000000002</v>
      </c>
      <c r="H108" s="270"/>
      <c r="I108" s="41"/>
      <c r="J108" s="41"/>
      <c r="K108" s="271"/>
      <c r="L108" s="272"/>
      <c r="M108" s="102"/>
      <c r="N108" s="430"/>
      <c r="O108" s="431"/>
      <c r="P108" s="431"/>
      <c r="Q108" s="424"/>
      <c r="R108" s="422"/>
      <c r="S108" s="399"/>
      <c r="T108" s="399"/>
    </row>
    <row r="109" spans="1:20" s="81" customFormat="1" ht="15" customHeight="1">
      <c r="A109" s="389"/>
      <c r="B109" s="83"/>
      <c r="C109" s="48" t="s">
        <v>78</v>
      </c>
      <c r="D109" s="37">
        <v>5</v>
      </c>
      <c r="E109" s="41">
        <f>304.86-291.8</f>
        <v>13.060000000000002</v>
      </c>
      <c r="F109" s="38"/>
      <c r="G109" s="39">
        <f>ROUND(D109*(E109+F109),2)</f>
        <v>65.3</v>
      </c>
      <c r="H109" s="270"/>
      <c r="I109" s="41"/>
      <c r="J109" s="41"/>
      <c r="K109" s="271"/>
      <c r="L109" s="272"/>
      <c r="M109" s="102"/>
      <c r="N109" s="430"/>
      <c r="O109" s="431"/>
      <c r="P109" s="431"/>
      <c r="Q109" s="424"/>
      <c r="R109" s="422"/>
      <c r="S109" s="399"/>
      <c r="T109" s="399"/>
    </row>
    <row r="110" spans="1:20" s="81" customFormat="1" ht="15" customHeight="1">
      <c r="A110" s="389"/>
      <c r="B110" s="83"/>
      <c r="C110" s="48" t="s">
        <v>158</v>
      </c>
      <c r="D110" s="37">
        <v>509.2</v>
      </c>
      <c r="E110" s="41">
        <f>6.8344-6.0829</f>
        <v>0.75149999999999917</v>
      </c>
      <c r="F110" s="38"/>
      <c r="G110" s="39">
        <f>ROUND(D110*(E110+F110),2)+0.01</f>
        <v>382.67</v>
      </c>
      <c r="H110" s="270"/>
      <c r="I110" s="41"/>
      <c r="J110" s="41"/>
      <c r="K110" s="271"/>
      <c r="L110" s="272"/>
      <c r="M110" s="102"/>
      <c r="N110" s="430"/>
      <c r="O110" s="431"/>
      <c r="P110" s="431"/>
      <c r="Q110" s="424"/>
      <c r="R110" s="422"/>
      <c r="S110" s="399"/>
      <c r="T110" s="399"/>
    </row>
    <row r="111" spans="1:20" s="81" customFormat="1" ht="15" customHeight="1">
      <c r="A111" s="389"/>
      <c r="B111" s="83"/>
      <c r="C111" s="48" t="s">
        <v>39</v>
      </c>
      <c r="D111" s="37">
        <v>1</v>
      </c>
      <c r="E111" s="41">
        <v>6.8343999999999996</v>
      </c>
      <c r="F111" s="38"/>
      <c r="G111" s="39">
        <f t="shared" si="12"/>
        <v>6.83</v>
      </c>
      <c r="H111" s="432"/>
      <c r="I111" s="207"/>
      <c r="J111" s="207"/>
      <c r="K111" s="362"/>
      <c r="L111" s="433"/>
      <c r="M111" s="63"/>
      <c r="N111" s="434"/>
      <c r="O111" s="435"/>
      <c r="P111" s="435"/>
      <c r="Q111" s="425"/>
      <c r="R111" s="422"/>
      <c r="S111" s="399"/>
      <c r="T111" s="399"/>
    </row>
    <row r="112" spans="1:20" s="81" customFormat="1" ht="15" customHeight="1" thickBot="1">
      <c r="A112" s="411"/>
      <c r="B112" s="412"/>
      <c r="C112" s="99" t="s">
        <v>29</v>
      </c>
      <c r="D112" s="413">
        <v>435</v>
      </c>
      <c r="E112" s="56">
        <v>6.8343999999999996</v>
      </c>
      <c r="F112" s="281"/>
      <c r="G112" s="414">
        <f t="shared" si="12"/>
        <v>2972.96</v>
      </c>
      <c r="H112" s="280"/>
      <c r="I112" s="281"/>
      <c r="J112" s="281"/>
      <c r="K112" s="282"/>
      <c r="L112" s="204"/>
      <c r="M112" s="371"/>
      <c r="N112" s="426"/>
      <c r="O112" s="416"/>
      <c r="P112" s="416"/>
      <c r="Q112" s="417"/>
      <c r="R112" s="436"/>
      <c r="S112" s="399"/>
      <c r="T112" s="399"/>
    </row>
    <row r="113" spans="1:20" s="81" customFormat="1" ht="15" customHeight="1">
      <c r="A113" s="437"/>
      <c r="B113" s="438" t="s">
        <v>38</v>
      </c>
      <c r="C113" s="439"/>
      <c r="D113" s="378"/>
      <c r="E113" s="23"/>
      <c r="F113" s="23"/>
      <c r="G113" s="22"/>
      <c r="H113" s="303"/>
      <c r="I113" s="23"/>
      <c r="J113" s="23"/>
      <c r="K113" s="304"/>
      <c r="L113" s="382">
        <f>+SUM(G113:G116,J113:J116)</f>
        <v>3412.22</v>
      </c>
      <c r="M113" s="26">
        <v>3412.22</v>
      </c>
      <c r="N113" s="421"/>
      <c r="O113" s="77"/>
      <c r="P113" s="77"/>
      <c r="Q113" s="77">
        <f>+L113-M113</f>
        <v>0</v>
      </c>
      <c r="R113" s="440"/>
      <c r="S113" s="399"/>
      <c r="T113" s="399"/>
    </row>
    <row r="114" spans="1:20" s="81" customFormat="1" ht="15" customHeight="1">
      <c r="A114" s="441"/>
      <c r="B114" s="442"/>
      <c r="C114" s="48" t="s">
        <v>158</v>
      </c>
      <c r="D114" s="37">
        <v>429</v>
      </c>
      <c r="E114" s="41">
        <f>6.8344-6.0829</f>
        <v>0.75149999999999917</v>
      </c>
      <c r="F114" s="41"/>
      <c r="G114" s="39">
        <f>ROUND(D114*E114,2)</f>
        <v>322.39</v>
      </c>
      <c r="H114" s="260"/>
      <c r="I114" s="261"/>
      <c r="J114" s="261"/>
      <c r="K114" s="262"/>
      <c r="L114" s="394"/>
      <c r="M114" s="90"/>
      <c r="N114" s="443"/>
      <c r="O114" s="94"/>
      <c r="P114" s="94"/>
      <c r="Q114" s="94"/>
      <c r="R114" s="422"/>
      <c r="S114" s="399"/>
      <c r="T114" s="399"/>
    </row>
    <row r="115" spans="1:20" s="81" customFormat="1">
      <c r="A115" s="441"/>
      <c r="B115" s="444"/>
      <c r="C115" s="48" t="s">
        <v>39</v>
      </c>
      <c r="D115" s="37">
        <v>1.1000000000000001</v>
      </c>
      <c r="E115" s="41">
        <v>6.8343999999999996</v>
      </c>
      <c r="F115" s="41"/>
      <c r="G115" s="39">
        <f t="shared" ref="G115:G125" si="13">ROUND(D115*E115,2)</f>
        <v>7.52</v>
      </c>
      <c r="H115" s="432"/>
      <c r="I115" s="207"/>
      <c r="J115" s="207"/>
      <c r="K115" s="362"/>
      <c r="L115" s="433"/>
      <c r="M115" s="63"/>
      <c r="N115" s="423"/>
      <c r="O115" s="406"/>
      <c r="P115" s="406"/>
      <c r="Q115" s="406"/>
      <c r="R115" s="422"/>
      <c r="S115" s="399"/>
      <c r="T115" s="399"/>
    </row>
    <row r="116" spans="1:20" s="81" customFormat="1" ht="15" customHeight="1" thickBot="1">
      <c r="A116" s="445"/>
      <c r="B116" s="446"/>
      <c r="C116" s="99" t="s">
        <v>29</v>
      </c>
      <c r="D116" s="413">
        <v>451</v>
      </c>
      <c r="E116" s="56">
        <v>6.8343999999999996</v>
      </c>
      <c r="F116" s="281"/>
      <c r="G116" s="414">
        <f t="shared" si="13"/>
        <v>3082.31</v>
      </c>
      <c r="H116" s="280"/>
      <c r="I116" s="281"/>
      <c r="J116" s="281"/>
      <c r="K116" s="282"/>
      <c r="L116" s="204"/>
      <c r="M116" s="371"/>
      <c r="N116" s="434"/>
      <c r="O116" s="435"/>
      <c r="P116" s="435"/>
      <c r="Q116" s="435"/>
      <c r="R116" s="422"/>
      <c r="S116" s="399"/>
      <c r="T116" s="399"/>
    </row>
    <row r="117" spans="1:20" s="81" customFormat="1" ht="15" customHeight="1">
      <c r="A117" s="437"/>
      <c r="B117" s="438" t="s">
        <v>122</v>
      </c>
      <c r="C117" s="439"/>
      <c r="D117" s="378"/>
      <c r="E117" s="23"/>
      <c r="F117" s="23"/>
      <c r="G117" s="22"/>
      <c r="H117" s="303"/>
      <c r="I117" s="23"/>
      <c r="J117" s="23"/>
      <c r="K117" s="304"/>
      <c r="L117" s="382">
        <f>+SUM(G117:G120,J117:J120)</f>
        <v>1961.29</v>
      </c>
      <c r="M117" s="26">
        <v>1961.29</v>
      </c>
      <c r="N117" s="421"/>
      <c r="O117" s="77"/>
      <c r="P117" s="77"/>
      <c r="Q117" s="77"/>
      <c r="R117" s="440"/>
      <c r="S117" s="399"/>
      <c r="T117" s="399"/>
    </row>
    <row r="118" spans="1:20" s="81" customFormat="1" ht="15" customHeight="1" thickBot="1">
      <c r="A118" s="441"/>
      <c r="B118" s="442"/>
      <c r="C118" s="48" t="s">
        <v>158</v>
      </c>
      <c r="D118" s="37">
        <v>330.79</v>
      </c>
      <c r="E118" s="41">
        <f>6.8344-6.0829</f>
        <v>0.75149999999999917</v>
      </c>
      <c r="F118" s="41"/>
      <c r="G118" s="414">
        <f>ROUND(D118*E118,2)</f>
        <v>248.59</v>
      </c>
      <c r="H118" s="260"/>
      <c r="I118" s="261"/>
      <c r="J118" s="261"/>
      <c r="K118" s="262"/>
      <c r="L118" s="394"/>
      <c r="M118" s="90"/>
      <c r="N118" s="443"/>
      <c r="O118" s="94"/>
      <c r="P118" s="94"/>
      <c r="Q118" s="94"/>
      <c r="R118" s="422"/>
      <c r="S118" s="399"/>
      <c r="T118" s="399"/>
    </row>
    <row r="119" spans="1:20" s="81" customFormat="1" ht="15" customHeight="1" thickBot="1">
      <c r="A119" s="441"/>
      <c r="B119" s="444"/>
      <c r="C119" s="48" t="s">
        <v>39</v>
      </c>
      <c r="D119" s="37">
        <v>0.6</v>
      </c>
      <c r="E119" s="41">
        <v>6.8343999999999996</v>
      </c>
      <c r="F119" s="41"/>
      <c r="G119" s="414">
        <f t="shared" si="13"/>
        <v>4.0999999999999996</v>
      </c>
      <c r="H119" s="432"/>
      <c r="I119" s="207"/>
      <c r="J119" s="207"/>
      <c r="K119" s="362"/>
      <c r="L119" s="433"/>
      <c r="M119" s="63"/>
      <c r="N119" s="423"/>
      <c r="O119" s="406"/>
      <c r="P119" s="406"/>
      <c r="Q119" s="406"/>
      <c r="R119" s="422"/>
      <c r="S119" s="399"/>
      <c r="T119" s="399"/>
    </row>
    <row r="120" spans="1:20" s="81" customFormat="1" ht="15" customHeight="1" thickBot="1">
      <c r="A120" s="445"/>
      <c r="B120" s="446"/>
      <c r="C120" s="99" t="s">
        <v>29</v>
      </c>
      <c r="D120" s="413">
        <v>250</v>
      </c>
      <c r="E120" s="56">
        <v>6.8343999999999996</v>
      </c>
      <c r="F120" s="281"/>
      <c r="G120" s="414">
        <f t="shared" si="13"/>
        <v>1708.6</v>
      </c>
      <c r="H120" s="280"/>
      <c r="I120" s="281"/>
      <c r="J120" s="281"/>
      <c r="K120" s="282"/>
      <c r="L120" s="204"/>
      <c r="M120" s="371"/>
      <c r="N120" s="434"/>
      <c r="O120" s="435"/>
      <c r="P120" s="435"/>
      <c r="Q120" s="435"/>
      <c r="R120" s="422"/>
      <c r="S120" s="399"/>
      <c r="T120" s="399"/>
    </row>
    <row r="121" spans="1:20" s="81" customFormat="1" ht="15" customHeight="1">
      <c r="A121" s="447"/>
      <c r="B121" s="438" t="s">
        <v>79</v>
      </c>
      <c r="C121" s="48" t="s">
        <v>158</v>
      </c>
      <c r="D121" s="448">
        <v>4722</v>
      </c>
      <c r="E121" s="41">
        <f>6.8344-6.0829</f>
        <v>0.75149999999999917</v>
      </c>
      <c r="F121" s="261"/>
      <c r="G121" s="449">
        <f>ROUND(D121*E121,2)</f>
        <v>3548.58</v>
      </c>
      <c r="H121" s="303"/>
      <c r="I121" s="23"/>
      <c r="J121" s="23"/>
      <c r="K121" s="304"/>
      <c r="L121" s="263">
        <f>SUM(G121:G123)</f>
        <v>33900.15</v>
      </c>
      <c r="M121" s="26">
        <v>33900.15</v>
      </c>
      <c r="N121" s="421"/>
      <c r="O121" s="77"/>
      <c r="P121" s="77"/>
      <c r="Q121" s="384"/>
      <c r="R121" s="422"/>
      <c r="S121" s="399"/>
      <c r="T121" s="399"/>
    </row>
    <row r="122" spans="1:20" s="81" customFormat="1" ht="15" customHeight="1">
      <c r="A122" s="450"/>
      <c r="B122" s="442"/>
      <c r="C122" s="48" t="s">
        <v>39</v>
      </c>
      <c r="D122" s="448">
        <v>11</v>
      </c>
      <c r="E122" s="41">
        <v>6.8343999999999996</v>
      </c>
      <c r="F122" s="261"/>
      <c r="G122" s="449">
        <f t="shared" si="13"/>
        <v>75.180000000000007</v>
      </c>
      <c r="H122" s="260"/>
      <c r="I122" s="261"/>
      <c r="J122" s="261"/>
      <c r="K122" s="262"/>
      <c r="L122" s="286"/>
      <c r="M122" s="90"/>
      <c r="N122" s="423"/>
      <c r="O122" s="406"/>
      <c r="P122" s="406"/>
      <c r="Q122" s="407"/>
      <c r="R122" s="422"/>
      <c r="S122" s="399"/>
      <c r="T122" s="399"/>
    </row>
    <row r="123" spans="1:20" s="81" customFormat="1" ht="15" customHeight="1" thickBot="1">
      <c r="A123" s="451"/>
      <c r="B123" s="446"/>
      <c r="C123" s="99" t="s">
        <v>29</v>
      </c>
      <c r="D123" s="452">
        <v>4430</v>
      </c>
      <c r="E123" s="56">
        <v>6.8343999999999996</v>
      </c>
      <c r="F123" s="207"/>
      <c r="G123" s="453">
        <f t="shared" si="13"/>
        <v>30276.39</v>
      </c>
      <c r="H123" s="280"/>
      <c r="I123" s="281"/>
      <c r="J123" s="281"/>
      <c r="K123" s="282"/>
      <c r="L123" s="204"/>
      <c r="M123" s="371"/>
      <c r="N123" s="426"/>
      <c r="O123" s="416"/>
      <c r="P123" s="416"/>
      <c r="Q123" s="417"/>
      <c r="R123" s="422"/>
      <c r="S123" s="399"/>
      <c r="T123" s="399"/>
    </row>
    <row r="124" spans="1:20" s="81" customFormat="1" ht="15" customHeight="1">
      <c r="A124" s="805"/>
      <c r="B124" s="438" t="s">
        <v>80</v>
      </c>
      <c r="C124" s="48" t="s">
        <v>158</v>
      </c>
      <c r="D124" s="378"/>
      <c r="E124" s="454">
        <v>6.8343999999999996</v>
      </c>
      <c r="F124" s="23"/>
      <c r="G124" s="22">
        <f>ROUND(D124*E124,2)</f>
        <v>0</v>
      </c>
      <c r="H124" s="303"/>
      <c r="I124" s="23"/>
      <c r="J124" s="23"/>
      <c r="K124" s="304"/>
      <c r="L124" s="263">
        <f>SUM(G124:G125)</f>
        <v>0</v>
      </c>
      <c r="M124" s="26">
        <v>18873.88</v>
      </c>
      <c r="N124" s="421"/>
      <c r="O124" s="77"/>
      <c r="P124" s="77"/>
      <c r="Q124" s="384"/>
      <c r="R124" s="422"/>
      <c r="S124" s="399"/>
      <c r="T124" s="399"/>
    </row>
    <row r="125" spans="1:20" s="81" customFormat="1" ht="15" customHeight="1">
      <c r="A125" s="806"/>
      <c r="B125" s="442"/>
      <c r="C125" s="48" t="s">
        <v>39</v>
      </c>
      <c r="D125" s="37"/>
      <c r="E125" s="455">
        <v>6.8343999999999996</v>
      </c>
      <c r="F125" s="41"/>
      <c r="G125" s="39">
        <f t="shared" si="13"/>
        <v>0</v>
      </c>
      <c r="H125" s="270"/>
      <c r="I125" s="41"/>
      <c r="J125" s="41"/>
      <c r="K125" s="271"/>
      <c r="L125" s="272"/>
      <c r="M125" s="102"/>
      <c r="N125" s="423"/>
      <c r="O125" s="406"/>
      <c r="P125" s="406"/>
      <c r="Q125" s="407"/>
      <c r="R125" s="422"/>
      <c r="S125" s="399"/>
      <c r="T125" s="399"/>
    </row>
    <row r="126" spans="1:20" s="81" customFormat="1" ht="15" customHeight="1" thickBot="1">
      <c r="A126" s="807"/>
      <c r="B126" s="446"/>
      <c r="C126" s="456"/>
      <c r="D126" s="413"/>
      <c r="E126" s="281"/>
      <c r="F126" s="281"/>
      <c r="G126" s="414"/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0" s="81" customFormat="1" ht="15" customHeight="1">
      <c r="A127" s="437"/>
      <c r="B127" s="438" t="s">
        <v>82</v>
      </c>
      <c r="C127" s="377" t="s">
        <v>73</v>
      </c>
      <c r="D127" s="378">
        <v>28</v>
      </c>
      <c r="E127" s="21">
        <v>36.214199999999998</v>
      </c>
      <c r="F127" s="21">
        <v>42.4328</v>
      </c>
      <c r="G127" s="22">
        <f>+D127*(E127+F127)</f>
        <v>2202.116</v>
      </c>
      <c r="H127" s="303"/>
      <c r="I127" s="23"/>
      <c r="J127" s="341"/>
      <c r="K127" s="342"/>
      <c r="L127" s="263">
        <f>SUM(G127:G131,J127:J131)</f>
        <v>115640.306</v>
      </c>
      <c r="M127" s="26">
        <v>115640.31</v>
      </c>
      <c r="N127" s="421"/>
      <c r="O127" s="77"/>
      <c r="P127" s="77"/>
      <c r="Q127" s="384"/>
      <c r="R127" s="422"/>
      <c r="S127" s="399"/>
      <c r="T127" s="399"/>
    </row>
    <row r="128" spans="1:20" s="81" customFormat="1" ht="15" customHeight="1">
      <c r="A128" s="441"/>
      <c r="B128" s="442"/>
      <c r="C128" s="36" t="s">
        <v>26</v>
      </c>
      <c r="D128" s="37"/>
      <c r="E128" s="38">
        <v>3.4692000000000007</v>
      </c>
      <c r="F128" s="38">
        <f>37.8898-33.8306</f>
        <v>4.0592000000000041</v>
      </c>
      <c r="G128" s="39">
        <f>ROUND(D128*(E128+F128),2)</f>
        <v>0</v>
      </c>
      <c r="H128" s="457"/>
      <c r="I128" s="199"/>
      <c r="J128" s="199"/>
      <c r="K128" s="458"/>
      <c r="L128" s="459"/>
      <c r="M128" s="44"/>
      <c r="N128" s="430"/>
      <c r="O128" s="431"/>
      <c r="P128" s="431"/>
      <c r="Q128" s="424"/>
      <c r="R128" s="422"/>
      <c r="S128" s="399"/>
      <c r="T128" s="399"/>
    </row>
    <row r="129" spans="1:20" s="81" customFormat="1" ht="15" customHeight="1">
      <c r="A129" s="441"/>
      <c r="B129" s="442"/>
      <c r="C129" s="48" t="s">
        <v>158</v>
      </c>
      <c r="D129" s="37">
        <v>13970</v>
      </c>
      <c r="E129" s="41">
        <f>6.8344-6.0829</f>
        <v>0.75149999999999917</v>
      </c>
      <c r="F129" s="38"/>
      <c r="G129" s="39">
        <f>ROUND(D129*(E129),2)</f>
        <v>10498.46</v>
      </c>
      <c r="H129" s="270"/>
      <c r="I129" s="41"/>
      <c r="J129" s="41"/>
      <c r="K129" s="271"/>
      <c r="L129" s="272"/>
      <c r="M129" s="102"/>
      <c r="N129" s="430"/>
      <c r="O129" s="431"/>
      <c r="P129" s="431"/>
      <c r="Q129" s="424"/>
      <c r="R129" s="422"/>
      <c r="S129" s="399"/>
      <c r="T129" s="399"/>
    </row>
    <row r="130" spans="1:20" s="81" customFormat="1" ht="15" customHeight="1">
      <c r="A130" s="441"/>
      <c r="B130" s="442"/>
      <c r="C130" s="48" t="s">
        <v>39</v>
      </c>
      <c r="D130" s="37">
        <v>36</v>
      </c>
      <c r="E130" s="41">
        <v>6.8343999999999996</v>
      </c>
      <c r="F130" s="38"/>
      <c r="G130" s="39">
        <f>ROUND(D130*(E130),2)</f>
        <v>246.04</v>
      </c>
      <c r="H130" s="270"/>
      <c r="I130" s="41"/>
      <c r="J130" s="41"/>
      <c r="K130" s="271"/>
      <c r="L130" s="272"/>
      <c r="M130" s="102"/>
      <c r="N130" s="434"/>
      <c r="O130" s="435"/>
      <c r="P130" s="435"/>
      <c r="Q130" s="425"/>
      <c r="R130" s="422"/>
      <c r="S130" s="399"/>
      <c r="T130" s="399"/>
    </row>
    <row r="131" spans="1:20" s="81" customFormat="1" ht="15" customHeight="1" thickBot="1">
      <c r="A131" s="460"/>
      <c r="B131" s="461"/>
      <c r="C131" s="99" t="s">
        <v>29</v>
      </c>
      <c r="D131" s="37">
        <v>15026</v>
      </c>
      <c r="E131" s="56">
        <v>6.8343999999999996</v>
      </c>
      <c r="F131" s="311"/>
      <c r="G131" s="110">
        <f>ROUND(D131*(E131),2)</f>
        <v>102693.69</v>
      </c>
      <c r="H131" s="310"/>
      <c r="I131" s="311"/>
      <c r="J131" s="311"/>
      <c r="K131" s="312"/>
      <c r="L131" s="313"/>
      <c r="M131" s="115"/>
      <c r="N131" s="463"/>
      <c r="O131" s="464"/>
      <c r="P131" s="464"/>
      <c r="Q131" s="465"/>
      <c r="R131" s="466"/>
      <c r="S131" s="467"/>
      <c r="T131" s="399"/>
    </row>
    <row r="132" spans="1:20" s="81" customFormat="1" ht="15" customHeight="1" thickTop="1">
      <c r="A132" s="437"/>
      <c r="B132" s="438" t="s">
        <v>83</v>
      </c>
      <c r="C132" s="377" t="s">
        <v>73</v>
      </c>
      <c r="D132" s="378">
        <v>1</v>
      </c>
      <c r="E132" s="21">
        <v>36.214199999999998</v>
      </c>
      <c r="F132" s="21">
        <v>42.4328</v>
      </c>
      <c r="G132" s="22">
        <f>+D132*(E132+F132)</f>
        <v>78.646999999999991</v>
      </c>
      <c r="H132" s="303"/>
      <c r="I132" s="23"/>
      <c r="J132" s="341"/>
      <c r="K132" s="342"/>
      <c r="L132" s="263">
        <f>SUM(G132:G136,J132:J136)</f>
        <v>592.24700000000007</v>
      </c>
      <c r="M132" s="26">
        <v>592.25</v>
      </c>
      <c r="N132" s="421"/>
      <c r="O132" s="77"/>
      <c r="P132" s="77"/>
      <c r="Q132" s="384"/>
      <c r="R132" s="422"/>
      <c r="S132" s="399"/>
      <c r="T132" s="399"/>
    </row>
    <row r="133" spans="1:20" s="81" customFormat="1" ht="15" customHeight="1">
      <c r="A133" s="441"/>
      <c r="B133" s="442"/>
      <c r="C133" s="36" t="s">
        <v>26</v>
      </c>
      <c r="D133" s="37"/>
      <c r="E133" s="38">
        <v>3.4692000000000007</v>
      </c>
      <c r="F133" s="38">
        <f>37.8898-33.8306</f>
        <v>4.0592000000000041</v>
      </c>
      <c r="G133" s="39">
        <f>ROUND(D133*(E133+F133),2)</f>
        <v>0</v>
      </c>
      <c r="H133" s="457"/>
      <c r="I133" s="199"/>
      <c r="J133" s="199"/>
      <c r="K133" s="458"/>
      <c r="L133" s="459"/>
      <c r="M133" s="44"/>
      <c r="N133" s="430"/>
      <c r="O133" s="431"/>
      <c r="P133" s="431"/>
      <c r="Q133" s="424"/>
      <c r="R133" s="422"/>
      <c r="S133" s="399"/>
      <c r="T133" s="399"/>
    </row>
    <row r="134" spans="1:20" s="81" customFormat="1" ht="15" customHeight="1">
      <c r="A134" s="441"/>
      <c r="B134" s="442"/>
      <c r="C134" s="48" t="s">
        <v>158</v>
      </c>
      <c r="D134" s="37">
        <v>63.2</v>
      </c>
      <c r="E134" s="41">
        <f>6.8344-6.0829</f>
        <v>0.75149999999999917</v>
      </c>
      <c r="F134" s="38"/>
      <c r="G134" s="39">
        <f>ROUND(D134*(E134),2)</f>
        <v>47.49</v>
      </c>
      <c r="H134" s="270"/>
      <c r="I134" s="41"/>
      <c r="J134" s="41"/>
      <c r="K134" s="271"/>
      <c r="L134" s="272"/>
      <c r="M134" s="102"/>
      <c r="N134" s="430"/>
      <c r="O134" s="431"/>
      <c r="P134" s="431"/>
      <c r="Q134" s="424"/>
      <c r="R134" s="422"/>
      <c r="S134" s="399"/>
      <c r="T134" s="399"/>
    </row>
    <row r="135" spans="1:20" s="81" customFormat="1" ht="15" customHeight="1">
      <c r="A135" s="441"/>
      <c r="B135" s="442"/>
      <c r="C135" s="48" t="s">
        <v>39</v>
      </c>
      <c r="D135" s="37">
        <v>0.2</v>
      </c>
      <c r="E135" s="41">
        <v>6.8343999999999996</v>
      </c>
      <c r="F135" s="38"/>
      <c r="G135" s="39">
        <f>ROUND(D135*(E135),2)</f>
        <v>1.37</v>
      </c>
      <c r="H135" s="270"/>
      <c r="I135" s="41"/>
      <c r="J135" s="41"/>
      <c r="K135" s="271"/>
      <c r="L135" s="272"/>
      <c r="M135" s="102"/>
      <c r="N135" s="434"/>
      <c r="O135" s="435"/>
      <c r="P135" s="435"/>
      <c r="Q135" s="425"/>
      <c r="R135" s="422"/>
      <c r="S135" s="399"/>
      <c r="T135" s="399"/>
    </row>
    <row r="136" spans="1:20" s="81" customFormat="1" ht="15.75" customHeight="1" thickBot="1">
      <c r="A136" s="460"/>
      <c r="B136" s="461"/>
      <c r="C136" s="99" t="s">
        <v>29</v>
      </c>
      <c r="D136" s="462">
        <v>68</v>
      </c>
      <c r="E136" s="56">
        <v>6.8343999999999996</v>
      </c>
      <c r="F136" s="311"/>
      <c r="G136" s="110">
        <f>ROUND(D136*(E136),2)</f>
        <v>464.74</v>
      </c>
      <c r="H136" s="310"/>
      <c r="I136" s="311"/>
      <c r="J136" s="311"/>
      <c r="K136" s="312"/>
      <c r="L136" s="313"/>
      <c r="M136" s="115"/>
      <c r="N136" s="463"/>
      <c r="O136" s="464"/>
      <c r="P136" s="464"/>
      <c r="Q136" s="465"/>
      <c r="R136" s="422"/>
      <c r="S136" s="399"/>
      <c r="T136" s="399"/>
    </row>
    <row r="137" spans="1:20" s="81" customFormat="1" ht="15.75" customHeight="1" thickTop="1">
      <c r="A137" s="447"/>
      <c r="B137" s="438" t="s">
        <v>126</v>
      </c>
      <c r="C137" s="48" t="s">
        <v>158</v>
      </c>
      <c r="D137" s="448">
        <v>57.1</v>
      </c>
      <c r="E137" s="41">
        <f>6.8344-6.0829</f>
        <v>0.75149999999999917</v>
      </c>
      <c r="F137" s="261"/>
      <c r="G137" s="449">
        <f>ROUND(D137*E137,2)</f>
        <v>42.91</v>
      </c>
      <c r="H137" s="303"/>
      <c r="I137" s="23"/>
      <c r="J137" s="23"/>
      <c r="K137" s="304"/>
      <c r="L137" s="263">
        <f>SUM(G137:G139)</f>
        <v>625.19999999999993</v>
      </c>
      <c r="M137" s="26">
        <v>625.20000000000005</v>
      </c>
      <c r="N137" s="421"/>
      <c r="O137" s="77"/>
      <c r="P137" s="77"/>
      <c r="Q137" s="384"/>
      <c r="R137" s="422"/>
      <c r="S137" s="399"/>
      <c r="T137" s="399"/>
    </row>
    <row r="138" spans="1:20" s="81" customFormat="1" ht="15.75" customHeight="1">
      <c r="A138" s="450"/>
      <c r="B138" s="442"/>
      <c r="C138" s="48" t="s">
        <v>39</v>
      </c>
      <c r="D138" s="448">
        <v>0.2</v>
      </c>
      <c r="E138" s="41">
        <v>6.8343999999999996</v>
      </c>
      <c r="F138" s="261"/>
      <c r="G138" s="449">
        <f t="shared" ref="G138:G139" si="14">ROUND(D138*E138,2)</f>
        <v>1.37</v>
      </c>
      <c r="H138" s="260"/>
      <c r="I138" s="261"/>
      <c r="J138" s="261"/>
      <c r="K138" s="262"/>
      <c r="L138" s="286"/>
      <c r="M138" s="90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 thickBot="1">
      <c r="A139" s="697"/>
      <c r="B139" s="698"/>
      <c r="C139" s="99" t="s">
        <v>29</v>
      </c>
      <c r="D139" s="596">
        <v>85</v>
      </c>
      <c r="E139" s="56">
        <v>6.8343999999999996</v>
      </c>
      <c r="F139" s="41"/>
      <c r="G139" s="39">
        <f t="shared" si="14"/>
        <v>580.91999999999996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>
      <c r="A140" s="468"/>
      <c r="B140" s="699" t="s">
        <v>133</v>
      </c>
      <c r="C140" s="48" t="s">
        <v>158</v>
      </c>
      <c r="D140" s="471">
        <v>486.2</v>
      </c>
      <c r="E140" s="41">
        <f>6.8344-6.0829</f>
        <v>0.75149999999999917</v>
      </c>
      <c r="F140" s="473"/>
      <c r="G140" s="449">
        <f>ROUND(D140*E140,2)</f>
        <v>365.38</v>
      </c>
      <c r="H140" s="303"/>
      <c r="I140" s="23"/>
      <c r="J140" s="23"/>
      <c r="K140" s="304"/>
      <c r="L140" s="263">
        <f>SUM(G140:G142)</f>
        <v>3872.79</v>
      </c>
      <c r="M140" s="26">
        <v>3872.79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468"/>
      <c r="B141" s="469"/>
      <c r="C141" s="48" t="s">
        <v>39</v>
      </c>
      <c r="D141" s="471">
        <v>1.2</v>
      </c>
      <c r="E141" s="41">
        <v>6.8343999999999996</v>
      </c>
      <c r="F141" s="473"/>
      <c r="G141" s="449">
        <f>ROUND(D141*E141,2)</f>
        <v>8.1999999999999993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701"/>
      <c r="B142" s="702"/>
      <c r="C142" s="99" t="s">
        <v>29</v>
      </c>
      <c r="D142" s="703">
        <v>512</v>
      </c>
      <c r="E142" s="56">
        <v>6.8343999999999996</v>
      </c>
      <c r="F142" s="704"/>
      <c r="G142" s="39">
        <f t="shared" ref="G142" si="15">ROUND(D142*E142,2)</f>
        <v>3499.21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468"/>
      <c r="B143" s="699" t="s">
        <v>134</v>
      </c>
      <c r="C143" s="48" t="s">
        <v>158</v>
      </c>
      <c r="D143" s="471">
        <v>693.7</v>
      </c>
      <c r="E143" s="41">
        <f>6.8344-6.0829</f>
        <v>0.75149999999999917</v>
      </c>
      <c r="F143" s="473"/>
      <c r="G143" s="449">
        <f>ROUND(D143*E143,2)-0.01</f>
        <v>521.31000000000006</v>
      </c>
      <c r="H143" s="303"/>
      <c r="I143" s="23"/>
      <c r="J143" s="23"/>
      <c r="K143" s="304"/>
      <c r="L143" s="263">
        <f>SUM(G143:G145)</f>
        <v>5310.18</v>
      </c>
      <c r="M143" s="26">
        <v>5310.18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39</v>
      </c>
      <c r="D144" s="471">
        <v>1.7</v>
      </c>
      <c r="E144" s="41">
        <v>6.8343999999999996</v>
      </c>
      <c r="F144" s="473"/>
      <c r="G144" s="449">
        <f t="shared" ref="G144:G145" si="16">ROUND(D144*E144,2)</f>
        <v>11.62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701"/>
      <c r="B145" s="702"/>
      <c r="C145" s="99" t="s">
        <v>29</v>
      </c>
      <c r="D145" s="703">
        <v>699</v>
      </c>
      <c r="E145" s="56">
        <v>6.8343999999999996</v>
      </c>
      <c r="F145" s="704"/>
      <c r="G145" s="39">
        <f t="shared" si="16"/>
        <v>4777.25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0" s="81" customFormat="1" ht="15.75" customHeight="1">
      <c r="A146" s="468"/>
      <c r="B146" s="699" t="s">
        <v>140</v>
      </c>
      <c r="C146" s="48" t="s">
        <v>158</v>
      </c>
      <c r="D146" s="471">
        <v>890.1</v>
      </c>
      <c r="E146" s="41">
        <f>6.8344-6.0829</f>
        <v>0.75149999999999917</v>
      </c>
      <c r="F146" s="473"/>
      <c r="G146" s="449">
        <f>ROUND(D146*E146,2)</f>
        <v>668.91</v>
      </c>
      <c r="H146" s="303"/>
      <c r="I146" s="23"/>
      <c r="J146" s="23"/>
      <c r="K146" s="304"/>
      <c r="L146" s="263">
        <f>SUM(G146:G148)</f>
        <v>6677.0300000000007</v>
      </c>
      <c r="M146" s="26">
        <v>6677.03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.75" customHeight="1">
      <c r="A147" s="468"/>
      <c r="B147" s="469"/>
      <c r="C147" s="48" t="s">
        <v>39</v>
      </c>
      <c r="D147" s="471">
        <v>2.1</v>
      </c>
      <c r="E147" s="41">
        <v>6.8343999999999996</v>
      </c>
      <c r="F147" s="473"/>
      <c r="G147" s="449">
        <f>ROUND(D147*E147,2)</f>
        <v>14.35</v>
      </c>
      <c r="H147" s="260"/>
      <c r="I147" s="261"/>
      <c r="J147" s="261"/>
      <c r="K147" s="262"/>
      <c r="L147" s="286"/>
      <c r="M147" s="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701"/>
      <c r="B148" s="702"/>
      <c r="C148" s="99" t="s">
        <v>29</v>
      </c>
      <c r="D148" s="703">
        <v>877</v>
      </c>
      <c r="E148" s="56">
        <v>6.8343999999999996</v>
      </c>
      <c r="F148" s="704"/>
      <c r="G148" s="39">
        <f t="shared" ref="G148" si="17">ROUND(D148*E148,2)</f>
        <v>5993.77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>
      <c r="A149" s="468"/>
      <c r="B149" s="699" t="s">
        <v>141</v>
      </c>
      <c r="C149" s="48" t="s">
        <v>158</v>
      </c>
      <c r="D149" s="471">
        <v>643.5</v>
      </c>
      <c r="E149" s="41">
        <f>6.8344-6.0829</f>
        <v>0.75149999999999917</v>
      </c>
      <c r="F149" s="473"/>
      <c r="G149" s="449">
        <f>ROUND(D149*E149,2)</f>
        <v>483.59</v>
      </c>
      <c r="H149" s="303"/>
      <c r="I149" s="23"/>
      <c r="J149" s="23"/>
      <c r="K149" s="304"/>
      <c r="L149" s="263">
        <f>SUM(G149:G151)</f>
        <v>5573.85</v>
      </c>
      <c r="M149" s="26">
        <v>5573.85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468"/>
      <c r="B150" s="469"/>
      <c r="C150" s="48" t="s">
        <v>39</v>
      </c>
      <c r="D150" s="471">
        <v>1.8</v>
      </c>
      <c r="E150" s="41">
        <v>6.8343999999999996</v>
      </c>
      <c r="F150" s="473"/>
      <c r="G150" s="449">
        <f>ROUND(D150*E150,2)</f>
        <v>12.3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701"/>
      <c r="B151" s="702"/>
      <c r="C151" s="99" t="s">
        <v>29</v>
      </c>
      <c r="D151" s="703">
        <v>743</v>
      </c>
      <c r="E151" s="56">
        <v>6.8343999999999996</v>
      </c>
      <c r="F151" s="704"/>
      <c r="G151" s="39">
        <f t="shared" ref="G151" si="18">ROUND(D151*E151,2)</f>
        <v>5077.96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468"/>
      <c r="B152" s="699" t="s">
        <v>147</v>
      </c>
      <c r="C152" s="48" t="s">
        <v>158</v>
      </c>
      <c r="D152" s="471">
        <v>112.3</v>
      </c>
      <c r="E152" s="41">
        <f>6.8344-6.0829</f>
        <v>0.75149999999999917</v>
      </c>
      <c r="F152" s="473"/>
      <c r="G152" s="449">
        <f>ROUND(D152*E152,2)+0.01</f>
        <v>84.4</v>
      </c>
      <c r="H152" s="303"/>
      <c r="I152" s="23"/>
      <c r="J152" s="23"/>
      <c r="K152" s="304"/>
      <c r="L152" s="263">
        <f>SUM(G152:G154)</f>
        <v>899.74</v>
      </c>
      <c r="M152" s="26">
        <v>899.74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468"/>
      <c r="B153" s="469"/>
      <c r="C153" s="48" t="s">
        <v>39</v>
      </c>
      <c r="D153" s="471">
        <v>0.3</v>
      </c>
      <c r="E153" s="41">
        <v>6.8343999999999996</v>
      </c>
      <c r="F153" s="473"/>
      <c r="G153" s="449">
        <f>ROUND(D153*E153,2)</f>
        <v>2.0499999999999998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701"/>
      <c r="B154" s="702"/>
      <c r="C154" s="99" t="s">
        <v>29</v>
      </c>
      <c r="D154" s="703">
        <v>119</v>
      </c>
      <c r="E154" s="56">
        <v>6.8343999999999996</v>
      </c>
      <c r="F154" s="704"/>
      <c r="G154" s="39">
        <f t="shared" ref="G154" si="19">ROUND(D154*E154,2)</f>
        <v>813.29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468"/>
      <c r="B155" s="699" t="s">
        <v>154</v>
      </c>
      <c r="C155" s="48" t="s">
        <v>158</v>
      </c>
      <c r="D155" s="471">
        <v>228.5</v>
      </c>
      <c r="E155" s="41">
        <f>6.8344-6.0829</f>
        <v>0.75149999999999917</v>
      </c>
      <c r="F155" s="473"/>
      <c r="G155" s="449">
        <f>ROUND(D155*E155,2)+0.01</f>
        <v>171.73</v>
      </c>
      <c r="H155" s="303"/>
      <c r="I155" s="23"/>
      <c r="J155" s="23"/>
      <c r="K155" s="304"/>
      <c r="L155" s="263">
        <f>SUM(G155:G157)</f>
        <v>2124.31</v>
      </c>
      <c r="M155" s="26">
        <v>2124.31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39</v>
      </c>
      <c r="D156" s="471">
        <v>0.7</v>
      </c>
      <c r="E156" s="41">
        <v>6.8343999999999996</v>
      </c>
      <c r="F156" s="473"/>
      <c r="G156" s="449">
        <f>ROUND(D156*E156,2)</f>
        <v>4.78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701"/>
      <c r="B157" s="702"/>
      <c r="C157" s="99" t="s">
        <v>29</v>
      </c>
      <c r="D157" s="703">
        <v>285</v>
      </c>
      <c r="E157" s="56">
        <v>6.8343999999999996</v>
      </c>
      <c r="F157" s="704"/>
      <c r="G157" s="39">
        <f t="shared" ref="G157" si="20">ROUND(D157*E157,2)</f>
        <v>1947.8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468"/>
      <c r="B158" s="699" t="s">
        <v>155</v>
      </c>
      <c r="C158" s="48" t="s">
        <v>158</v>
      </c>
      <c r="D158" s="471">
        <v>11.03</v>
      </c>
      <c r="E158" s="41">
        <f>6.8344-6.0829</f>
        <v>0.75149999999999917</v>
      </c>
      <c r="F158" s="473"/>
      <c r="G158" s="449">
        <f>ROUND(D158*E158,2)</f>
        <v>8.2899999999999991</v>
      </c>
      <c r="H158" s="303"/>
      <c r="I158" s="23"/>
      <c r="J158" s="23"/>
      <c r="K158" s="304"/>
      <c r="L158" s="263">
        <f>SUM(G158:G160)</f>
        <v>8.2899999999999991</v>
      </c>
      <c r="M158" s="26">
        <v>8.2899999999999991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39</v>
      </c>
      <c r="D159" s="471">
        <v>0</v>
      </c>
      <c r="E159" s="41">
        <v>6.8343999999999996</v>
      </c>
      <c r="F159" s="473"/>
      <c r="G159" s="449">
        <f>ROUND(D159*E159,2)</f>
        <v>0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701"/>
      <c r="B160" s="702"/>
      <c r="C160" s="99" t="s">
        <v>29</v>
      </c>
      <c r="D160" s="703">
        <v>0</v>
      </c>
      <c r="E160" s="56">
        <v>6.8343999999999996</v>
      </c>
      <c r="F160" s="704"/>
      <c r="G160" s="39">
        <f t="shared" ref="G160" si="21">ROUND(D160*E160,2)</f>
        <v>0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1" s="81" customFormat="1" ht="15.75" customHeight="1">
      <c r="A161" s="468"/>
      <c r="B161" s="699" t="s">
        <v>160</v>
      </c>
      <c r="C161" s="48" t="s">
        <v>158</v>
      </c>
      <c r="D161" s="471">
        <v>0</v>
      </c>
      <c r="E161" s="41">
        <f>6.8344-6.0829</f>
        <v>0.75149999999999917</v>
      </c>
      <c r="F161" s="473"/>
      <c r="G161" s="449">
        <f>ROUND(D161*E161,2)</f>
        <v>0</v>
      </c>
      <c r="H161" s="303"/>
      <c r="I161" s="23"/>
      <c r="J161" s="23"/>
      <c r="K161" s="304"/>
      <c r="L161" s="263">
        <f>SUM(G161:G163)</f>
        <v>376.58</v>
      </c>
      <c r="M161" s="26">
        <v>376.58</v>
      </c>
      <c r="N161" s="421"/>
      <c r="O161" s="77"/>
      <c r="P161" s="77"/>
      <c r="Q161" s="384"/>
      <c r="R161" s="422"/>
      <c r="S161" s="399"/>
      <c r="T161" s="399"/>
    </row>
    <row r="162" spans="1:21" s="81" customFormat="1" ht="15.75" customHeight="1">
      <c r="A162" s="468"/>
      <c r="B162" s="469"/>
      <c r="C162" s="48" t="s">
        <v>39</v>
      </c>
      <c r="D162" s="471">
        <v>0.1</v>
      </c>
      <c r="E162" s="41">
        <v>6.8343999999999996</v>
      </c>
      <c r="F162" s="473"/>
      <c r="G162" s="449">
        <f>ROUND(D162*E162,2)+0.01</f>
        <v>0.69000000000000006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1" s="81" customFormat="1" ht="15.75" customHeight="1" thickBot="1">
      <c r="A163" s="701"/>
      <c r="B163" s="702"/>
      <c r="C163" s="99" t="s">
        <v>29</v>
      </c>
      <c r="D163" s="703">
        <v>55</v>
      </c>
      <c r="E163" s="56">
        <v>6.8343999999999996</v>
      </c>
      <c r="F163" s="704"/>
      <c r="G163" s="39">
        <f t="shared" ref="G163" si="22">ROUND(D163*E163,2)</f>
        <v>375.89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1" s="81" customFormat="1" ht="15.75" customHeight="1">
      <c r="A164" s="468"/>
      <c r="B164" s="699" t="s">
        <v>161</v>
      </c>
      <c r="C164" s="48" t="s">
        <v>158</v>
      </c>
      <c r="D164" s="471">
        <v>0</v>
      </c>
      <c r="E164" s="41">
        <f>6.8344-6.0829</f>
        <v>0.75149999999999917</v>
      </c>
      <c r="F164" s="473"/>
      <c r="G164" s="449">
        <f>ROUND(D164*E164,2)</f>
        <v>0</v>
      </c>
      <c r="H164" s="303"/>
      <c r="I164" s="23"/>
      <c r="J164" s="23"/>
      <c r="K164" s="304"/>
      <c r="L164" s="263">
        <f>SUM(G164:G166)</f>
        <v>883.68999999999994</v>
      </c>
      <c r="M164" s="26">
        <v>883.69</v>
      </c>
      <c r="N164" s="421"/>
      <c r="O164" s="77"/>
      <c r="P164" s="77"/>
      <c r="Q164" s="384"/>
      <c r="R164" s="422"/>
      <c r="S164" s="399"/>
      <c r="T164" s="399"/>
    </row>
    <row r="165" spans="1:21" s="81" customFormat="1" ht="15.75" customHeight="1">
      <c r="A165" s="468"/>
      <c r="B165" s="469"/>
      <c r="C165" s="48" t="s">
        <v>39</v>
      </c>
      <c r="D165" s="471">
        <v>0.3</v>
      </c>
      <c r="E165" s="41">
        <v>6.8343999999999996</v>
      </c>
      <c r="F165" s="473"/>
      <c r="G165" s="449">
        <f>ROUND(D165*E165,2)</f>
        <v>2.0499999999999998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1" s="81" customFormat="1" ht="15.75" customHeight="1" thickBot="1">
      <c r="A166" s="701"/>
      <c r="B166" s="702"/>
      <c r="C166" s="99" t="s">
        <v>29</v>
      </c>
      <c r="D166" s="703">
        <v>129</v>
      </c>
      <c r="E166" s="56">
        <v>6.8343999999999996</v>
      </c>
      <c r="F166" s="704"/>
      <c r="G166" s="39">
        <f t="shared" ref="G166" si="23">ROUND(D166*E166,2)</f>
        <v>881.64</v>
      </c>
      <c r="H166" s="280"/>
      <c r="I166" s="281"/>
      <c r="J166" s="281"/>
      <c r="K166" s="282"/>
      <c r="L166" s="204"/>
      <c r="M166" s="371"/>
      <c r="N166" s="426"/>
      <c r="O166" s="416"/>
      <c r="P166" s="416"/>
      <c r="Q166" s="417"/>
      <c r="R166" s="422"/>
      <c r="S166" s="399"/>
      <c r="T166" s="399"/>
    </row>
    <row r="167" spans="1:21" s="81" customFormat="1" ht="15.75" customHeight="1">
      <c r="A167" s="468"/>
      <c r="B167" s="699" t="s">
        <v>162</v>
      </c>
      <c r="C167" s="48" t="s">
        <v>158</v>
      </c>
      <c r="D167" s="471">
        <v>0</v>
      </c>
      <c r="E167" s="41">
        <f>6.8344-6.0829</f>
        <v>0.75149999999999917</v>
      </c>
      <c r="F167" s="473"/>
      <c r="G167" s="449">
        <f>ROUND(D167*E167,2)</f>
        <v>0</v>
      </c>
      <c r="H167" s="303"/>
      <c r="I167" s="23"/>
      <c r="J167" s="23"/>
      <c r="K167" s="304"/>
      <c r="L167" s="263">
        <f>SUM(G167:G169)</f>
        <v>308.23</v>
      </c>
      <c r="M167" s="26">
        <v>308.23</v>
      </c>
      <c r="N167" s="421"/>
      <c r="O167" s="77"/>
      <c r="P167" s="77"/>
      <c r="Q167" s="384"/>
      <c r="R167" s="422"/>
      <c r="S167" s="399"/>
      <c r="T167" s="399"/>
    </row>
    <row r="168" spans="1:21" s="81" customFormat="1" ht="15.75" customHeight="1">
      <c r="A168" s="468"/>
      <c r="B168" s="469"/>
      <c r="C168" s="48" t="s">
        <v>39</v>
      </c>
      <c r="D168" s="471">
        <v>0.1</v>
      </c>
      <c r="E168" s="41">
        <v>6.8343999999999996</v>
      </c>
      <c r="F168" s="473"/>
      <c r="G168" s="449">
        <f>ROUND(D168*E168,2)</f>
        <v>0.68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1" s="81" customFormat="1" ht="15.75" customHeight="1" thickBot="1">
      <c r="A169" s="701"/>
      <c r="B169" s="702"/>
      <c r="C169" s="99" t="s">
        <v>29</v>
      </c>
      <c r="D169" s="703">
        <v>45</v>
      </c>
      <c r="E169" s="56">
        <v>6.8343999999999996</v>
      </c>
      <c r="F169" s="704"/>
      <c r="G169" s="39">
        <f t="shared" ref="G169" si="24">ROUND(D169*E169,2)</f>
        <v>307.55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1" s="81" customFormat="1" ht="15.75" customHeight="1" thickBot="1">
      <c r="A170" s="686"/>
      <c r="B170" s="469"/>
      <c r="C170" s="470"/>
      <c r="D170" s="471"/>
      <c r="E170" s="472"/>
      <c r="F170" s="473"/>
      <c r="G170" s="474"/>
      <c r="H170" s="473"/>
      <c r="I170" s="473"/>
      <c r="J170" s="473"/>
      <c r="K170" s="473"/>
      <c r="L170" s="473"/>
      <c r="M170" s="475"/>
      <c r="N170" s="399"/>
      <c r="O170" s="399"/>
      <c r="P170" s="399"/>
      <c r="Q170" s="399"/>
      <c r="R170" s="422"/>
      <c r="S170" s="399"/>
      <c r="T170" s="399"/>
    </row>
    <row r="171" spans="1:21" s="81" customFormat="1" ht="15" customHeight="1" thickTop="1">
      <c r="A171" s="476"/>
      <c r="B171" s="158"/>
      <c r="C171" s="322"/>
      <c r="D171" s="477"/>
      <c r="E171" s="163"/>
      <c r="F171" s="163"/>
      <c r="G171" s="478"/>
      <c r="H171" s="163"/>
      <c r="I171" s="163"/>
      <c r="J171" s="163"/>
      <c r="K171" s="163"/>
      <c r="L171" s="163"/>
      <c r="M171" s="164"/>
      <c r="N171" s="479"/>
      <c r="O171" s="479"/>
      <c r="P171" s="479"/>
      <c r="Q171" s="479"/>
      <c r="R171" s="480"/>
      <c r="S171" s="479"/>
      <c r="T171" s="399"/>
    </row>
    <row r="172" spans="1:21" ht="21.75" thickBot="1">
      <c r="A172" s="171" t="s">
        <v>84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  <c r="N172" s="2"/>
      <c r="O172" s="2"/>
      <c r="P172" s="2"/>
      <c r="Q172" s="2"/>
      <c r="R172" s="2"/>
      <c r="S172" s="2"/>
      <c r="T172" s="2"/>
    </row>
    <row r="173" spans="1:21" ht="15.75" customHeight="1" thickTop="1" thickBot="1">
      <c r="A173" s="1540" t="s">
        <v>1</v>
      </c>
      <c r="B173" s="1542" t="s">
        <v>2</v>
      </c>
      <c r="C173" s="1544" t="s">
        <v>3</v>
      </c>
      <c r="D173" s="1546" t="s">
        <v>4</v>
      </c>
      <c r="E173" s="1546"/>
      <c r="F173" s="1546"/>
      <c r="G173" s="1546"/>
      <c r="H173" s="1547" t="s">
        <v>5</v>
      </c>
      <c r="I173" s="1548"/>
      <c r="J173" s="1548"/>
      <c r="K173" s="1549"/>
      <c r="L173" s="1524" t="s">
        <v>6</v>
      </c>
      <c r="M173" s="1511" t="s">
        <v>7</v>
      </c>
      <c r="N173" s="1551" t="s">
        <v>8</v>
      </c>
      <c r="O173" s="1551"/>
      <c r="P173" s="1551"/>
      <c r="Q173" s="1552" t="s">
        <v>18</v>
      </c>
      <c r="R173" s="481" t="s">
        <v>85</v>
      </c>
      <c r="S173" s="482" t="s">
        <v>20</v>
      </c>
      <c r="T173" s="482" t="s">
        <v>21</v>
      </c>
    </row>
    <row r="174" spans="1:21" ht="40.5" customHeight="1" thickTop="1" thickBot="1">
      <c r="A174" s="1541"/>
      <c r="B174" s="1543"/>
      <c r="C174" s="1545" t="s">
        <v>10</v>
      </c>
      <c r="D174" s="483" t="s">
        <v>11</v>
      </c>
      <c r="E174" s="484" t="s">
        <v>12</v>
      </c>
      <c r="F174" s="484" t="s">
        <v>13</v>
      </c>
      <c r="G174" s="485" t="s">
        <v>14</v>
      </c>
      <c r="H174" s="483" t="s">
        <v>11</v>
      </c>
      <c r="I174" s="486" t="s">
        <v>15</v>
      </c>
      <c r="J174" s="485"/>
      <c r="K174" s="487" t="s">
        <v>16</v>
      </c>
      <c r="L174" s="1525"/>
      <c r="M174" s="1550"/>
      <c r="N174" s="488" t="s">
        <v>14</v>
      </c>
      <c r="O174" s="485"/>
      <c r="P174" s="489" t="s">
        <v>18</v>
      </c>
      <c r="Q174" s="490" t="s">
        <v>19</v>
      </c>
      <c r="R174" s="491"/>
      <c r="S174" s="492"/>
      <c r="T174" s="492"/>
    </row>
    <row r="175" spans="1:21">
      <c r="A175" s="493">
        <v>501</v>
      </c>
      <c r="B175" s="494" t="s">
        <v>86</v>
      </c>
      <c r="C175" s="71"/>
      <c r="D175" s="495">
        <v>29</v>
      </c>
      <c r="E175" s="21">
        <v>36.214199999999998</v>
      </c>
      <c r="F175" s="21">
        <v>42.4328</v>
      </c>
      <c r="G175" s="185">
        <f>ROUND(D175*(E175+F175),2)</f>
        <v>2280.7600000000002</v>
      </c>
      <c r="H175" s="496"/>
      <c r="I175" s="73">
        <v>0.85</v>
      </c>
      <c r="J175" s="73">
        <f>+H175*I175</f>
        <v>0</v>
      </c>
      <c r="K175" s="497"/>
      <c r="L175" s="498">
        <f>+SUM(G175:G182,C182)</f>
        <v>53438.549999999996</v>
      </c>
      <c r="M175" s="26">
        <v>53438.55</v>
      </c>
      <c r="N175" s="499"/>
      <c r="O175" s="500"/>
      <c r="P175" s="501" t="s">
        <v>87</v>
      </c>
      <c r="Q175" s="304">
        <f t="shared" ref="Q175:Q193" si="25">C175+G175+J175-M175-N175-O175</f>
        <v>-51157.79</v>
      </c>
      <c r="R175" s="502" t="s">
        <v>88</v>
      </c>
      <c r="S175" s="503"/>
      <c r="T175" s="504"/>
      <c r="U175" s="33"/>
    </row>
    <row r="176" spans="1:21" ht="15.75" thickBot="1">
      <c r="A176" s="505"/>
      <c r="B176" s="506"/>
      <c r="C176" s="507"/>
      <c r="D176" s="508"/>
      <c r="E176" s="38">
        <f>32.332-28.8628</f>
        <v>3.4692000000000007</v>
      </c>
      <c r="F176" s="38">
        <f>37.8898-33.8306</f>
        <v>4.0592000000000041</v>
      </c>
      <c r="G176" s="50">
        <f>ROUND(D176*(E176+F176),2)</f>
        <v>0</v>
      </c>
      <c r="H176" s="448"/>
      <c r="I176" s="509"/>
      <c r="J176" s="409"/>
      <c r="K176" s="510"/>
      <c r="L176" s="511"/>
      <c r="M176" s="512"/>
      <c r="N176" s="513"/>
      <c r="O176" s="514"/>
      <c r="P176" s="515"/>
      <c r="Q176" s="262"/>
      <c r="R176" s="502"/>
      <c r="S176" s="503"/>
      <c r="T176" s="504"/>
      <c r="U176" s="33"/>
    </row>
    <row r="177" spans="1:21">
      <c r="A177" s="505"/>
      <c r="B177" s="516" t="s">
        <v>89</v>
      </c>
      <c r="C177" s="512" t="s">
        <v>90</v>
      </c>
      <c r="D177" s="508">
        <v>0</v>
      </c>
      <c r="E177" s="101">
        <v>304.86</v>
      </c>
      <c r="F177" s="21">
        <v>42.4328</v>
      </c>
      <c r="G177" s="50">
        <f>D177*(E177+F177)</f>
        <v>0</v>
      </c>
      <c r="H177" s="270"/>
      <c r="I177" s="41">
        <v>128.56</v>
      </c>
      <c r="J177" s="409">
        <f>+H177*I177</f>
        <v>0</v>
      </c>
      <c r="K177" s="510"/>
      <c r="L177" s="517"/>
      <c r="M177" s="99"/>
      <c r="N177" s="518"/>
      <c r="O177" s="519"/>
      <c r="P177" s="515" t="s">
        <v>87</v>
      </c>
      <c r="Q177" s="271">
        <f>+G177+J177-M177-N177-O177</f>
        <v>0</v>
      </c>
      <c r="R177" s="502" t="s">
        <v>88</v>
      </c>
      <c r="S177" s="503"/>
      <c r="T177" s="504"/>
    </row>
    <row r="178" spans="1:21">
      <c r="A178" s="505"/>
      <c r="B178" s="506" t="s">
        <v>91</v>
      </c>
      <c r="C178" s="507"/>
      <c r="D178" s="508">
        <v>19</v>
      </c>
      <c r="E178" s="41">
        <f>304.86-291.8</f>
        <v>13.060000000000002</v>
      </c>
      <c r="F178" s="38"/>
      <c r="G178" s="50">
        <f>ROUND(D178*(E178+F178),2)</f>
        <v>248.14</v>
      </c>
      <c r="H178" s="432"/>
      <c r="I178" s="362"/>
      <c r="J178" s="409"/>
      <c r="K178" s="510"/>
      <c r="L178" s="517"/>
      <c r="M178" s="520"/>
      <c r="N178" s="521"/>
      <c r="O178" s="522"/>
      <c r="P178" s="523"/>
      <c r="Q178" s="362"/>
      <c r="R178" s="502"/>
      <c r="S178" s="503"/>
      <c r="T178" s="504"/>
    </row>
    <row r="179" spans="1:21">
      <c r="A179" s="505"/>
      <c r="B179" s="506" t="s">
        <v>91</v>
      </c>
      <c r="C179" s="507"/>
      <c r="D179" s="508"/>
      <c r="E179" s="38"/>
      <c r="F179" s="41"/>
      <c r="G179" s="50">
        <f>D179*(E179+F179)</f>
        <v>0</v>
      </c>
      <c r="H179" s="432"/>
      <c r="I179" s="362"/>
      <c r="J179" s="409"/>
      <c r="K179" s="510"/>
      <c r="L179" s="517"/>
      <c r="M179" s="520"/>
      <c r="N179" s="521"/>
      <c r="O179" s="522"/>
      <c r="P179" s="523"/>
      <c r="Q179" s="362"/>
      <c r="R179" s="502"/>
      <c r="S179" s="503"/>
      <c r="T179" s="504"/>
    </row>
    <row r="180" spans="1:21">
      <c r="A180" s="505"/>
      <c r="B180" s="506" t="s">
        <v>92</v>
      </c>
      <c r="C180" s="48" t="s">
        <v>158</v>
      </c>
      <c r="D180" s="508">
        <v>7443</v>
      </c>
      <c r="E180" s="41">
        <f>6.5554-5.8666</f>
        <v>0.68879999999999963</v>
      </c>
      <c r="F180" s="41">
        <f>+E180</f>
        <v>0.68879999999999963</v>
      </c>
      <c r="G180" s="39">
        <f>ROUNDDOWN(D180*E180,2)+0.01</f>
        <v>5126.74</v>
      </c>
      <c r="H180" s="432"/>
      <c r="I180" s="362"/>
      <c r="J180" s="41"/>
      <c r="K180" s="510"/>
      <c r="L180" s="517"/>
      <c r="M180" s="520"/>
      <c r="N180" s="521"/>
      <c r="O180" s="522"/>
      <c r="P180" s="523"/>
      <c r="Q180" s="362"/>
      <c r="R180" s="502"/>
      <c r="S180" s="503"/>
      <c r="T180" s="504"/>
    </row>
    <row r="181" spans="1:21">
      <c r="A181" s="505"/>
      <c r="B181" s="506"/>
      <c r="C181" s="48" t="s">
        <v>39</v>
      </c>
      <c r="D181" s="508">
        <v>296</v>
      </c>
      <c r="E181" s="41">
        <v>6.5553999999999997</v>
      </c>
      <c r="F181" s="41">
        <f>+E181</f>
        <v>6.5553999999999997</v>
      </c>
      <c r="G181" s="39">
        <f>ROUND(D181*E181,2)-0.01</f>
        <v>1940.39</v>
      </c>
      <c r="H181" s="432"/>
      <c r="I181" s="362"/>
      <c r="J181" s="207"/>
      <c r="K181" s="524"/>
      <c r="L181" s="517"/>
      <c r="M181" s="520"/>
      <c r="N181" s="521"/>
      <c r="O181" s="522"/>
      <c r="P181" s="523"/>
      <c r="Q181" s="362"/>
      <c r="R181" s="502"/>
      <c r="S181" s="503"/>
      <c r="T181" s="504"/>
    </row>
    <row r="182" spans="1:21" ht="15.75" thickBot="1">
      <c r="A182" s="525"/>
      <c r="B182" s="526"/>
      <c r="C182" s="99" t="s">
        <v>29</v>
      </c>
      <c r="D182" s="55">
        <v>6688</v>
      </c>
      <c r="E182" s="56">
        <v>6.5553999999999997</v>
      </c>
      <c r="F182" s="57">
        <f>+E182</f>
        <v>6.5553999999999997</v>
      </c>
      <c r="G182" s="58">
        <f>ROUND(D182*E182,2)</f>
        <v>43842.52</v>
      </c>
      <c r="H182" s="248"/>
      <c r="I182" s="203"/>
      <c r="J182" s="60"/>
      <c r="K182" s="61"/>
      <c r="L182" s="249"/>
      <c r="M182" s="54"/>
      <c r="N182" s="527"/>
      <c r="O182" s="528"/>
      <c r="P182" s="529" t="s">
        <v>87</v>
      </c>
      <c r="Q182" s="282">
        <f>+G182+J182-M182-N182-O182</f>
        <v>43842.52</v>
      </c>
      <c r="R182" s="530" t="s">
        <v>88</v>
      </c>
      <c r="S182" s="531">
        <f>SUM(N175:N182)+O175:O182</f>
        <v>0</v>
      </c>
      <c r="T182" s="531">
        <f>SUM(Q175:Q182)</f>
        <v>-7315.2700000000041</v>
      </c>
      <c r="U182" s="33"/>
    </row>
    <row r="183" spans="1:21" ht="15.75" thickTop="1">
      <c r="A183" s="339" t="s">
        <v>93</v>
      </c>
      <c r="B183" s="532" t="s">
        <v>94</v>
      </c>
      <c r="C183" s="71">
        <f>+[1]дек!U51</f>
        <v>-6.0000000303261913E-4</v>
      </c>
      <c r="D183" s="213">
        <v>66</v>
      </c>
      <c r="E183" s="21">
        <v>36.214199999999998</v>
      </c>
      <c r="F183" s="21">
        <v>42.4328</v>
      </c>
      <c r="G183" s="214">
        <f>ROUND(D183*(E183+F183),2)</f>
        <v>5190.7</v>
      </c>
      <c r="H183" s="496"/>
      <c r="I183" s="73">
        <v>0.85</v>
      </c>
      <c r="J183" s="73">
        <f>H183*I183</f>
        <v>0</v>
      </c>
      <c r="K183" s="497"/>
      <c r="L183" s="533">
        <f>+SUM(G183:G190,)+J183+J185</f>
        <v>53672.94</v>
      </c>
      <c r="M183" s="26">
        <v>53672.959999999999</v>
      </c>
      <c r="N183" s="534"/>
      <c r="O183" s="535"/>
      <c r="P183" s="536" t="s">
        <v>87</v>
      </c>
      <c r="Q183" s="537">
        <f t="shared" si="25"/>
        <v>-48482.260600000001</v>
      </c>
      <c r="R183" s="538" t="s">
        <v>95</v>
      </c>
      <c r="S183" s="539"/>
      <c r="T183" s="540"/>
      <c r="U183" s="33"/>
    </row>
    <row r="184" spans="1:21" ht="15.75" thickBot="1">
      <c r="A184" s="353"/>
      <c r="B184" s="541"/>
      <c r="C184" s="542" t="s">
        <v>96</v>
      </c>
      <c r="D184" s="234"/>
      <c r="E184" s="38">
        <f>32.332-28.8628</f>
        <v>3.4692000000000007</v>
      </c>
      <c r="F184" s="38">
        <f>37.8898-33.8306</f>
        <v>4.0592000000000041</v>
      </c>
      <c r="G184" s="235">
        <f>ROUND(D184*(E184+F184),2)</f>
        <v>0</v>
      </c>
      <c r="H184" s="448"/>
      <c r="I184" s="509"/>
      <c r="J184" s="509"/>
      <c r="K184" s="543"/>
      <c r="L184" s="544"/>
      <c r="M184" s="545"/>
      <c r="N184" s="546"/>
      <c r="O184" s="547"/>
      <c r="P184" s="548"/>
      <c r="Q184" s="549"/>
      <c r="R184" s="550"/>
      <c r="S184" s="551"/>
      <c r="T184" s="552"/>
      <c r="U184" s="33"/>
    </row>
    <row r="185" spans="1:21">
      <c r="A185" s="353"/>
      <c r="B185" s="516" t="s">
        <v>32</v>
      </c>
      <c r="C185" s="99" t="s">
        <v>90</v>
      </c>
      <c r="D185" s="234">
        <v>0</v>
      </c>
      <c r="E185" s="101">
        <v>304.86</v>
      </c>
      <c r="F185" s="21">
        <v>42.4328</v>
      </c>
      <c r="G185" s="235">
        <f>ROUND(D185*(E185+F185),2)</f>
        <v>0</v>
      </c>
      <c r="H185" s="270"/>
      <c r="I185" s="41">
        <v>128.56</v>
      </c>
      <c r="J185" s="41">
        <f>ROUND(H185*I185,2)</f>
        <v>0</v>
      </c>
      <c r="K185" s="510"/>
      <c r="L185" s="553"/>
      <c r="M185" s="554"/>
      <c r="N185" s="555"/>
      <c r="O185" s="556"/>
      <c r="P185" s="557" t="s">
        <v>87</v>
      </c>
      <c r="Q185" s="558">
        <f>+G185+J185-M185-N185-O185</f>
        <v>0</v>
      </c>
      <c r="R185" s="550" t="s">
        <v>95</v>
      </c>
      <c r="S185" s="551"/>
      <c r="T185" s="552"/>
    </row>
    <row r="186" spans="1:21">
      <c r="A186" s="353"/>
      <c r="B186" s="541"/>
      <c r="C186" s="84" t="s">
        <v>97</v>
      </c>
      <c r="D186" s="234"/>
      <c r="E186" s="41">
        <f>304.86-291.8</f>
        <v>13.060000000000002</v>
      </c>
      <c r="F186" s="38"/>
      <c r="G186" s="50">
        <f>ROUND(D186*E186,2)</f>
        <v>0</v>
      </c>
      <c r="H186" s="432"/>
      <c r="I186" s="362"/>
      <c r="J186" s="41"/>
      <c r="K186" s="510"/>
      <c r="L186" s="559"/>
      <c r="M186" s="560"/>
      <c r="N186" s="561"/>
      <c r="O186" s="562"/>
      <c r="P186" s="563"/>
      <c r="Q186" s="564"/>
      <c r="R186" s="550"/>
      <c r="S186" s="551"/>
      <c r="T186" s="552"/>
    </row>
    <row r="187" spans="1:21">
      <c r="A187" s="353"/>
      <c r="B187" s="541"/>
      <c r="C187" s="84" t="s">
        <v>97</v>
      </c>
      <c r="D187" s="234"/>
      <c r="E187" s="38"/>
      <c r="F187" s="240"/>
      <c r="G187" s="50">
        <f>D187*(E187+F187)</f>
        <v>0</v>
      </c>
      <c r="H187" s="432"/>
      <c r="I187" s="362"/>
      <c r="J187" s="41"/>
      <c r="K187" s="510"/>
      <c r="L187" s="559"/>
      <c r="M187" s="560"/>
      <c r="N187" s="561"/>
      <c r="O187" s="562"/>
      <c r="P187" s="563"/>
      <c r="Q187" s="564"/>
      <c r="R187" s="550"/>
      <c r="S187" s="551"/>
      <c r="T187" s="552"/>
    </row>
    <row r="188" spans="1:21">
      <c r="A188" s="353"/>
      <c r="B188" s="541"/>
      <c r="C188" s="48" t="s">
        <v>158</v>
      </c>
      <c r="D188" s="37">
        <v>7031</v>
      </c>
      <c r="E188" s="41">
        <f>6.5554-5.8666</f>
        <v>0.68879999999999963</v>
      </c>
      <c r="F188" s="41">
        <f>+E188</f>
        <v>0.68879999999999963</v>
      </c>
      <c r="G188" s="235">
        <f>ROUND(D188*E188,2)-0.01</f>
        <v>4842.9399999999996</v>
      </c>
      <c r="H188" s="565"/>
      <c r="I188" s="564"/>
      <c r="J188" s="566"/>
      <c r="K188" s="567"/>
      <c r="L188" s="559"/>
      <c r="M188" s="560"/>
      <c r="N188" s="561"/>
      <c r="O188" s="562"/>
      <c r="P188" s="563"/>
      <c r="Q188" s="564"/>
      <c r="R188" s="550"/>
      <c r="S188" s="551"/>
      <c r="T188" s="552"/>
      <c r="U188" s="352"/>
    </row>
    <row r="189" spans="1:21">
      <c r="A189" s="353"/>
      <c r="B189" s="541"/>
      <c r="C189" s="48" t="s">
        <v>39</v>
      </c>
      <c r="D189" s="37">
        <v>282</v>
      </c>
      <c r="E189" s="41">
        <v>6.5553999999999997</v>
      </c>
      <c r="F189" s="41">
        <f>+E189</f>
        <v>6.5553999999999997</v>
      </c>
      <c r="G189" s="235">
        <f>ROUND(D189*E189,2)</f>
        <v>1848.62</v>
      </c>
      <c r="H189" s="565"/>
      <c r="I189" s="564"/>
      <c r="J189" s="566"/>
      <c r="K189" s="567"/>
      <c r="L189" s="559"/>
      <c r="M189" s="560"/>
      <c r="N189" s="561"/>
      <c r="O189" s="562"/>
      <c r="P189" s="563"/>
      <c r="Q189" s="564"/>
      <c r="R189" s="550"/>
      <c r="S189" s="551"/>
      <c r="T189" s="552"/>
      <c r="U189" s="33"/>
    </row>
    <row r="190" spans="1:21" ht="15.75" thickBot="1">
      <c r="A190" s="369"/>
      <c r="B190" s="568"/>
      <c r="C190" s="99" t="s">
        <v>29</v>
      </c>
      <c r="D190" s="246">
        <v>6375</v>
      </c>
      <c r="E190" s="56">
        <v>6.5553999999999997</v>
      </c>
      <c r="F190" s="57">
        <f>+E190</f>
        <v>6.5553999999999997</v>
      </c>
      <c r="G190" s="247">
        <f>ROUND(D190*E190,2)</f>
        <v>41790.68</v>
      </c>
      <c r="H190" s="248"/>
      <c r="I190" s="203"/>
      <c r="J190" s="60"/>
      <c r="K190" s="61"/>
      <c r="L190" s="204"/>
      <c r="M190" s="560"/>
      <c r="N190" s="561"/>
      <c r="O190" s="528"/>
      <c r="P190" s="529" t="s">
        <v>87</v>
      </c>
      <c r="Q190" s="564">
        <f>+G190+J190-M190-N190-O190</f>
        <v>41790.68</v>
      </c>
      <c r="R190" s="550" t="s">
        <v>95</v>
      </c>
      <c r="S190" s="569">
        <f>SUM(N183:N190)+O183:O190</f>
        <v>0</v>
      </c>
      <c r="T190" s="570">
        <f>SUM(Q185:Q190)</f>
        <v>41790.68</v>
      </c>
    </row>
    <row r="191" spans="1:21" ht="15.75" hidden="1" outlineLevel="1" thickBot="1">
      <c r="A191" s="571"/>
      <c r="B191" s="572" t="s">
        <v>98</v>
      </c>
      <c r="C191" s="573" t="s">
        <v>99</v>
      </c>
      <c r="D191" s="574"/>
      <c r="E191" s="575">
        <f>3.193-2.9732</f>
        <v>0.21980000000000022</v>
      </c>
      <c r="F191" s="575">
        <f>3.193-2.9732</f>
        <v>0.21980000000000022</v>
      </c>
      <c r="G191" s="576">
        <f>D191*E191*70%+D191*F191*30%</f>
        <v>0</v>
      </c>
      <c r="H191" s="577"/>
      <c r="I191" s="578"/>
      <c r="J191" s="579"/>
      <c r="K191" s="579"/>
      <c r="L191" s="580"/>
      <c r="M191" s="581"/>
      <c r="N191" s="582"/>
      <c r="O191" s="535"/>
      <c r="P191" s="536"/>
      <c r="Q191" s="583"/>
      <c r="R191" s="584"/>
      <c r="S191" s="569"/>
      <c r="T191" s="585"/>
    </row>
    <row r="192" spans="1:21" s="81" customFormat="1" ht="16.5" hidden="1" customHeight="1" outlineLevel="1" thickBot="1">
      <c r="A192" s="586" t="s">
        <v>100</v>
      </c>
      <c r="B192" s="587" t="s">
        <v>98</v>
      </c>
      <c r="C192" s="588">
        <f>+[1]авг!C52</f>
        <v>0</v>
      </c>
      <c r="D192" s="589"/>
      <c r="E192" s="575">
        <v>3.1930000000000001</v>
      </c>
      <c r="F192" s="575">
        <f>+E192</f>
        <v>3.1930000000000001</v>
      </c>
      <c r="G192" s="576">
        <f>D192*E192*70%+D192*F192*30%</f>
        <v>0</v>
      </c>
      <c r="H192" s="579"/>
      <c r="I192" s="579"/>
      <c r="J192" s="579"/>
      <c r="K192" s="579"/>
      <c r="L192" s="579">
        <f>+C192+G192+G191</f>
        <v>0</v>
      </c>
      <c r="M192" s="590">
        <v>0</v>
      </c>
      <c r="N192" s="500"/>
      <c r="O192" s="528"/>
      <c r="P192" s="529" t="s">
        <v>87</v>
      </c>
      <c r="Q192" s="591">
        <f t="shared" si="25"/>
        <v>0</v>
      </c>
      <c r="R192" s="592" t="s">
        <v>101</v>
      </c>
      <c r="S192" s="77">
        <f>SUM(N192:N192)+SUM(O192:O192)</f>
        <v>0</v>
      </c>
      <c r="T192" s="593">
        <f>SUM(Q192:Q192)</f>
        <v>0</v>
      </c>
    </row>
    <row r="193" spans="1:21" ht="15.75" collapsed="1" thickTop="1">
      <c r="A193" s="505">
        <v>115</v>
      </c>
      <c r="B193" s="494" t="s">
        <v>102</v>
      </c>
      <c r="C193" s="71">
        <f>+[1]дек!U57</f>
        <v>0</v>
      </c>
      <c r="D193" s="495">
        <v>36</v>
      </c>
      <c r="E193" s="21">
        <v>36.214199999999998</v>
      </c>
      <c r="F193" s="21">
        <v>42.4328</v>
      </c>
      <c r="G193" s="185">
        <f>ROUND(D193*(E193+F193),2)</f>
        <v>2831.29</v>
      </c>
      <c r="H193" s="496"/>
      <c r="I193" s="73">
        <v>0.85</v>
      </c>
      <c r="J193" s="73">
        <f>+H193*I193</f>
        <v>0</v>
      </c>
      <c r="K193" s="497"/>
      <c r="L193" s="498">
        <f>SUM(G193:G199)+SUM(J193:J198)</f>
        <v>22005.61</v>
      </c>
      <c r="M193" s="26">
        <v>22005.61</v>
      </c>
      <c r="N193" s="594"/>
      <c r="O193" s="535"/>
      <c r="P193" s="536" t="s">
        <v>87</v>
      </c>
      <c r="Q193" s="595">
        <f t="shared" si="25"/>
        <v>-19174.32</v>
      </c>
      <c r="R193" s="502" t="s">
        <v>88</v>
      </c>
      <c r="S193" s="503"/>
      <c r="T193" s="504"/>
      <c r="U193" s="33">
        <f>+M193-L193</f>
        <v>0</v>
      </c>
    </row>
    <row r="194" spans="1:21" ht="15.75" thickBot="1">
      <c r="A194" s="505"/>
      <c r="B194" s="506"/>
      <c r="C194" s="542"/>
      <c r="D194" s="508"/>
      <c r="E194" s="38">
        <f>32.332-28.8628</f>
        <v>3.4692000000000007</v>
      </c>
      <c r="F194" s="38">
        <f>37.8898-33.8306</f>
        <v>4.0592000000000041</v>
      </c>
      <c r="G194" s="50">
        <f>ROUND(D194*(E194+F194),2)</f>
        <v>0</v>
      </c>
      <c r="H194" s="596"/>
      <c r="I194" s="409"/>
      <c r="J194" s="509"/>
      <c r="K194" s="543"/>
      <c r="L194" s="511"/>
      <c r="M194" s="99"/>
      <c r="N194" s="513"/>
      <c r="O194" s="514"/>
      <c r="P194" s="515"/>
      <c r="Q194" s="262"/>
      <c r="R194" s="502"/>
      <c r="S194" s="503"/>
      <c r="T194" s="504"/>
    </row>
    <row r="195" spans="1:21">
      <c r="A195" s="505"/>
      <c r="B195" s="516" t="s">
        <v>103</v>
      </c>
      <c r="C195" s="99" t="s">
        <v>90</v>
      </c>
      <c r="D195" s="508">
        <v>0</v>
      </c>
      <c r="E195" s="101">
        <v>304.86</v>
      </c>
      <c r="F195" s="21">
        <v>42.4328</v>
      </c>
      <c r="G195" s="50">
        <f>ROUND(D195*(E195+F195),2)</f>
        <v>0</v>
      </c>
      <c r="H195" s="270"/>
      <c r="I195" s="41">
        <v>128.56</v>
      </c>
      <c r="J195" s="409">
        <f>+H195*I195</f>
        <v>0</v>
      </c>
      <c r="K195" s="510"/>
      <c r="L195" s="597"/>
      <c r="M195" s="99"/>
      <c r="N195" s="518"/>
      <c r="O195" s="519"/>
      <c r="P195" s="515" t="s">
        <v>87</v>
      </c>
      <c r="Q195" s="271">
        <f>+G195+J195-M195-N195-O195</f>
        <v>0</v>
      </c>
      <c r="R195" s="502" t="s">
        <v>88</v>
      </c>
      <c r="S195" s="503"/>
      <c r="T195" s="504"/>
    </row>
    <row r="196" spans="1:21">
      <c r="A196" s="505"/>
      <c r="B196" s="506"/>
      <c r="C196" s="390" t="s">
        <v>97</v>
      </c>
      <c r="D196" s="508">
        <v>10</v>
      </c>
      <c r="E196" s="41">
        <f>304.86-291.8</f>
        <v>13.060000000000002</v>
      </c>
      <c r="F196" s="38"/>
      <c r="G196" s="50">
        <f>D196*(E196+F196)</f>
        <v>130.60000000000002</v>
      </c>
      <c r="H196" s="432"/>
      <c r="I196" s="362"/>
      <c r="J196" s="41"/>
      <c r="K196" s="510"/>
      <c r="L196" s="597"/>
      <c r="M196" s="99"/>
      <c r="N196" s="521"/>
      <c r="O196" s="522"/>
      <c r="P196" s="523"/>
      <c r="Q196" s="362"/>
      <c r="R196" s="502"/>
      <c r="S196" s="503"/>
      <c r="T196" s="504"/>
    </row>
    <row r="197" spans="1:21">
      <c r="A197" s="505"/>
      <c r="B197" s="506"/>
      <c r="C197" s="48" t="s">
        <v>158</v>
      </c>
      <c r="D197" s="37">
        <v>2827</v>
      </c>
      <c r="E197" s="41">
        <f>6.5554-5.8666</f>
        <v>0.68879999999999963</v>
      </c>
      <c r="F197" s="297">
        <f t="shared" ref="F197:F199" si="26">+E197</f>
        <v>0.68879999999999963</v>
      </c>
      <c r="G197" s="39">
        <f>ROUND(D197*(E197+F197)/2,2)</f>
        <v>1947.24</v>
      </c>
      <c r="H197" s="432"/>
      <c r="I197" s="362"/>
      <c r="J197" s="41"/>
      <c r="K197" s="510"/>
      <c r="L197" s="597"/>
      <c r="M197" s="99"/>
      <c r="N197" s="521"/>
      <c r="O197" s="522"/>
      <c r="P197" s="523"/>
      <c r="Q197" s="362"/>
      <c r="R197" s="502"/>
      <c r="S197" s="503"/>
      <c r="T197" s="504"/>
    </row>
    <row r="198" spans="1:21">
      <c r="A198" s="505"/>
      <c r="B198" s="506"/>
      <c r="C198" s="48" t="s">
        <v>39</v>
      </c>
      <c r="D198" s="37">
        <v>111</v>
      </c>
      <c r="E198" s="41">
        <v>6.5553999999999997</v>
      </c>
      <c r="F198" s="298">
        <f t="shared" si="26"/>
        <v>6.5553999999999997</v>
      </c>
      <c r="G198" s="39">
        <f>ROUND(D198*E198,2)</f>
        <v>727.65</v>
      </c>
      <c r="H198" s="432"/>
      <c r="I198" s="362"/>
      <c r="J198" s="41"/>
      <c r="K198" s="510"/>
      <c r="L198" s="597"/>
      <c r="M198" s="99"/>
      <c r="N198" s="521"/>
      <c r="O198" s="522"/>
      <c r="P198" s="523"/>
      <c r="Q198" s="362"/>
      <c r="R198" s="502"/>
      <c r="S198" s="503"/>
      <c r="T198" s="504"/>
    </row>
    <row r="199" spans="1:21" ht="15.75" thickBot="1">
      <c r="A199" s="505"/>
      <c r="B199" s="526"/>
      <c r="C199" s="99" t="s">
        <v>29</v>
      </c>
      <c r="D199" s="55">
        <v>2497</v>
      </c>
      <c r="E199" s="56">
        <v>6.5553999999999997</v>
      </c>
      <c r="F199" s="57">
        <f t="shared" si="26"/>
        <v>6.5553999999999997</v>
      </c>
      <c r="G199" s="414">
        <f>ROUND(D199*E199,2)</f>
        <v>16368.83</v>
      </c>
      <c r="H199" s="248"/>
      <c r="I199" s="203"/>
      <c r="J199" s="60"/>
      <c r="K199" s="61"/>
      <c r="L199" s="249"/>
      <c r="M199" s="54"/>
      <c r="N199" s="527"/>
      <c r="O199" s="528"/>
      <c r="P199" s="529" t="s">
        <v>87</v>
      </c>
      <c r="Q199" s="58">
        <f>+G199+J199-M199-N199-O199</f>
        <v>16368.83</v>
      </c>
      <c r="R199" s="502" t="s">
        <v>88</v>
      </c>
      <c r="S199" s="598">
        <f>SUM(N193:N199)+O193:O199</f>
        <v>0</v>
      </c>
      <c r="T199" s="598">
        <f>SUM(Q193:Q199)</f>
        <v>-2805.49</v>
      </c>
    </row>
    <row r="200" spans="1:21">
      <c r="A200" s="645"/>
      <c r="B200" s="494" t="s">
        <v>104</v>
      </c>
      <c r="C200" s="71">
        <f>+[1]дек!U66</f>
        <v>0</v>
      </c>
      <c r="D200" s="495">
        <v>31</v>
      </c>
      <c r="E200" s="21">
        <v>36.214199999999998</v>
      </c>
      <c r="F200" s="21">
        <v>42.4328</v>
      </c>
      <c r="G200" s="185">
        <f>ROUND(D200*(E200+F200),2)</f>
        <v>2438.06</v>
      </c>
      <c r="H200" s="496"/>
      <c r="I200" s="73">
        <v>0.85</v>
      </c>
      <c r="J200" s="73">
        <f>+H200*I200</f>
        <v>0</v>
      </c>
      <c r="K200" s="497"/>
      <c r="L200" s="439">
        <f>SUM(G200:G207)+SUM(J200:J206)</f>
        <v>18945.79</v>
      </c>
      <c r="M200" s="26">
        <v>18945.79</v>
      </c>
      <c r="N200" s="499"/>
      <c r="O200" s="500"/>
      <c r="P200" s="501" t="s">
        <v>87</v>
      </c>
      <c r="Q200" s="185">
        <f t="shared" ref="Q200" si="27">C200+G200+J200-M200-N200-O200</f>
        <v>-16507.73</v>
      </c>
      <c r="R200" s="502" t="s">
        <v>88</v>
      </c>
      <c r="S200" s="503"/>
      <c r="T200" s="504"/>
    </row>
    <row r="201" spans="1:21" ht="15.75" thickBot="1">
      <c r="A201" s="645"/>
      <c r="B201" s="506"/>
      <c r="C201" s="599" t="s">
        <v>96</v>
      </c>
      <c r="D201" s="234"/>
      <c r="E201" s="38">
        <f>32.332-28.8628</f>
        <v>3.4692000000000007</v>
      </c>
      <c r="F201" s="38">
        <f>37.8898-33.8306</f>
        <v>4.0592000000000041</v>
      </c>
      <c r="G201" s="235">
        <f>ROUND(D201*(E201+F201),2)</f>
        <v>0</v>
      </c>
      <c r="H201" s="448"/>
      <c r="I201" s="509"/>
      <c r="J201" s="409"/>
      <c r="K201" s="510"/>
      <c r="L201" s="48"/>
      <c r="M201" s="512"/>
      <c r="N201" s="513"/>
      <c r="O201" s="514"/>
      <c r="P201" s="515"/>
      <c r="Q201" s="262"/>
      <c r="R201" s="502"/>
      <c r="S201" s="503"/>
      <c r="T201" s="504"/>
    </row>
    <row r="202" spans="1:21">
      <c r="A202" s="645"/>
      <c r="B202" s="516" t="s">
        <v>89</v>
      </c>
      <c r="C202" s="512" t="s">
        <v>90</v>
      </c>
      <c r="D202" s="508">
        <v>0</v>
      </c>
      <c r="E202" s="101">
        <v>304.86</v>
      </c>
      <c r="F202" s="21">
        <v>42.4328</v>
      </c>
      <c r="G202" s="50">
        <f>ROUND(D202*(E202+F202),2)</f>
        <v>0</v>
      </c>
      <c r="H202" s="270"/>
      <c r="I202" s="41">
        <v>128.56</v>
      </c>
      <c r="J202" s="409">
        <f>ROUND(H202*I202,2)</f>
        <v>0</v>
      </c>
      <c r="K202" s="510"/>
      <c r="L202" s="600"/>
      <c r="M202" s="99"/>
      <c r="N202" s="518"/>
      <c r="O202" s="519"/>
      <c r="P202" s="515" t="s">
        <v>87</v>
      </c>
      <c r="Q202" s="271">
        <f>+G202+J202-M202-N202-O202</f>
        <v>0</v>
      </c>
      <c r="R202" s="502" t="s">
        <v>88</v>
      </c>
      <c r="S202" s="503"/>
      <c r="T202" s="504"/>
    </row>
    <row r="203" spans="1:21">
      <c r="A203" s="645"/>
      <c r="B203" s="541"/>
      <c r="C203" s="84" t="s">
        <v>97</v>
      </c>
      <c r="D203" s="508"/>
      <c r="E203" s="41">
        <f>304.86-291.8</f>
        <v>13.060000000000002</v>
      </c>
      <c r="F203" s="38"/>
      <c r="G203" s="50">
        <f>ROUND(D203*(E203+F203),2)</f>
        <v>0</v>
      </c>
      <c r="H203" s="432"/>
      <c r="I203" s="362"/>
      <c r="J203" s="41"/>
      <c r="K203" s="510"/>
      <c r="L203" s="600"/>
      <c r="M203" s="520"/>
      <c r="N203" s="521"/>
      <c r="O203" s="522"/>
      <c r="P203" s="523"/>
      <c r="Q203" s="362"/>
      <c r="R203" s="502"/>
      <c r="S203" s="503"/>
      <c r="T203" s="504"/>
    </row>
    <row r="204" spans="1:21">
      <c r="A204" s="645"/>
      <c r="B204" s="541"/>
      <c r="C204" s="84" t="s">
        <v>97</v>
      </c>
      <c r="D204" s="508"/>
      <c r="E204" s="41"/>
      <c r="F204" s="41"/>
      <c r="G204" s="50">
        <f>D204*(E204+F204)</f>
        <v>0</v>
      </c>
      <c r="H204" s="432"/>
      <c r="I204" s="362"/>
      <c r="J204" s="41"/>
      <c r="K204" s="510"/>
      <c r="L204" s="600"/>
      <c r="M204" s="520"/>
      <c r="N204" s="521"/>
      <c r="O204" s="522"/>
      <c r="P204" s="523"/>
      <c r="Q204" s="362"/>
      <c r="R204" s="502"/>
      <c r="S204" s="503"/>
      <c r="T204" s="504"/>
    </row>
    <row r="205" spans="1:21">
      <c r="A205" s="645"/>
      <c r="B205" s="506"/>
      <c r="C205" s="48" t="s">
        <v>158</v>
      </c>
      <c r="D205" s="37">
        <v>2343</v>
      </c>
      <c r="E205" s="41">
        <f>6.5554-5.8666</f>
        <v>0.68879999999999963</v>
      </c>
      <c r="F205" s="297">
        <f t="shared" ref="F205:F207" si="28">+E205</f>
        <v>0.68879999999999963</v>
      </c>
      <c r="G205" s="39">
        <f>ROUND(D205*(E205),2)</f>
        <v>1613.86</v>
      </c>
      <c r="H205" s="432"/>
      <c r="I205" s="362"/>
      <c r="J205" s="41"/>
      <c r="K205" s="510"/>
      <c r="L205" s="600"/>
      <c r="M205" s="520"/>
      <c r="N205" s="521"/>
      <c r="O205" s="522"/>
      <c r="P205" s="523"/>
      <c r="Q205" s="362"/>
      <c r="R205" s="502"/>
      <c r="S205" s="503"/>
      <c r="T205" s="504"/>
    </row>
    <row r="206" spans="1:21">
      <c r="A206" s="645"/>
      <c r="B206" s="506"/>
      <c r="C206" s="48" t="s">
        <v>39</v>
      </c>
      <c r="D206" s="37">
        <v>96</v>
      </c>
      <c r="E206" s="41">
        <v>6.5553999999999997</v>
      </c>
      <c r="F206" s="298">
        <f t="shared" si="28"/>
        <v>6.5553999999999997</v>
      </c>
      <c r="G206" s="39">
        <f>ROUND(D206*(E206),2)</f>
        <v>629.32000000000005</v>
      </c>
      <c r="H206" s="432"/>
      <c r="I206" s="362"/>
      <c r="J206" s="41"/>
      <c r="K206" s="510"/>
      <c r="L206" s="600"/>
      <c r="M206" s="520"/>
      <c r="N206" s="521"/>
      <c r="O206" s="522"/>
      <c r="P206" s="523"/>
      <c r="Q206" s="362"/>
      <c r="R206" s="502"/>
      <c r="S206" s="503"/>
      <c r="T206" s="504"/>
      <c r="U206" s="33"/>
    </row>
    <row r="207" spans="1:21" ht="15.75" thickBot="1">
      <c r="A207" s="645"/>
      <c r="B207" s="526"/>
      <c r="C207" s="99" t="s">
        <v>29</v>
      </c>
      <c r="D207" s="55">
        <v>2176</v>
      </c>
      <c r="E207" s="56">
        <v>6.5553999999999997</v>
      </c>
      <c r="F207" s="57">
        <f t="shared" si="28"/>
        <v>6.5553999999999997</v>
      </c>
      <c r="G207" s="414">
        <f>ROUND(D207*(E207),2)</f>
        <v>14264.55</v>
      </c>
      <c r="H207" s="248"/>
      <c r="I207" s="203"/>
      <c r="J207" s="60"/>
      <c r="K207" s="61"/>
      <c r="L207" s="204"/>
      <c r="M207" s="54"/>
      <c r="N207" s="527"/>
      <c r="O207" s="528"/>
      <c r="P207" s="529" t="s">
        <v>87</v>
      </c>
      <c r="Q207" s="362">
        <f>+G207+J207-M207-N207-O207</f>
        <v>14264.55</v>
      </c>
      <c r="R207" s="502" t="s">
        <v>88</v>
      </c>
      <c r="S207" s="598">
        <f>SUM(N200:N207)+O200:O207</f>
        <v>0</v>
      </c>
      <c r="T207" s="598">
        <f>SUM(Q200:Q207)</f>
        <v>-2243.1800000000003</v>
      </c>
    </row>
    <row r="208" spans="1:21" ht="15.75" thickTop="1">
      <c r="A208" s="493">
        <v>115</v>
      </c>
      <c r="B208" s="494" t="s">
        <v>105</v>
      </c>
      <c r="C208" s="71">
        <f>+[1]дек!U72</f>
        <v>0</v>
      </c>
      <c r="D208" s="495">
        <v>13</v>
      </c>
      <c r="E208" s="21">
        <v>36.214199999999998</v>
      </c>
      <c r="F208" s="21">
        <v>42.4328</v>
      </c>
      <c r="G208" s="185">
        <f>ROUND(D208*(E208+F208),2)</f>
        <v>1022.41</v>
      </c>
      <c r="H208" s="496"/>
      <c r="I208" s="73">
        <v>0.85</v>
      </c>
      <c r="J208" s="73">
        <f>+H208*I208</f>
        <v>0</v>
      </c>
      <c r="K208" s="601"/>
      <c r="L208" s="498">
        <f>SUM(G208:G215)+SUM(J208:J214)</f>
        <v>25805.550000000003</v>
      </c>
      <c r="M208" s="26">
        <v>25805.55</v>
      </c>
      <c r="N208" s="499"/>
      <c r="O208" s="500"/>
      <c r="P208" s="501" t="s">
        <v>87</v>
      </c>
      <c r="Q208" s="595">
        <f t="shared" ref="Q208" si="29">C208+G208+J208-M208-N208-O208</f>
        <v>-24783.14</v>
      </c>
    </row>
    <row r="209" spans="1:21" ht="15.75" thickBot="1">
      <c r="A209" s="505"/>
      <c r="B209" s="506"/>
      <c r="C209" s="507" t="s">
        <v>96</v>
      </c>
      <c r="D209" s="234"/>
      <c r="E209" s="38">
        <f>32.332-28.8628</f>
        <v>3.4692000000000007</v>
      </c>
      <c r="F209" s="38">
        <f>37.8898-33.8306</f>
        <v>4.0592000000000041</v>
      </c>
      <c r="G209" s="235">
        <f>ROUND(D209*(E209+F209),2)</f>
        <v>0</v>
      </c>
      <c r="H209" s="448"/>
      <c r="I209" s="509"/>
      <c r="J209" s="199"/>
      <c r="K209" s="517"/>
      <c r="L209" s="511"/>
      <c r="M209" s="512"/>
      <c r="N209" s="513"/>
      <c r="O209" s="514"/>
      <c r="P209" s="515"/>
      <c r="Q209" s="262"/>
      <c r="U209" s="33"/>
    </row>
    <row r="210" spans="1:21">
      <c r="A210" s="505"/>
      <c r="B210" s="516" t="s">
        <v>89</v>
      </c>
      <c r="C210" s="512" t="s">
        <v>90</v>
      </c>
      <c r="D210" s="508"/>
      <c r="E210" s="101">
        <v>304.86</v>
      </c>
      <c r="F210" s="21">
        <v>42.4328</v>
      </c>
      <c r="G210" s="50">
        <f>ROUND(D210*(E210+F210),2)</f>
        <v>0</v>
      </c>
      <c r="H210" s="270"/>
      <c r="I210" s="41">
        <v>128.56</v>
      </c>
      <c r="J210" s="207">
        <f>+H210*I210</f>
        <v>0</v>
      </c>
      <c r="K210" s="517"/>
      <c r="L210" s="517"/>
      <c r="M210" s="99"/>
      <c r="N210" s="518"/>
      <c r="O210" s="519"/>
      <c r="P210" s="515" t="s">
        <v>87</v>
      </c>
      <c r="Q210" s="271">
        <f>+G210+J210-M210-N210-O210</f>
        <v>0</v>
      </c>
    </row>
    <row r="211" spans="1:21">
      <c r="A211" s="505"/>
      <c r="B211" s="541"/>
      <c r="C211" s="84" t="s">
        <v>97</v>
      </c>
      <c r="D211" s="508">
        <v>1</v>
      </c>
      <c r="E211" s="41">
        <f>304.86-291.8</f>
        <v>13.060000000000002</v>
      </c>
      <c r="F211" s="38"/>
      <c r="G211" s="50">
        <f>ROUND(D211*(E211+F211),2)</f>
        <v>13.06</v>
      </c>
      <c r="H211" s="432"/>
      <c r="I211" s="362"/>
      <c r="J211" s="207"/>
      <c r="K211" s="517"/>
      <c r="L211" s="517"/>
      <c r="M211" s="520"/>
      <c r="N211" s="521"/>
      <c r="O211" s="522"/>
      <c r="P211" s="523"/>
      <c r="Q211" s="362"/>
    </row>
    <row r="212" spans="1:21">
      <c r="A212" s="505"/>
      <c r="B212" s="541"/>
      <c r="C212" s="84"/>
      <c r="D212" s="508"/>
      <c r="E212" s="41"/>
      <c r="F212" s="41"/>
      <c r="G212" s="50"/>
      <c r="H212" s="432"/>
      <c r="I212" s="362"/>
      <c r="J212" s="207"/>
      <c r="K212" s="517"/>
      <c r="L212" s="517"/>
      <c r="M212" s="520"/>
      <c r="N212" s="521"/>
      <c r="O212" s="522"/>
      <c r="P212" s="523"/>
      <c r="Q212" s="362"/>
    </row>
    <row r="213" spans="1:21">
      <c r="A213" s="505"/>
      <c r="B213" s="506"/>
      <c r="C213" s="48" t="s">
        <v>158</v>
      </c>
      <c r="D213" s="37">
        <v>3622</v>
      </c>
      <c r="E213" s="41">
        <f>6.5554-5.8666</f>
        <v>0.68879999999999963</v>
      </c>
      <c r="F213" s="41">
        <f t="shared" ref="F213:F218" si="30">+E213</f>
        <v>0.68879999999999963</v>
      </c>
      <c r="G213" s="39">
        <f>ROUND(D213*E213,2)</f>
        <v>2494.83</v>
      </c>
      <c r="H213" s="432"/>
      <c r="I213" s="362"/>
      <c r="J213" s="207"/>
      <c r="K213" s="517"/>
      <c r="L213" s="517"/>
      <c r="M213" s="520"/>
      <c r="N213" s="521"/>
      <c r="O213" s="522"/>
      <c r="P213" s="523"/>
      <c r="Q213" s="362"/>
    </row>
    <row r="214" spans="1:21">
      <c r="A214" s="505"/>
      <c r="B214" s="506"/>
      <c r="C214" s="48" t="s">
        <v>39</v>
      </c>
      <c r="D214" s="37">
        <v>144</v>
      </c>
      <c r="E214" s="41">
        <v>6.5553999999999997</v>
      </c>
      <c r="F214" s="41">
        <f t="shared" si="30"/>
        <v>6.5553999999999997</v>
      </c>
      <c r="G214" s="39">
        <f>ROUND(D214*E214,2)</f>
        <v>943.98</v>
      </c>
      <c r="H214" s="432"/>
      <c r="I214" s="362"/>
      <c r="J214" s="207"/>
      <c r="K214" s="517"/>
      <c r="L214" s="517"/>
      <c r="M214" s="520"/>
      <c r="N214" s="521"/>
      <c r="O214" s="522"/>
      <c r="P214" s="523"/>
      <c r="Q214" s="362"/>
      <c r="U214" s="33"/>
    </row>
    <row r="215" spans="1:21" ht="15.75" thickBot="1">
      <c r="A215" s="525"/>
      <c r="B215" s="526"/>
      <c r="C215" s="99" t="s">
        <v>29</v>
      </c>
      <c r="D215" s="55">
        <v>3254</v>
      </c>
      <c r="E215" s="56">
        <v>6.5553999999999997</v>
      </c>
      <c r="F215" s="281">
        <f t="shared" si="30"/>
        <v>6.5553999999999997</v>
      </c>
      <c r="G215" s="58">
        <f>ROUND(D215*E215,2)</f>
        <v>21331.27</v>
      </c>
      <c r="H215" s="248"/>
      <c r="I215" s="203"/>
      <c r="J215" s="60"/>
      <c r="K215" s="61"/>
      <c r="L215" s="249"/>
      <c r="M215" s="54"/>
      <c r="N215" s="521"/>
      <c r="O215" s="528"/>
      <c r="P215" s="529" t="s">
        <v>87</v>
      </c>
      <c r="Q215" s="362">
        <f>+G215+J215-M215-N215-O215</f>
        <v>21331.27</v>
      </c>
    </row>
    <row r="216" spans="1:21">
      <c r="A216" s="493">
        <v>301</v>
      </c>
      <c r="B216" s="602" t="s">
        <v>106</v>
      </c>
      <c r="C216" s="48" t="s">
        <v>158</v>
      </c>
      <c r="D216" s="184">
        <v>918.98</v>
      </c>
      <c r="E216" s="41">
        <f>6.5554-5.8666</f>
        <v>0.68879999999999963</v>
      </c>
      <c r="F216" s="23">
        <f t="shared" si="30"/>
        <v>0.68879999999999963</v>
      </c>
      <c r="G216" s="185">
        <f>ROUND(D216*(E216),2)</f>
        <v>632.99</v>
      </c>
      <c r="H216" s="23"/>
      <c r="I216" s="23"/>
      <c r="J216" s="23"/>
      <c r="K216" s="23"/>
      <c r="L216" s="603">
        <f>SUM(G216:G218)</f>
        <v>6684.67</v>
      </c>
      <c r="M216" s="187">
        <v>6684.67</v>
      </c>
      <c r="N216" s="604"/>
      <c r="O216" s="500"/>
      <c r="P216" s="501"/>
      <c r="Q216" s="605"/>
    </row>
    <row r="217" spans="1:21">
      <c r="A217" s="505"/>
      <c r="B217" s="506"/>
      <c r="C217" s="48" t="s">
        <v>39</v>
      </c>
      <c r="D217" s="49">
        <v>39.159999999999997</v>
      </c>
      <c r="E217" s="41">
        <v>6.5553999999999997</v>
      </c>
      <c r="F217" s="41">
        <f t="shared" si="30"/>
        <v>6.5553999999999997</v>
      </c>
      <c r="G217" s="50">
        <f>ROUND(D217*(E217),2)</f>
        <v>256.70999999999998</v>
      </c>
      <c r="H217" s="41"/>
      <c r="I217" s="41"/>
      <c r="J217" s="41"/>
      <c r="K217" s="41"/>
      <c r="L217" s="606"/>
      <c r="M217" s="606"/>
      <c r="N217" s="607"/>
      <c r="O217" s="608"/>
      <c r="P217" s="609"/>
      <c r="Q217" s="610"/>
    </row>
    <row r="218" spans="1:21" ht="15.75" thickBot="1">
      <c r="A218" s="611"/>
      <c r="B218" s="612"/>
      <c r="C218" s="99" t="s">
        <v>29</v>
      </c>
      <c r="D218" s="613">
        <v>884</v>
      </c>
      <c r="E218" s="56">
        <v>6.5553999999999997</v>
      </c>
      <c r="F218" s="281">
        <f t="shared" si="30"/>
        <v>6.5553999999999997</v>
      </c>
      <c r="G218" s="58">
        <f>ROUND(D218*(E218),2)</f>
        <v>5794.97</v>
      </c>
      <c r="H218" s="57"/>
      <c r="I218" s="57"/>
      <c r="J218" s="57"/>
      <c r="K218" s="57"/>
      <c r="L218" s="614"/>
      <c r="M218" s="606"/>
      <c r="N218" s="615"/>
      <c r="O218" s="615"/>
      <c r="P218" s="615"/>
      <c r="Q218" s="616"/>
    </row>
    <row r="219" spans="1:21">
      <c r="A219" s="617"/>
      <c r="B219" s="602" t="s">
        <v>107</v>
      </c>
      <c r="C219" s="618" t="s">
        <v>73</v>
      </c>
      <c r="D219" s="619">
        <v>5</v>
      </c>
      <c r="E219" s="21">
        <v>36.214199999999998</v>
      </c>
      <c r="F219" s="21">
        <v>42.4328</v>
      </c>
      <c r="G219" s="185">
        <f>ROUND(D219*(E219+F219),2)</f>
        <v>393.24</v>
      </c>
      <c r="H219" s="620"/>
      <c r="I219" s="620"/>
      <c r="J219" s="620"/>
      <c r="K219" s="620"/>
      <c r="L219" s="603">
        <f>SUM(G219:G223,J219:J223)</f>
        <v>6255.8</v>
      </c>
      <c r="M219" s="187">
        <v>6255.8</v>
      </c>
      <c r="N219" s="621"/>
      <c r="O219" s="621"/>
      <c r="P219" s="621"/>
      <c r="Q219" s="622"/>
    </row>
    <row r="220" spans="1:21">
      <c r="A220" s="611"/>
      <c r="B220" s="612"/>
      <c r="C220" s="542" t="s">
        <v>96</v>
      </c>
      <c r="D220" s="234"/>
      <c r="E220" s="38">
        <f>32.332-28.8628</f>
        <v>3.4692000000000007</v>
      </c>
      <c r="F220" s="38">
        <f>37.8898-33.8306</f>
        <v>4.0592000000000041</v>
      </c>
      <c r="G220" s="235">
        <f>ROUND(D220*(E220+F220),2)</f>
        <v>0</v>
      </c>
      <c r="H220" s="298"/>
      <c r="I220" s="298"/>
      <c r="J220" s="298"/>
      <c r="K220" s="298"/>
      <c r="L220" s="606"/>
      <c r="M220" s="606"/>
      <c r="N220" s="615"/>
      <c r="O220" s="615"/>
      <c r="P220" s="615"/>
      <c r="Q220" s="616"/>
    </row>
    <row r="221" spans="1:21">
      <c r="A221" s="611"/>
      <c r="B221" s="612"/>
      <c r="C221" s="48" t="s">
        <v>158</v>
      </c>
      <c r="D221" s="623">
        <v>869</v>
      </c>
      <c r="E221" s="41">
        <f>6.5554-5.8666</f>
        <v>0.68879999999999963</v>
      </c>
      <c r="F221" s="41">
        <f>+E221</f>
        <v>0.68879999999999963</v>
      </c>
      <c r="G221" s="50">
        <f>ROUND(D221*(E221),2)+0.01</f>
        <v>598.58000000000004</v>
      </c>
      <c r="H221" s="298"/>
      <c r="I221" s="298"/>
      <c r="J221" s="298"/>
      <c r="K221" s="298"/>
      <c r="L221" s="614"/>
      <c r="M221" s="606"/>
      <c r="N221" s="615"/>
      <c r="O221" s="615"/>
      <c r="P221" s="615"/>
      <c r="Q221" s="616"/>
    </row>
    <row r="222" spans="1:21">
      <c r="A222" s="611"/>
      <c r="B222" s="612"/>
      <c r="C222" s="48" t="s">
        <v>39</v>
      </c>
      <c r="D222" s="623">
        <v>34</v>
      </c>
      <c r="E222" s="41">
        <v>6.5553999999999997</v>
      </c>
      <c r="F222" s="41">
        <f>+E222</f>
        <v>6.5553999999999997</v>
      </c>
      <c r="G222" s="39">
        <f>ROUND(D222*(E222),2)</f>
        <v>222.88</v>
      </c>
      <c r="H222" s="298"/>
      <c r="I222" s="298"/>
      <c r="J222" s="298"/>
      <c r="K222" s="298"/>
      <c r="L222" s="614"/>
      <c r="M222" s="273"/>
      <c r="N222" s="615"/>
      <c r="O222" s="615"/>
      <c r="P222" s="615"/>
      <c r="Q222" s="616"/>
    </row>
    <row r="223" spans="1:21" ht="15.75" thickBot="1">
      <c r="A223" s="624"/>
      <c r="B223" s="526"/>
      <c r="C223" s="99" t="s">
        <v>29</v>
      </c>
      <c r="D223" s="625">
        <v>769</v>
      </c>
      <c r="E223" s="56">
        <v>6.5553999999999997</v>
      </c>
      <c r="F223" s="281">
        <f>+E223</f>
        <v>6.5553999999999997</v>
      </c>
      <c r="G223" s="414">
        <f>ROUND(D223*(E223),2)</f>
        <v>5041.1000000000004</v>
      </c>
      <c r="H223" s="41"/>
      <c r="I223" s="41"/>
      <c r="J223" s="41"/>
      <c r="K223" s="41"/>
      <c r="L223" s="606"/>
      <c r="M223" s="606"/>
      <c r="N223" s="626"/>
      <c r="O223" s="626"/>
      <c r="P223" s="626"/>
      <c r="Q223" s="627"/>
    </row>
    <row r="224" spans="1:21" ht="15.75" thickTop="1">
      <c r="A224" s="493"/>
      <c r="B224" s="494" t="s">
        <v>108</v>
      </c>
      <c r="C224" s="71">
        <f>+[1]дек!U87</f>
        <v>0</v>
      </c>
      <c r="D224" s="495">
        <v>3</v>
      </c>
      <c r="E224" s="21">
        <v>36.214199999999998</v>
      </c>
      <c r="F224" s="21">
        <v>42.4328</v>
      </c>
      <c r="G224" s="185">
        <f>ROUND(D224*(E224+F224),2)</f>
        <v>235.94</v>
      </c>
      <c r="H224" s="496"/>
      <c r="I224" s="73">
        <v>0.85</v>
      </c>
      <c r="J224" s="73">
        <f>+H224*I224</f>
        <v>0</v>
      </c>
      <c r="K224" s="628"/>
      <c r="L224" s="629">
        <f>SUM(G224:G230)+SUM(J224:J229)</f>
        <v>3434.1899999999996</v>
      </c>
      <c r="M224" s="630">
        <v>3434.19</v>
      </c>
      <c r="N224" s="594"/>
      <c r="O224" s="631"/>
      <c r="P224" s="515" t="s">
        <v>87</v>
      </c>
      <c r="Q224" s="595">
        <f t="shared" ref="Q224:Q226" si="31">C224+G224+J224-M224-N224-O224</f>
        <v>-3198.25</v>
      </c>
    </row>
    <row r="225" spans="1:17" ht="15.75" thickBot="1">
      <c r="A225" s="505"/>
      <c r="B225" s="506"/>
      <c r="C225" s="542" t="s">
        <v>96</v>
      </c>
      <c r="D225" s="234"/>
      <c r="E225" s="38">
        <f>32.332-28.8628</f>
        <v>3.4692000000000007</v>
      </c>
      <c r="F225" s="38">
        <f>37.8898-33.8306</f>
        <v>4.0592000000000041</v>
      </c>
      <c r="G225" s="235">
        <f>ROUND(D225*(E225+F225),2)</f>
        <v>0</v>
      </c>
      <c r="H225" s="448"/>
      <c r="I225" s="509"/>
      <c r="J225" s="409"/>
      <c r="K225" s="510"/>
      <c r="L225" s="632"/>
      <c r="M225" s="512"/>
      <c r="N225" s="513"/>
      <c r="O225" s="514"/>
      <c r="P225" s="515"/>
      <c r="Q225" s="262"/>
    </row>
    <row r="226" spans="1:17">
      <c r="A226" s="505"/>
      <c r="B226" s="516" t="s">
        <v>109</v>
      </c>
      <c r="C226" s="633"/>
      <c r="D226" s="508"/>
      <c r="E226" s="101">
        <v>304.86</v>
      </c>
      <c r="F226" s="21">
        <v>42.4328</v>
      </c>
      <c r="G226" s="50">
        <f>D226*(E226+F226)</f>
        <v>0</v>
      </c>
      <c r="H226" s="270"/>
      <c r="I226" s="41">
        <v>128.56</v>
      </c>
      <c r="J226" s="409">
        <f>ROUND(H226*I226,2)</f>
        <v>0</v>
      </c>
      <c r="K226" s="510"/>
      <c r="L226" s="597"/>
      <c r="M226" s="99"/>
      <c r="N226" s="518"/>
      <c r="O226" s="519"/>
      <c r="P226" s="515" t="s">
        <v>87</v>
      </c>
      <c r="Q226" s="271">
        <f t="shared" si="31"/>
        <v>0</v>
      </c>
    </row>
    <row r="227" spans="1:17">
      <c r="A227" s="505"/>
      <c r="B227" s="541"/>
      <c r="C227" s="84" t="s">
        <v>97</v>
      </c>
      <c r="D227" s="508"/>
      <c r="E227" s="41">
        <f>304.86-291.8</f>
        <v>13.060000000000002</v>
      </c>
      <c r="F227" s="41"/>
      <c r="G227" s="50">
        <f>D227*(E227+F227)</f>
        <v>0</v>
      </c>
      <c r="H227" s="432"/>
      <c r="I227" s="362"/>
      <c r="J227" s="207"/>
      <c r="K227" s="510"/>
      <c r="L227" s="597"/>
      <c r="M227" s="520"/>
      <c r="N227" s="521"/>
      <c r="O227" s="522"/>
      <c r="P227" s="523"/>
      <c r="Q227" s="362"/>
    </row>
    <row r="228" spans="1:17">
      <c r="A228" s="505"/>
      <c r="B228" s="506"/>
      <c r="C228" s="48" t="s">
        <v>158</v>
      </c>
      <c r="D228" s="37">
        <v>351</v>
      </c>
      <c r="E228" s="41">
        <f>6.5554-5.8666</f>
        <v>0.68879999999999963</v>
      </c>
      <c r="F228" s="41">
        <f>+E228</f>
        <v>0.68879999999999963</v>
      </c>
      <c r="G228" s="39">
        <f>ROUND(D228*(E228),2)</f>
        <v>241.77</v>
      </c>
      <c r="H228" s="432"/>
      <c r="I228" s="362"/>
      <c r="J228" s="207"/>
      <c r="K228" s="510"/>
      <c r="L228" s="597"/>
      <c r="M228" s="520"/>
      <c r="N228" s="521"/>
      <c r="O228" s="522"/>
      <c r="P228" s="523"/>
      <c r="Q228" s="362"/>
    </row>
    <row r="229" spans="1:17">
      <c r="A229" s="505"/>
      <c r="B229" s="506"/>
      <c r="C229" s="48" t="s">
        <v>39</v>
      </c>
      <c r="D229" s="37">
        <v>19</v>
      </c>
      <c r="E229" s="41">
        <v>6.5553999999999997</v>
      </c>
      <c r="F229" s="41">
        <f>+E229</f>
        <v>6.5553999999999997</v>
      </c>
      <c r="G229" s="39">
        <f t="shared" ref="G229:G234" si="32">ROUND(D229*(E229),2)</f>
        <v>124.55</v>
      </c>
      <c r="H229" s="432"/>
      <c r="I229" s="362"/>
      <c r="J229" s="207"/>
      <c r="K229" s="510"/>
      <c r="L229" s="597"/>
      <c r="M229" s="520"/>
      <c r="N229" s="521"/>
      <c r="O229" s="522"/>
      <c r="P229" s="523"/>
      <c r="Q229" s="362"/>
    </row>
    <row r="230" spans="1:17" ht="15.75" thickBot="1">
      <c r="A230" s="525"/>
      <c r="B230" s="526"/>
      <c r="C230" s="99" t="s">
        <v>29</v>
      </c>
      <c r="D230" s="55">
        <v>432</v>
      </c>
      <c r="E230" s="56">
        <v>6.5553999999999997</v>
      </c>
      <c r="F230" s="281">
        <f>+E230</f>
        <v>6.5553999999999997</v>
      </c>
      <c r="G230" s="414">
        <f t="shared" si="32"/>
        <v>2831.93</v>
      </c>
      <c r="H230" s="248"/>
      <c r="I230" s="203"/>
      <c r="J230" s="60"/>
      <c r="K230" s="61"/>
      <c r="L230" s="249"/>
      <c r="M230" s="54"/>
      <c r="N230" s="527"/>
      <c r="O230" s="528"/>
      <c r="P230" s="529" t="s">
        <v>87</v>
      </c>
      <c r="Q230" s="282">
        <f>+G230+J230-M230-N230-O230</f>
        <v>2831.93</v>
      </c>
    </row>
    <row r="231" spans="1:17">
      <c r="A231" s="493"/>
      <c r="B231" s="602" t="s">
        <v>110</v>
      </c>
      <c r="C231" s="48" t="s">
        <v>158</v>
      </c>
      <c r="D231" s="184">
        <v>327</v>
      </c>
      <c r="E231" s="41">
        <f>6.5554-5.8666</f>
        <v>0.68879999999999963</v>
      </c>
      <c r="F231" s="23">
        <f t="shared" ref="F231:F233" si="33">+E231</f>
        <v>0.68879999999999963</v>
      </c>
      <c r="G231" s="185">
        <f>ROUND(D231*(E231),2)+0.01</f>
        <v>225.25</v>
      </c>
      <c r="H231" s="620"/>
      <c r="I231" s="620"/>
      <c r="J231" s="620"/>
      <c r="K231" s="634"/>
      <c r="L231" s="603">
        <f>SUM(G231:G234)</f>
        <v>2257.42</v>
      </c>
      <c r="M231" s="187">
        <v>2257.42</v>
      </c>
      <c r="N231" s="604"/>
      <c r="O231" s="635"/>
      <c r="P231" s="636"/>
      <c r="Q231" s="605"/>
    </row>
    <row r="232" spans="1:17">
      <c r="A232" s="505"/>
      <c r="B232" s="506"/>
      <c r="C232" s="48" t="s">
        <v>39</v>
      </c>
      <c r="D232" s="49">
        <v>13</v>
      </c>
      <c r="E232" s="41">
        <v>6.5553999999999997</v>
      </c>
      <c r="F232" s="41">
        <f t="shared" si="33"/>
        <v>6.5553999999999997</v>
      </c>
      <c r="G232" s="50">
        <f>ROUND(D232*(E232),2)</f>
        <v>85.22</v>
      </c>
      <c r="H232" s="296"/>
      <c r="I232" s="298"/>
      <c r="J232" s="298"/>
      <c r="K232" s="637"/>
      <c r="L232" s="606"/>
      <c r="M232" s="606"/>
      <c r="N232" s="607"/>
      <c r="O232" s="608"/>
      <c r="P232" s="609"/>
      <c r="Q232" s="610"/>
    </row>
    <row r="233" spans="1:17" ht="15.75" thickBot="1">
      <c r="A233" s="611"/>
      <c r="B233" s="506"/>
      <c r="C233" s="99" t="s">
        <v>29</v>
      </c>
      <c r="D233" s="296">
        <v>297</v>
      </c>
      <c r="E233" s="56">
        <v>6.5553999999999997</v>
      </c>
      <c r="F233" s="41">
        <f t="shared" si="33"/>
        <v>6.5553999999999997</v>
      </c>
      <c r="G233" s="50">
        <f t="shared" si="32"/>
        <v>1946.95</v>
      </c>
      <c r="H233" s="296"/>
      <c r="I233" s="298"/>
      <c r="J233" s="298"/>
      <c r="K233" s="637"/>
      <c r="L233" s="614"/>
      <c r="M233" s="606"/>
      <c r="N233" s="615"/>
      <c r="O233" s="615"/>
      <c r="P233" s="615"/>
      <c r="Q233" s="616"/>
    </row>
    <row r="234" spans="1:17" ht="15.75" thickBot="1">
      <c r="A234" s="638"/>
      <c r="B234" s="639" t="s">
        <v>111</v>
      </c>
      <c r="C234" s="640"/>
      <c r="D234" s="641"/>
      <c r="E234" s="311"/>
      <c r="F234" s="109"/>
      <c r="G234" s="642">
        <f t="shared" si="32"/>
        <v>0</v>
      </c>
      <c r="H234" s="643"/>
      <c r="I234" s="109"/>
      <c r="J234" s="109"/>
      <c r="K234" s="644"/>
      <c r="L234" s="640"/>
      <c r="M234" s="640"/>
      <c r="N234" s="2"/>
      <c r="O234" s="2"/>
      <c r="P234" s="2"/>
      <c r="Q234" s="2"/>
    </row>
    <row r="235" spans="1:17" ht="15.75" thickTop="1">
      <c r="A235" s="645"/>
      <c r="B235" s="602" t="s">
        <v>112</v>
      </c>
      <c r="C235" s="48" t="s">
        <v>158</v>
      </c>
      <c r="D235" s="184">
        <v>810</v>
      </c>
      <c r="E235" s="41">
        <f>6.5554-5.8666</f>
        <v>0.68879999999999963</v>
      </c>
      <c r="F235" s="23">
        <f t="shared" ref="F235:F239" si="34">+E235</f>
        <v>0.68879999999999963</v>
      </c>
      <c r="G235" s="185">
        <f>ROUND(D235*(E235),2)</f>
        <v>557.92999999999995</v>
      </c>
      <c r="H235" s="620"/>
      <c r="I235" s="620"/>
      <c r="J235" s="620"/>
      <c r="K235" s="634"/>
      <c r="L235" s="603">
        <f>SUM(G235:G238)</f>
        <v>5507.25</v>
      </c>
      <c r="M235" s="187">
        <v>5507.25</v>
      </c>
      <c r="N235" s="604"/>
      <c r="O235" s="635"/>
      <c r="P235" s="636"/>
      <c r="Q235" s="605"/>
    </row>
    <row r="236" spans="1:17">
      <c r="A236" s="645"/>
      <c r="B236" s="506"/>
      <c r="C236" s="48" t="s">
        <v>39</v>
      </c>
      <c r="D236" s="49">
        <v>32</v>
      </c>
      <c r="E236" s="41">
        <v>6.5553999999999997</v>
      </c>
      <c r="F236" s="41">
        <f t="shared" si="34"/>
        <v>6.5553999999999997</v>
      </c>
      <c r="G236" s="50">
        <f t="shared" ref="G236:G237" si="35">ROUND(D236*(E236),2)</f>
        <v>209.77</v>
      </c>
      <c r="H236" s="296"/>
      <c r="I236" s="298"/>
      <c r="J236" s="298"/>
      <c r="K236" s="637"/>
      <c r="L236" s="606"/>
      <c r="M236" s="606"/>
      <c r="N236" s="607"/>
      <c r="O236" s="608"/>
      <c r="P236" s="609"/>
      <c r="Q236" s="610"/>
    </row>
    <row r="237" spans="1:17" ht="15.75" thickBot="1">
      <c r="A237" s="645"/>
      <c r="B237" s="506"/>
      <c r="C237" s="99" t="s">
        <v>29</v>
      </c>
      <c r="D237" s="296">
        <v>723</v>
      </c>
      <c r="E237" s="56">
        <v>6.5553999999999997</v>
      </c>
      <c r="F237" s="41">
        <f t="shared" si="34"/>
        <v>6.5553999999999997</v>
      </c>
      <c r="G237" s="50">
        <f t="shared" si="35"/>
        <v>4739.55</v>
      </c>
      <c r="H237" s="296"/>
      <c r="I237" s="298"/>
      <c r="J237" s="298"/>
      <c r="K237" s="637"/>
      <c r="L237" s="614"/>
      <c r="M237" s="606"/>
      <c r="N237" s="615"/>
      <c r="O237" s="615"/>
      <c r="P237" s="615"/>
      <c r="Q237" s="616"/>
    </row>
    <row r="238" spans="1:17" ht="15.75" thickBot="1">
      <c r="A238" s="645"/>
      <c r="B238" s="639"/>
      <c r="C238" s="646"/>
      <c r="D238" s="647"/>
      <c r="E238" s="648"/>
      <c r="F238" s="646"/>
      <c r="G238" s="648"/>
      <c r="H238" s="646"/>
      <c r="I238" s="646"/>
      <c r="J238" s="646"/>
      <c r="K238" s="646"/>
      <c r="L238" s="646"/>
      <c r="M238" s="646"/>
      <c r="N238" s="615"/>
      <c r="O238" s="615"/>
      <c r="P238" s="615"/>
      <c r="Q238" s="615"/>
    </row>
    <row r="239" spans="1:17" ht="15.75" thickTop="1">
      <c r="A239" s="645"/>
      <c r="B239" s="602" t="s">
        <v>127</v>
      </c>
      <c r="C239" s="48" t="s">
        <v>158</v>
      </c>
      <c r="D239" s="184">
        <v>659</v>
      </c>
      <c r="E239" s="41">
        <f>6.5554-5.8666</f>
        <v>0.68879999999999963</v>
      </c>
      <c r="F239" s="23">
        <f t="shared" si="34"/>
        <v>0.68879999999999963</v>
      </c>
      <c r="G239" s="185">
        <f>ROUND(D239*(E239),2)</f>
        <v>453.92</v>
      </c>
      <c r="H239" s="620"/>
      <c r="I239" s="620"/>
      <c r="J239" s="620"/>
      <c r="K239" s="634"/>
      <c r="L239" s="603">
        <f>SUM(G239:G242)</f>
        <v>4684.78</v>
      </c>
      <c r="M239" s="187">
        <v>4684.78</v>
      </c>
      <c r="N239" s="604"/>
      <c r="O239" s="635"/>
      <c r="P239" s="636"/>
      <c r="Q239" s="605"/>
    </row>
    <row r="240" spans="1:17">
      <c r="A240" s="645"/>
      <c r="B240" s="506"/>
      <c r="C240" s="48" t="s">
        <v>39</v>
      </c>
      <c r="D240" s="49">
        <v>27.4</v>
      </c>
      <c r="E240" s="41">
        <v>6.5553999999999997</v>
      </c>
      <c r="F240" s="41">
        <f>+E240</f>
        <v>6.5553999999999997</v>
      </c>
      <c r="G240" s="50">
        <f>ROUND(D240*(E240),2)</f>
        <v>179.62</v>
      </c>
      <c r="H240" s="296"/>
      <c r="I240" s="298"/>
      <c r="J240" s="298"/>
      <c r="K240" s="637"/>
      <c r="L240" s="606"/>
      <c r="M240" s="606"/>
      <c r="N240" s="607"/>
      <c r="O240" s="608"/>
      <c r="P240" s="609"/>
      <c r="Q240" s="610"/>
    </row>
    <row r="241" spans="1:20" ht="15.75" thickBot="1">
      <c r="A241" s="645"/>
      <c r="B241" s="506"/>
      <c r="C241" s="99" t="s">
        <v>29</v>
      </c>
      <c r="D241" s="296">
        <v>618</v>
      </c>
      <c r="E241" s="56">
        <v>6.5553999999999997</v>
      </c>
      <c r="F241" s="41">
        <f t="shared" ref="F241" si="36">+E241</f>
        <v>6.5553999999999997</v>
      </c>
      <c r="G241" s="50">
        <f t="shared" ref="G241" si="37">ROUND(D241*(E241),2)</f>
        <v>4051.24</v>
      </c>
      <c r="H241" s="296"/>
      <c r="I241" s="298"/>
      <c r="J241" s="298"/>
      <c r="K241" s="637"/>
      <c r="L241" s="614"/>
      <c r="M241" s="606"/>
      <c r="N241" s="615"/>
      <c r="O241" s="615"/>
      <c r="P241" s="615"/>
      <c r="Q241" s="616"/>
    </row>
    <row r="242" spans="1:20" ht="15.75" thickBot="1">
      <c r="A242" s="645"/>
      <c r="B242" s="639"/>
      <c r="C242" s="646"/>
      <c r="D242" s="647"/>
      <c r="E242" s="648"/>
      <c r="F242" s="646"/>
      <c r="G242" s="648"/>
      <c r="H242" s="646"/>
      <c r="I242" s="646"/>
      <c r="J242" s="646"/>
      <c r="K242" s="646"/>
      <c r="L242" s="646"/>
      <c r="M242" s="646"/>
      <c r="N242" s="615"/>
      <c r="O242" s="615"/>
      <c r="P242" s="615"/>
      <c r="Q242" s="615"/>
    </row>
    <row r="243" spans="1:20" ht="15.75" thickTop="1">
      <c r="A243" s="645"/>
      <c r="B243" s="602" t="s">
        <v>128</v>
      </c>
      <c r="C243" s="48" t="s">
        <v>158</v>
      </c>
      <c r="D243" s="184">
        <v>946.1</v>
      </c>
      <c r="E243" s="41">
        <f>6.5554-5.8666</f>
        <v>0.68879999999999963</v>
      </c>
      <c r="F243" s="23">
        <f t="shared" ref="F243" si="38">+E243</f>
        <v>0.68879999999999963</v>
      </c>
      <c r="G243" s="185">
        <f>ROUND(D243*(E243),2)</f>
        <v>651.66999999999996</v>
      </c>
      <c r="H243" s="620"/>
      <c r="I243" s="620"/>
      <c r="J243" s="620"/>
      <c r="K243" s="634"/>
      <c r="L243" s="603">
        <f>SUM(G243:G246)</f>
        <v>7161.8399999999992</v>
      </c>
      <c r="M243" s="187">
        <v>7161.84</v>
      </c>
      <c r="N243" s="604"/>
      <c r="O243" s="635"/>
      <c r="P243" s="636"/>
      <c r="Q243" s="605"/>
    </row>
    <row r="244" spans="1:20">
      <c r="A244" s="645"/>
      <c r="B244" s="506"/>
      <c r="C244" s="48" t="s">
        <v>39</v>
      </c>
      <c r="D244" s="49">
        <v>42.1</v>
      </c>
      <c r="E244" s="41">
        <v>6.5553999999999997</v>
      </c>
      <c r="F244" s="41">
        <f>+E244</f>
        <v>6.5553999999999997</v>
      </c>
      <c r="G244" s="50">
        <f>ROUND(D244*(E244),2)</f>
        <v>275.98</v>
      </c>
      <c r="H244" s="296"/>
      <c r="I244" s="298"/>
      <c r="J244" s="298"/>
      <c r="K244" s="637"/>
      <c r="L244" s="606"/>
      <c r="M244" s="606"/>
      <c r="N244" s="607"/>
      <c r="O244" s="608"/>
      <c r="P244" s="609"/>
      <c r="Q244" s="610"/>
    </row>
    <row r="245" spans="1:20" ht="15.75" thickBot="1">
      <c r="A245" s="645"/>
      <c r="B245" s="506"/>
      <c r="C245" s="99" t="s">
        <v>29</v>
      </c>
      <c r="D245" s="296">
        <v>951</v>
      </c>
      <c r="E245" s="56">
        <v>6.5553999999999997</v>
      </c>
      <c r="F245" s="41">
        <f t="shared" ref="F245" si="39">+E245</f>
        <v>6.5553999999999997</v>
      </c>
      <c r="G245" s="50">
        <f t="shared" ref="G245" si="40">ROUND(D245*(E245),2)</f>
        <v>6234.19</v>
      </c>
      <c r="H245" s="296"/>
      <c r="I245" s="298"/>
      <c r="J245" s="298"/>
      <c r="K245" s="637"/>
      <c r="L245" s="614"/>
      <c r="M245" s="606"/>
      <c r="N245" s="615"/>
      <c r="O245" s="615"/>
      <c r="P245" s="615"/>
      <c r="Q245" s="616"/>
    </row>
    <row r="246" spans="1:20" ht="15.75" thickBot="1">
      <c r="A246" s="645"/>
      <c r="B246" s="639"/>
      <c r="C246" s="646"/>
      <c r="D246" s="647"/>
      <c r="E246" s="648"/>
      <c r="F246" s="646"/>
      <c r="G246" s="648"/>
      <c r="H246" s="646"/>
      <c r="I246" s="646"/>
      <c r="J246" s="646"/>
      <c r="K246" s="646"/>
      <c r="L246" s="646"/>
      <c r="M246" s="646"/>
      <c r="N246" s="615"/>
      <c r="O246" s="615"/>
      <c r="P246" s="615"/>
      <c r="Q246" s="615"/>
    </row>
    <row r="247" spans="1:20" ht="15.75" thickTop="1">
      <c r="A247" s="645"/>
      <c r="B247" s="602" t="s">
        <v>163</v>
      </c>
      <c r="C247" s="48" t="s">
        <v>158</v>
      </c>
      <c r="D247" s="184">
        <v>0</v>
      </c>
      <c r="E247" s="41">
        <f>6.5554-5.8666</f>
        <v>0.68879999999999963</v>
      </c>
      <c r="F247" s="23">
        <f t="shared" ref="F247" si="41">+E247</f>
        <v>0.68879999999999963</v>
      </c>
      <c r="G247" s="185">
        <f>ROUND(D247*(E247),2)</f>
        <v>0</v>
      </c>
      <c r="H247" s="620"/>
      <c r="I247" s="620"/>
      <c r="J247" s="620"/>
      <c r="K247" s="634"/>
      <c r="L247" s="603">
        <f>SUM(G247:G250)</f>
        <v>3271.14</v>
      </c>
      <c r="M247" s="187">
        <v>3271.14</v>
      </c>
      <c r="N247" s="604"/>
      <c r="O247" s="635"/>
      <c r="P247" s="636"/>
      <c r="Q247" s="605"/>
    </row>
    <row r="248" spans="1:20">
      <c r="A248" s="645"/>
      <c r="B248" s="506"/>
      <c r="C248" s="48" t="s">
        <v>39</v>
      </c>
      <c r="D248" s="49">
        <v>21</v>
      </c>
      <c r="E248" s="41">
        <v>6.5553999999999997</v>
      </c>
      <c r="F248" s="41">
        <f>+E248</f>
        <v>6.5553999999999997</v>
      </c>
      <c r="G248" s="50">
        <f>ROUND(D248*(E248),2)</f>
        <v>137.66</v>
      </c>
      <c r="H248" s="296"/>
      <c r="I248" s="298"/>
      <c r="J248" s="298"/>
      <c r="K248" s="637"/>
      <c r="L248" s="606"/>
      <c r="M248" s="606"/>
      <c r="N248" s="607"/>
      <c r="O248" s="608"/>
      <c r="P248" s="609"/>
      <c r="Q248" s="610"/>
    </row>
    <row r="249" spans="1:20" ht="15.75" thickBot="1">
      <c r="A249" s="645"/>
      <c r="B249" s="506"/>
      <c r="C249" s="99" t="s">
        <v>29</v>
      </c>
      <c r="D249" s="296">
        <v>478</v>
      </c>
      <c r="E249" s="56">
        <v>6.5553999999999997</v>
      </c>
      <c r="F249" s="41">
        <f t="shared" ref="F249" si="42">+E249</f>
        <v>6.5553999999999997</v>
      </c>
      <c r="G249" s="50">
        <f t="shared" ref="G249" si="43">ROUND(D249*(E249),2)</f>
        <v>3133.48</v>
      </c>
      <c r="H249" s="296"/>
      <c r="I249" s="298"/>
      <c r="J249" s="298"/>
      <c r="K249" s="637"/>
      <c r="L249" s="614"/>
      <c r="M249" s="606"/>
      <c r="N249" s="615"/>
      <c r="O249" s="615"/>
      <c r="P249" s="615"/>
      <c r="Q249" s="616"/>
    </row>
    <row r="250" spans="1:20" ht="15.75" thickBot="1">
      <c r="A250" s="645"/>
      <c r="B250" s="639"/>
      <c r="C250" s="646"/>
      <c r="D250" s="647"/>
      <c r="E250" s="648"/>
      <c r="F250" s="646"/>
      <c r="G250" s="648"/>
      <c r="H250" s="646"/>
      <c r="I250" s="646"/>
      <c r="J250" s="646"/>
      <c r="K250" s="646"/>
      <c r="L250" s="646"/>
      <c r="M250" s="646"/>
      <c r="N250" s="615"/>
      <c r="O250" s="615"/>
      <c r="P250" s="615"/>
      <c r="Q250" s="615"/>
    </row>
    <row r="251" spans="1:20" ht="15.75" thickTop="1">
      <c r="A251" s="705"/>
      <c r="B251" s="615"/>
      <c r="C251" s="615"/>
      <c r="D251" s="696"/>
      <c r="E251" s="473"/>
      <c r="F251" s="615"/>
      <c r="G251" s="473"/>
      <c r="H251" s="615"/>
      <c r="I251" s="615"/>
      <c r="J251" s="615"/>
      <c r="K251" s="615"/>
      <c r="L251" s="615"/>
      <c r="M251" s="615"/>
      <c r="N251" s="615"/>
      <c r="O251" s="615"/>
      <c r="P251" s="615"/>
      <c r="Q251" s="615"/>
    </row>
    <row r="252" spans="1:20" ht="15.75" thickBot="1">
      <c r="A252" s="705"/>
      <c r="B252" s="615"/>
      <c r="C252" s="615"/>
      <c r="D252" s="696"/>
      <c r="E252" s="473"/>
      <c r="F252" s="615"/>
      <c r="G252" s="473"/>
      <c r="H252" s="615"/>
      <c r="I252" s="615"/>
      <c r="J252" s="615"/>
      <c r="K252" s="615"/>
      <c r="L252" s="615"/>
      <c r="M252" s="615"/>
      <c r="N252" s="615"/>
      <c r="O252" s="615"/>
      <c r="P252" s="615"/>
      <c r="Q252" s="615"/>
    </row>
    <row r="253" spans="1:20" s="81" customFormat="1" ht="15" customHeight="1" thickTop="1">
      <c r="A253" s="476"/>
      <c r="B253" s="158"/>
      <c r="C253" s="322"/>
      <c r="D253" s="477"/>
      <c r="E253" s="163"/>
      <c r="F253" s="163"/>
      <c r="G253" s="478"/>
      <c r="H253" s="163"/>
      <c r="I253" s="163"/>
      <c r="J253" s="163"/>
      <c r="K253" s="163"/>
      <c r="L253" s="163"/>
      <c r="M253" s="164"/>
      <c r="N253" s="479"/>
      <c r="O253" s="479"/>
      <c r="P253" s="479"/>
      <c r="Q253" s="479"/>
      <c r="R253" s="422"/>
      <c r="S253" s="399"/>
      <c r="T253" s="399"/>
    </row>
    <row r="254" spans="1:20" ht="21.75" thickBot="1">
      <c r="A254" s="171" t="s">
        <v>113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3"/>
      <c r="N254" s="2"/>
      <c r="O254" s="2"/>
      <c r="P254" s="2"/>
      <c r="Q254" s="2"/>
    </row>
    <row r="255" spans="1:20" ht="15.75" customHeight="1" thickTop="1" thickBot="1">
      <c r="A255" s="1555" t="s">
        <v>1</v>
      </c>
      <c r="B255" s="1543" t="s">
        <v>2</v>
      </c>
      <c r="C255" s="1545" t="s">
        <v>3</v>
      </c>
      <c r="D255" s="1546" t="s">
        <v>4</v>
      </c>
      <c r="E255" s="1546"/>
      <c r="F255" s="1546"/>
      <c r="G255" s="1546"/>
      <c r="H255" s="1547"/>
      <c r="I255" s="1548"/>
      <c r="J255" s="1548"/>
      <c r="K255" s="1549"/>
      <c r="L255" s="1524" t="s">
        <v>6</v>
      </c>
      <c r="M255" s="1511" t="s">
        <v>7</v>
      </c>
      <c r="N255" s="1551" t="s">
        <v>8</v>
      </c>
      <c r="O255" s="1551"/>
      <c r="P255" s="1551"/>
      <c r="Q255" s="1552"/>
      <c r="R255" s="481"/>
      <c r="S255" s="482" t="s">
        <v>20</v>
      </c>
      <c r="T255" s="482" t="s">
        <v>21</v>
      </c>
    </row>
    <row r="256" spans="1:20" ht="26.25" thickBot="1">
      <c r="A256" s="1556"/>
      <c r="B256" s="1557"/>
      <c r="C256" s="1558" t="s">
        <v>10</v>
      </c>
      <c r="D256" s="483" t="s">
        <v>11</v>
      </c>
      <c r="E256" s="649" t="s">
        <v>12</v>
      </c>
      <c r="F256" s="649" t="s">
        <v>13</v>
      </c>
      <c r="G256" s="650" t="s">
        <v>14</v>
      </c>
      <c r="H256" s="651" t="s">
        <v>11</v>
      </c>
      <c r="I256" s="652" t="s">
        <v>15</v>
      </c>
      <c r="J256" s="653"/>
      <c r="K256" s="654" t="s">
        <v>16</v>
      </c>
      <c r="L256" s="1525"/>
      <c r="M256" s="1554"/>
      <c r="N256" s="655"/>
      <c r="O256" s="653"/>
      <c r="P256" s="656" t="s">
        <v>18</v>
      </c>
      <c r="Q256" s="657" t="s">
        <v>19</v>
      </c>
      <c r="R256" s="491"/>
      <c r="S256" s="492"/>
      <c r="T256" s="492"/>
    </row>
    <row r="257" spans="1:18" ht="15.75">
      <c r="A257" s="658"/>
      <c r="B257" s="659" t="s">
        <v>55</v>
      </c>
      <c r="C257" s="48" t="s">
        <v>158</v>
      </c>
      <c r="D257" s="259">
        <v>1891.8</v>
      </c>
      <c r="E257" s="41">
        <f>6.5554-5.8666</f>
        <v>0.68879999999999963</v>
      </c>
      <c r="F257" s="620">
        <f t="shared" ref="F257:F258" si="44">+E257</f>
        <v>0.68879999999999963</v>
      </c>
      <c r="G257" s="214">
        <f>ROUND(D257*E257,2)</f>
        <v>1303.07</v>
      </c>
      <c r="H257" s="303"/>
      <c r="I257" s="23"/>
      <c r="J257" s="23"/>
      <c r="K257" s="23"/>
      <c r="L257" s="603">
        <f>SUM(G257:G259)</f>
        <v>12746.18</v>
      </c>
      <c r="M257" s="187">
        <v>12746.18</v>
      </c>
      <c r="N257" s="660"/>
      <c r="O257" s="217"/>
      <c r="P257" s="661"/>
      <c r="Q257" s="219"/>
    </row>
    <row r="258" spans="1:18" ht="15.75">
      <c r="A258" s="662"/>
      <c r="B258" s="35"/>
      <c r="C258" s="48" t="s">
        <v>39</v>
      </c>
      <c r="D258" s="269">
        <v>58.39</v>
      </c>
      <c r="E258" s="41">
        <v>6.5553999999999997</v>
      </c>
      <c r="F258" s="298">
        <f t="shared" si="44"/>
        <v>6.5553999999999997</v>
      </c>
      <c r="G258" s="235">
        <f>ROUND(D258*E258,2)</f>
        <v>382.77</v>
      </c>
      <c r="H258" s="270"/>
      <c r="I258" s="41"/>
      <c r="J258" s="41"/>
      <c r="K258" s="41"/>
      <c r="L258" s="606"/>
      <c r="M258" s="606"/>
      <c r="N258" s="663"/>
      <c r="O258" s="237"/>
      <c r="P258" s="275"/>
      <c r="Q258" s="238"/>
    </row>
    <row r="259" spans="1:18" ht="15.75" thickBot="1">
      <c r="A259" s="664"/>
      <c r="B259" s="665"/>
      <c r="C259" s="99" t="s">
        <v>29</v>
      </c>
      <c r="D259" s="613">
        <v>1687.21</v>
      </c>
      <c r="E259" s="56">
        <v>6.5553999999999997</v>
      </c>
      <c r="F259" s="57"/>
      <c r="G259" s="247">
        <f>ROUND(D259*E259,2)</f>
        <v>11060.34</v>
      </c>
      <c r="H259" s="613"/>
      <c r="I259" s="57"/>
      <c r="J259" s="57"/>
      <c r="K259" s="57"/>
      <c r="L259" s="614"/>
      <c r="M259" s="606"/>
      <c r="N259" s="57"/>
      <c r="O259" s="57"/>
      <c r="P259" s="57"/>
      <c r="Q259" s="666"/>
    </row>
    <row r="260" spans="1:18">
      <c r="A260" s="667"/>
      <c r="B260" s="659" t="s">
        <v>116</v>
      </c>
      <c r="C260" s="668" t="s">
        <v>73</v>
      </c>
      <c r="D260" s="669">
        <v>7</v>
      </c>
      <c r="E260" s="21">
        <v>36.214199999999998</v>
      </c>
      <c r="F260" s="21">
        <v>42.4328</v>
      </c>
      <c r="G260" s="214">
        <f>+D260*(E260+F260)</f>
        <v>550.529</v>
      </c>
      <c r="H260" s="687"/>
      <c r="I260" s="688">
        <v>35.612400000000001</v>
      </c>
      <c r="J260" s="670">
        <f>ROUND(H260*I260,2)</f>
        <v>0</v>
      </c>
      <c r="K260" s="689"/>
      <c r="L260" s="603">
        <f>SUM(G260:G266)+SUM(J260:J264)</f>
        <v>12927.108999999999</v>
      </c>
      <c r="M260" s="187">
        <v>12927.11</v>
      </c>
      <c r="N260" s="670"/>
      <c r="O260" s="670"/>
      <c r="P260" s="670"/>
      <c r="Q260" s="670"/>
    </row>
    <row r="261" spans="1:18">
      <c r="A261" s="671"/>
      <c r="B261" s="672"/>
      <c r="C261" s="48"/>
      <c r="D261" s="673"/>
      <c r="E261" s="41"/>
      <c r="F261" s="298"/>
      <c r="G261" s="235">
        <f>+D261*E261</f>
        <v>0</v>
      </c>
      <c r="H261" s="687"/>
      <c r="I261" s="688">
        <v>147.77000000000001</v>
      </c>
      <c r="J261" s="670">
        <f>ROUND(H261*I261,2)</f>
        <v>0</v>
      </c>
      <c r="K261" s="689"/>
      <c r="L261" s="606"/>
      <c r="M261" s="606"/>
      <c r="N261" s="298"/>
      <c r="O261" s="298"/>
      <c r="P261" s="298"/>
      <c r="Q261" s="298"/>
    </row>
    <row r="262" spans="1:18">
      <c r="A262" s="671"/>
      <c r="B262" s="442"/>
      <c r="C262" s="48"/>
      <c r="D262" s="673"/>
      <c r="E262" s="41"/>
      <c r="F262" s="298"/>
      <c r="G262" s="235">
        <f>ROUND(D262*E262,2)</f>
        <v>0</v>
      </c>
      <c r="H262" s="687">
        <v>6</v>
      </c>
      <c r="I262" s="688">
        <v>11.75</v>
      </c>
      <c r="J262" s="670">
        <f>ROUND(H262*I262,2)</f>
        <v>70.5</v>
      </c>
      <c r="K262" s="689">
        <v>42887</v>
      </c>
      <c r="L262" s="614">
        <f>SUM(G262:G263)</f>
        <v>0</v>
      </c>
      <c r="M262" s="606"/>
      <c r="N262" s="298"/>
      <c r="O262" s="298"/>
      <c r="P262" s="298"/>
      <c r="Q262" s="298"/>
    </row>
    <row r="263" spans="1:18">
      <c r="A263" s="671"/>
      <c r="B263" s="35"/>
      <c r="C263" s="606"/>
      <c r="D263" s="673"/>
      <c r="E263" s="41"/>
      <c r="F263" s="298"/>
      <c r="G263" s="235">
        <f>ROUND(D263*E263,2)</f>
        <v>0</v>
      </c>
      <c r="H263" s="270">
        <v>6</v>
      </c>
      <c r="I263" s="41">
        <v>15.15</v>
      </c>
      <c r="J263" s="670">
        <f>ROUND(H263*I263,2)</f>
        <v>90.9</v>
      </c>
      <c r="K263" s="689">
        <v>42887</v>
      </c>
      <c r="L263" s="614"/>
      <c r="M263" s="273"/>
      <c r="N263" s="298"/>
      <c r="O263" s="298"/>
      <c r="P263" s="298"/>
      <c r="Q263" s="298"/>
    </row>
    <row r="264" spans="1:18" ht="15.75">
      <c r="A264" s="674"/>
      <c r="B264" s="672"/>
      <c r="C264" s="48" t="s">
        <v>158</v>
      </c>
      <c r="D264" s="269">
        <v>1759.5</v>
      </c>
      <c r="E264" s="41">
        <f>6.5554-5.8666</f>
        <v>0.68879999999999963</v>
      </c>
      <c r="F264" s="298">
        <f t="shared" ref="F264:F265" si="45">+E264</f>
        <v>0.68879999999999963</v>
      </c>
      <c r="G264" s="235">
        <f>ROUND(D264*E264,2)</f>
        <v>1211.94</v>
      </c>
      <c r="H264" s="270"/>
      <c r="I264" s="41"/>
      <c r="J264" s="670"/>
      <c r="K264" s="670"/>
      <c r="L264" s="606"/>
      <c r="M264" s="606"/>
      <c r="N264" s="663"/>
      <c r="O264" s="237"/>
      <c r="P264" s="275"/>
      <c r="Q264" s="237"/>
    </row>
    <row r="265" spans="1:18" ht="15.75">
      <c r="A265" s="674"/>
      <c r="B265" s="35"/>
      <c r="C265" s="48" t="s">
        <v>39</v>
      </c>
      <c r="D265" s="269">
        <v>56.1</v>
      </c>
      <c r="E265" s="41">
        <v>6.5553999999999997</v>
      </c>
      <c r="F265" s="298">
        <f t="shared" si="45"/>
        <v>6.5553999999999997</v>
      </c>
      <c r="G265" s="235">
        <f>ROUND(D265*E265,2)</f>
        <v>367.76</v>
      </c>
      <c r="H265" s="270"/>
      <c r="I265" s="41"/>
      <c r="J265" s="41"/>
      <c r="K265" s="41"/>
      <c r="L265" s="614"/>
      <c r="M265" s="606"/>
      <c r="N265" s="663"/>
      <c r="O265" s="237"/>
      <c r="P265" s="275"/>
      <c r="Q265" s="237"/>
    </row>
    <row r="266" spans="1:18" ht="15.75" thickBot="1">
      <c r="A266" s="675"/>
      <c r="B266" s="676"/>
      <c r="C266" s="107" t="s">
        <v>29</v>
      </c>
      <c r="D266" s="643">
        <v>1622.4</v>
      </c>
      <c r="E266" s="56">
        <v>6.5553999999999997</v>
      </c>
      <c r="F266" s="109"/>
      <c r="G266" s="309">
        <f t="shared" ref="G266:G276" si="46">ROUND(D266*E266,2)</f>
        <v>10635.48</v>
      </c>
      <c r="H266" s="643"/>
      <c r="I266" s="109"/>
      <c r="J266" s="109"/>
      <c r="K266" s="109"/>
      <c r="L266" s="677"/>
      <c r="M266" s="314"/>
      <c r="N266" s="109"/>
      <c r="O266" s="109"/>
      <c r="P266" s="109"/>
      <c r="Q266" s="109"/>
      <c r="R266" s="2"/>
    </row>
    <row r="267" spans="1:18" ht="16.5" thickTop="1">
      <c r="A267" s="658"/>
      <c r="B267" s="659" t="s">
        <v>117</v>
      </c>
      <c r="C267" s="48" t="s">
        <v>158</v>
      </c>
      <c r="D267" s="259">
        <v>468.3</v>
      </c>
      <c r="E267" s="41">
        <f>6.5554-5.8666</f>
        <v>0.68879999999999963</v>
      </c>
      <c r="F267" s="691">
        <f>+E267</f>
        <v>0.68879999999999963</v>
      </c>
      <c r="G267" s="214">
        <f>ROUND(D267*E267,2)</f>
        <v>322.57</v>
      </c>
      <c r="H267" s="303"/>
      <c r="I267" s="23"/>
      <c r="J267" s="23"/>
      <c r="K267" s="23"/>
      <c r="L267" s="603">
        <f>SUM(G267:G269)</f>
        <v>3223.33</v>
      </c>
      <c r="M267" s="187">
        <v>3223.33</v>
      </c>
      <c r="N267" s="660"/>
      <c r="O267" s="217"/>
      <c r="P267" s="661"/>
      <c r="Q267" s="219"/>
      <c r="R267" s="324"/>
    </row>
    <row r="268" spans="1:18" ht="15.75">
      <c r="A268" s="662"/>
      <c r="B268" s="35"/>
      <c r="C268" s="48" t="s">
        <v>39</v>
      </c>
      <c r="D268" s="773">
        <v>14.8</v>
      </c>
      <c r="E268" s="41">
        <v>6.5553999999999997</v>
      </c>
      <c r="F268" s="774">
        <f t="shared" ref="F268" si="47">+E268</f>
        <v>6.5553999999999997</v>
      </c>
      <c r="G268" s="775">
        <f t="shared" si="46"/>
        <v>97.02</v>
      </c>
      <c r="H268" s="432"/>
      <c r="I268" s="207"/>
      <c r="J268" s="207"/>
      <c r="K268" s="207"/>
      <c r="L268" s="776"/>
      <c r="M268" s="776"/>
      <c r="N268" s="777"/>
      <c r="O268" s="778"/>
      <c r="P268" s="779"/>
      <c r="Q268" s="780"/>
    </row>
    <row r="269" spans="1:18" ht="15.75" thickBot="1">
      <c r="A269" s="781"/>
      <c r="B269" s="782"/>
      <c r="C269" s="54" t="s">
        <v>29</v>
      </c>
      <c r="D269" s="613">
        <v>427.7</v>
      </c>
      <c r="E269" s="56">
        <v>6.5553999999999997</v>
      </c>
      <c r="F269" s="57"/>
      <c r="G269" s="247">
        <f t="shared" si="46"/>
        <v>2803.74</v>
      </c>
      <c r="H269" s="613"/>
      <c r="I269" s="57"/>
      <c r="J269" s="57"/>
      <c r="K269" s="57"/>
      <c r="L269" s="783"/>
      <c r="M269" s="784"/>
      <c r="N269" s="57"/>
      <c r="O269" s="57"/>
      <c r="P269" s="57"/>
      <c r="Q269" s="666"/>
    </row>
    <row r="270" spans="1:18" ht="15.75">
      <c r="A270" s="662"/>
      <c r="B270" s="785" t="s">
        <v>142</v>
      </c>
      <c r="C270" s="786" t="s">
        <v>73</v>
      </c>
      <c r="D270" s="787">
        <v>57</v>
      </c>
      <c r="E270" s="21">
        <v>36.214199999999998</v>
      </c>
      <c r="F270" s="21">
        <v>42.4328</v>
      </c>
      <c r="G270" s="214">
        <f>+D270*(E270+F270)</f>
        <v>4482.8789999999999</v>
      </c>
      <c r="H270" s="457"/>
      <c r="I270" s="199"/>
      <c r="J270" s="199"/>
      <c r="K270" s="199"/>
      <c r="L270" s="603">
        <f>SUM(G270:G273)</f>
        <v>22851.828999999998</v>
      </c>
      <c r="M270" s="187">
        <v>22851.83</v>
      </c>
      <c r="N270" s="788"/>
      <c r="O270" s="789"/>
      <c r="P270" s="790"/>
      <c r="Q270" s="791"/>
    </row>
    <row r="271" spans="1:18" ht="15.75">
      <c r="A271" s="792"/>
      <c r="B271" s="793"/>
      <c r="C271" s="48" t="s">
        <v>158</v>
      </c>
      <c r="D271" s="269">
        <v>867.1</v>
      </c>
      <c r="E271" s="41">
        <f>6.5554-5.8666</f>
        <v>0.68879999999999963</v>
      </c>
      <c r="F271" s="297">
        <f>+E271</f>
        <v>0.68879999999999963</v>
      </c>
      <c r="G271" s="235">
        <f t="shared" si="46"/>
        <v>597.26</v>
      </c>
      <c r="H271" s="270"/>
      <c r="I271" s="41"/>
      <c r="J271" s="41"/>
      <c r="K271" s="41"/>
      <c r="L271" s="614"/>
      <c r="M271" s="273"/>
      <c r="N271" s="663"/>
      <c r="O271" s="237"/>
      <c r="P271" s="275"/>
      <c r="Q271" s="238"/>
    </row>
    <row r="272" spans="1:18" ht="15.75">
      <c r="A272" s="794"/>
      <c r="B272" s="767"/>
      <c r="C272" s="48" t="s">
        <v>39</v>
      </c>
      <c r="D272" s="269">
        <v>90.71</v>
      </c>
      <c r="E272" s="41">
        <v>6.5553999999999997</v>
      </c>
      <c r="F272" s="298">
        <f t="shared" ref="F272" si="48">+E272</f>
        <v>6.5553999999999997</v>
      </c>
      <c r="G272" s="235">
        <f t="shared" si="46"/>
        <v>594.64</v>
      </c>
      <c r="H272" s="270"/>
      <c r="I272" s="41"/>
      <c r="J272" s="41"/>
      <c r="K272" s="41"/>
      <c r="L272" s="606"/>
      <c r="M272" s="606"/>
      <c r="N272" s="663"/>
      <c r="O272" s="237"/>
      <c r="P272" s="275"/>
      <c r="Q272" s="238"/>
    </row>
    <row r="273" spans="1:17" ht="15.75" thickBot="1">
      <c r="A273" s="664"/>
      <c r="B273" s="665"/>
      <c r="C273" s="512" t="s">
        <v>29</v>
      </c>
      <c r="D273" s="795">
        <v>2620.29</v>
      </c>
      <c r="E273" s="56">
        <v>6.5553999999999997</v>
      </c>
      <c r="F273" s="797"/>
      <c r="G273" s="798">
        <f t="shared" si="46"/>
        <v>17177.05</v>
      </c>
      <c r="H273" s="795"/>
      <c r="I273" s="797"/>
      <c r="J273" s="797"/>
      <c r="K273" s="797"/>
      <c r="L273" s="799"/>
      <c r="M273" s="292"/>
      <c r="N273" s="797"/>
      <c r="O273" s="797"/>
      <c r="P273" s="797"/>
      <c r="Q273" s="800"/>
    </row>
    <row r="274" spans="1:17" ht="15.75">
      <c r="A274" s="658"/>
      <c r="B274" s="659" t="s">
        <v>148</v>
      </c>
      <c r="C274" s="48" t="s">
        <v>158</v>
      </c>
      <c r="D274" s="259">
        <v>262.10000000000002</v>
      </c>
      <c r="E274" s="41">
        <f>6.5554-5.8666</f>
        <v>0.68879999999999963</v>
      </c>
      <c r="F274" s="691">
        <f>+E274</f>
        <v>0.68879999999999963</v>
      </c>
      <c r="G274" s="214">
        <f>ROUND(D274*E274,2)+0.01</f>
        <v>180.54</v>
      </c>
      <c r="H274" s="303"/>
      <c r="I274" s="23"/>
      <c r="J274" s="23"/>
      <c r="K274" s="23"/>
      <c r="L274" s="603">
        <f>SUM(G274:G276)</f>
        <v>1784.6399999999999</v>
      </c>
      <c r="M274" s="187">
        <v>1784.64</v>
      </c>
      <c r="N274" s="660"/>
      <c r="O274" s="217"/>
      <c r="P274" s="661"/>
      <c r="Q274" s="219"/>
    </row>
    <row r="275" spans="1:17" ht="15.75">
      <c r="A275" s="662"/>
      <c r="B275" s="35"/>
      <c r="C275" s="48" t="s">
        <v>39</v>
      </c>
      <c r="D275" s="269">
        <v>8.1999999999999993</v>
      </c>
      <c r="E275" s="41">
        <v>6.5553999999999997</v>
      </c>
      <c r="F275" s="298">
        <f t="shared" ref="F275" si="49">+E275</f>
        <v>6.5553999999999997</v>
      </c>
      <c r="G275" s="235">
        <f t="shared" si="46"/>
        <v>53.75</v>
      </c>
      <c r="H275" s="270"/>
      <c r="I275" s="41"/>
      <c r="J275" s="41"/>
      <c r="K275" s="41"/>
      <c r="L275" s="606"/>
      <c r="M275" s="606"/>
      <c r="N275" s="663"/>
      <c r="O275" s="237"/>
      <c r="P275" s="275"/>
      <c r="Q275" s="238"/>
    </row>
    <row r="276" spans="1:17" ht="15.75" thickBot="1">
      <c r="A276" s="664"/>
      <c r="B276" s="665"/>
      <c r="C276" s="99" t="s">
        <v>29</v>
      </c>
      <c r="D276" s="613">
        <v>236.5</v>
      </c>
      <c r="E276" s="56">
        <v>6.5553999999999997</v>
      </c>
      <c r="F276" s="57"/>
      <c r="G276" s="247">
        <f t="shared" si="46"/>
        <v>1550.35</v>
      </c>
      <c r="H276" s="613"/>
      <c r="I276" s="57"/>
      <c r="J276" s="57"/>
      <c r="K276" s="57"/>
      <c r="L276" s="614"/>
      <c r="M276" s="606"/>
      <c r="N276" s="57"/>
      <c r="O276" s="57"/>
      <c r="P276" s="57"/>
      <c r="Q276" s="666"/>
    </row>
  </sheetData>
  <mergeCells count="40">
    <mergeCell ref="M255:M256"/>
    <mergeCell ref="N255:Q255"/>
    <mergeCell ref="A255:A256"/>
    <mergeCell ref="B255:B256"/>
    <mergeCell ref="C255:C256"/>
    <mergeCell ref="D255:G255"/>
    <mergeCell ref="H255:K255"/>
    <mergeCell ref="L255:L256"/>
    <mergeCell ref="M76:M77"/>
    <mergeCell ref="N76:Q76"/>
    <mergeCell ref="A173:A174"/>
    <mergeCell ref="B173:B174"/>
    <mergeCell ref="C173:C174"/>
    <mergeCell ref="D173:G173"/>
    <mergeCell ref="H173:K173"/>
    <mergeCell ref="L173:L174"/>
    <mergeCell ref="M173:M174"/>
    <mergeCell ref="N173:Q173"/>
    <mergeCell ref="A76:A77"/>
    <mergeCell ref="B76:B77"/>
    <mergeCell ref="C76:C77"/>
    <mergeCell ref="D76:G76"/>
    <mergeCell ref="H76:K76"/>
    <mergeCell ref="L76:L77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82"/>
  <sheetViews>
    <sheetView topLeftCell="A148" workbookViewId="0">
      <selection activeCell="D109" sqref="D109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9" max="19" width="9.7109375" customWidth="1"/>
    <col min="20" max="20" width="10" customWidth="1"/>
    <col min="21" max="21" width="13.140625" customWidth="1"/>
  </cols>
  <sheetData>
    <row r="1" spans="1:21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1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1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1">
      <c r="A4" s="17" t="s">
        <v>22</v>
      </c>
      <c r="B4" s="18" t="s">
        <v>23</v>
      </c>
      <c r="C4" s="19">
        <f>+[1]авг17!U4</f>
        <v>3.2529499999072868</v>
      </c>
      <c r="D4" s="20">
        <v>29</v>
      </c>
      <c r="E4" s="21">
        <v>36.214199999999998</v>
      </c>
      <c r="F4" s="21">
        <v>42.4328</v>
      </c>
      <c r="G4" s="22">
        <f>ROUND(D4*(E4+F4),2)</f>
        <v>2280.7600000000002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122592.09</v>
      </c>
      <c r="M4" s="26">
        <v>122595.41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-6.7050000099698082E-2</v>
      </c>
    </row>
    <row r="5" spans="1:21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1">
      <c r="A6" s="34"/>
      <c r="B6" s="35"/>
      <c r="C6" s="48" t="s">
        <v>164</v>
      </c>
      <c r="D6" s="49">
        <v>21358.7</v>
      </c>
      <c r="E6" s="41">
        <f>6.6426-6.5554</f>
        <v>8.7200000000000166E-2</v>
      </c>
      <c r="F6" s="41">
        <f>+E6</f>
        <v>8.7200000000000166E-2</v>
      </c>
      <c r="G6" s="50">
        <f>ROUND(D6*E6,2)</f>
        <v>1862.48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/>
      <c r="S6" s="31"/>
      <c r="T6" s="32"/>
    </row>
    <row r="7" spans="1:21">
      <c r="A7" s="34"/>
      <c r="B7" s="35"/>
      <c r="C7" s="48" t="s">
        <v>165</v>
      </c>
      <c r="D7" s="49">
        <v>519.4</v>
      </c>
      <c r="E7" s="41">
        <v>6.6425999999999998</v>
      </c>
      <c r="F7" s="41">
        <f>+E7</f>
        <v>6.6425999999999998</v>
      </c>
      <c r="G7" s="50">
        <f>ROUND(D7*E7,2)</f>
        <v>3450.17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</row>
    <row r="8" spans="1:21" ht="15.75" thickBot="1">
      <c r="A8" s="52"/>
      <c r="B8" s="53"/>
      <c r="C8" s="99" t="s">
        <v>29</v>
      </c>
      <c r="D8" s="55">
        <v>17312.3</v>
      </c>
      <c r="E8" s="56">
        <v>6.6425999999999998</v>
      </c>
      <c r="F8" s="57">
        <f>+E8</f>
        <v>6.6425999999999998</v>
      </c>
      <c r="G8" s="58">
        <f>ROUND(D8*E8,2)</f>
        <v>114998.68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114998.68</v>
      </c>
      <c r="R8" s="66" t="s">
        <v>25</v>
      </c>
      <c r="S8" s="67">
        <f>SUM(O4:O8)</f>
        <v>0</v>
      </c>
      <c r="T8" s="68">
        <f>SUM(Q4:Q8)</f>
        <v>114998.68</v>
      </c>
    </row>
    <row r="9" spans="1:21" s="81" customFormat="1">
      <c r="A9" s="69" t="s">
        <v>30</v>
      </c>
      <c r="B9" s="70" t="s">
        <v>31</v>
      </c>
      <c r="C9" s="71">
        <f>+[1]авг17!U9</f>
        <v>-2.2887999999875319</v>
      </c>
      <c r="D9" s="72">
        <v>106</v>
      </c>
      <c r="E9" s="21">
        <v>36.214199999999998</v>
      </c>
      <c r="F9" s="21">
        <v>42.4328</v>
      </c>
      <c r="G9" s="22">
        <f>ROUND(D9*(E9+F9),2)</f>
        <v>8336.58</v>
      </c>
      <c r="H9" s="72"/>
      <c r="I9" s="21">
        <v>4.5999999999999996</v>
      </c>
      <c r="J9" s="73">
        <f>+H9*I9</f>
        <v>0</v>
      </c>
      <c r="K9" s="24"/>
      <c r="L9" s="74">
        <f>SUM(G9:G16,J9:J15)</f>
        <v>47644.399999999994</v>
      </c>
      <c r="M9" s="26">
        <v>47643.99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-1.8787999999913154</v>
      </c>
    </row>
    <row r="10" spans="1:21" s="81" customFormat="1">
      <c r="A10" s="82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1" s="81" customFormat="1">
      <c r="A11" s="82"/>
      <c r="B11" s="98" t="s">
        <v>32</v>
      </c>
      <c r="C11" s="99" t="s">
        <v>33</v>
      </c>
      <c r="D11" s="100"/>
      <c r="E11" s="101">
        <v>304.86</v>
      </c>
      <c r="F11" s="38">
        <v>37.889800000000001</v>
      </c>
      <c r="G11" s="39">
        <f>ROUND(D11*(E11+F11),2)</f>
        <v>0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1" s="81" customFormat="1">
      <c r="A12" s="82"/>
      <c r="B12" s="83" t="s">
        <v>34</v>
      </c>
      <c r="C12" s="84"/>
      <c r="D12" s="49"/>
      <c r="E12" s="41">
        <f>304.86-291.8</f>
        <v>13.060000000000002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1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1" s="81" customFormat="1">
      <c r="A14" s="82"/>
      <c r="B14" s="83"/>
      <c r="C14" s="48" t="s">
        <v>164</v>
      </c>
      <c r="D14" s="49">
        <v>6843.4</v>
      </c>
      <c r="E14" s="41">
        <f>6.6426-6.5554</f>
        <v>8.7200000000000166E-2</v>
      </c>
      <c r="F14" s="41">
        <f>+E14</f>
        <v>8.7200000000000166E-2</v>
      </c>
      <c r="G14" s="50">
        <f>ROUND(D14*E14*70%+D14*F14*30%,2)</f>
        <v>596.74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1" s="81" customFormat="1">
      <c r="A15" s="82"/>
      <c r="B15" s="83"/>
      <c r="C15" s="48" t="s">
        <v>165</v>
      </c>
      <c r="D15" s="49">
        <v>169.8</v>
      </c>
      <c r="E15" s="41">
        <v>6.6425999999999998</v>
      </c>
      <c r="F15" s="41">
        <f>+E15</f>
        <v>6.6425999999999998</v>
      </c>
      <c r="G15" s="50">
        <f>ROUND(D15*E15*70%+D15*F15*30%,2)</f>
        <v>1127.9100000000001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1" s="81" customFormat="1" ht="15.75" thickBot="1">
      <c r="A16" s="105"/>
      <c r="B16" s="106"/>
      <c r="C16" s="99" t="s">
        <v>29</v>
      </c>
      <c r="D16" s="108">
        <v>5657.9</v>
      </c>
      <c r="E16" s="56">
        <v>6.6425999999999998</v>
      </c>
      <c r="F16" s="109">
        <f>+E16</f>
        <v>6.6425999999999998</v>
      </c>
      <c r="G16" s="110">
        <f>ROUND(D16*E16*70%+D16*F16*30%,2)</f>
        <v>37583.17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1812.82</v>
      </c>
      <c r="M23" s="26">
        <v>1812.82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164</v>
      </c>
      <c r="D24" s="37">
        <v>312.89999999999998</v>
      </c>
      <c r="E24" s="41">
        <f>6.6426-6.5554</f>
        <v>8.7200000000000166E-2</v>
      </c>
      <c r="F24" s="38"/>
      <c r="G24" s="39">
        <f>ROUND(D24*(E24+F24),2)+0.01</f>
        <v>27.290000000000003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30"/>
      <c r="S24" s="31"/>
      <c r="T24" s="32"/>
      <c r="U24"/>
    </row>
    <row r="25" spans="1:21" s="140" customFormat="1">
      <c r="A25" s="34"/>
      <c r="B25" s="35"/>
      <c r="C25" s="48" t="s">
        <v>165</v>
      </c>
      <c r="D25" s="49">
        <v>7.8</v>
      </c>
      <c r="E25" s="41">
        <v>6.6425999999999998</v>
      </c>
      <c r="F25" s="41">
        <f>+E25</f>
        <v>6.6425999999999998</v>
      </c>
      <c r="G25" s="50">
        <f>ROUND(D25*E25,2)</f>
        <v>51.81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766"/>
      <c r="B26" s="767"/>
      <c r="C26" s="99" t="s">
        <v>29</v>
      </c>
      <c r="D26" s="49">
        <v>261</v>
      </c>
      <c r="E26" s="56">
        <v>6.6425999999999998</v>
      </c>
      <c r="F26" s="41">
        <f>+E26</f>
        <v>6.6425999999999998</v>
      </c>
      <c r="G26" s="50">
        <f>ROUND(D26*E26,2)</f>
        <v>1733.72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f>+[1]авг17!U30</f>
        <v>2.4980879999639001</v>
      </c>
      <c r="D30" s="184">
        <v>42.2</v>
      </c>
      <c r="E30" s="21">
        <v>36.214199999999998</v>
      </c>
      <c r="F30" s="21">
        <v>42.4328</v>
      </c>
      <c r="G30" s="185">
        <f>ROUND(D30*(E30+F30),2)</f>
        <v>3318.9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154766.26</v>
      </c>
      <c r="M30" s="187">
        <v>154766.46</v>
      </c>
      <c r="N30" s="188"/>
      <c r="O30" s="23">
        <v>3998.87</v>
      </c>
      <c r="P30" s="189" t="s">
        <v>47</v>
      </c>
      <c r="Q30" s="23">
        <f t="shared" ref="Q30:Q35" si="0">C30+G30+J30-M30-N30-O30</f>
        <v>-155443.93191200003</v>
      </c>
      <c r="R30" s="190" t="s">
        <v>48</v>
      </c>
      <c r="S30" s="176"/>
      <c r="U30" s="33">
        <f>+C30+L30-M30</f>
        <v>2.2980879999813624</v>
      </c>
    </row>
    <row r="31" spans="1:21">
      <c r="A31" s="191"/>
      <c r="B31" s="192"/>
      <c r="C31" s="36" t="s">
        <v>26</v>
      </c>
      <c r="D31" s="37"/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164</v>
      </c>
      <c r="D32" s="49">
        <v>27531</v>
      </c>
      <c r="E32" s="41">
        <f>6.6426-6.5554</f>
        <v>8.7200000000000166E-2</v>
      </c>
      <c r="F32" s="41">
        <f>+E32</f>
        <v>8.7200000000000166E-2</v>
      </c>
      <c r="G32" s="50">
        <f>ROUND(D32*F32,2)</f>
        <v>2400.6999999999998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165</v>
      </c>
      <c r="D33" s="49">
        <v>238</v>
      </c>
      <c r="E33" s="41">
        <v>6.6425999999999998</v>
      </c>
      <c r="F33" s="41">
        <f>+E33</f>
        <v>6.6425999999999998</v>
      </c>
      <c r="G33" s="50">
        <f>ROUND(D33*E33,2)</f>
        <v>1580.94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22200</v>
      </c>
      <c r="E34" s="56">
        <v>6.6425999999999998</v>
      </c>
      <c r="F34" s="57">
        <f>+E34</f>
        <v>6.6425999999999998</v>
      </c>
      <c r="G34" s="58">
        <f>ROUND(D34*E34,2)</f>
        <v>147465.72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78755.710000000006</v>
      </c>
      <c r="R34" s="209" t="s">
        <v>50</v>
      </c>
      <c r="S34" s="210">
        <f>SUM(O30:O34)</f>
        <v>72708.87999999999</v>
      </c>
      <c r="T34" s="210">
        <f>SUM(Q30:Q34)</f>
        <v>-76688.221912000023</v>
      </c>
    </row>
    <row r="35" spans="1:21">
      <c r="A35" s="211" t="s">
        <v>51</v>
      </c>
      <c r="B35" s="212" t="s">
        <v>52</v>
      </c>
      <c r="C35" s="71">
        <f>+[1]авг17!U35</f>
        <v>1.4177539999363944</v>
      </c>
      <c r="D35" s="213">
        <v>129.68</v>
      </c>
      <c r="E35" s="21">
        <v>36.214199999999998</v>
      </c>
      <c r="F35" s="21">
        <v>42.4328</v>
      </c>
      <c r="G35" s="214">
        <f>ROUND(D35*(E35+F35),2)</f>
        <v>10198.94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51636.04</v>
      </c>
      <c r="M35" s="187">
        <v>51633.84</v>
      </c>
      <c r="N35" s="188"/>
      <c r="O35" s="217">
        <v>4253.6899999999996</v>
      </c>
      <c r="P35" s="218" t="s">
        <v>47</v>
      </c>
      <c r="Q35" s="219">
        <f t="shared" si="0"/>
        <v>-45687.17224600006</v>
      </c>
      <c r="R35" s="220" t="s">
        <v>53</v>
      </c>
      <c r="S35" s="221"/>
      <c r="T35" s="222"/>
      <c r="U35" s="33">
        <f>+C35+L35-M35</f>
        <v>3.61775399994076</v>
      </c>
    </row>
    <row r="36" spans="1:21" ht="15.75" thickBot="1">
      <c r="A36" s="223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/>
      <c r="E37" s="101">
        <v>197.35</v>
      </c>
      <c r="F37" s="21">
        <v>42.4328</v>
      </c>
      <c r="G37" s="235">
        <f>ROUND(D37*(E37+F37),2)</f>
        <v>0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-5456.6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/>
      <c r="E38" s="240">
        <f>155.72-178.43</f>
        <v>-22.710000000000008</v>
      </c>
      <c r="F38" s="240"/>
      <c r="G38" s="235">
        <f>+ROUND(D38*E38,2)</f>
        <v>0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/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164</v>
      </c>
      <c r="D40" s="49">
        <v>6923.4</v>
      </c>
      <c r="E40" s="41">
        <f>6.6426-6.5554</f>
        <v>8.7200000000000166E-2</v>
      </c>
      <c r="F40" s="41">
        <f t="shared" ref="F40:F48" si="2">+E40</f>
        <v>8.7200000000000166E-2</v>
      </c>
      <c r="G40" s="50">
        <f>ROUND(D40*E40,2)-0.01</f>
        <v>603.71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165</v>
      </c>
      <c r="D41" s="49">
        <v>65.099999999999994</v>
      </c>
      <c r="E41" s="41">
        <v>6.6425999999999998</v>
      </c>
      <c r="F41" s="41">
        <f t="shared" si="2"/>
        <v>6.6425999999999998</v>
      </c>
      <c r="G41" s="50">
        <f>ROUND(D41*E41,2)</f>
        <v>432.43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6082.1</v>
      </c>
      <c r="E42" s="56">
        <v>6.6425999999999998</v>
      </c>
      <c r="F42" s="57">
        <f t="shared" si="2"/>
        <v>6.6425999999999998</v>
      </c>
      <c r="G42" s="247">
        <f>ROUND(D42*E42*70%+D42*F42*30%,2)</f>
        <v>40400.959999999999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24623.059999999998</v>
      </c>
      <c r="R42" s="255" t="s">
        <v>54</v>
      </c>
      <c r="S42" s="256">
        <f>SUM(O35:O42)</f>
        <v>25488.190000000002</v>
      </c>
      <c r="T42" s="256">
        <f>SUM(Q35:Q42)</f>
        <v>-26520.712246000061</v>
      </c>
    </row>
    <row r="43" spans="1:21" ht="15.75">
      <c r="A43" s="257"/>
      <c r="B43" s="258" t="s">
        <v>55</v>
      </c>
      <c r="C43" s="48" t="s">
        <v>164</v>
      </c>
      <c r="D43" s="259">
        <v>2189.2399999999998</v>
      </c>
      <c r="E43" s="41">
        <f>6.6426-6.5554</f>
        <v>8.7200000000000166E-2</v>
      </c>
      <c r="F43" s="41">
        <f t="shared" si="2"/>
        <v>8.7200000000000166E-2</v>
      </c>
      <c r="G43" s="214">
        <f>ROUND(D43*E43,2)</f>
        <v>190.9</v>
      </c>
      <c r="H43" s="260"/>
      <c r="I43" s="261"/>
      <c r="J43" s="261"/>
      <c r="K43" s="262"/>
      <c r="L43" s="263">
        <f>SUM(G43:G45)</f>
        <v>12469.949999999999</v>
      </c>
      <c r="M43" s="187">
        <v>12469.95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165</v>
      </c>
      <c r="D44" s="269">
        <v>19.57</v>
      </c>
      <c r="E44" s="41">
        <v>6.6425999999999998</v>
      </c>
      <c r="F44" s="41">
        <f t="shared" si="2"/>
        <v>6.6425999999999998</v>
      </c>
      <c r="G44" s="235">
        <f>ROUND(D44*E44,2)</f>
        <v>130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1828.96</v>
      </c>
      <c r="E45" s="56">
        <v>6.6425999999999998</v>
      </c>
      <c r="F45" s="57">
        <f t="shared" si="2"/>
        <v>6.6425999999999998</v>
      </c>
      <c r="G45" s="247">
        <f t="shared" ref="G45:G48" si="3">ROUND(D45*E45,2)</f>
        <v>12149.05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164</v>
      </c>
      <c r="D46" s="259">
        <v>299.5</v>
      </c>
      <c r="E46" s="41">
        <f>6.6426-6.5554</f>
        <v>8.7200000000000166E-2</v>
      </c>
      <c r="F46" s="41">
        <f t="shared" si="2"/>
        <v>8.7200000000000166E-2</v>
      </c>
      <c r="G46" s="214">
        <f>ROUND(D46*E46,2)+0.01</f>
        <v>26.130000000000003</v>
      </c>
      <c r="H46" s="260"/>
      <c r="I46" s="261"/>
      <c r="J46" s="261"/>
      <c r="K46" s="262"/>
      <c r="L46" s="286">
        <f>SUM(G46:G48)</f>
        <v>2584.19</v>
      </c>
      <c r="M46" s="227">
        <v>2584.19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165</v>
      </c>
      <c r="D47" s="269">
        <v>4.0999999999999996</v>
      </c>
      <c r="E47" s="41">
        <v>6.6425999999999998</v>
      </c>
      <c r="F47" s="41">
        <f t="shared" si="2"/>
        <v>6.6425999999999998</v>
      </c>
      <c r="G47" s="235">
        <f>ROUND(D47*E47,2)</f>
        <v>27.23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381</v>
      </c>
      <c r="E48" s="56">
        <v>6.6425999999999998</v>
      </c>
      <c r="F48" s="57">
        <f t="shared" si="2"/>
        <v>6.6425999999999998</v>
      </c>
      <c r="G48" s="247">
        <f t="shared" si="3"/>
        <v>2530.83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5.75">
      <c r="A49" s="808"/>
      <c r="B49" s="291" t="s">
        <v>57</v>
      </c>
      <c r="C49" s="292"/>
      <c r="D49" s="259"/>
      <c r="E49" s="21">
        <v>36.214199999999998</v>
      </c>
      <c r="F49" s="21">
        <v>42.4328</v>
      </c>
      <c r="G49" s="214">
        <f>ROUND(D49*(E49+F49),2)</f>
        <v>0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0</v>
      </c>
      <c r="M49" s="227">
        <v>0</v>
      </c>
      <c r="N49" s="264"/>
      <c r="O49" s="229"/>
      <c r="P49" s="265"/>
      <c r="Q49" s="229"/>
      <c r="R49" s="242"/>
      <c r="S49" s="266"/>
      <c r="T49" s="266"/>
    </row>
    <row r="50" spans="1:20" ht="15.75">
      <c r="A50" s="80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>
      <c r="A51" s="809"/>
      <c r="B51" s="268"/>
      <c r="C51" s="48" t="s">
        <v>164</v>
      </c>
      <c r="D51" s="296"/>
      <c r="E51" s="41">
        <f>6.6426-6.5554</f>
        <v>8.7200000000000166E-2</v>
      </c>
      <c r="F51" s="41">
        <f>+E51</f>
        <v>8.7200000000000166E-2</v>
      </c>
      <c r="G51" s="235">
        <f>ROUND(D51*E51,2)</f>
        <v>0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5.75">
      <c r="A52" s="809"/>
      <c r="B52" s="268"/>
      <c r="C52" s="48" t="s">
        <v>165</v>
      </c>
      <c r="D52" s="269"/>
      <c r="E52" s="41">
        <v>6.6425999999999998</v>
      </c>
      <c r="F52" s="41">
        <f>+E52</f>
        <v>6.6425999999999998</v>
      </c>
      <c r="G52" s="235">
        <f>ROUND(D52*E52,2)</f>
        <v>0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thickBot="1">
      <c r="A53" s="802"/>
      <c r="B53" s="277"/>
      <c r="C53" s="99" t="s">
        <v>29</v>
      </c>
      <c r="D53" s="279"/>
      <c r="E53" s="56">
        <v>6.6425999999999998</v>
      </c>
      <c r="F53" s="57">
        <f>+E53</f>
        <v>6.6425999999999998</v>
      </c>
      <c r="G53" s="247">
        <f>ROUND(D53*E53,2)</f>
        <v>0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>
      <c r="A54" s="299"/>
      <c r="B54" s="258" t="s">
        <v>58</v>
      </c>
      <c r="C54" s="48" t="s">
        <v>59</v>
      </c>
      <c r="D54" s="259">
        <v>0.36</v>
      </c>
      <c r="E54" s="21">
        <v>36.214199999999998</v>
      </c>
      <c r="F54" s="21">
        <v>42.4328</v>
      </c>
      <c r="G54" s="214">
        <f>ROUND(D54*(E54+F54),2)</f>
        <v>28.31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1449.21</v>
      </c>
      <c r="M54" s="227">
        <v>1449.21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/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164</v>
      </c>
      <c r="D56" s="296">
        <v>198.7</v>
      </c>
      <c r="E56" s="41">
        <f>6.6426-6.5554</f>
        <v>8.7200000000000166E-2</v>
      </c>
      <c r="F56" s="41">
        <f t="shared" ref="F56:F76" si="6">+E56</f>
        <v>8.7200000000000166E-2</v>
      </c>
      <c r="G56" s="235">
        <f>ROUND(D56*E56,2)-0.01</f>
        <v>17.319999999999997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165</v>
      </c>
      <c r="D57" s="269">
        <v>2.2000000000000002</v>
      </c>
      <c r="E57" s="41">
        <v>6.6425999999999998</v>
      </c>
      <c r="F57" s="41">
        <f t="shared" si="6"/>
        <v>6.6425999999999998</v>
      </c>
      <c r="G57" s="235">
        <f t="shared" ref="G57:G64" si="7">ROUND(D57*E57,2)</f>
        <v>14.61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209.1</v>
      </c>
      <c r="E58" s="56">
        <v>6.6425999999999998</v>
      </c>
      <c r="F58" s="57">
        <f t="shared" si="6"/>
        <v>6.6425999999999998</v>
      </c>
      <c r="G58" s="247">
        <f t="shared" si="7"/>
        <v>1388.97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164</v>
      </c>
      <c r="D59" s="296">
        <v>203</v>
      </c>
      <c r="E59" s="41">
        <f>6.6426-6.5554</f>
        <v>8.7200000000000166E-2</v>
      </c>
      <c r="F59" s="41">
        <f t="shared" si="6"/>
        <v>8.7200000000000166E-2</v>
      </c>
      <c r="G59" s="235">
        <f>ROUND(D59*E59,2)+0.01</f>
        <v>17.71</v>
      </c>
      <c r="H59" s="270"/>
      <c r="I59" s="41"/>
      <c r="J59" s="41"/>
      <c r="K59" s="271"/>
      <c r="L59" s="294">
        <f>SUM(G59:G61)</f>
        <v>1150.5999999999999</v>
      </c>
      <c r="M59" s="227">
        <v>1150.5999999999999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165</v>
      </c>
      <c r="D60" s="269">
        <v>1.81</v>
      </c>
      <c r="E60" s="41">
        <v>6.6425999999999998</v>
      </c>
      <c r="F60" s="41">
        <f t="shared" si="6"/>
        <v>6.6425999999999998</v>
      </c>
      <c r="G60" s="235">
        <f t="shared" si="7"/>
        <v>12.02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168.74</v>
      </c>
      <c r="E61" s="56">
        <v>6.6425999999999998</v>
      </c>
      <c r="F61" s="57">
        <f t="shared" si="6"/>
        <v>6.6425999999999998</v>
      </c>
      <c r="G61" s="247">
        <f t="shared" si="7"/>
        <v>1120.8699999999999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164</v>
      </c>
      <c r="D62" s="296">
        <v>316.75</v>
      </c>
      <c r="E62" s="41">
        <f>6.6426-6.5554</f>
        <v>8.7200000000000166E-2</v>
      </c>
      <c r="F62" s="41">
        <f t="shared" si="6"/>
        <v>8.7200000000000166E-2</v>
      </c>
      <c r="G62" s="235">
        <f>ROUND(D62*E62,2)+0.01</f>
        <v>27.630000000000003</v>
      </c>
      <c r="H62" s="270"/>
      <c r="I62" s="41"/>
      <c r="J62" s="41"/>
      <c r="K62" s="271"/>
      <c r="L62" s="294">
        <f>SUM(G62:G64)</f>
        <v>1738.96</v>
      </c>
      <c r="M62" s="227">
        <v>1738.96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165</v>
      </c>
      <c r="D63" s="269">
        <v>2.73</v>
      </c>
      <c r="E63" s="41">
        <v>6.6425999999999998</v>
      </c>
      <c r="F63" s="41">
        <f t="shared" si="6"/>
        <v>6.6425999999999998</v>
      </c>
      <c r="G63" s="235">
        <f t="shared" si="7"/>
        <v>18.13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254.9</v>
      </c>
      <c r="E64" s="56">
        <v>6.6425999999999998</v>
      </c>
      <c r="F64" s="57">
        <f t="shared" si="6"/>
        <v>6.6425999999999998</v>
      </c>
      <c r="G64" s="247">
        <f t="shared" si="7"/>
        <v>1693.2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01"/>
      <c r="B65" s="192" t="s">
        <v>145</v>
      </c>
      <c r="C65" s="48" t="s">
        <v>164</v>
      </c>
      <c r="D65" s="296"/>
      <c r="E65" s="41">
        <f>6.6426-6.5554</f>
        <v>8.7200000000000166E-2</v>
      </c>
      <c r="F65" s="41">
        <f t="shared" si="6"/>
        <v>8.7200000000000166E-2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1" ht="15.75">
      <c r="A66" s="801"/>
      <c r="B66" s="192"/>
      <c r="C66" s="48" t="s">
        <v>165</v>
      </c>
      <c r="D66" s="269"/>
      <c r="E66" s="41">
        <v>6.6425999999999998</v>
      </c>
      <c r="F66" s="41">
        <f t="shared" si="6"/>
        <v>6.6425999999999998</v>
      </c>
      <c r="G66" s="235">
        <f t="shared" ref="G66:G67" si="8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02"/>
      <c r="B67" s="277"/>
      <c r="C67" s="99" t="s">
        <v>29</v>
      </c>
      <c r="D67" s="279"/>
      <c r="E67" s="56">
        <v>6.6425999999999998</v>
      </c>
      <c r="F67" s="57">
        <f t="shared" si="6"/>
        <v>6.6425999999999998</v>
      </c>
      <c r="G67" s="247">
        <f t="shared" si="8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706"/>
      <c r="B68" s="192" t="s">
        <v>152</v>
      </c>
      <c r="C68" s="48" t="s">
        <v>164</v>
      </c>
      <c r="D68" s="296">
        <v>426.72</v>
      </c>
      <c r="E68" s="41">
        <f>6.6426-6.5554</f>
        <v>8.7200000000000166E-2</v>
      </c>
      <c r="F68" s="41">
        <f t="shared" si="6"/>
        <v>8.7200000000000166E-2</v>
      </c>
      <c r="G68" s="235">
        <f>ROUND(D68*E68,2)</f>
        <v>37.21</v>
      </c>
      <c r="H68" s="270"/>
      <c r="I68" s="41"/>
      <c r="J68" s="41"/>
      <c r="K68" s="271"/>
      <c r="L68" s="294">
        <f>SUM(G68:G70)</f>
        <v>2365.5</v>
      </c>
      <c r="M68" s="227">
        <v>2365.5</v>
      </c>
      <c r="N68" s="274"/>
      <c r="O68" s="237"/>
      <c r="P68" s="275"/>
      <c r="Q68" s="237"/>
      <c r="R68" s="242"/>
      <c r="S68" s="266"/>
      <c r="T68" s="266"/>
    </row>
    <row r="69" spans="1:21" ht="15.75">
      <c r="A69" s="706"/>
      <c r="B69" s="192"/>
      <c r="C69" s="48" t="s">
        <v>165</v>
      </c>
      <c r="D69" s="269">
        <v>3.71</v>
      </c>
      <c r="E69" s="41">
        <v>6.6425999999999998</v>
      </c>
      <c r="F69" s="41">
        <f t="shared" si="6"/>
        <v>6.6425999999999998</v>
      </c>
      <c r="G69" s="235">
        <f t="shared" ref="G69:G70" si="9">ROUND(D69*E69,2)</f>
        <v>24.64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803"/>
      <c r="B70" s="804"/>
      <c r="C70" s="54" t="s">
        <v>29</v>
      </c>
      <c r="D70" s="279">
        <v>346.8</v>
      </c>
      <c r="E70" s="56">
        <v>6.6425999999999998</v>
      </c>
      <c r="F70" s="57">
        <f t="shared" si="6"/>
        <v>6.6425999999999998</v>
      </c>
      <c r="G70" s="247">
        <f t="shared" si="9"/>
        <v>2303.65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1">
      <c r="A71" s="706"/>
      <c r="B71" s="192" t="s">
        <v>159</v>
      </c>
      <c r="C71" s="48" t="s">
        <v>164</v>
      </c>
      <c r="D71" s="296">
        <v>32.14</v>
      </c>
      <c r="E71" s="41">
        <f>6.6426-6.5554</f>
        <v>8.7200000000000166E-2</v>
      </c>
      <c r="F71" s="41">
        <f t="shared" si="6"/>
        <v>8.7200000000000166E-2</v>
      </c>
      <c r="G71" s="235">
        <f>ROUND(D71*E71,2)</f>
        <v>2.8</v>
      </c>
      <c r="H71" s="270"/>
      <c r="I71" s="41"/>
      <c r="J71" s="41"/>
      <c r="K71" s="271"/>
      <c r="L71" s="294">
        <f>SUM(G71:G73)</f>
        <v>845.35</v>
      </c>
      <c r="M71" s="227">
        <v>845.35</v>
      </c>
      <c r="N71" s="274"/>
      <c r="O71" s="237"/>
      <c r="P71" s="275"/>
      <c r="Q71" s="237"/>
      <c r="R71" s="242"/>
      <c r="S71" s="266"/>
      <c r="T71" s="266"/>
    </row>
    <row r="72" spans="1:21" ht="15.75">
      <c r="A72" s="706"/>
      <c r="B72" s="192"/>
      <c r="C72" s="48" t="s">
        <v>165</v>
      </c>
      <c r="D72" s="269">
        <v>1.34</v>
      </c>
      <c r="E72" s="41">
        <v>6.6425999999999998</v>
      </c>
      <c r="F72" s="41">
        <f t="shared" si="6"/>
        <v>6.6425999999999998</v>
      </c>
      <c r="G72" s="235">
        <f t="shared" ref="G72:G73" si="10">ROUND(D72*E72,2)</f>
        <v>8.9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1" ht="16.5" thickBot="1">
      <c r="A73" s="706"/>
      <c r="B73" s="192"/>
      <c r="C73" s="99" t="s">
        <v>29</v>
      </c>
      <c r="D73" s="279">
        <v>125.5</v>
      </c>
      <c r="E73" s="56">
        <v>6.6425999999999998</v>
      </c>
      <c r="F73" s="57">
        <f t="shared" si="6"/>
        <v>6.6425999999999998</v>
      </c>
      <c r="G73" s="247">
        <f t="shared" si="10"/>
        <v>833.65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1">
      <c r="A74" s="706"/>
      <c r="B74" s="192" t="s">
        <v>166</v>
      </c>
      <c r="C74" s="48" t="s">
        <v>164</v>
      </c>
      <c r="D74" s="296">
        <v>0</v>
      </c>
      <c r="E74" s="41">
        <f>6.6426-6.5554</f>
        <v>8.7200000000000166E-2</v>
      </c>
      <c r="F74" s="41">
        <f t="shared" si="6"/>
        <v>8.7200000000000166E-2</v>
      </c>
      <c r="G74" s="235">
        <f>ROUND(D74*E74,2)</f>
        <v>0</v>
      </c>
      <c r="H74" s="270"/>
      <c r="I74" s="41"/>
      <c r="J74" s="41"/>
      <c r="K74" s="271"/>
      <c r="L74" s="294">
        <f>SUM(G74:G76)</f>
        <v>67.820000000000007</v>
      </c>
      <c r="M74" s="227">
        <v>67.819999999999993</v>
      </c>
      <c r="N74" s="274"/>
      <c r="O74" s="237"/>
      <c r="P74" s="275"/>
      <c r="Q74" s="237"/>
      <c r="R74" s="242"/>
      <c r="S74" s="266"/>
      <c r="T74" s="266"/>
    </row>
    <row r="75" spans="1:21" ht="15.75">
      <c r="A75" s="706"/>
      <c r="B75" s="192"/>
      <c r="C75" s="48" t="s">
        <v>165</v>
      </c>
      <c r="D75" s="269">
        <v>0.11</v>
      </c>
      <c r="E75" s="41">
        <v>6.6425999999999998</v>
      </c>
      <c r="F75" s="41">
        <f t="shared" si="6"/>
        <v>6.6425999999999998</v>
      </c>
      <c r="G75" s="235">
        <f t="shared" ref="G75:G76" si="11">ROUND(D75*E75,2)</f>
        <v>0.73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1" ht="16.5" thickBot="1">
      <c r="A76" s="706"/>
      <c r="B76" s="192"/>
      <c r="C76" s="99" t="s">
        <v>29</v>
      </c>
      <c r="D76" s="279">
        <v>10.1</v>
      </c>
      <c r="E76" s="56">
        <v>6.6425999999999998</v>
      </c>
      <c r="F76" s="57">
        <f t="shared" si="6"/>
        <v>6.6425999999999998</v>
      </c>
      <c r="G76" s="247">
        <f t="shared" si="11"/>
        <v>67.09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1" ht="16.5" thickTop="1">
      <c r="A77" s="320"/>
      <c r="B77" s="321"/>
      <c r="C77" s="322"/>
      <c r="D77" s="323"/>
      <c r="E77" s="163"/>
      <c r="F77" s="324"/>
      <c r="G77" s="325"/>
      <c r="H77" s="163"/>
      <c r="I77" s="163"/>
      <c r="J77" s="163"/>
      <c r="K77" s="163"/>
      <c r="L77" s="163"/>
      <c r="M77" s="326"/>
      <c r="N77" s="327"/>
      <c r="O77" s="328"/>
      <c r="P77" s="329"/>
      <c r="Q77" s="328"/>
      <c r="R77" s="330"/>
      <c r="S77" s="331"/>
      <c r="T77" s="266"/>
    </row>
    <row r="78" spans="1:21" ht="21.75" thickBot="1">
      <c r="A78" s="171" t="s">
        <v>60</v>
      </c>
      <c r="B78" s="2"/>
      <c r="C78" s="3"/>
      <c r="D78" s="2"/>
      <c r="E78" s="2"/>
      <c r="F78" s="2"/>
      <c r="G78" s="332"/>
      <c r="H78" s="332"/>
      <c r="I78" s="332"/>
      <c r="J78" s="2"/>
      <c r="K78" s="2"/>
      <c r="L78" s="2"/>
      <c r="M78" s="3"/>
      <c r="N78" s="2"/>
      <c r="O78" s="2"/>
      <c r="P78" s="2"/>
      <c r="Q78" s="2"/>
      <c r="R78" s="2"/>
      <c r="S78" s="2"/>
    </row>
    <row r="79" spans="1:21" ht="15" customHeight="1" thickTop="1">
      <c r="A79" s="1553" t="s">
        <v>1</v>
      </c>
      <c r="B79" s="1516" t="s">
        <v>2</v>
      </c>
      <c r="C79" s="1518" t="s">
        <v>3</v>
      </c>
      <c r="D79" s="1532" t="s">
        <v>4</v>
      </c>
      <c r="E79" s="1532"/>
      <c r="F79" s="1532"/>
      <c r="G79" s="1532"/>
      <c r="H79" s="1533" t="s">
        <v>5</v>
      </c>
      <c r="I79" s="1534"/>
      <c r="J79" s="1534"/>
      <c r="K79" s="1534"/>
      <c r="L79" s="1524" t="s">
        <v>6</v>
      </c>
      <c r="M79" s="1537" t="s">
        <v>7</v>
      </c>
      <c r="N79" s="1538" t="s">
        <v>8</v>
      </c>
      <c r="O79" s="1538"/>
      <c r="P79" s="1538"/>
      <c r="Q79" s="1539"/>
      <c r="R79" s="5"/>
      <c r="S79" s="5"/>
      <c r="T79" s="5" t="s">
        <v>61</v>
      </c>
      <c r="U79" t="s">
        <v>21</v>
      </c>
    </row>
    <row r="80" spans="1:21" ht="27" customHeight="1" thickBot="1">
      <c r="A80" s="1531"/>
      <c r="B80" s="1517"/>
      <c r="C80" s="1519" t="s">
        <v>10</v>
      </c>
      <c r="D80" s="333" t="s">
        <v>11</v>
      </c>
      <c r="E80" s="7" t="s">
        <v>12</v>
      </c>
      <c r="F80" s="7" t="s">
        <v>13</v>
      </c>
      <c r="G80" s="334" t="s">
        <v>14</v>
      </c>
      <c r="H80" s="335" t="s">
        <v>11</v>
      </c>
      <c r="I80" s="333" t="s">
        <v>15</v>
      </c>
      <c r="J80" s="336" t="s">
        <v>14</v>
      </c>
      <c r="K80" s="11" t="s">
        <v>16</v>
      </c>
      <c r="L80" s="1525"/>
      <c r="M80" s="1511"/>
      <c r="N80" s="337" t="s">
        <v>62</v>
      </c>
      <c r="O80" s="338" t="s">
        <v>44</v>
      </c>
      <c r="P80" s="13" t="s">
        <v>18</v>
      </c>
      <c r="Q80" s="14" t="s">
        <v>19</v>
      </c>
    </row>
    <row r="81" spans="1:21" ht="14.25" customHeight="1">
      <c r="A81" s="339" t="s">
        <v>63</v>
      </c>
      <c r="B81" s="18" t="s">
        <v>64</v>
      </c>
      <c r="C81" s="71">
        <f>+[1]авг17!U78</f>
        <v>-1.3864999997604173</v>
      </c>
      <c r="D81" s="340">
        <v>55</v>
      </c>
      <c r="E81" s="21">
        <v>36.214199999999998</v>
      </c>
      <c r="F81" s="21">
        <v>42.4328</v>
      </c>
      <c r="G81" s="185">
        <f>ROUND(D81*(E81+F81),2)</f>
        <v>4325.59</v>
      </c>
      <c r="H81" s="184"/>
      <c r="I81" s="23"/>
      <c r="J81" s="341">
        <v>0</v>
      </c>
      <c r="K81" s="342"/>
      <c r="L81" s="343">
        <f>SUM(G81:G86,J81:J85)</f>
        <v>278558.36000000004</v>
      </c>
      <c r="M81" s="344">
        <v>278559.76</v>
      </c>
      <c r="N81" s="345"/>
      <c r="O81" s="346">
        <v>7157.88</v>
      </c>
      <c r="P81" s="347" t="s">
        <v>24</v>
      </c>
      <c r="Q81" s="348">
        <f t="shared" ref="Q81:Q87" si="12">C81+G81+J81-M81-N81-O81</f>
        <v>-281393.43649999978</v>
      </c>
      <c r="R81" s="349" t="s">
        <v>65</v>
      </c>
      <c r="S81" s="350" t="s">
        <v>20</v>
      </c>
      <c r="T81" s="351" t="s">
        <v>21</v>
      </c>
      <c r="U81" s="352">
        <f>+L81-M81+C81</f>
        <v>-2.7864999997254927</v>
      </c>
    </row>
    <row r="82" spans="1:21" ht="14.25" customHeight="1">
      <c r="A82" s="353"/>
      <c r="B82" s="35"/>
      <c r="C82" s="84" t="s">
        <v>26</v>
      </c>
      <c r="D82" s="37"/>
      <c r="E82" s="38">
        <f>32.332-28.8628</f>
        <v>3.4692000000000007</v>
      </c>
      <c r="F82" s="38">
        <f>37.8898-33.8306</f>
        <v>4.0592000000000041</v>
      </c>
      <c r="G82" s="39">
        <f>ROUND(D82*(E82+F82),2)</f>
        <v>0</v>
      </c>
      <c r="H82" s="49"/>
      <c r="I82" s="271"/>
      <c r="J82" s="101"/>
      <c r="K82" s="354"/>
      <c r="L82" s="355"/>
      <c r="M82" s="356"/>
      <c r="N82" s="357"/>
      <c r="O82" s="358"/>
      <c r="P82" s="359"/>
      <c r="Q82" s="360"/>
      <c r="R82" s="349"/>
      <c r="S82" s="350"/>
      <c r="T82" s="351"/>
      <c r="U82" s="352"/>
    </row>
    <row r="83" spans="1:21">
      <c r="A83" s="353"/>
      <c r="B83" s="35"/>
      <c r="C83" s="48"/>
      <c r="D83" s="49"/>
      <c r="E83" s="41">
        <f>4.4128-4.4153</f>
        <v>-2.5000000000003908E-3</v>
      </c>
      <c r="F83" s="41">
        <f>+E83</f>
        <v>-2.5000000000003908E-3</v>
      </c>
      <c r="G83" s="50">
        <f>ROUND(D83*E83*70%+D83*F83*30%,2)</f>
        <v>0</v>
      </c>
      <c r="H83" s="49"/>
      <c r="I83" s="271">
        <v>0</v>
      </c>
      <c r="J83" s="41">
        <f>H83*I83</f>
        <v>0</v>
      </c>
      <c r="K83" s="354"/>
      <c r="L83" s="355"/>
      <c r="M83" s="356"/>
      <c r="N83" s="357"/>
      <c r="O83" s="358"/>
      <c r="P83" s="359"/>
      <c r="Q83" s="360"/>
      <c r="R83" s="349"/>
      <c r="S83" s="350"/>
      <c r="T83" s="351"/>
      <c r="U83" s="352"/>
    </row>
    <row r="84" spans="1:21">
      <c r="A84" s="353"/>
      <c r="B84" s="35"/>
      <c r="C84" s="48" t="s">
        <v>164</v>
      </c>
      <c r="D84" s="49">
        <v>45079</v>
      </c>
      <c r="E84" s="41">
        <f>6.7921-6.8344</f>
        <v>-4.2300000000000004E-2</v>
      </c>
      <c r="F84" s="38">
        <f>+E84</f>
        <v>-4.2300000000000004E-2</v>
      </c>
      <c r="G84" s="50">
        <f>ROUND(+D84*E84,2)</f>
        <v>-1906.84</v>
      </c>
      <c r="H84" s="49"/>
      <c r="I84" s="271"/>
      <c r="J84" s="41"/>
      <c r="K84" s="354"/>
      <c r="L84" s="355"/>
      <c r="M84" s="356"/>
      <c r="N84" s="357"/>
      <c r="O84" s="358"/>
      <c r="P84" s="359"/>
      <c r="Q84" s="360"/>
      <c r="R84" s="349"/>
      <c r="S84" s="350"/>
      <c r="T84" s="351"/>
      <c r="U84" s="352"/>
    </row>
    <row r="85" spans="1:21">
      <c r="A85" s="353"/>
      <c r="B85" s="35"/>
      <c r="C85" s="48" t="s">
        <v>165</v>
      </c>
      <c r="D85" s="49">
        <v>97</v>
      </c>
      <c r="E85" s="41">
        <v>6.7920999999999996</v>
      </c>
      <c r="F85" s="41">
        <f>+E85</f>
        <v>6.7920999999999996</v>
      </c>
      <c r="G85" s="50">
        <f>ROUND(D85*E85,2)</f>
        <v>658.83</v>
      </c>
      <c r="H85" s="361"/>
      <c r="I85" s="362"/>
      <c r="J85" s="207"/>
      <c r="K85" s="363"/>
      <c r="L85" s="364"/>
      <c r="M85" s="365"/>
      <c r="N85" s="366"/>
      <c r="O85" s="367"/>
      <c r="P85" s="368"/>
      <c r="Q85" s="360"/>
      <c r="R85" s="349"/>
      <c r="S85" s="350"/>
      <c r="T85" s="351"/>
      <c r="U85" s="352"/>
    </row>
    <row r="86" spans="1:21" ht="15.75" thickBot="1">
      <c r="A86" s="369"/>
      <c r="B86" s="53" t="s">
        <v>66</v>
      </c>
      <c r="C86" s="99" t="s">
        <v>29</v>
      </c>
      <c r="D86" s="55">
        <v>40559</v>
      </c>
      <c r="E86" s="56">
        <v>6.7920999999999996</v>
      </c>
      <c r="F86" s="370">
        <f>+E86</f>
        <v>6.7920999999999996</v>
      </c>
      <c r="G86" s="58">
        <f>ROUND(D86*E86,2)</f>
        <v>275480.78000000003</v>
      </c>
      <c r="H86" s="248"/>
      <c r="I86" s="203"/>
      <c r="J86" s="60"/>
      <c r="K86" s="203"/>
      <c r="L86" s="204"/>
      <c r="M86" s="371"/>
      <c r="N86" s="372"/>
      <c r="O86" s="373">
        <v>165882.5</v>
      </c>
      <c r="P86" s="374" t="s">
        <v>24</v>
      </c>
      <c r="Q86" s="373">
        <f>G86+J86-M86-N86-O86</f>
        <v>109598.28000000003</v>
      </c>
      <c r="R86" s="349" t="s">
        <v>65</v>
      </c>
      <c r="S86" s="375">
        <f>SUM(O81:O86)</f>
        <v>173040.38</v>
      </c>
      <c r="T86" s="375">
        <f>SUM(Q81:Q86)</f>
        <v>-171795.15649999975</v>
      </c>
    </row>
    <row r="87" spans="1:21" s="81" customFormat="1" ht="15" customHeight="1">
      <c r="A87" s="376">
        <v>301</v>
      </c>
      <c r="B87" s="70" t="s">
        <v>67</v>
      </c>
      <c r="C87" s="377"/>
      <c r="D87" s="378">
        <v>553</v>
      </c>
      <c r="E87" s="21">
        <v>36.214199999999998</v>
      </c>
      <c r="F87" s="21">
        <v>42.4328</v>
      </c>
      <c r="G87" s="379">
        <f>ROUND(D87*(E87+F87),2)</f>
        <v>43491.79</v>
      </c>
      <c r="H87" s="380"/>
      <c r="I87" s="381">
        <v>183.82</v>
      </c>
      <c r="J87" s="381">
        <f>H87*I87</f>
        <v>0</v>
      </c>
      <c r="K87" s="342"/>
      <c r="L87" s="382">
        <f>+SUM(G87:G96,J87:J95)</f>
        <v>165398.28</v>
      </c>
      <c r="M87" s="26">
        <v>165398.28</v>
      </c>
      <c r="N87" s="383"/>
      <c r="O87" s="77"/>
      <c r="P87" s="77" t="s">
        <v>68</v>
      </c>
      <c r="Q87" s="384">
        <f t="shared" si="12"/>
        <v>-121906.48999999999</v>
      </c>
      <c r="R87" s="385" t="s">
        <v>69</v>
      </c>
      <c r="S87" s="386"/>
      <c r="T87" s="387"/>
      <c r="U87" s="388"/>
    </row>
    <row r="88" spans="1:21" s="81" customFormat="1" ht="12.75">
      <c r="A88" s="389"/>
      <c r="B88" s="83"/>
      <c r="C88" s="390" t="s">
        <v>26</v>
      </c>
      <c r="D88" s="37"/>
      <c r="E88" s="38">
        <f>32.332-28.8628</f>
        <v>3.4692000000000007</v>
      </c>
      <c r="F88" s="38">
        <v>0</v>
      </c>
      <c r="G88" s="39">
        <f>ROUND(D88*(E88+F88),2)</f>
        <v>0</v>
      </c>
      <c r="H88" s="391"/>
      <c r="I88" s="392"/>
      <c r="J88" s="392"/>
      <c r="K88" s="393"/>
      <c r="L88" s="394"/>
      <c r="M88" s="90"/>
      <c r="N88" s="395"/>
      <c r="O88" s="94"/>
      <c r="P88" s="94"/>
      <c r="Q88" s="396"/>
      <c r="R88" s="397"/>
      <c r="S88" s="398"/>
      <c r="T88" s="399"/>
    </row>
    <row r="89" spans="1:21" s="81" customFormat="1" ht="12.75">
      <c r="A89" s="389"/>
      <c r="B89" s="98" t="s">
        <v>32</v>
      </c>
      <c r="C89" s="99" t="s">
        <v>33</v>
      </c>
      <c r="D89" s="37">
        <f>76+8</f>
        <v>84</v>
      </c>
      <c r="E89" s="101">
        <v>304.86</v>
      </c>
      <c r="F89" s="38">
        <v>42.4328</v>
      </c>
      <c r="G89" s="400">
        <f>ROUND(D89*(E89+F89),2)</f>
        <v>29172.6</v>
      </c>
      <c r="H89" s="401"/>
      <c r="I89" s="402"/>
      <c r="J89" s="402"/>
      <c r="K89" s="403"/>
      <c r="L89" s="404"/>
      <c r="M89" s="102"/>
      <c r="N89" s="405"/>
      <c r="O89" s="406"/>
      <c r="P89" s="406" t="s">
        <v>68</v>
      </c>
      <c r="Q89" s="407">
        <f>+G89+J89-M89-N89-O89</f>
        <v>29172.6</v>
      </c>
      <c r="R89" s="397" t="s">
        <v>69</v>
      </c>
      <c r="S89" s="398"/>
      <c r="T89" s="399"/>
    </row>
    <row r="90" spans="1:21" s="81" customFormat="1" ht="15" customHeight="1">
      <c r="A90" s="389"/>
      <c r="B90" s="98"/>
      <c r="C90" s="84"/>
      <c r="D90" s="37">
        <v>0</v>
      </c>
      <c r="E90" s="41">
        <f>304.86-291.8</f>
        <v>13.060000000000002</v>
      </c>
      <c r="F90" s="38">
        <v>0</v>
      </c>
      <c r="G90" s="400">
        <f>+D90*(E90+F90)</f>
        <v>0</v>
      </c>
      <c r="H90" s="401"/>
      <c r="I90" s="402"/>
      <c r="J90" s="402"/>
      <c r="K90" s="408"/>
      <c r="L90" s="404"/>
      <c r="M90" s="102"/>
      <c r="N90" s="405"/>
      <c r="O90" s="406"/>
      <c r="P90" s="406"/>
      <c r="Q90" s="407"/>
      <c r="R90" s="397"/>
      <c r="S90" s="398"/>
      <c r="T90" s="399"/>
    </row>
    <row r="91" spans="1:21" s="81" customFormat="1" ht="15" customHeight="1">
      <c r="A91" s="389"/>
      <c r="B91" s="83"/>
      <c r="C91" s="84"/>
      <c r="D91" s="37"/>
      <c r="E91" s="41"/>
      <c r="F91" s="38"/>
      <c r="G91" s="400"/>
      <c r="H91" s="401"/>
      <c r="I91" s="402"/>
      <c r="J91" s="402"/>
      <c r="K91" s="408"/>
      <c r="L91" s="404"/>
      <c r="M91" s="102"/>
      <c r="N91" s="405"/>
      <c r="O91" s="406"/>
      <c r="P91" s="406"/>
      <c r="Q91" s="407"/>
      <c r="R91" s="397"/>
      <c r="S91" s="398"/>
      <c r="T91" s="399"/>
    </row>
    <row r="92" spans="1:21" s="81" customFormat="1" ht="15" customHeight="1">
      <c r="A92" s="389"/>
      <c r="B92" s="83" t="s">
        <v>70</v>
      </c>
      <c r="C92" s="84"/>
      <c r="D92" s="37"/>
      <c r="E92" s="41"/>
      <c r="F92" s="38">
        <v>33.830599999999997</v>
      </c>
      <c r="G92" s="400"/>
      <c r="H92" s="401"/>
      <c r="I92" s="402"/>
      <c r="J92" s="402"/>
      <c r="K92" s="408"/>
      <c r="L92" s="404"/>
      <c r="M92" s="102"/>
      <c r="N92" s="405"/>
      <c r="O92" s="406"/>
      <c r="P92" s="406"/>
      <c r="Q92" s="407"/>
      <c r="R92" s="397"/>
      <c r="S92" s="398"/>
      <c r="T92" s="399"/>
    </row>
    <row r="93" spans="1:21" s="81" customFormat="1" ht="15" customHeight="1">
      <c r="A93" s="389"/>
      <c r="B93" s="83"/>
      <c r="C93" s="48"/>
      <c r="D93" s="37"/>
      <c r="E93" s="41">
        <f>4.4128-4.4153</f>
        <v>-2.5000000000003908E-3</v>
      </c>
      <c r="F93" s="38"/>
      <c r="G93" s="39">
        <f>ROUND(D93*(E93+F93),2)</f>
        <v>0</v>
      </c>
      <c r="H93" s="37"/>
      <c r="I93" s="409"/>
      <c r="J93" s="409"/>
      <c r="K93" s="408"/>
      <c r="L93" s="404"/>
      <c r="M93" s="102"/>
      <c r="N93" s="405"/>
      <c r="O93" s="406"/>
      <c r="P93" s="406"/>
      <c r="Q93" s="407"/>
      <c r="R93" s="397"/>
      <c r="S93" s="398"/>
      <c r="T93" s="399"/>
    </row>
    <row r="94" spans="1:21" s="81" customFormat="1" ht="15" customHeight="1">
      <c r="A94" s="389"/>
      <c r="B94" s="83"/>
      <c r="C94" s="48" t="s">
        <v>164</v>
      </c>
      <c r="D94" s="37">
        <v>16667</v>
      </c>
      <c r="E94" s="41">
        <f>6.7921-6.8344</f>
        <v>-4.2300000000000004E-2</v>
      </c>
      <c r="F94" s="38">
        <f>+E94</f>
        <v>-4.2300000000000004E-2</v>
      </c>
      <c r="G94" s="39">
        <f>ROUND(D94*E94,2)-0.01</f>
        <v>-705.02</v>
      </c>
      <c r="H94" s="37"/>
      <c r="I94" s="409"/>
      <c r="J94" s="409"/>
      <c r="K94" s="408"/>
      <c r="L94" s="404"/>
      <c r="M94" s="102"/>
      <c r="N94" s="405"/>
      <c r="O94" s="406"/>
      <c r="P94" s="406"/>
      <c r="Q94" s="407"/>
      <c r="R94" s="397"/>
      <c r="S94" s="398"/>
      <c r="T94" s="399"/>
    </row>
    <row r="95" spans="1:21" s="81" customFormat="1" ht="15" customHeight="1">
      <c r="A95" s="389"/>
      <c r="B95" s="83"/>
      <c r="C95" s="48" t="s">
        <v>165</v>
      </c>
      <c r="D95" s="37">
        <v>33</v>
      </c>
      <c r="E95" s="41">
        <v>6.7920999999999996</v>
      </c>
      <c r="F95" s="41">
        <f>+E95</f>
        <v>6.7920999999999996</v>
      </c>
      <c r="G95" s="39">
        <f>ROUND(D95*E95,2)-0.01</f>
        <v>224.13</v>
      </c>
      <c r="H95" s="37"/>
      <c r="I95" s="409"/>
      <c r="J95" s="409"/>
      <c r="K95" s="410"/>
      <c r="L95" s="404"/>
      <c r="M95" s="102"/>
      <c r="N95" s="405"/>
      <c r="O95" s="406"/>
      <c r="P95" s="406"/>
      <c r="Q95" s="407"/>
      <c r="R95" s="397"/>
      <c r="S95" s="398"/>
      <c r="T95" s="399"/>
    </row>
    <row r="96" spans="1:21" s="81" customFormat="1" ht="15.75" customHeight="1" thickBot="1">
      <c r="A96" s="411"/>
      <c r="B96" s="412"/>
      <c r="C96" s="99" t="s">
        <v>29</v>
      </c>
      <c r="D96" s="413">
        <v>13724</v>
      </c>
      <c r="E96" s="56">
        <v>6.7920999999999996</v>
      </c>
      <c r="F96" s="370">
        <f>+E96</f>
        <v>6.7920999999999996</v>
      </c>
      <c r="G96" s="414">
        <f>ROUND(D96*E96,2)</f>
        <v>93214.78</v>
      </c>
      <c r="H96" s="248"/>
      <c r="I96" s="60"/>
      <c r="J96" s="60"/>
      <c r="K96" s="203"/>
      <c r="L96" s="204"/>
      <c r="M96" s="371"/>
      <c r="N96" s="415"/>
      <c r="O96" s="416"/>
      <c r="P96" s="416" t="s">
        <v>68</v>
      </c>
      <c r="Q96" s="417">
        <f>+G96+J96-M96-N96-O96</f>
        <v>93214.78</v>
      </c>
      <c r="R96" s="418" t="s">
        <v>69</v>
      </c>
      <c r="S96" s="419">
        <f>SUM(O87:O96)</f>
        <v>0</v>
      </c>
      <c r="T96" s="419">
        <f>SUM(Q87:Q96)</f>
        <v>480.89000000001397</v>
      </c>
    </row>
    <row r="97" spans="1:20" s="81" customFormat="1" ht="15.75" customHeight="1">
      <c r="A97" s="376"/>
      <c r="B97" s="420" t="s">
        <v>72</v>
      </c>
      <c r="C97" s="377" t="s">
        <v>73</v>
      </c>
      <c r="D97" s="378">
        <v>132</v>
      </c>
      <c r="E97" s="21">
        <v>36.214199999999998</v>
      </c>
      <c r="F97" s="21">
        <v>42.4328</v>
      </c>
      <c r="G97" s="22">
        <f>+D97*(E97+F97)</f>
        <v>10381.403999999999</v>
      </c>
      <c r="H97" s="303"/>
      <c r="I97" s="23"/>
      <c r="J97" s="341"/>
      <c r="K97" s="342"/>
      <c r="L97" s="263">
        <f>SUM(G97:G101,J97:J101)</f>
        <v>223874.84399999998</v>
      </c>
      <c r="M97" s="26">
        <v>223874.84</v>
      </c>
      <c r="N97" s="421"/>
      <c r="O97" s="77"/>
      <c r="P97" s="77"/>
      <c r="Q97" s="384"/>
      <c r="R97" s="422"/>
      <c r="S97" s="399"/>
      <c r="T97" s="399"/>
    </row>
    <row r="98" spans="1:20" s="81" customFormat="1" ht="15.75" customHeight="1">
      <c r="A98" s="389"/>
      <c r="B98" s="83"/>
      <c r="C98" s="84" t="s">
        <v>26</v>
      </c>
      <c r="D98" s="37"/>
      <c r="E98" s="38">
        <f>32.332-28.8628</f>
        <v>3.4692000000000007</v>
      </c>
      <c r="F98" s="38">
        <f>37.8898-33.8306</f>
        <v>4.0592000000000041</v>
      </c>
      <c r="G98" s="39">
        <f>ROUND(D98*(E98+F98),2)</f>
        <v>0</v>
      </c>
      <c r="H98" s="270"/>
      <c r="I98" s="41"/>
      <c r="J98" s="41"/>
      <c r="K98" s="271"/>
      <c r="L98" s="272"/>
      <c r="M98" s="102"/>
      <c r="N98" s="423"/>
      <c r="O98" s="406"/>
      <c r="P98" s="406"/>
      <c r="Q98" s="424"/>
      <c r="R98" s="422"/>
      <c r="S98" s="399"/>
      <c r="T98" s="399"/>
    </row>
    <row r="99" spans="1:20" s="81" customFormat="1" ht="15.75" customHeight="1">
      <c r="A99" s="389"/>
      <c r="B99" s="83"/>
      <c r="C99" s="48" t="s">
        <v>164</v>
      </c>
      <c r="D99" s="37">
        <v>32658</v>
      </c>
      <c r="E99" s="41">
        <f>6.7921-6.8344</f>
        <v>-4.2300000000000004E-2</v>
      </c>
      <c r="F99" s="38"/>
      <c r="G99" s="39">
        <f>ROUND(D99*(E99),2)-0.01</f>
        <v>-1381.44</v>
      </c>
      <c r="H99" s="270"/>
      <c r="I99" s="41"/>
      <c r="J99" s="41"/>
      <c r="K99" s="271"/>
      <c r="L99" s="272"/>
      <c r="M99" s="102"/>
      <c r="N99" s="423"/>
      <c r="O99" s="406"/>
      <c r="P99" s="406"/>
      <c r="Q99" s="424"/>
      <c r="R99" s="422"/>
      <c r="S99" s="399"/>
      <c r="T99" s="399"/>
    </row>
    <row r="100" spans="1:20" s="81" customFormat="1" ht="15.75" customHeight="1">
      <c r="A100" s="389"/>
      <c r="B100" s="83"/>
      <c r="C100" s="48" t="s">
        <v>165</v>
      </c>
      <c r="D100" s="37">
        <v>76</v>
      </c>
      <c r="E100" s="41">
        <v>6.7920999999999996</v>
      </c>
      <c r="F100" s="38"/>
      <c r="G100" s="39">
        <f>ROUND(D100*(E100),2)</f>
        <v>516.20000000000005</v>
      </c>
      <c r="H100" s="270"/>
      <c r="I100" s="41"/>
      <c r="J100" s="41"/>
      <c r="K100" s="271"/>
      <c r="L100" s="272"/>
      <c r="M100" s="102"/>
      <c r="N100" s="423"/>
      <c r="O100" s="406"/>
      <c r="P100" s="406"/>
      <c r="Q100" s="425"/>
      <c r="R100" s="422"/>
      <c r="S100" s="399"/>
      <c r="T100" s="399"/>
    </row>
    <row r="101" spans="1:20" s="81" customFormat="1" ht="15.75" customHeight="1" thickBot="1">
      <c r="A101" s="411"/>
      <c r="B101" s="412"/>
      <c r="C101" s="99" t="s">
        <v>29</v>
      </c>
      <c r="D101" s="413">
        <v>31560</v>
      </c>
      <c r="E101" s="56">
        <v>6.7920999999999996</v>
      </c>
      <c r="F101" s="281"/>
      <c r="G101" s="414">
        <f>ROUND(D101*(E101),2)</f>
        <v>214358.68</v>
      </c>
      <c r="H101" s="280"/>
      <c r="I101" s="281"/>
      <c r="J101" s="281"/>
      <c r="K101" s="282"/>
      <c r="L101" s="204"/>
      <c r="M101" s="371"/>
      <c r="N101" s="426"/>
      <c r="O101" s="416"/>
      <c r="P101" s="416"/>
      <c r="Q101" s="417"/>
      <c r="R101" s="422"/>
      <c r="S101" s="399"/>
      <c r="T101" s="399"/>
    </row>
    <row r="102" spans="1:20" s="81" customFormat="1" ht="15.75" customHeight="1">
      <c r="A102" s="376"/>
      <c r="B102" s="427" t="s">
        <v>74</v>
      </c>
      <c r="C102" s="377" t="s">
        <v>73</v>
      </c>
      <c r="D102" s="378">
        <v>12</v>
      </c>
      <c r="E102" s="21">
        <v>36.214199999999998</v>
      </c>
      <c r="F102" s="21">
        <v>42.4328</v>
      </c>
      <c r="G102" s="22">
        <f>ROUND(D102*(E102+F102),2)</f>
        <v>943.76</v>
      </c>
      <c r="H102" s="303"/>
      <c r="I102" s="23"/>
      <c r="J102" s="23">
        <v>0</v>
      </c>
      <c r="K102" s="342"/>
      <c r="L102" s="263">
        <f>SUM(G102:G108,J102:J108)</f>
        <v>19346.68</v>
      </c>
      <c r="M102" s="26">
        <v>19346.68</v>
      </c>
      <c r="N102" s="421"/>
      <c r="O102" s="77"/>
      <c r="P102" s="77"/>
      <c r="Q102" s="384"/>
      <c r="R102" s="422"/>
      <c r="S102" s="399"/>
      <c r="T102" s="399"/>
    </row>
    <row r="103" spans="1:20" s="81" customFormat="1" ht="15.75" customHeight="1">
      <c r="A103" s="389"/>
      <c r="B103" s="98" t="s">
        <v>75</v>
      </c>
      <c r="C103" s="84" t="s">
        <v>26</v>
      </c>
      <c r="D103" s="37"/>
      <c r="E103" s="38">
        <f>32.332-28.8628</f>
        <v>3.4692000000000007</v>
      </c>
      <c r="F103" s="38">
        <f>37.8898-33.8306</f>
        <v>4.0592000000000041</v>
      </c>
      <c r="G103" s="39">
        <f>ROUND(D103*(E103+F103),2)</f>
        <v>0</v>
      </c>
      <c r="H103" s="270"/>
      <c r="I103" s="41"/>
      <c r="J103" s="41"/>
      <c r="K103" s="354"/>
      <c r="L103" s="272"/>
      <c r="M103" s="102"/>
      <c r="N103" s="423"/>
      <c r="O103" s="406"/>
      <c r="P103" s="406"/>
      <c r="Q103" s="424"/>
      <c r="R103" s="422"/>
      <c r="S103" s="399"/>
      <c r="T103" s="399"/>
    </row>
    <row r="104" spans="1:20" s="81" customFormat="1" ht="15.75" customHeight="1">
      <c r="A104" s="389"/>
      <c r="B104" s="83"/>
      <c r="C104" s="99" t="s">
        <v>33</v>
      </c>
      <c r="D104" s="428">
        <v>4</v>
      </c>
      <c r="E104" s="101">
        <v>304.86</v>
      </c>
      <c r="F104" s="38">
        <v>42.43</v>
      </c>
      <c r="G104" s="39">
        <f>ROUND(D104*(E104+F104),2)</f>
        <v>1389.16</v>
      </c>
      <c r="H104" s="270"/>
      <c r="I104" s="41"/>
      <c r="J104" s="41"/>
      <c r="K104" s="271"/>
      <c r="L104" s="272"/>
      <c r="M104" s="102"/>
      <c r="N104" s="423"/>
      <c r="O104" s="406"/>
      <c r="P104" s="406"/>
      <c r="Q104" s="424"/>
      <c r="R104" s="422"/>
      <c r="S104" s="399"/>
      <c r="T104" s="399"/>
    </row>
    <row r="105" spans="1:20" s="81" customFormat="1" ht="15.75" customHeight="1">
      <c r="A105" s="389"/>
      <c r="B105" s="83"/>
      <c r="C105" s="48" t="s">
        <v>76</v>
      </c>
      <c r="D105" s="37">
        <v>0</v>
      </c>
      <c r="E105" s="41">
        <f>304.86-291.8</f>
        <v>13.060000000000002</v>
      </c>
      <c r="F105" s="38"/>
      <c r="G105" s="39">
        <f>ROUND(D105*(E105+F105),2)</f>
        <v>0</v>
      </c>
      <c r="H105" s="270"/>
      <c r="I105" s="41"/>
      <c r="J105" s="41"/>
      <c r="K105" s="271"/>
      <c r="L105" s="272"/>
      <c r="M105" s="102"/>
      <c r="N105" s="423"/>
      <c r="O105" s="406"/>
      <c r="P105" s="406"/>
      <c r="Q105" s="424"/>
      <c r="R105" s="422"/>
      <c r="S105" s="399"/>
      <c r="T105" s="399"/>
    </row>
    <row r="106" spans="1:20" s="81" customFormat="1" ht="15.75" customHeight="1">
      <c r="A106" s="389"/>
      <c r="B106" s="83"/>
      <c r="C106" s="48" t="s">
        <v>164</v>
      </c>
      <c r="D106" s="37">
        <v>2596.1999999999998</v>
      </c>
      <c r="E106" s="41">
        <f>6.7921-6.8344</f>
        <v>-4.2300000000000004E-2</v>
      </c>
      <c r="F106" s="38"/>
      <c r="G106" s="39">
        <f>ROUND(D106*(E106+F106),2)+0.02</f>
        <v>-109.8</v>
      </c>
      <c r="H106" s="270"/>
      <c r="I106" s="41"/>
      <c r="J106" s="41"/>
      <c r="K106" s="271"/>
      <c r="L106" s="272"/>
      <c r="M106" s="102"/>
      <c r="N106" s="423"/>
      <c r="O106" s="406"/>
      <c r="P106" s="406"/>
      <c r="Q106" s="424"/>
      <c r="R106" s="422"/>
      <c r="S106" s="399"/>
      <c r="T106" s="399"/>
    </row>
    <row r="107" spans="1:20" s="81" customFormat="1" ht="15.75" customHeight="1">
      <c r="A107" s="389"/>
      <c r="B107" s="83"/>
      <c r="C107" s="48" t="s">
        <v>165</v>
      </c>
      <c r="D107" s="37">
        <v>6.1</v>
      </c>
      <c r="E107" s="41">
        <v>6.7920999999999996</v>
      </c>
      <c r="F107" s="38"/>
      <c r="G107" s="39">
        <f>ROUND(D107*E107,2)</f>
        <v>41.43</v>
      </c>
      <c r="H107" s="270"/>
      <c r="I107" s="41"/>
      <c r="J107" s="41"/>
      <c r="K107" s="271"/>
      <c r="L107" s="272"/>
      <c r="M107" s="102"/>
      <c r="N107" s="423"/>
      <c r="O107" s="406"/>
      <c r="P107" s="406"/>
      <c r="Q107" s="425"/>
      <c r="R107" s="422"/>
      <c r="S107" s="399"/>
      <c r="T107" s="399"/>
    </row>
    <row r="108" spans="1:20" s="81" customFormat="1" ht="15" customHeight="1" thickBot="1">
      <c r="A108" s="411"/>
      <c r="B108" s="412"/>
      <c r="C108" s="99" t="s">
        <v>29</v>
      </c>
      <c r="D108" s="413">
        <v>2515</v>
      </c>
      <c r="E108" s="56">
        <v>6.7920999999999996</v>
      </c>
      <c r="F108" s="281"/>
      <c r="G108" s="414">
        <f t="shared" ref="G108:G115" si="13">ROUND(D108*(E108+F108),2)</f>
        <v>17082.13</v>
      </c>
      <c r="H108" s="280"/>
      <c r="I108" s="281"/>
      <c r="J108" s="281"/>
      <c r="K108" s="282"/>
      <c r="L108" s="204"/>
      <c r="M108" s="371"/>
      <c r="N108" s="426"/>
      <c r="O108" s="416"/>
      <c r="P108" s="416"/>
      <c r="Q108" s="417"/>
      <c r="R108" s="422"/>
      <c r="S108" s="399"/>
      <c r="T108" s="399"/>
    </row>
    <row r="109" spans="1:20" s="81" customFormat="1" ht="15" customHeight="1">
      <c r="A109" s="376"/>
      <c r="B109" s="420" t="s">
        <v>77</v>
      </c>
      <c r="C109" s="377" t="s">
        <v>73</v>
      </c>
      <c r="D109" s="378">
        <v>1</v>
      </c>
      <c r="E109" s="21">
        <v>36.214199999999998</v>
      </c>
      <c r="F109" s="21">
        <v>42.4328</v>
      </c>
      <c r="G109" s="22">
        <f t="shared" si="13"/>
        <v>78.650000000000006</v>
      </c>
      <c r="H109" s="303"/>
      <c r="I109" s="23">
        <v>183.82</v>
      </c>
      <c r="J109" s="381">
        <f>H109*I109</f>
        <v>0</v>
      </c>
      <c r="K109" s="342"/>
      <c r="L109" s="382">
        <f>+SUM(G109:G115,J109:J115)</f>
        <v>1333.05</v>
      </c>
      <c r="M109" s="26">
        <v>1333.05</v>
      </c>
      <c r="N109" s="421"/>
      <c r="O109" s="77"/>
      <c r="P109" s="77"/>
      <c r="Q109" s="384"/>
      <c r="R109" s="422"/>
      <c r="S109" s="399"/>
      <c r="T109" s="399"/>
    </row>
    <row r="110" spans="1:20" s="81" customFormat="1" ht="15" customHeight="1">
      <c r="A110" s="389"/>
      <c r="B110" s="83"/>
      <c r="C110" s="84" t="s">
        <v>26</v>
      </c>
      <c r="D110" s="37"/>
      <c r="E110" s="38">
        <v>3.4692000000000007</v>
      </c>
      <c r="F110" s="38"/>
      <c r="G110" s="39">
        <f t="shared" si="13"/>
        <v>0</v>
      </c>
      <c r="H110" s="270"/>
      <c r="I110" s="41"/>
      <c r="J110" s="402"/>
      <c r="K110" s="354"/>
      <c r="L110" s="429"/>
      <c r="M110" s="102"/>
      <c r="N110" s="430"/>
      <c r="O110" s="431"/>
      <c r="P110" s="431"/>
      <c r="Q110" s="424"/>
      <c r="R110" s="422"/>
      <c r="S110" s="399"/>
      <c r="T110" s="399"/>
    </row>
    <row r="111" spans="1:20" s="81" customFormat="1" ht="15" customHeight="1">
      <c r="A111" s="389"/>
      <c r="B111" s="98" t="s">
        <v>32</v>
      </c>
      <c r="C111" s="99" t="s">
        <v>33</v>
      </c>
      <c r="D111" s="37">
        <v>0</v>
      </c>
      <c r="E111" s="101">
        <v>304.86</v>
      </c>
      <c r="F111" s="38">
        <v>42.4328</v>
      </c>
      <c r="G111" s="39">
        <f t="shared" si="13"/>
        <v>0</v>
      </c>
      <c r="H111" s="270"/>
      <c r="I111" s="41"/>
      <c r="J111" s="41"/>
      <c r="K111" s="271"/>
      <c r="L111" s="272"/>
      <c r="M111" s="102"/>
      <c r="N111" s="430"/>
      <c r="O111" s="431"/>
      <c r="P111" s="431"/>
      <c r="Q111" s="424"/>
      <c r="R111" s="422"/>
      <c r="S111" s="399"/>
      <c r="T111" s="399"/>
    </row>
    <row r="112" spans="1:20" s="81" customFormat="1" ht="15" customHeight="1">
      <c r="A112" s="389"/>
      <c r="B112" s="83"/>
      <c r="C112" s="48" t="s">
        <v>78</v>
      </c>
      <c r="D112" s="37">
        <v>0</v>
      </c>
      <c r="E112" s="41">
        <f>304.86-291.8</f>
        <v>13.060000000000002</v>
      </c>
      <c r="F112" s="38"/>
      <c r="G112" s="39">
        <f>ROUND(D112*(E112+F112),2)</f>
        <v>0</v>
      </c>
      <c r="H112" s="270"/>
      <c r="I112" s="41"/>
      <c r="J112" s="41"/>
      <c r="K112" s="271"/>
      <c r="L112" s="272"/>
      <c r="M112" s="102"/>
      <c r="N112" s="430"/>
      <c r="O112" s="431"/>
      <c r="P112" s="431"/>
      <c r="Q112" s="424"/>
      <c r="R112" s="422"/>
      <c r="S112" s="399"/>
      <c r="T112" s="399"/>
    </row>
    <row r="113" spans="1:20" s="81" customFormat="1" ht="15" customHeight="1">
      <c r="A113" s="389"/>
      <c r="B113" s="83"/>
      <c r="C113" s="48" t="s">
        <v>164</v>
      </c>
      <c r="D113" s="37">
        <v>436</v>
      </c>
      <c r="E113" s="41">
        <f>6.7921-6.8344</f>
        <v>-4.2300000000000004E-2</v>
      </c>
      <c r="F113" s="38"/>
      <c r="G113" s="39">
        <f>ROUND(D113*(E113+F113),2)</f>
        <v>-18.440000000000001</v>
      </c>
      <c r="H113" s="270"/>
      <c r="I113" s="41"/>
      <c r="J113" s="41"/>
      <c r="K113" s="271"/>
      <c r="L113" s="272"/>
      <c r="M113" s="102"/>
      <c r="N113" s="430"/>
      <c r="O113" s="431"/>
      <c r="P113" s="431"/>
      <c r="Q113" s="424"/>
      <c r="R113" s="422"/>
      <c r="S113" s="399"/>
      <c r="T113" s="399"/>
    </row>
    <row r="114" spans="1:20" s="81" customFormat="1" ht="15" customHeight="1">
      <c r="A114" s="389"/>
      <c r="B114" s="83"/>
      <c r="C114" s="48" t="s">
        <v>165</v>
      </c>
      <c r="D114" s="37">
        <v>0.4</v>
      </c>
      <c r="E114" s="41">
        <v>6.7920999999999996</v>
      </c>
      <c r="F114" s="38"/>
      <c r="G114" s="39">
        <f t="shared" si="13"/>
        <v>2.72</v>
      </c>
      <c r="H114" s="432"/>
      <c r="I114" s="207"/>
      <c r="J114" s="207"/>
      <c r="K114" s="362"/>
      <c r="L114" s="433"/>
      <c r="M114" s="63"/>
      <c r="N114" s="434"/>
      <c r="O114" s="435"/>
      <c r="P114" s="435"/>
      <c r="Q114" s="425"/>
      <c r="R114" s="422"/>
      <c r="S114" s="399"/>
      <c r="T114" s="399"/>
    </row>
    <row r="115" spans="1:20" s="81" customFormat="1" ht="15" customHeight="1" thickBot="1">
      <c r="A115" s="411"/>
      <c r="B115" s="412"/>
      <c r="C115" s="99" t="s">
        <v>29</v>
      </c>
      <c r="D115" s="413">
        <v>187</v>
      </c>
      <c r="E115" s="56">
        <v>6.7920999999999996</v>
      </c>
      <c r="F115" s="281"/>
      <c r="G115" s="414">
        <f t="shared" si="13"/>
        <v>1270.1199999999999</v>
      </c>
      <c r="H115" s="280"/>
      <c r="I115" s="281"/>
      <c r="J115" s="281"/>
      <c r="K115" s="282"/>
      <c r="L115" s="204"/>
      <c r="M115" s="371"/>
      <c r="N115" s="426"/>
      <c r="O115" s="416"/>
      <c r="P115" s="416"/>
      <c r="Q115" s="417"/>
      <c r="R115" s="436"/>
      <c r="S115" s="399"/>
      <c r="T115" s="399"/>
    </row>
    <row r="116" spans="1:20" s="81" customFormat="1" ht="15" customHeight="1">
      <c r="A116" s="437"/>
      <c r="B116" s="438" t="s">
        <v>38</v>
      </c>
      <c r="C116" s="439"/>
      <c r="D116" s="378"/>
      <c r="E116" s="23"/>
      <c r="F116" s="23"/>
      <c r="G116" s="22"/>
      <c r="H116" s="303"/>
      <c r="I116" s="23"/>
      <c r="J116" s="23"/>
      <c r="K116" s="304"/>
      <c r="L116" s="382">
        <f>+SUM(G116:G119,J116:J119)</f>
        <v>2343.17</v>
      </c>
      <c r="M116" s="26">
        <v>2343.17</v>
      </c>
      <c r="N116" s="421"/>
      <c r="O116" s="77"/>
      <c r="P116" s="77"/>
      <c r="Q116" s="77">
        <f>+L116-M116</f>
        <v>0</v>
      </c>
      <c r="R116" s="440"/>
      <c r="S116" s="399"/>
      <c r="T116" s="399"/>
    </row>
    <row r="117" spans="1:20" s="81" customFormat="1" ht="15" customHeight="1">
      <c r="A117" s="441"/>
      <c r="B117" s="442"/>
      <c r="C117" s="48" t="s">
        <v>164</v>
      </c>
      <c r="D117" s="37">
        <v>452.1</v>
      </c>
      <c r="E117" s="41">
        <f>6.7921-6.8344</f>
        <v>-4.2300000000000004E-2</v>
      </c>
      <c r="F117" s="41"/>
      <c r="G117" s="39">
        <f>ROUND(D117*E117,2)</f>
        <v>-19.12</v>
      </c>
      <c r="H117" s="260"/>
      <c r="I117" s="261"/>
      <c r="J117" s="261"/>
      <c r="K117" s="262"/>
      <c r="L117" s="394"/>
      <c r="M117" s="90"/>
      <c r="N117" s="443"/>
      <c r="O117" s="94"/>
      <c r="P117" s="94"/>
      <c r="Q117" s="94"/>
      <c r="R117" s="422"/>
      <c r="S117" s="399"/>
      <c r="T117" s="399"/>
    </row>
    <row r="118" spans="1:20" s="81" customFormat="1">
      <c r="A118" s="441"/>
      <c r="B118" s="444"/>
      <c r="C118" s="48" t="s">
        <v>165</v>
      </c>
      <c r="D118" s="37">
        <v>0.8</v>
      </c>
      <c r="E118" s="41">
        <v>6.7920999999999996</v>
      </c>
      <c r="F118" s="41"/>
      <c r="G118" s="39">
        <f t="shared" ref="G118:G126" si="14">ROUND(D118*E118,2)</f>
        <v>5.43</v>
      </c>
      <c r="H118" s="432"/>
      <c r="I118" s="207"/>
      <c r="J118" s="207"/>
      <c r="K118" s="362"/>
      <c r="L118" s="433"/>
      <c r="M118" s="63"/>
      <c r="N118" s="423"/>
      <c r="O118" s="406"/>
      <c r="P118" s="406"/>
      <c r="Q118" s="406"/>
      <c r="R118" s="422"/>
      <c r="S118" s="399"/>
      <c r="T118" s="399"/>
    </row>
    <row r="119" spans="1:20" s="81" customFormat="1" ht="15" customHeight="1" thickBot="1">
      <c r="A119" s="445"/>
      <c r="B119" s="446"/>
      <c r="C119" s="99" t="s">
        <v>29</v>
      </c>
      <c r="D119" s="413">
        <v>347</v>
      </c>
      <c r="E119" s="56">
        <v>6.7920999999999996</v>
      </c>
      <c r="F119" s="281"/>
      <c r="G119" s="414">
        <f t="shared" si="14"/>
        <v>2356.86</v>
      </c>
      <c r="H119" s="280"/>
      <c r="I119" s="281"/>
      <c r="J119" s="281"/>
      <c r="K119" s="282"/>
      <c r="L119" s="204"/>
      <c r="M119" s="371"/>
      <c r="N119" s="434"/>
      <c r="O119" s="435"/>
      <c r="P119" s="435"/>
      <c r="Q119" s="435"/>
      <c r="R119" s="422"/>
      <c r="S119" s="399"/>
      <c r="T119" s="399"/>
    </row>
    <row r="120" spans="1:20" s="81" customFormat="1" ht="15" customHeight="1">
      <c r="A120" s="437"/>
      <c r="B120" s="438" t="s">
        <v>122</v>
      </c>
      <c r="C120" s="439"/>
      <c r="D120" s="378"/>
      <c r="E120" s="23"/>
      <c r="F120" s="23"/>
      <c r="G120" s="22"/>
      <c r="H120" s="303"/>
      <c r="I120" s="23"/>
      <c r="J120" s="23"/>
      <c r="K120" s="304"/>
      <c r="L120" s="382">
        <f>+SUM(G120:G123,J120:J123)</f>
        <v>1671.0600000000002</v>
      </c>
      <c r="M120" s="26">
        <v>1671.06</v>
      </c>
      <c r="N120" s="421"/>
      <c r="O120" s="77"/>
      <c r="P120" s="77"/>
      <c r="Q120" s="77"/>
      <c r="R120" s="440"/>
      <c r="S120" s="399"/>
      <c r="T120" s="399"/>
    </row>
    <row r="121" spans="1:20" s="81" customFormat="1" ht="15" customHeight="1" thickBot="1">
      <c r="A121" s="441"/>
      <c r="B121" s="442"/>
      <c r="C121" s="48" t="s">
        <v>164</v>
      </c>
      <c r="D121" s="37">
        <v>250.6</v>
      </c>
      <c r="E121" s="41">
        <f>6.7921-6.8344</f>
        <v>-4.2300000000000004E-2</v>
      </c>
      <c r="F121" s="41"/>
      <c r="G121" s="414">
        <f>ROUND(D121*E121,2)</f>
        <v>-10.6</v>
      </c>
      <c r="H121" s="260"/>
      <c r="I121" s="261"/>
      <c r="J121" s="261"/>
      <c r="K121" s="262"/>
      <c r="L121" s="394"/>
      <c r="M121" s="90"/>
      <c r="N121" s="443"/>
      <c r="O121" s="94"/>
      <c r="P121" s="94"/>
      <c r="Q121" s="94"/>
      <c r="R121" s="422"/>
      <c r="S121" s="399"/>
      <c r="T121" s="399"/>
    </row>
    <row r="122" spans="1:20" s="81" customFormat="1" ht="15" customHeight="1" thickBot="1">
      <c r="A122" s="441"/>
      <c r="B122" s="444"/>
      <c r="C122" s="48" t="s">
        <v>165</v>
      </c>
      <c r="D122" s="37">
        <v>0.59</v>
      </c>
      <c r="E122" s="41">
        <v>6.7920999999999996</v>
      </c>
      <c r="F122" s="41"/>
      <c r="G122" s="414">
        <f t="shared" si="14"/>
        <v>4.01</v>
      </c>
      <c r="H122" s="432"/>
      <c r="I122" s="207"/>
      <c r="J122" s="207"/>
      <c r="K122" s="362"/>
      <c r="L122" s="433"/>
      <c r="M122" s="63"/>
      <c r="N122" s="423"/>
      <c r="O122" s="406"/>
      <c r="P122" s="406"/>
      <c r="Q122" s="406"/>
      <c r="R122" s="422"/>
      <c r="S122" s="399"/>
      <c r="T122" s="399"/>
    </row>
    <row r="123" spans="1:20" s="81" customFormat="1" ht="15" customHeight="1" thickBot="1">
      <c r="A123" s="445"/>
      <c r="B123" s="446"/>
      <c r="C123" s="99" t="s">
        <v>29</v>
      </c>
      <c r="D123" s="413">
        <v>247</v>
      </c>
      <c r="E123" s="56">
        <v>6.7920999999999996</v>
      </c>
      <c r="F123" s="281"/>
      <c r="G123" s="414">
        <f t="shared" si="14"/>
        <v>1677.65</v>
      </c>
      <c r="H123" s="280"/>
      <c r="I123" s="281"/>
      <c r="J123" s="281"/>
      <c r="K123" s="282"/>
      <c r="L123" s="204"/>
      <c r="M123" s="371"/>
      <c r="N123" s="434"/>
      <c r="O123" s="435"/>
      <c r="P123" s="435"/>
      <c r="Q123" s="435"/>
      <c r="R123" s="422"/>
      <c r="S123" s="399"/>
      <c r="T123" s="399"/>
    </row>
    <row r="124" spans="1:20" s="81" customFormat="1" ht="15" customHeight="1">
      <c r="A124" s="447"/>
      <c r="B124" s="438" t="s">
        <v>79</v>
      </c>
      <c r="C124" s="48" t="s">
        <v>164</v>
      </c>
      <c r="D124" s="448">
        <v>4441</v>
      </c>
      <c r="E124" s="41">
        <f>6.7921-6.8344</f>
        <v>-4.2300000000000004E-2</v>
      </c>
      <c r="F124" s="261"/>
      <c r="G124" s="449">
        <f>ROUND(D124*E124,2)</f>
        <v>-187.85</v>
      </c>
      <c r="H124" s="303"/>
      <c r="I124" s="23"/>
      <c r="J124" s="23"/>
      <c r="K124" s="304"/>
      <c r="L124" s="263">
        <f>SUM(G124:G126)</f>
        <v>30213.59</v>
      </c>
      <c r="M124" s="26">
        <v>30213.59</v>
      </c>
      <c r="N124" s="421"/>
      <c r="O124" s="77"/>
      <c r="P124" s="77"/>
      <c r="Q124" s="384"/>
      <c r="R124" s="422"/>
      <c r="S124" s="399"/>
      <c r="T124" s="399"/>
    </row>
    <row r="125" spans="1:20" s="81" customFormat="1" ht="15" customHeight="1">
      <c r="A125" s="450"/>
      <c r="B125" s="442"/>
      <c r="C125" s="48" t="s">
        <v>165</v>
      </c>
      <c r="D125" s="448">
        <v>11</v>
      </c>
      <c r="E125" s="41">
        <v>6.7920999999999996</v>
      </c>
      <c r="F125" s="261"/>
      <c r="G125" s="449">
        <f t="shared" si="14"/>
        <v>74.709999999999994</v>
      </c>
      <c r="H125" s="260"/>
      <c r="I125" s="261"/>
      <c r="J125" s="261"/>
      <c r="K125" s="262"/>
      <c r="L125" s="286"/>
      <c r="M125" s="90"/>
      <c r="N125" s="423"/>
      <c r="O125" s="406"/>
      <c r="P125" s="406"/>
      <c r="Q125" s="407"/>
      <c r="R125" s="422"/>
      <c r="S125" s="399"/>
      <c r="T125" s="399"/>
    </row>
    <row r="126" spans="1:20" s="81" customFormat="1" ht="15" customHeight="1" thickBot="1">
      <c r="A126" s="451"/>
      <c r="B126" s="446"/>
      <c r="C126" s="99" t="s">
        <v>29</v>
      </c>
      <c r="D126" s="452">
        <v>4465</v>
      </c>
      <c r="E126" s="56">
        <v>6.7920999999999996</v>
      </c>
      <c r="F126" s="207"/>
      <c r="G126" s="453">
        <f t="shared" si="14"/>
        <v>30326.73</v>
      </c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0" s="81" customFormat="1" ht="15" customHeight="1">
      <c r="A127" s="437"/>
      <c r="B127" s="438" t="s">
        <v>82</v>
      </c>
      <c r="C127" s="377" t="s">
        <v>73</v>
      </c>
      <c r="D127" s="378">
        <v>25</v>
      </c>
      <c r="E127" s="21">
        <v>36.214199999999998</v>
      </c>
      <c r="F127" s="21">
        <v>42.4328</v>
      </c>
      <c r="G127" s="22">
        <f>+D127*(E127+F127)</f>
        <v>1966.1749999999997</v>
      </c>
      <c r="H127" s="303"/>
      <c r="I127" s="23"/>
      <c r="J127" s="341"/>
      <c r="K127" s="342"/>
      <c r="L127" s="263">
        <f>SUM(G127:G131,J127:J131)</f>
        <v>88818.095000000001</v>
      </c>
      <c r="M127" s="26">
        <v>88818.1</v>
      </c>
      <c r="N127" s="421"/>
      <c r="O127" s="77"/>
      <c r="P127" s="77"/>
      <c r="Q127" s="384"/>
      <c r="R127" s="422"/>
      <c r="S127" s="399"/>
      <c r="T127" s="399"/>
    </row>
    <row r="128" spans="1:20" s="81" customFormat="1" ht="15" customHeight="1">
      <c r="A128" s="441"/>
      <c r="B128" s="442"/>
      <c r="C128" s="36" t="s">
        <v>26</v>
      </c>
      <c r="D128" s="37"/>
      <c r="E128" s="38">
        <v>3.4692000000000007</v>
      </c>
      <c r="F128" s="38">
        <f>37.8898-33.8306</f>
        <v>4.0592000000000041</v>
      </c>
      <c r="G128" s="39">
        <f>ROUND(D128*(E128+F128),2)</f>
        <v>0</v>
      </c>
      <c r="H128" s="457"/>
      <c r="I128" s="199"/>
      <c r="J128" s="199"/>
      <c r="K128" s="458"/>
      <c r="L128" s="459"/>
      <c r="M128" s="44"/>
      <c r="N128" s="430"/>
      <c r="O128" s="431"/>
      <c r="P128" s="431"/>
      <c r="Q128" s="424"/>
      <c r="R128" s="422"/>
      <c r="S128" s="399"/>
      <c r="T128" s="399"/>
    </row>
    <row r="129" spans="1:20" s="81" customFormat="1" ht="15" customHeight="1">
      <c r="A129" s="441"/>
      <c r="B129" s="442"/>
      <c r="C129" s="48" t="s">
        <v>164</v>
      </c>
      <c r="D129" s="37">
        <v>15062</v>
      </c>
      <c r="E129" s="41">
        <f>6.7921-6.8344</f>
        <v>-4.2300000000000004E-2</v>
      </c>
      <c r="F129" s="38"/>
      <c r="G129" s="39">
        <f>ROUND(D129*(E129),2)-0.01</f>
        <v>-637.13</v>
      </c>
      <c r="H129" s="270"/>
      <c r="I129" s="41"/>
      <c r="J129" s="41"/>
      <c r="K129" s="271"/>
      <c r="L129" s="272"/>
      <c r="M129" s="102"/>
      <c r="N129" s="430"/>
      <c r="O129" s="431"/>
      <c r="P129" s="431"/>
      <c r="Q129" s="424"/>
      <c r="R129" s="422"/>
      <c r="S129" s="399"/>
      <c r="T129" s="399"/>
    </row>
    <row r="130" spans="1:20" s="81" customFormat="1" ht="15" customHeight="1">
      <c r="A130" s="441"/>
      <c r="B130" s="442"/>
      <c r="C130" s="48" t="s">
        <v>165</v>
      </c>
      <c r="D130" s="37">
        <v>31</v>
      </c>
      <c r="E130" s="41">
        <v>6.7920999999999996</v>
      </c>
      <c r="F130" s="38"/>
      <c r="G130" s="39">
        <f>ROUND(D130*(E130),2)</f>
        <v>210.56</v>
      </c>
      <c r="H130" s="270"/>
      <c r="I130" s="41"/>
      <c r="J130" s="41"/>
      <c r="K130" s="271"/>
      <c r="L130" s="272"/>
      <c r="M130" s="102"/>
      <c r="N130" s="434"/>
      <c r="O130" s="435"/>
      <c r="P130" s="435"/>
      <c r="Q130" s="425"/>
      <c r="R130" s="422"/>
      <c r="S130" s="399"/>
      <c r="T130" s="399"/>
    </row>
    <row r="131" spans="1:20" s="81" customFormat="1" ht="15" customHeight="1" thickBot="1">
      <c r="A131" s="460"/>
      <c r="B131" s="461"/>
      <c r="C131" s="99" t="s">
        <v>29</v>
      </c>
      <c r="D131" s="37">
        <v>12850</v>
      </c>
      <c r="E131" s="56">
        <v>6.7920999999999996</v>
      </c>
      <c r="F131" s="311"/>
      <c r="G131" s="110">
        <f>ROUND(D131*(E131),2)</f>
        <v>87278.49</v>
      </c>
      <c r="H131" s="310"/>
      <c r="I131" s="311"/>
      <c r="J131" s="311"/>
      <c r="K131" s="312"/>
      <c r="L131" s="313"/>
      <c r="M131" s="115"/>
      <c r="N131" s="463"/>
      <c r="O131" s="464"/>
      <c r="P131" s="464"/>
      <c r="Q131" s="465"/>
      <c r="R131" s="466"/>
      <c r="S131" s="467"/>
      <c r="T131" s="399"/>
    </row>
    <row r="132" spans="1:20" s="81" customFormat="1" ht="15" customHeight="1" thickTop="1">
      <c r="A132" s="437"/>
      <c r="B132" s="438" t="s">
        <v>83</v>
      </c>
      <c r="C132" s="377" t="s">
        <v>73</v>
      </c>
      <c r="D132" s="378">
        <v>1</v>
      </c>
      <c r="E132" s="21">
        <v>36.214199999999998</v>
      </c>
      <c r="F132" s="21">
        <v>42.4328</v>
      </c>
      <c r="G132" s="22">
        <f>+D132*(E132+F132)</f>
        <v>78.646999999999991</v>
      </c>
      <c r="H132" s="303"/>
      <c r="I132" s="23"/>
      <c r="J132" s="341"/>
      <c r="K132" s="342"/>
      <c r="L132" s="263">
        <f>SUM(G132:G136,J132:J136)</f>
        <v>470.37700000000001</v>
      </c>
      <c r="M132" s="26">
        <v>470.38</v>
      </c>
      <c r="N132" s="421"/>
      <c r="O132" s="77"/>
      <c r="P132" s="77"/>
      <c r="Q132" s="384"/>
      <c r="R132" s="422"/>
      <c r="S132" s="399"/>
      <c r="T132" s="399"/>
    </row>
    <row r="133" spans="1:20" s="81" customFormat="1" ht="15" customHeight="1">
      <c r="A133" s="441"/>
      <c r="B133" s="442"/>
      <c r="C133" s="36" t="s">
        <v>26</v>
      </c>
      <c r="D133" s="37"/>
      <c r="E133" s="38">
        <v>3.4692000000000007</v>
      </c>
      <c r="F133" s="38">
        <f>37.8898-33.8306</f>
        <v>4.0592000000000041</v>
      </c>
      <c r="G133" s="39">
        <f>ROUND(D133*(E133+F133),2)</f>
        <v>0</v>
      </c>
      <c r="H133" s="457"/>
      <c r="I133" s="199"/>
      <c r="J133" s="199"/>
      <c r="K133" s="458"/>
      <c r="L133" s="459"/>
      <c r="M133" s="44"/>
      <c r="N133" s="430"/>
      <c r="O133" s="431"/>
      <c r="P133" s="431"/>
      <c r="Q133" s="424"/>
      <c r="R133" s="422"/>
      <c r="S133" s="399"/>
      <c r="T133" s="399"/>
    </row>
    <row r="134" spans="1:20" s="81" customFormat="1" ht="15" customHeight="1">
      <c r="A134" s="441"/>
      <c r="B134" s="442"/>
      <c r="C134" s="48" t="s">
        <v>164</v>
      </c>
      <c r="D134" s="37">
        <v>68.2</v>
      </c>
      <c r="E134" s="41">
        <f>6.7921-6.8344</f>
        <v>-4.2300000000000004E-2</v>
      </c>
      <c r="F134" s="38"/>
      <c r="G134" s="39">
        <f>ROUND(D134*(E134),2)-0.01</f>
        <v>-2.8899999999999997</v>
      </c>
      <c r="H134" s="270"/>
      <c r="I134" s="41"/>
      <c r="J134" s="41"/>
      <c r="K134" s="271"/>
      <c r="L134" s="272"/>
      <c r="M134" s="102"/>
      <c r="N134" s="430"/>
      <c r="O134" s="431"/>
      <c r="P134" s="431"/>
      <c r="Q134" s="424"/>
      <c r="R134" s="422"/>
      <c r="S134" s="399"/>
      <c r="T134" s="399"/>
    </row>
    <row r="135" spans="1:20" s="81" customFormat="1" ht="15" customHeight="1">
      <c r="A135" s="441"/>
      <c r="B135" s="442"/>
      <c r="C135" s="48" t="s">
        <v>165</v>
      </c>
      <c r="D135" s="37">
        <v>0.1</v>
      </c>
      <c r="E135" s="41">
        <v>6.7920999999999996</v>
      </c>
      <c r="F135" s="38"/>
      <c r="G135" s="39">
        <f>ROUND(D135*(E135),2)</f>
        <v>0.68</v>
      </c>
      <c r="H135" s="270"/>
      <c r="I135" s="41"/>
      <c r="J135" s="41"/>
      <c r="K135" s="271"/>
      <c r="L135" s="272"/>
      <c r="M135" s="102"/>
      <c r="N135" s="434"/>
      <c r="O135" s="435"/>
      <c r="P135" s="435"/>
      <c r="Q135" s="425"/>
      <c r="R135" s="422"/>
      <c r="S135" s="399"/>
      <c r="T135" s="399"/>
    </row>
    <row r="136" spans="1:20" s="81" customFormat="1" ht="15.75" customHeight="1" thickBot="1">
      <c r="A136" s="460"/>
      <c r="B136" s="461"/>
      <c r="C136" s="99" t="s">
        <v>29</v>
      </c>
      <c r="D136" s="462">
        <v>58</v>
      </c>
      <c r="E136" s="56">
        <v>6.7920999999999996</v>
      </c>
      <c r="F136" s="311"/>
      <c r="G136" s="110">
        <f>ROUND(D136*(E136),2)</f>
        <v>393.94</v>
      </c>
      <c r="H136" s="310"/>
      <c r="I136" s="311"/>
      <c r="J136" s="311"/>
      <c r="K136" s="312"/>
      <c r="L136" s="313"/>
      <c r="M136" s="115"/>
      <c r="N136" s="463"/>
      <c r="O136" s="464"/>
      <c r="P136" s="464"/>
      <c r="Q136" s="465"/>
      <c r="R136" s="422"/>
      <c r="S136" s="399"/>
      <c r="T136" s="399"/>
    </row>
    <row r="137" spans="1:20" s="81" customFormat="1" ht="15.75" customHeight="1" thickTop="1">
      <c r="A137" s="447"/>
      <c r="B137" s="438" t="s">
        <v>126</v>
      </c>
      <c r="C137" s="48" t="s">
        <v>164</v>
      </c>
      <c r="D137" s="448">
        <v>85.2</v>
      </c>
      <c r="E137" s="41">
        <f>6.7921-6.8344</f>
        <v>-4.2300000000000004E-2</v>
      </c>
      <c r="F137" s="261"/>
      <c r="G137" s="449">
        <f>ROUND(D137*E137,2)-0.01</f>
        <v>-3.61</v>
      </c>
      <c r="H137" s="303"/>
      <c r="I137" s="23"/>
      <c r="J137" s="23"/>
      <c r="K137" s="304"/>
      <c r="L137" s="263">
        <f>SUM(G137:G139)</f>
        <v>507.16</v>
      </c>
      <c r="M137" s="26">
        <v>507.16</v>
      </c>
      <c r="N137" s="421"/>
      <c r="O137" s="77"/>
      <c r="P137" s="77"/>
      <c r="Q137" s="384"/>
      <c r="R137" s="422"/>
      <c r="S137" s="399"/>
      <c r="T137" s="399"/>
    </row>
    <row r="138" spans="1:20" s="81" customFormat="1" ht="15.75" customHeight="1">
      <c r="A138" s="450"/>
      <c r="B138" s="442"/>
      <c r="C138" s="48" t="s">
        <v>165</v>
      </c>
      <c r="D138" s="448">
        <v>0.2</v>
      </c>
      <c r="E138" s="41">
        <v>6.7920999999999996</v>
      </c>
      <c r="F138" s="261"/>
      <c r="G138" s="449">
        <f t="shared" ref="G138:G139" si="15">ROUND(D138*E138,2)</f>
        <v>1.36</v>
      </c>
      <c r="H138" s="260"/>
      <c r="I138" s="261"/>
      <c r="J138" s="261"/>
      <c r="K138" s="262"/>
      <c r="L138" s="286"/>
      <c r="M138" s="90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 thickBot="1">
      <c r="A139" s="697"/>
      <c r="B139" s="698"/>
      <c r="C139" s="99" t="s">
        <v>29</v>
      </c>
      <c r="D139" s="596">
        <v>75</v>
      </c>
      <c r="E139" s="56">
        <v>6.7920999999999996</v>
      </c>
      <c r="F139" s="41"/>
      <c r="G139" s="39">
        <f t="shared" si="15"/>
        <v>509.41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>
      <c r="A140" s="468"/>
      <c r="B140" s="699" t="s">
        <v>133</v>
      </c>
      <c r="C140" s="48" t="s">
        <v>164</v>
      </c>
      <c r="D140" s="471">
        <v>513.20000000000005</v>
      </c>
      <c r="E140" s="41">
        <f>6.7921-6.8344</f>
        <v>-4.2300000000000004E-2</v>
      </c>
      <c r="F140" s="473"/>
      <c r="G140" s="449">
        <f>ROUND(D140*E140,2)</f>
        <v>-21.71</v>
      </c>
      <c r="H140" s="303"/>
      <c r="I140" s="23"/>
      <c r="J140" s="23"/>
      <c r="K140" s="304"/>
      <c r="L140" s="263">
        <f>SUM(G140:G142)</f>
        <v>1475.95</v>
      </c>
      <c r="M140" s="26">
        <v>1475.95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468"/>
      <c r="B141" s="469"/>
      <c r="C141" s="48" t="s">
        <v>165</v>
      </c>
      <c r="D141" s="471">
        <v>0.5</v>
      </c>
      <c r="E141" s="41">
        <v>6.7920999999999996</v>
      </c>
      <c r="F141" s="473"/>
      <c r="G141" s="449">
        <f>ROUND(D141*E141,2)</f>
        <v>3.4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701"/>
      <c r="B142" s="702"/>
      <c r="C142" s="99" t="s">
        <v>29</v>
      </c>
      <c r="D142" s="703">
        <v>220</v>
      </c>
      <c r="E142" s="56">
        <v>6.7920999999999996</v>
      </c>
      <c r="F142" s="704"/>
      <c r="G142" s="39">
        <f t="shared" ref="G142" si="16">ROUND(D142*E142,2)</f>
        <v>1494.26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468"/>
      <c r="B143" s="699" t="s">
        <v>134</v>
      </c>
      <c r="C143" s="48" t="s">
        <v>164</v>
      </c>
      <c r="D143" s="471">
        <v>700.7</v>
      </c>
      <c r="E143" s="41">
        <f>6.7921-6.8344</f>
        <v>-4.2300000000000004E-2</v>
      </c>
      <c r="F143" s="473"/>
      <c r="G143" s="449">
        <f>ROUND(D143*E143,2)</f>
        <v>-29.64</v>
      </c>
      <c r="H143" s="303"/>
      <c r="I143" s="23"/>
      <c r="J143" s="23"/>
      <c r="K143" s="304"/>
      <c r="L143" s="263">
        <f>SUM(G143:G145)</f>
        <v>4293.53</v>
      </c>
      <c r="M143" s="26">
        <v>4293.53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165</v>
      </c>
      <c r="D144" s="471">
        <v>1.5</v>
      </c>
      <c r="E144" s="41">
        <v>6.7920999999999996</v>
      </c>
      <c r="F144" s="473"/>
      <c r="G144" s="449">
        <f t="shared" ref="G144:G145" si="17">ROUND(D144*E144,2)</f>
        <v>10.19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701"/>
      <c r="B145" s="702"/>
      <c r="C145" s="99" t="s">
        <v>29</v>
      </c>
      <c r="D145" s="703">
        <v>635</v>
      </c>
      <c r="E145" s="56">
        <v>6.7920999999999996</v>
      </c>
      <c r="F145" s="704"/>
      <c r="G145" s="39">
        <f t="shared" si="17"/>
        <v>4312.9799999999996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0" s="81" customFormat="1" ht="15.75" customHeight="1">
      <c r="A146" s="468"/>
      <c r="B146" s="699" t="s">
        <v>140</v>
      </c>
      <c r="C146" s="48" t="s">
        <v>164</v>
      </c>
      <c r="D146" s="471">
        <v>879.1</v>
      </c>
      <c r="E146" s="41">
        <f>6.7921-6.8344</f>
        <v>-4.2300000000000004E-2</v>
      </c>
      <c r="F146" s="473"/>
      <c r="G146" s="449">
        <f>ROUND(D146*E146,2)+0.01</f>
        <v>-37.18</v>
      </c>
      <c r="H146" s="303"/>
      <c r="I146" s="23"/>
      <c r="J146" s="23"/>
      <c r="K146" s="304"/>
      <c r="L146" s="263">
        <f>SUM(G146:G148)</f>
        <v>5436.5700000000006</v>
      </c>
      <c r="M146" s="26">
        <v>5436.57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.75" customHeight="1">
      <c r="A147" s="468"/>
      <c r="B147" s="469"/>
      <c r="C147" s="48" t="s">
        <v>165</v>
      </c>
      <c r="D147" s="471">
        <v>1.9</v>
      </c>
      <c r="E147" s="41">
        <v>6.7920999999999996</v>
      </c>
      <c r="F147" s="473"/>
      <c r="G147" s="449">
        <f>ROUND(D147*E147,2)</f>
        <v>12.9</v>
      </c>
      <c r="H147" s="260"/>
      <c r="I147" s="261"/>
      <c r="J147" s="261"/>
      <c r="K147" s="262"/>
      <c r="L147" s="286"/>
      <c r="M147" s="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701"/>
      <c r="B148" s="702"/>
      <c r="C148" s="99" t="s">
        <v>29</v>
      </c>
      <c r="D148" s="703">
        <v>804</v>
      </c>
      <c r="E148" s="56">
        <v>6.7920999999999996</v>
      </c>
      <c r="F148" s="704"/>
      <c r="G148" s="39">
        <f t="shared" ref="G148" si="18">ROUND(D148*E148,2)</f>
        <v>5460.85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>
      <c r="A149" s="468"/>
      <c r="B149" s="699" t="s">
        <v>141</v>
      </c>
      <c r="C149" s="48" t="s">
        <v>164</v>
      </c>
      <c r="D149" s="471">
        <v>744.8</v>
      </c>
      <c r="E149" s="41">
        <f>6.7921-6.8344</f>
        <v>-4.2300000000000004E-2</v>
      </c>
      <c r="F149" s="473"/>
      <c r="G149" s="449">
        <f>ROUND(D149*E149,2)</f>
        <v>-31.51</v>
      </c>
      <c r="H149" s="303"/>
      <c r="I149" s="23"/>
      <c r="J149" s="23"/>
      <c r="K149" s="304"/>
      <c r="L149" s="263">
        <f>SUM(G149:G151)</f>
        <v>17725.079999999998</v>
      </c>
      <c r="M149" s="26">
        <v>17725.080000000002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468"/>
      <c r="B150" s="469"/>
      <c r="C150" s="48" t="s">
        <v>165</v>
      </c>
      <c r="D150" s="471">
        <v>6.3</v>
      </c>
      <c r="E150" s="41">
        <v>6.7920999999999996</v>
      </c>
      <c r="F150" s="473"/>
      <c r="G150" s="449">
        <f>ROUND(D150*E150,2)</f>
        <v>42.79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701"/>
      <c r="B151" s="702"/>
      <c r="C151" s="99" t="s">
        <v>29</v>
      </c>
      <c r="D151" s="703">
        <v>2608</v>
      </c>
      <c r="E151" s="56">
        <v>6.7920999999999996</v>
      </c>
      <c r="F151" s="704"/>
      <c r="G151" s="39">
        <f t="shared" ref="G151" si="19">ROUND(D151*E151,2)</f>
        <v>17713.8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468"/>
      <c r="B152" s="699" t="s">
        <v>147</v>
      </c>
      <c r="C152" s="48" t="s">
        <v>164</v>
      </c>
      <c r="D152" s="471">
        <v>119.3</v>
      </c>
      <c r="E152" s="41">
        <f>6.7921-6.8344</f>
        <v>-4.2300000000000004E-2</v>
      </c>
      <c r="F152" s="473"/>
      <c r="G152" s="449">
        <f>ROUND(D152*E152,2)</f>
        <v>-5.05</v>
      </c>
      <c r="H152" s="303"/>
      <c r="I152" s="23"/>
      <c r="J152" s="23"/>
      <c r="K152" s="304"/>
      <c r="L152" s="263">
        <f>SUM(G152:G154)</f>
        <v>852.79</v>
      </c>
      <c r="M152" s="26">
        <v>852.79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468"/>
      <c r="B153" s="469"/>
      <c r="C153" s="48" t="s">
        <v>165</v>
      </c>
      <c r="D153" s="471">
        <v>0.3</v>
      </c>
      <c r="E153" s="41">
        <v>6.7920999999999996</v>
      </c>
      <c r="F153" s="473"/>
      <c r="G153" s="449">
        <f>ROUND(D153*E153,2)</f>
        <v>2.04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701"/>
      <c r="B154" s="702"/>
      <c r="C154" s="99" t="s">
        <v>29</v>
      </c>
      <c r="D154" s="703">
        <v>126</v>
      </c>
      <c r="E154" s="56">
        <v>6.7920999999999996</v>
      </c>
      <c r="F154" s="704"/>
      <c r="G154" s="39">
        <f t="shared" ref="G154" si="20">ROUND(D154*E154,2)</f>
        <v>855.8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468"/>
      <c r="B155" s="699" t="s">
        <v>154</v>
      </c>
      <c r="C155" s="48" t="s">
        <v>164</v>
      </c>
      <c r="D155" s="471">
        <v>285.7</v>
      </c>
      <c r="E155" s="41">
        <f>6.7921-6.8344</f>
        <v>-4.2300000000000004E-2</v>
      </c>
      <c r="F155" s="473"/>
      <c r="G155" s="449">
        <f>ROUND(D155*E155,2)</f>
        <v>-12.09</v>
      </c>
      <c r="H155" s="303"/>
      <c r="I155" s="23"/>
      <c r="J155" s="23"/>
      <c r="K155" s="304"/>
      <c r="L155" s="263">
        <f>SUM(G155:G157)</f>
        <v>1785.1</v>
      </c>
      <c r="M155" s="26">
        <v>1785.1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165</v>
      </c>
      <c r="D156" s="471">
        <v>0.6</v>
      </c>
      <c r="E156" s="41">
        <v>6.7920999999999996</v>
      </c>
      <c r="F156" s="473"/>
      <c r="G156" s="449">
        <f>ROUND(D156*E156,2)</f>
        <v>4.08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701"/>
      <c r="B157" s="702"/>
      <c r="C157" s="99" t="s">
        <v>29</v>
      </c>
      <c r="D157" s="703">
        <v>264</v>
      </c>
      <c r="E157" s="56">
        <v>6.7920999999999996</v>
      </c>
      <c r="F157" s="704"/>
      <c r="G157" s="39">
        <f t="shared" ref="G157" si="21">ROUND(D157*E157,2)</f>
        <v>1793.11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468"/>
      <c r="B158" s="699" t="s">
        <v>155</v>
      </c>
      <c r="C158" s="48" t="s">
        <v>164</v>
      </c>
      <c r="D158" s="471">
        <v>0</v>
      </c>
      <c r="E158" s="41">
        <f>6.7921-6.8344</f>
        <v>-4.2300000000000004E-2</v>
      </c>
      <c r="F158" s="473"/>
      <c r="G158" s="449">
        <f>ROUND(D158*E158,2)</f>
        <v>0</v>
      </c>
      <c r="H158" s="303"/>
      <c r="I158" s="23"/>
      <c r="J158" s="23"/>
      <c r="K158" s="304"/>
      <c r="L158" s="263">
        <f>SUM(G158:G160)</f>
        <v>0</v>
      </c>
      <c r="M158" s="26">
        <v>0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165</v>
      </c>
      <c r="D159" s="471">
        <v>0</v>
      </c>
      <c r="E159" s="41">
        <v>6.7920999999999996</v>
      </c>
      <c r="F159" s="473"/>
      <c r="G159" s="449">
        <f>ROUND(D159*E159,2)</f>
        <v>0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701"/>
      <c r="B160" s="702"/>
      <c r="C160" s="99" t="s">
        <v>29</v>
      </c>
      <c r="D160" s="703">
        <v>0</v>
      </c>
      <c r="E160" s="56">
        <v>6.7920999999999996</v>
      </c>
      <c r="F160" s="704"/>
      <c r="G160" s="39">
        <f t="shared" ref="G160" si="22">ROUND(D160*E160,2)</f>
        <v>0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468"/>
      <c r="B161" s="699" t="s">
        <v>160</v>
      </c>
      <c r="C161" s="48" t="s">
        <v>164</v>
      </c>
      <c r="D161" s="471">
        <v>55.1</v>
      </c>
      <c r="E161" s="41">
        <f>6.7921-6.8344</f>
        <v>-4.2300000000000004E-2</v>
      </c>
      <c r="F161" s="473"/>
      <c r="G161" s="449">
        <f>ROUND(D161*E161,2)-0.01</f>
        <v>-2.34</v>
      </c>
      <c r="H161" s="303"/>
      <c r="I161" s="23"/>
      <c r="J161" s="23"/>
      <c r="K161" s="304"/>
      <c r="L161" s="263">
        <f>SUM(G161:G163)</f>
        <v>86.17</v>
      </c>
      <c r="M161" s="26">
        <v>86.17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468"/>
      <c r="B162" s="469"/>
      <c r="C162" s="48" t="s">
        <v>165</v>
      </c>
      <c r="D162" s="471">
        <v>0.03</v>
      </c>
      <c r="E162" s="41">
        <v>6.7920999999999996</v>
      </c>
      <c r="F162" s="473"/>
      <c r="G162" s="449">
        <f>ROUND(D162*E162,2)+0.01</f>
        <v>0.21000000000000002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701"/>
      <c r="B163" s="702"/>
      <c r="C163" s="99" t="s">
        <v>29</v>
      </c>
      <c r="D163" s="703">
        <v>13</v>
      </c>
      <c r="E163" s="56">
        <v>6.7920999999999996</v>
      </c>
      <c r="F163" s="704"/>
      <c r="G163" s="39">
        <f t="shared" ref="G163" si="23">ROUND(D163*E163,2)</f>
        <v>88.3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468"/>
      <c r="B164" s="699" t="s">
        <v>161</v>
      </c>
      <c r="C164" s="48" t="s">
        <v>164</v>
      </c>
      <c r="D164" s="471">
        <v>129.30000000000001</v>
      </c>
      <c r="E164" s="41">
        <f>6.7921-6.8344</f>
        <v>-4.2300000000000004E-2</v>
      </c>
      <c r="F164" s="473"/>
      <c r="G164" s="449">
        <f>ROUND(D164*E164,2)-0.01</f>
        <v>-5.4799999999999995</v>
      </c>
      <c r="H164" s="303"/>
      <c r="I164" s="23"/>
      <c r="J164" s="23"/>
      <c r="K164" s="304"/>
      <c r="L164" s="263">
        <f>SUM(G164:G166)</f>
        <v>1288.42</v>
      </c>
      <c r="M164" s="26">
        <v>1288.42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165</v>
      </c>
      <c r="D165" s="471">
        <v>0.5</v>
      </c>
      <c r="E165" s="41">
        <v>6.7920999999999996</v>
      </c>
      <c r="F165" s="473"/>
      <c r="G165" s="449">
        <f>ROUND(D165*E165,2)</f>
        <v>3.4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701"/>
      <c r="B166" s="702"/>
      <c r="C166" s="99" t="s">
        <v>29</v>
      </c>
      <c r="D166" s="703">
        <v>190</v>
      </c>
      <c r="E166" s="56">
        <v>6.7920999999999996</v>
      </c>
      <c r="F166" s="704"/>
      <c r="G166" s="39">
        <f t="shared" ref="G166" si="24">ROUND(D166*E166,2)</f>
        <v>1290.5</v>
      </c>
      <c r="H166" s="280"/>
      <c r="I166" s="281"/>
      <c r="J166" s="281"/>
      <c r="K166" s="282"/>
      <c r="L166" s="204"/>
      <c r="M166" s="371"/>
      <c r="N166" s="426"/>
      <c r="O166" s="416"/>
      <c r="P166" s="416"/>
      <c r="Q166" s="417"/>
      <c r="R166" s="422"/>
      <c r="S166" s="399"/>
      <c r="T166" s="399"/>
    </row>
    <row r="167" spans="1:20" s="81" customFormat="1" ht="15.75" customHeight="1">
      <c r="A167" s="468"/>
      <c r="B167" s="699" t="s">
        <v>162</v>
      </c>
      <c r="C167" s="48" t="s">
        <v>164</v>
      </c>
      <c r="D167" s="471">
        <v>45.1</v>
      </c>
      <c r="E167" s="41">
        <f>6.7921-6.8344</f>
        <v>-4.2300000000000004E-2</v>
      </c>
      <c r="F167" s="473"/>
      <c r="G167" s="449">
        <f>ROUND(D167*E167,2)+0.01</f>
        <v>-1.9</v>
      </c>
      <c r="H167" s="303"/>
      <c r="I167" s="23"/>
      <c r="J167" s="23"/>
      <c r="K167" s="304"/>
      <c r="L167" s="263">
        <f>SUM(G167:G169)</f>
        <v>9298.52</v>
      </c>
      <c r="M167" s="26">
        <v>9298.52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.75" customHeight="1">
      <c r="A168" s="468"/>
      <c r="B168" s="469"/>
      <c r="C168" s="48" t="s">
        <v>165</v>
      </c>
      <c r="D168" s="471">
        <v>3.3</v>
      </c>
      <c r="E168" s="41">
        <v>6.7920999999999996</v>
      </c>
      <c r="F168" s="473"/>
      <c r="G168" s="449">
        <f>ROUND(D168*E168,2)</f>
        <v>22.41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0" s="81" customFormat="1" ht="15.75" customHeight="1" thickBot="1">
      <c r="A169" s="701"/>
      <c r="B169" s="702"/>
      <c r="C169" s="99" t="s">
        <v>29</v>
      </c>
      <c r="D169" s="703">
        <v>1366</v>
      </c>
      <c r="E169" s="56">
        <v>6.7920999999999996</v>
      </c>
      <c r="F169" s="704"/>
      <c r="G169" s="39">
        <f t="shared" ref="G169" si="25">ROUND(D169*E169,2)</f>
        <v>9278.01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customHeight="1">
      <c r="A170" s="468"/>
      <c r="B170" s="699" t="s">
        <v>167</v>
      </c>
      <c r="C170" s="48" t="s">
        <v>164</v>
      </c>
      <c r="D170" s="471">
        <v>0</v>
      </c>
      <c r="E170" s="41">
        <f>6.7921-6.8344</f>
        <v>-4.2300000000000004E-2</v>
      </c>
      <c r="F170" s="473"/>
      <c r="G170" s="449">
        <f>ROUND(D170*E170,2)</f>
        <v>0</v>
      </c>
      <c r="H170" s="303"/>
      <c r="I170" s="23"/>
      <c r="J170" s="23"/>
      <c r="K170" s="304"/>
      <c r="L170" s="263">
        <f>SUM(G170:G172)</f>
        <v>231.61</v>
      </c>
      <c r="M170" s="26">
        <v>231.61</v>
      </c>
      <c r="N170" s="421"/>
      <c r="O170" s="77"/>
      <c r="P170" s="77"/>
      <c r="Q170" s="384"/>
      <c r="R170" s="422"/>
      <c r="S170" s="399"/>
      <c r="T170" s="399"/>
    </row>
    <row r="171" spans="1:20" s="81" customFormat="1" ht="15.75" customHeight="1">
      <c r="A171" s="468"/>
      <c r="B171" s="469"/>
      <c r="C171" s="48" t="s">
        <v>165</v>
      </c>
      <c r="D171" s="471">
        <v>0.1</v>
      </c>
      <c r="E171" s="41">
        <v>6.7920999999999996</v>
      </c>
      <c r="F171" s="473"/>
      <c r="G171" s="449">
        <f>ROUND(D171*E171,2)</f>
        <v>0.68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701"/>
      <c r="B172" s="702"/>
      <c r="C172" s="99" t="s">
        <v>29</v>
      </c>
      <c r="D172" s="703">
        <v>34</v>
      </c>
      <c r="E172" s="56">
        <v>6.7920999999999996</v>
      </c>
      <c r="F172" s="704"/>
      <c r="G172" s="39">
        <f t="shared" ref="G172" si="26">ROUND(D172*E172,2)</f>
        <v>230.93</v>
      </c>
      <c r="H172" s="280"/>
      <c r="I172" s="281"/>
      <c r="J172" s="281"/>
      <c r="K172" s="282"/>
      <c r="L172" s="204"/>
      <c r="M172" s="371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468"/>
      <c r="B173" s="699" t="s">
        <v>168</v>
      </c>
      <c r="C173" s="48" t="s">
        <v>164</v>
      </c>
      <c r="D173" s="471">
        <v>0</v>
      </c>
      <c r="E173" s="41">
        <f>6.7921-6.8344</f>
        <v>-4.2300000000000004E-2</v>
      </c>
      <c r="F173" s="473"/>
      <c r="G173" s="449">
        <f>ROUND(D173*E173,2)</f>
        <v>0</v>
      </c>
      <c r="H173" s="303"/>
      <c r="I173" s="23"/>
      <c r="J173" s="23"/>
      <c r="K173" s="304"/>
      <c r="L173" s="263">
        <f>SUM(G173:G175)</f>
        <v>776.33999999999992</v>
      </c>
      <c r="M173" s="26">
        <v>776.34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468"/>
      <c r="B174" s="469"/>
      <c r="C174" s="48" t="s">
        <v>165</v>
      </c>
      <c r="D174" s="471">
        <v>0.3</v>
      </c>
      <c r="E174" s="41">
        <v>6.7920999999999996</v>
      </c>
      <c r="F174" s="473"/>
      <c r="G174" s="449">
        <f>ROUND(D174*E174,2)</f>
        <v>2.04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701"/>
      <c r="B175" s="702"/>
      <c r="C175" s="99" t="s">
        <v>29</v>
      </c>
      <c r="D175" s="703">
        <v>114</v>
      </c>
      <c r="E175" s="56">
        <v>6.7920999999999996</v>
      </c>
      <c r="F175" s="704"/>
      <c r="G175" s="39">
        <f t="shared" ref="G175" si="27">ROUND(D175*E175,2)</f>
        <v>774.3</v>
      </c>
      <c r="H175" s="280"/>
      <c r="I175" s="281"/>
      <c r="J175" s="281"/>
      <c r="K175" s="282"/>
      <c r="L175" s="204"/>
      <c r="M175" s="371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 thickBot="1">
      <c r="A176" s="686"/>
      <c r="B176" s="469"/>
      <c r="C176" s="470"/>
      <c r="D176" s="471"/>
      <c r="E176" s="472"/>
      <c r="F176" s="473"/>
      <c r="G176" s="474"/>
      <c r="H176" s="473"/>
      <c r="I176" s="473"/>
      <c r="J176" s="473"/>
      <c r="K176" s="473"/>
      <c r="L176" s="473"/>
      <c r="M176" s="475"/>
      <c r="N176" s="399"/>
      <c r="O176" s="399"/>
      <c r="P176" s="399"/>
      <c r="Q176" s="399"/>
      <c r="R176" s="422"/>
      <c r="S176" s="399"/>
      <c r="T176" s="399"/>
    </row>
    <row r="177" spans="1:21" s="81" customFormat="1" ht="15" customHeight="1" thickTop="1">
      <c r="A177" s="476"/>
      <c r="B177" s="158"/>
      <c r="C177" s="322"/>
      <c r="D177" s="477"/>
      <c r="E177" s="163"/>
      <c r="F177" s="163"/>
      <c r="G177" s="478"/>
      <c r="H177" s="163"/>
      <c r="I177" s="163"/>
      <c r="J177" s="163"/>
      <c r="K177" s="163"/>
      <c r="L177" s="163"/>
      <c r="M177" s="164"/>
      <c r="N177" s="479"/>
      <c r="O177" s="479"/>
      <c r="P177" s="479"/>
      <c r="Q177" s="479"/>
      <c r="R177" s="480"/>
      <c r="S177" s="479"/>
      <c r="T177" s="399"/>
    </row>
    <row r="178" spans="1:21" ht="21.75" thickBot="1">
      <c r="A178" s="171" t="s">
        <v>84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  <c r="N178" s="2"/>
      <c r="O178" s="2"/>
      <c r="P178" s="2"/>
      <c r="Q178" s="2"/>
      <c r="R178" s="2"/>
      <c r="S178" s="2"/>
      <c r="T178" s="2"/>
    </row>
    <row r="179" spans="1:21" ht="15.75" customHeight="1" thickTop="1" thickBot="1">
      <c r="A179" s="1540" t="s">
        <v>1</v>
      </c>
      <c r="B179" s="1542" t="s">
        <v>2</v>
      </c>
      <c r="C179" s="1544" t="s">
        <v>3</v>
      </c>
      <c r="D179" s="1546" t="s">
        <v>4</v>
      </c>
      <c r="E179" s="1546"/>
      <c r="F179" s="1546"/>
      <c r="G179" s="1546"/>
      <c r="H179" s="1547" t="s">
        <v>5</v>
      </c>
      <c r="I179" s="1548"/>
      <c r="J179" s="1548"/>
      <c r="K179" s="1549"/>
      <c r="L179" s="1524" t="s">
        <v>6</v>
      </c>
      <c r="M179" s="1511" t="s">
        <v>7</v>
      </c>
      <c r="N179" s="1551" t="s">
        <v>8</v>
      </c>
      <c r="O179" s="1551"/>
      <c r="P179" s="1551"/>
      <c r="Q179" s="1552" t="s">
        <v>18</v>
      </c>
      <c r="R179" s="481" t="s">
        <v>85</v>
      </c>
      <c r="S179" s="482" t="s">
        <v>20</v>
      </c>
      <c r="T179" s="482" t="s">
        <v>21</v>
      </c>
    </row>
    <row r="180" spans="1:21" ht="40.5" customHeight="1" thickTop="1" thickBot="1">
      <c r="A180" s="1541"/>
      <c r="B180" s="1543"/>
      <c r="C180" s="1545" t="s">
        <v>10</v>
      </c>
      <c r="D180" s="483" t="s">
        <v>11</v>
      </c>
      <c r="E180" s="484" t="s">
        <v>12</v>
      </c>
      <c r="F180" s="484" t="s">
        <v>13</v>
      </c>
      <c r="G180" s="485" t="s">
        <v>14</v>
      </c>
      <c r="H180" s="483" t="s">
        <v>11</v>
      </c>
      <c r="I180" s="486" t="s">
        <v>15</v>
      </c>
      <c r="J180" s="485"/>
      <c r="K180" s="487" t="s">
        <v>16</v>
      </c>
      <c r="L180" s="1525"/>
      <c r="M180" s="1550"/>
      <c r="N180" s="488" t="s">
        <v>14</v>
      </c>
      <c r="O180" s="485"/>
      <c r="P180" s="489" t="s">
        <v>18</v>
      </c>
      <c r="Q180" s="490" t="s">
        <v>19</v>
      </c>
      <c r="R180" s="491"/>
      <c r="S180" s="492"/>
      <c r="T180" s="492"/>
    </row>
    <row r="181" spans="1:21">
      <c r="A181" s="493">
        <v>501</v>
      </c>
      <c r="B181" s="494" t="s">
        <v>86</v>
      </c>
      <c r="C181" s="71"/>
      <c r="D181" s="495">
        <v>32</v>
      </c>
      <c r="E181" s="21">
        <v>36.214199999999998</v>
      </c>
      <c r="F181" s="21">
        <v>42.4328</v>
      </c>
      <c r="G181" s="185">
        <f>ROUND(D181*(E181+F181),2)</f>
        <v>2516.6999999999998</v>
      </c>
      <c r="H181" s="496"/>
      <c r="I181" s="73">
        <v>0.85</v>
      </c>
      <c r="J181" s="73">
        <f>+H181*I181</f>
        <v>0</v>
      </c>
      <c r="K181" s="497"/>
      <c r="L181" s="498">
        <f>+SUM(G181:G188,C188)</f>
        <v>52134.81</v>
      </c>
      <c r="M181" s="26">
        <v>52134.81</v>
      </c>
      <c r="N181" s="499"/>
      <c r="O181" s="500"/>
      <c r="P181" s="501" t="s">
        <v>87</v>
      </c>
      <c r="Q181" s="304">
        <f t="shared" ref="Q181:Q199" si="28">C181+G181+J181-M181-N181-O181</f>
        <v>-49618.11</v>
      </c>
      <c r="R181" s="502" t="s">
        <v>88</v>
      </c>
      <c r="S181" s="503"/>
      <c r="T181" s="504"/>
      <c r="U181" s="33"/>
    </row>
    <row r="182" spans="1:21" ht="15.75" thickBot="1">
      <c r="A182" s="505"/>
      <c r="B182" s="506"/>
      <c r="C182" s="507"/>
      <c r="D182" s="508"/>
      <c r="E182" s="38">
        <f>32.332-28.8628</f>
        <v>3.4692000000000007</v>
      </c>
      <c r="F182" s="38">
        <f>37.8898-33.8306</f>
        <v>4.0592000000000041</v>
      </c>
      <c r="G182" s="50">
        <f>ROUND(D182*(E182+F182),2)</f>
        <v>0</v>
      </c>
      <c r="H182" s="448"/>
      <c r="I182" s="509"/>
      <c r="J182" s="409"/>
      <c r="K182" s="510"/>
      <c r="L182" s="511"/>
      <c r="M182" s="512"/>
      <c r="N182" s="513"/>
      <c r="O182" s="514"/>
      <c r="P182" s="515"/>
      <c r="Q182" s="262"/>
      <c r="R182" s="502"/>
      <c r="S182" s="503"/>
      <c r="T182" s="504"/>
      <c r="U182" s="33"/>
    </row>
    <row r="183" spans="1:21">
      <c r="A183" s="505"/>
      <c r="B183" s="516" t="s">
        <v>89</v>
      </c>
      <c r="C183" s="512" t="s">
        <v>90</v>
      </c>
      <c r="D183" s="508">
        <v>0</v>
      </c>
      <c r="E183" s="101">
        <v>304.86</v>
      </c>
      <c r="F183" s="21">
        <v>42.4328</v>
      </c>
      <c r="G183" s="50">
        <f>D183*(E183+F183)</f>
        <v>0</v>
      </c>
      <c r="H183" s="270"/>
      <c r="I183" s="41">
        <v>128.56</v>
      </c>
      <c r="J183" s="409">
        <f>+H183*I183</f>
        <v>0</v>
      </c>
      <c r="K183" s="510"/>
      <c r="L183" s="517"/>
      <c r="M183" s="99"/>
      <c r="N183" s="518"/>
      <c r="O183" s="519"/>
      <c r="P183" s="515" t="s">
        <v>87</v>
      </c>
      <c r="Q183" s="271">
        <f>+G183+J183-M183-N183-O183</f>
        <v>0</v>
      </c>
      <c r="R183" s="502" t="s">
        <v>88</v>
      </c>
      <c r="S183" s="503"/>
      <c r="T183" s="504"/>
    </row>
    <row r="184" spans="1:21">
      <c r="A184" s="505"/>
      <c r="B184" s="506" t="s">
        <v>91</v>
      </c>
      <c r="C184" s="507"/>
      <c r="D184" s="508">
        <v>0</v>
      </c>
      <c r="E184" s="41">
        <f>304.86-291.8</f>
        <v>13.060000000000002</v>
      </c>
      <c r="F184" s="38"/>
      <c r="G184" s="50">
        <f>ROUND(D184*(E184+F184),2)</f>
        <v>0</v>
      </c>
      <c r="H184" s="432"/>
      <c r="I184" s="362"/>
      <c r="J184" s="409"/>
      <c r="K184" s="510"/>
      <c r="L184" s="517"/>
      <c r="M184" s="520"/>
      <c r="N184" s="521"/>
      <c r="O184" s="522"/>
      <c r="P184" s="523"/>
      <c r="Q184" s="362"/>
      <c r="R184" s="502"/>
      <c r="S184" s="503"/>
      <c r="T184" s="504"/>
    </row>
    <row r="185" spans="1:21">
      <c r="A185" s="505"/>
      <c r="B185" s="506" t="s">
        <v>91</v>
      </c>
      <c r="C185" s="507"/>
      <c r="D185" s="508"/>
      <c r="E185" s="38"/>
      <c r="F185" s="41"/>
      <c r="G185" s="50">
        <f>D185*(E185+F185)</f>
        <v>0</v>
      </c>
      <c r="H185" s="432"/>
      <c r="I185" s="362"/>
      <c r="J185" s="409"/>
      <c r="K185" s="510"/>
      <c r="L185" s="517"/>
      <c r="M185" s="520"/>
      <c r="N185" s="521"/>
      <c r="O185" s="522"/>
      <c r="P185" s="523"/>
      <c r="Q185" s="362"/>
      <c r="R185" s="502"/>
      <c r="S185" s="503"/>
      <c r="T185" s="504"/>
    </row>
    <row r="186" spans="1:21">
      <c r="A186" s="505"/>
      <c r="B186" s="506" t="s">
        <v>92</v>
      </c>
      <c r="C186" s="48" t="s">
        <v>164</v>
      </c>
      <c r="D186" s="508">
        <v>6984</v>
      </c>
      <c r="E186" s="41">
        <f>6.6426-6.5554</f>
        <v>8.7200000000000166E-2</v>
      </c>
      <c r="F186" s="41">
        <f>+E186</f>
        <v>8.7200000000000166E-2</v>
      </c>
      <c r="G186" s="39">
        <f>ROUNDDOWN(D186*E186,2)+0.01</f>
        <v>609.01</v>
      </c>
      <c r="H186" s="432"/>
      <c r="I186" s="362"/>
      <c r="J186" s="41"/>
      <c r="K186" s="510"/>
      <c r="L186" s="517"/>
      <c r="M186" s="520"/>
      <c r="N186" s="521"/>
      <c r="O186" s="522"/>
      <c r="P186" s="523"/>
      <c r="Q186" s="362"/>
      <c r="R186" s="502"/>
      <c r="S186" s="503"/>
      <c r="T186" s="504"/>
    </row>
    <row r="187" spans="1:21">
      <c r="A187" s="505"/>
      <c r="B187" s="506"/>
      <c r="C187" s="48" t="s">
        <v>165</v>
      </c>
      <c r="D187" s="508">
        <v>313</v>
      </c>
      <c r="E187" s="41">
        <v>6.6425999999999998</v>
      </c>
      <c r="F187" s="41">
        <f>+E187</f>
        <v>6.6425999999999998</v>
      </c>
      <c r="G187" s="39">
        <f>ROUND(D187*E187,2)</f>
        <v>2079.13</v>
      </c>
      <c r="H187" s="432"/>
      <c r="I187" s="362"/>
      <c r="J187" s="207"/>
      <c r="K187" s="524"/>
      <c r="L187" s="517"/>
      <c r="M187" s="520"/>
      <c r="N187" s="521"/>
      <c r="O187" s="522"/>
      <c r="P187" s="523"/>
      <c r="Q187" s="362"/>
      <c r="R187" s="502"/>
      <c r="S187" s="503"/>
      <c r="T187" s="504"/>
    </row>
    <row r="188" spans="1:21" ht="15.75" thickBot="1">
      <c r="A188" s="525"/>
      <c r="B188" s="526"/>
      <c r="C188" s="99" t="s">
        <v>29</v>
      </c>
      <c r="D188" s="55">
        <v>7065</v>
      </c>
      <c r="E188" s="56">
        <v>6.6425999999999998</v>
      </c>
      <c r="F188" s="57">
        <f>+E188</f>
        <v>6.6425999999999998</v>
      </c>
      <c r="G188" s="58">
        <f>ROUND(D188*E188,2)</f>
        <v>46929.97</v>
      </c>
      <c r="H188" s="248"/>
      <c r="I188" s="203"/>
      <c r="J188" s="60"/>
      <c r="K188" s="61"/>
      <c r="L188" s="249"/>
      <c r="M188" s="54"/>
      <c r="N188" s="527"/>
      <c r="O188" s="528"/>
      <c r="P188" s="529" t="s">
        <v>87</v>
      </c>
      <c r="Q188" s="282">
        <f>+G188+J188-M188-N188-O188</f>
        <v>46929.97</v>
      </c>
      <c r="R188" s="530" t="s">
        <v>88</v>
      </c>
      <c r="S188" s="531">
        <f>SUM(N181:N188)+O181:O188</f>
        <v>0</v>
      </c>
      <c r="T188" s="531">
        <f>SUM(Q181:Q188)</f>
        <v>-2688.1399999999994</v>
      </c>
      <c r="U188" s="33"/>
    </row>
    <row r="189" spans="1:21" ht="15.75" thickTop="1">
      <c r="A189" s="339" t="s">
        <v>93</v>
      </c>
      <c r="B189" s="532" t="s">
        <v>94</v>
      </c>
      <c r="C189" s="71">
        <f>+[1]дек!U51</f>
        <v>-6.0000000303261913E-4</v>
      </c>
      <c r="D189" s="213">
        <v>61</v>
      </c>
      <c r="E189" s="21">
        <v>36.214199999999998</v>
      </c>
      <c r="F189" s="21">
        <v>42.4328</v>
      </c>
      <c r="G189" s="214">
        <f>ROUND(D189*(E189+F189),2)</f>
        <v>4797.47</v>
      </c>
      <c r="H189" s="496"/>
      <c r="I189" s="73">
        <v>0.85</v>
      </c>
      <c r="J189" s="73">
        <f>H189*I189</f>
        <v>0</v>
      </c>
      <c r="K189" s="497"/>
      <c r="L189" s="533">
        <f>+SUM(G189:G196,)+J189+J191</f>
        <v>51477.599999999999</v>
      </c>
      <c r="M189" s="26">
        <v>51477.599999999999</v>
      </c>
      <c r="N189" s="534"/>
      <c r="O189" s="535"/>
      <c r="P189" s="536" t="s">
        <v>87</v>
      </c>
      <c r="Q189" s="537">
        <f t="shared" si="28"/>
        <v>-46680.130600000004</v>
      </c>
      <c r="R189" s="538" t="s">
        <v>95</v>
      </c>
      <c r="S189" s="539"/>
      <c r="T189" s="540"/>
      <c r="U189" s="33"/>
    </row>
    <row r="190" spans="1:21" ht="15.75" thickBot="1">
      <c r="A190" s="353"/>
      <c r="B190" s="541"/>
      <c r="C190" s="542" t="s">
        <v>96</v>
      </c>
      <c r="D190" s="234"/>
      <c r="E190" s="38">
        <f>32.332-28.8628</f>
        <v>3.4692000000000007</v>
      </c>
      <c r="F190" s="38">
        <f>37.8898-33.8306</f>
        <v>4.0592000000000041</v>
      </c>
      <c r="G190" s="235">
        <f>ROUND(D190*(E190+F190),2)</f>
        <v>0</v>
      </c>
      <c r="H190" s="448"/>
      <c r="I190" s="509"/>
      <c r="J190" s="509"/>
      <c r="K190" s="543"/>
      <c r="L190" s="544"/>
      <c r="M190" s="545"/>
      <c r="N190" s="546"/>
      <c r="O190" s="547"/>
      <c r="P190" s="548"/>
      <c r="Q190" s="549"/>
      <c r="R190" s="550"/>
      <c r="S190" s="551"/>
      <c r="T190" s="552"/>
      <c r="U190" s="33"/>
    </row>
    <row r="191" spans="1:21">
      <c r="A191" s="353"/>
      <c r="B191" s="516" t="s">
        <v>32</v>
      </c>
      <c r="C191" s="99" t="s">
        <v>90</v>
      </c>
      <c r="D191" s="234">
        <v>0</v>
      </c>
      <c r="E191" s="101">
        <v>304.86</v>
      </c>
      <c r="F191" s="21">
        <v>42.4328</v>
      </c>
      <c r="G191" s="235">
        <f>ROUND(D191*(E191+F191),2)</f>
        <v>0</v>
      </c>
      <c r="H191" s="270"/>
      <c r="I191" s="41">
        <v>128.56</v>
      </c>
      <c r="J191" s="41">
        <f>ROUND(H191*I191,2)</f>
        <v>0</v>
      </c>
      <c r="K191" s="510"/>
      <c r="L191" s="553"/>
      <c r="M191" s="554"/>
      <c r="N191" s="555"/>
      <c r="O191" s="556"/>
      <c r="P191" s="557" t="s">
        <v>87</v>
      </c>
      <c r="Q191" s="558">
        <f>+G191+J191-M191-N191-O191</f>
        <v>0</v>
      </c>
      <c r="R191" s="550" t="s">
        <v>95</v>
      </c>
      <c r="S191" s="551"/>
      <c r="T191" s="552"/>
    </row>
    <row r="192" spans="1:21">
      <c r="A192" s="353"/>
      <c r="B192" s="541"/>
      <c r="C192" s="84" t="s">
        <v>97</v>
      </c>
      <c r="D192" s="234"/>
      <c r="E192" s="41">
        <f>304.86-291.8</f>
        <v>13.060000000000002</v>
      </c>
      <c r="F192" s="38"/>
      <c r="G192" s="50">
        <f>ROUND(D192*E192,2)</f>
        <v>0</v>
      </c>
      <c r="H192" s="432"/>
      <c r="I192" s="362"/>
      <c r="J192" s="41"/>
      <c r="K192" s="510"/>
      <c r="L192" s="559"/>
      <c r="M192" s="560"/>
      <c r="N192" s="561"/>
      <c r="O192" s="562"/>
      <c r="P192" s="563"/>
      <c r="Q192" s="564"/>
      <c r="R192" s="550"/>
      <c r="S192" s="551"/>
      <c r="T192" s="552"/>
    </row>
    <row r="193" spans="1:21">
      <c r="A193" s="353"/>
      <c r="B193" s="541"/>
      <c r="C193" s="84" t="s">
        <v>97</v>
      </c>
      <c r="D193" s="234"/>
      <c r="E193" s="38"/>
      <c r="F193" s="240"/>
      <c r="G193" s="50">
        <f>D193*(E193+F193)</f>
        <v>0</v>
      </c>
      <c r="H193" s="432"/>
      <c r="I193" s="362"/>
      <c r="J193" s="41"/>
      <c r="K193" s="510"/>
      <c r="L193" s="559"/>
      <c r="M193" s="560"/>
      <c r="N193" s="561"/>
      <c r="O193" s="562"/>
      <c r="P193" s="563"/>
      <c r="Q193" s="564"/>
      <c r="R193" s="550"/>
      <c r="S193" s="551"/>
      <c r="T193" s="552"/>
    </row>
    <row r="194" spans="1:21">
      <c r="A194" s="353"/>
      <c r="B194" s="541"/>
      <c r="C194" s="48" t="s">
        <v>164</v>
      </c>
      <c r="D194" s="37">
        <v>6657</v>
      </c>
      <c r="E194" s="41">
        <f>6.6426-6.5554</f>
        <v>8.7200000000000166E-2</v>
      </c>
      <c r="F194" s="41">
        <f>+E194</f>
        <v>8.7200000000000166E-2</v>
      </c>
      <c r="G194" s="235">
        <f>ROUND(D194*E194,2)</f>
        <v>580.49</v>
      </c>
      <c r="H194" s="565"/>
      <c r="I194" s="564"/>
      <c r="J194" s="566"/>
      <c r="K194" s="567"/>
      <c r="L194" s="559"/>
      <c r="M194" s="560"/>
      <c r="N194" s="561"/>
      <c r="O194" s="562"/>
      <c r="P194" s="563"/>
      <c r="Q194" s="564"/>
      <c r="R194" s="550"/>
      <c r="S194" s="551"/>
      <c r="T194" s="552"/>
      <c r="U194" s="352"/>
    </row>
    <row r="195" spans="1:21">
      <c r="A195" s="353"/>
      <c r="B195" s="541"/>
      <c r="C195" s="48" t="s">
        <v>165</v>
      </c>
      <c r="D195" s="37">
        <v>294</v>
      </c>
      <c r="E195" s="41">
        <v>6.6425999999999998</v>
      </c>
      <c r="F195" s="41">
        <f>+E195</f>
        <v>6.6425999999999998</v>
      </c>
      <c r="G195" s="235">
        <f>ROUND(D195*E195,2)</f>
        <v>1952.92</v>
      </c>
      <c r="H195" s="565"/>
      <c r="I195" s="564"/>
      <c r="J195" s="566"/>
      <c r="K195" s="567"/>
      <c r="L195" s="559"/>
      <c r="M195" s="560"/>
      <c r="N195" s="561"/>
      <c r="O195" s="562"/>
      <c r="P195" s="563"/>
      <c r="Q195" s="564"/>
      <c r="R195" s="550"/>
      <c r="S195" s="551"/>
      <c r="T195" s="552"/>
      <c r="U195" s="33"/>
    </row>
    <row r="196" spans="1:21" ht="15.75" thickBot="1">
      <c r="A196" s="369"/>
      <c r="B196" s="568"/>
      <c r="C196" s="99" t="s">
        <v>29</v>
      </c>
      <c r="D196" s="246">
        <v>6646</v>
      </c>
      <c r="E196" s="56">
        <v>6.6425999999999998</v>
      </c>
      <c r="F196" s="57">
        <f>+E196</f>
        <v>6.6425999999999998</v>
      </c>
      <c r="G196" s="247">
        <f>ROUND(D196*E196,2)</f>
        <v>44146.720000000001</v>
      </c>
      <c r="H196" s="248"/>
      <c r="I196" s="203"/>
      <c r="J196" s="60"/>
      <c r="K196" s="61"/>
      <c r="L196" s="204"/>
      <c r="M196" s="560"/>
      <c r="N196" s="561"/>
      <c r="O196" s="528"/>
      <c r="P196" s="529" t="s">
        <v>87</v>
      </c>
      <c r="Q196" s="564">
        <f>+G196+J196-M196-N196-O196</f>
        <v>44146.720000000001</v>
      </c>
      <c r="R196" s="550" t="s">
        <v>95</v>
      </c>
      <c r="S196" s="569">
        <f>SUM(N189:N196)+O189:O196</f>
        <v>0</v>
      </c>
      <c r="T196" s="570">
        <f>SUM(Q191:Q196)</f>
        <v>44146.720000000001</v>
      </c>
    </row>
    <row r="197" spans="1:21" ht="15.75" hidden="1" outlineLevel="1" thickBot="1">
      <c r="A197" s="571"/>
      <c r="B197" s="572" t="s">
        <v>98</v>
      </c>
      <c r="C197" s="573" t="s">
        <v>99</v>
      </c>
      <c r="D197" s="574"/>
      <c r="E197" s="575">
        <f>3.193-2.9732</f>
        <v>0.21980000000000022</v>
      </c>
      <c r="F197" s="575">
        <f>3.193-2.9732</f>
        <v>0.21980000000000022</v>
      </c>
      <c r="G197" s="576">
        <f>D197*E197*70%+D197*F197*30%</f>
        <v>0</v>
      </c>
      <c r="H197" s="577"/>
      <c r="I197" s="578"/>
      <c r="J197" s="579"/>
      <c r="K197" s="579"/>
      <c r="L197" s="580"/>
      <c r="M197" s="581"/>
      <c r="N197" s="582"/>
      <c r="O197" s="535"/>
      <c r="P197" s="536"/>
      <c r="Q197" s="583"/>
      <c r="R197" s="584"/>
      <c r="S197" s="569"/>
      <c r="T197" s="585"/>
    </row>
    <row r="198" spans="1:21" s="81" customFormat="1" ht="16.5" hidden="1" customHeight="1" outlineLevel="1" thickBot="1">
      <c r="A198" s="586" t="s">
        <v>100</v>
      </c>
      <c r="B198" s="587" t="s">
        <v>98</v>
      </c>
      <c r="C198" s="588">
        <f>+[1]авг!C52</f>
        <v>0</v>
      </c>
      <c r="D198" s="589"/>
      <c r="E198" s="575">
        <v>3.1930000000000001</v>
      </c>
      <c r="F198" s="575">
        <f>+E198</f>
        <v>3.1930000000000001</v>
      </c>
      <c r="G198" s="576">
        <f>D198*E198*70%+D198*F198*30%</f>
        <v>0</v>
      </c>
      <c r="H198" s="579"/>
      <c r="I198" s="579"/>
      <c r="J198" s="579"/>
      <c r="K198" s="579"/>
      <c r="L198" s="579">
        <f>+C198+G198+G197</f>
        <v>0</v>
      </c>
      <c r="M198" s="590">
        <v>0</v>
      </c>
      <c r="N198" s="500"/>
      <c r="O198" s="528"/>
      <c r="P198" s="529" t="s">
        <v>87</v>
      </c>
      <c r="Q198" s="591">
        <f t="shared" si="28"/>
        <v>0</v>
      </c>
      <c r="R198" s="592" t="s">
        <v>101</v>
      </c>
      <c r="S198" s="77">
        <f>SUM(N198:N198)+SUM(O198:O198)</f>
        <v>0</v>
      </c>
      <c r="T198" s="593">
        <f>SUM(Q198:Q198)</f>
        <v>0</v>
      </c>
    </row>
    <row r="199" spans="1:21" ht="15.75" collapsed="1" thickTop="1">
      <c r="A199" s="505">
        <v>115</v>
      </c>
      <c r="B199" s="494" t="s">
        <v>102</v>
      </c>
      <c r="C199" s="71">
        <f>+[1]дек!U57</f>
        <v>0</v>
      </c>
      <c r="D199" s="495">
        <v>35</v>
      </c>
      <c r="E199" s="21">
        <v>36.214199999999998</v>
      </c>
      <c r="F199" s="21">
        <v>42.4328</v>
      </c>
      <c r="G199" s="185">
        <f>ROUND(D199*(E199+F199),2)</f>
        <v>2752.65</v>
      </c>
      <c r="H199" s="496"/>
      <c r="I199" s="73">
        <v>0.85</v>
      </c>
      <c r="J199" s="73">
        <f>+H199*I199</f>
        <v>0</v>
      </c>
      <c r="K199" s="497"/>
      <c r="L199" s="498">
        <f>SUM(G199:G205)+SUM(J199:J204)</f>
        <v>21346.859999999997</v>
      </c>
      <c r="M199" s="26">
        <v>21346.86</v>
      </c>
      <c r="N199" s="594"/>
      <c r="O199" s="535"/>
      <c r="P199" s="536" t="s">
        <v>87</v>
      </c>
      <c r="Q199" s="595">
        <f t="shared" si="28"/>
        <v>-18594.21</v>
      </c>
      <c r="R199" s="502" t="s">
        <v>88</v>
      </c>
      <c r="S199" s="503"/>
      <c r="T199" s="504"/>
      <c r="U199" s="33">
        <f>+M199-L199</f>
        <v>0</v>
      </c>
    </row>
    <row r="200" spans="1:21" ht="15.75" thickBot="1">
      <c r="A200" s="505"/>
      <c r="B200" s="506"/>
      <c r="C200" s="542"/>
      <c r="D200" s="508"/>
      <c r="E200" s="38">
        <f>32.332-28.8628</f>
        <v>3.4692000000000007</v>
      </c>
      <c r="F200" s="38">
        <f>37.8898-33.8306</f>
        <v>4.0592000000000041</v>
      </c>
      <c r="G200" s="50">
        <f>ROUND(D200*(E200+F200),2)</f>
        <v>0</v>
      </c>
      <c r="H200" s="596"/>
      <c r="I200" s="409"/>
      <c r="J200" s="509"/>
      <c r="K200" s="543"/>
      <c r="L200" s="511"/>
      <c r="M200" s="99"/>
      <c r="N200" s="513"/>
      <c r="O200" s="514"/>
      <c r="P200" s="515"/>
      <c r="Q200" s="262"/>
      <c r="R200" s="502"/>
      <c r="S200" s="503"/>
      <c r="T200" s="504"/>
    </row>
    <row r="201" spans="1:21">
      <c r="A201" s="505"/>
      <c r="B201" s="516" t="s">
        <v>103</v>
      </c>
      <c r="C201" s="99" t="s">
        <v>90</v>
      </c>
      <c r="D201" s="508">
        <v>0</v>
      </c>
      <c r="E201" s="101">
        <v>304.86</v>
      </c>
      <c r="F201" s="21">
        <v>42.4328</v>
      </c>
      <c r="G201" s="50">
        <f>ROUND(D201*(E201+F201),2)</f>
        <v>0</v>
      </c>
      <c r="H201" s="270"/>
      <c r="I201" s="41">
        <v>128.56</v>
      </c>
      <c r="J201" s="409">
        <f>+H201*I201</f>
        <v>0</v>
      </c>
      <c r="K201" s="510"/>
      <c r="L201" s="597"/>
      <c r="M201" s="99"/>
      <c r="N201" s="518"/>
      <c r="O201" s="519"/>
      <c r="P201" s="515" t="s">
        <v>87</v>
      </c>
      <c r="Q201" s="271">
        <f>+G201+J201-M201-N201-O201</f>
        <v>0</v>
      </c>
      <c r="R201" s="502" t="s">
        <v>88</v>
      </c>
      <c r="S201" s="503"/>
      <c r="T201" s="504"/>
    </row>
    <row r="202" spans="1:21">
      <c r="A202" s="505"/>
      <c r="B202" s="506"/>
      <c r="C202" s="390" t="s">
        <v>97</v>
      </c>
      <c r="D202" s="508">
        <v>0</v>
      </c>
      <c r="E202" s="41">
        <f>304.86-291.8</f>
        <v>13.060000000000002</v>
      </c>
      <c r="F202" s="38"/>
      <c r="G202" s="50">
        <f>D202*(E202+F202)</f>
        <v>0</v>
      </c>
      <c r="H202" s="432"/>
      <c r="I202" s="362"/>
      <c r="J202" s="41"/>
      <c r="K202" s="510"/>
      <c r="L202" s="597"/>
      <c r="M202" s="99"/>
      <c r="N202" s="521"/>
      <c r="O202" s="522"/>
      <c r="P202" s="523"/>
      <c r="Q202" s="362"/>
      <c r="R202" s="502"/>
      <c r="S202" s="503"/>
      <c r="T202" s="504"/>
    </row>
    <row r="203" spans="1:21">
      <c r="A203" s="505"/>
      <c r="B203" s="506"/>
      <c r="C203" s="48" t="s">
        <v>164</v>
      </c>
      <c r="D203" s="37">
        <v>2608</v>
      </c>
      <c r="E203" s="41">
        <f>6.6426-6.5554</f>
        <v>8.7200000000000166E-2</v>
      </c>
      <c r="F203" s="297">
        <f t="shared" ref="F203:F205" si="29">+E203</f>
        <v>8.7200000000000166E-2</v>
      </c>
      <c r="G203" s="39">
        <f>ROUND(D203*(E203+F203)/2,2)+0.01</f>
        <v>227.42999999999998</v>
      </c>
      <c r="H203" s="432"/>
      <c r="I203" s="362"/>
      <c r="J203" s="41"/>
      <c r="K203" s="510"/>
      <c r="L203" s="597"/>
      <c r="M203" s="99"/>
      <c r="N203" s="521"/>
      <c r="O203" s="522"/>
      <c r="P203" s="523"/>
      <c r="Q203" s="362"/>
      <c r="R203" s="502"/>
      <c r="S203" s="503"/>
      <c r="T203" s="504"/>
    </row>
    <row r="204" spans="1:21">
      <c r="A204" s="505"/>
      <c r="B204" s="506"/>
      <c r="C204" s="48" t="s">
        <v>165</v>
      </c>
      <c r="D204" s="37">
        <v>117</v>
      </c>
      <c r="E204" s="41">
        <v>6.6425999999999998</v>
      </c>
      <c r="F204" s="298">
        <f t="shared" si="29"/>
        <v>6.6425999999999998</v>
      </c>
      <c r="G204" s="39">
        <f>ROUND(D204*E204,2)</f>
        <v>777.18</v>
      </c>
      <c r="H204" s="432"/>
      <c r="I204" s="362"/>
      <c r="J204" s="41"/>
      <c r="K204" s="510"/>
      <c r="L204" s="597"/>
      <c r="M204" s="99"/>
      <c r="N204" s="521"/>
      <c r="O204" s="522"/>
      <c r="P204" s="523"/>
      <c r="Q204" s="362"/>
      <c r="R204" s="502"/>
      <c r="S204" s="503"/>
      <c r="T204" s="504"/>
    </row>
    <row r="205" spans="1:21" ht="15.75" thickBot="1">
      <c r="A205" s="505"/>
      <c r="B205" s="526"/>
      <c r="C205" s="99" t="s">
        <v>29</v>
      </c>
      <c r="D205" s="55">
        <v>2648</v>
      </c>
      <c r="E205" s="56">
        <v>6.6425999999999998</v>
      </c>
      <c r="F205" s="57">
        <f t="shared" si="29"/>
        <v>6.6425999999999998</v>
      </c>
      <c r="G205" s="414">
        <f>ROUND(D205*E205,2)</f>
        <v>17589.599999999999</v>
      </c>
      <c r="H205" s="248"/>
      <c r="I205" s="203"/>
      <c r="J205" s="60"/>
      <c r="K205" s="61"/>
      <c r="L205" s="249"/>
      <c r="M205" s="54"/>
      <c r="N205" s="527"/>
      <c r="O205" s="528"/>
      <c r="P205" s="529" t="s">
        <v>87</v>
      </c>
      <c r="Q205" s="58">
        <f>+G205+J205-M205-N205-O205</f>
        <v>17589.599999999999</v>
      </c>
      <c r="R205" s="502" t="s">
        <v>88</v>
      </c>
      <c r="S205" s="598">
        <f>SUM(N199:N205)+O199:O205</f>
        <v>0</v>
      </c>
      <c r="T205" s="598">
        <f>SUM(Q199:Q205)</f>
        <v>-1004.6100000000006</v>
      </c>
    </row>
    <row r="206" spans="1:21">
      <c r="A206" s="645"/>
      <c r="B206" s="494" t="s">
        <v>104</v>
      </c>
      <c r="C206" s="71">
        <f>+[1]дек!U66</f>
        <v>0</v>
      </c>
      <c r="D206" s="495">
        <v>32</v>
      </c>
      <c r="E206" s="21">
        <v>36.214199999999998</v>
      </c>
      <c r="F206" s="21">
        <v>42.4328</v>
      </c>
      <c r="G206" s="185">
        <f>ROUND(D206*(E206+F206),2)</f>
        <v>2516.6999999999998</v>
      </c>
      <c r="H206" s="496"/>
      <c r="I206" s="73">
        <v>0.85</v>
      </c>
      <c r="J206" s="73">
        <f>+H206*I206</f>
        <v>0</v>
      </c>
      <c r="K206" s="497"/>
      <c r="L206" s="439">
        <f>SUM(G206:G213)+SUM(J206:J212)</f>
        <v>18231.93</v>
      </c>
      <c r="M206" s="26">
        <v>18231.93</v>
      </c>
      <c r="N206" s="499"/>
      <c r="O206" s="500"/>
      <c r="P206" s="501" t="s">
        <v>87</v>
      </c>
      <c r="Q206" s="185">
        <f t="shared" ref="Q206" si="30">C206+G206+J206-M206-N206-O206</f>
        <v>-15715.23</v>
      </c>
      <c r="R206" s="502" t="s">
        <v>88</v>
      </c>
      <c r="S206" s="503"/>
      <c r="T206" s="504"/>
    </row>
    <row r="207" spans="1:21" ht="15.75" thickBot="1">
      <c r="A207" s="645"/>
      <c r="B207" s="506"/>
      <c r="C207" s="599" t="s">
        <v>96</v>
      </c>
      <c r="D207" s="234"/>
      <c r="E207" s="38">
        <f>32.332-28.8628</f>
        <v>3.4692000000000007</v>
      </c>
      <c r="F207" s="38">
        <f>37.8898-33.8306</f>
        <v>4.0592000000000041</v>
      </c>
      <c r="G207" s="235">
        <f>ROUND(D207*(E207+F207),2)</f>
        <v>0</v>
      </c>
      <c r="H207" s="448"/>
      <c r="I207" s="509"/>
      <c r="J207" s="409"/>
      <c r="K207" s="510"/>
      <c r="L207" s="48"/>
      <c r="M207" s="512"/>
      <c r="N207" s="513"/>
      <c r="O207" s="514"/>
      <c r="P207" s="515"/>
      <c r="Q207" s="262"/>
      <c r="R207" s="502"/>
      <c r="S207" s="503"/>
      <c r="T207" s="504"/>
    </row>
    <row r="208" spans="1:21">
      <c r="A208" s="645"/>
      <c r="B208" s="516" t="s">
        <v>89</v>
      </c>
      <c r="C208" s="512" t="s">
        <v>90</v>
      </c>
      <c r="D208" s="508">
        <v>0</v>
      </c>
      <c r="E208" s="101">
        <v>304.86</v>
      </c>
      <c r="F208" s="21">
        <v>42.4328</v>
      </c>
      <c r="G208" s="50">
        <f>ROUND(D208*(E208+F208),2)</f>
        <v>0</v>
      </c>
      <c r="H208" s="270"/>
      <c r="I208" s="41">
        <v>128.56</v>
      </c>
      <c r="J208" s="409">
        <f>ROUND(H208*I208,2)</f>
        <v>0</v>
      </c>
      <c r="K208" s="510"/>
      <c r="L208" s="600"/>
      <c r="M208" s="99"/>
      <c r="N208" s="518"/>
      <c r="O208" s="519"/>
      <c r="P208" s="515" t="s">
        <v>87</v>
      </c>
      <c r="Q208" s="271">
        <f>+G208+J208-M208-N208-O208</f>
        <v>0</v>
      </c>
      <c r="R208" s="502" t="s">
        <v>88</v>
      </c>
      <c r="S208" s="503"/>
      <c r="T208" s="504"/>
    </row>
    <row r="209" spans="1:21">
      <c r="A209" s="645"/>
      <c r="B209" s="541"/>
      <c r="C209" s="84" t="s">
        <v>97</v>
      </c>
      <c r="D209" s="508"/>
      <c r="E209" s="41">
        <f>304.86-291.8</f>
        <v>13.060000000000002</v>
      </c>
      <c r="F209" s="38"/>
      <c r="G209" s="50">
        <f>ROUND(D209*(E209+F209),2)</f>
        <v>0</v>
      </c>
      <c r="H209" s="432"/>
      <c r="I209" s="362"/>
      <c r="J209" s="41"/>
      <c r="K209" s="510"/>
      <c r="L209" s="600"/>
      <c r="M209" s="520"/>
      <c r="N209" s="521"/>
      <c r="O209" s="522"/>
      <c r="P209" s="523"/>
      <c r="Q209" s="362"/>
      <c r="R209" s="502"/>
      <c r="S209" s="503"/>
      <c r="T209" s="504"/>
    </row>
    <row r="210" spans="1:21">
      <c r="A210" s="645"/>
      <c r="B210" s="541"/>
      <c r="C210" s="84" t="s">
        <v>97</v>
      </c>
      <c r="D210" s="508"/>
      <c r="E210" s="41"/>
      <c r="F210" s="41"/>
      <c r="G210" s="50">
        <f>D210*(E210+F210)</f>
        <v>0</v>
      </c>
      <c r="H210" s="432"/>
      <c r="I210" s="362"/>
      <c r="J210" s="41"/>
      <c r="K210" s="510"/>
      <c r="L210" s="600"/>
      <c r="M210" s="520"/>
      <c r="N210" s="521"/>
      <c r="O210" s="522"/>
      <c r="P210" s="523"/>
      <c r="Q210" s="362"/>
      <c r="R210" s="502"/>
      <c r="S210" s="503"/>
      <c r="T210" s="504"/>
    </row>
    <row r="211" spans="1:21">
      <c r="A211" s="645"/>
      <c r="B211" s="506"/>
      <c r="C211" s="48" t="s">
        <v>164</v>
      </c>
      <c r="D211" s="37">
        <v>2272</v>
      </c>
      <c r="E211" s="41">
        <f>6.6426-6.5554</f>
        <v>8.7200000000000166E-2</v>
      </c>
      <c r="F211" s="297">
        <f t="shared" ref="F211:F213" si="31">+E211</f>
        <v>8.7200000000000166E-2</v>
      </c>
      <c r="G211" s="39">
        <f>ROUND(D211*(E211),2)-0.01</f>
        <v>198.11</v>
      </c>
      <c r="H211" s="432"/>
      <c r="I211" s="362"/>
      <c r="J211" s="41"/>
      <c r="K211" s="510"/>
      <c r="L211" s="600"/>
      <c r="M211" s="520"/>
      <c r="N211" s="521"/>
      <c r="O211" s="522"/>
      <c r="P211" s="523"/>
      <c r="Q211" s="362"/>
      <c r="R211" s="502"/>
      <c r="S211" s="503"/>
      <c r="T211" s="504"/>
    </row>
    <row r="212" spans="1:21">
      <c r="A212" s="645"/>
      <c r="B212" s="506"/>
      <c r="C212" s="48" t="s">
        <v>165</v>
      </c>
      <c r="D212" s="37">
        <v>99</v>
      </c>
      <c r="E212" s="41">
        <v>6.6425999999999998</v>
      </c>
      <c r="F212" s="298">
        <f t="shared" si="31"/>
        <v>6.6425999999999998</v>
      </c>
      <c r="G212" s="39">
        <f>ROUND(D212*(E212),2)</f>
        <v>657.62</v>
      </c>
      <c r="H212" s="432"/>
      <c r="I212" s="362"/>
      <c r="J212" s="41"/>
      <c r="K212" s="510"/>
      <c r="L212" s="600"/>
      <c r="M212" s="520"/>
      <c r="N212" s="521"/>
      <c r="O212" s="522"/>
      <c r="P212" s="523"/>
      <c r="Q212" s="362"/>
      <c r="R212" s="502"/>
      <c r="S212" s="503"/>
      <c r="T212" s="504"/>
      <c r="U212" s="33"/>
    </row>
    <row r="213" spans="1:21" ht="15.75" thickBot="1">
      <c r="A213" s="645"/>
      <c r="B213" s="526"/>
      <c r="C213" s="99" t="s">
        <v>29</v>
      </c>
      <c r="D213" s="55">
        <v>2237</v>
      </c>
      <c r="E213" s="56">
        <v>6.6425999999999998</v>
      </c>
      <c r="F213" s="57">
        <f t="shared" si="31"/>
        <v>6.6425999999999998</v>
      </c>
      <c r="G213" s="414">
        <f>ROUND(D213*(E213),2)</f>
        <v>14859.5</v>
      </c>
      <c r="H213" s="248"/>
      <c r="I213" s="203"/>
      <c r="J213" s="60"/>
      <c r="K213" s="61"/>
      <c r="L213" s="204"/>
      <c r="M213" s="54"/>
      <c r="N213" s="527"/>
      <c r="O213" s="528"/>
      <c r="P213" s="529" t="s">
        <v>87</v>
      </c>
      <c r="Q213" s="362">
        <f>+G213+J213-M213-N213-O213</f>
        <v>14859.5</v>
      </c>
      <c r="R213" s="502" t="s">
        <v>88</v>
      </c>
      <c r="S213" s="598">
        <f>SUM(N206:N213)+O206:O213</f>
        <v>0</v>
      </c>
      <c r="T213" s="598">
        <f>SUM(Q206:Q213)</f>
        <v>-855.72999999999956</v>
      </c>
    </row>
    <row r="214" spans="1:21" ht="15.75" thickTop="1">
      <c r="A214" s="493">
        <v>115</v>
      </c>
      <c r="B214" s="494" t="s">
        <v>105</v>
      </c>
      <c r="C214" s="71">
        <f>+[1]дек!U72</f>
        <v>0</v>
      </c>
      <c r="D214" s="495">
        <v>15</v>
      </c>
      <c r="E214" s="21">
        <v>36.214199999999998</v>
      </c>
      <c r="F214" s="21">
        <v>42.4328</v>
      </c>
      <c r="G214" s="185">
        <f>ROUND(D214*(E214+F214),2)</f>
        <v>1179.71</v>
      </c>
      <c r="H214" s="496"/>
      <c r="I214" s="73">
        <v>0.85</v>
      </c>
      <c r="J214" s="73">
        <f>+H214*I214</f>
        <v>0</v>
      </c>
      <c r="K214" s="601"/>
      <c r="L214" s="498">
        <f>SUM(G214:G221)+SUM(J214:J220)</f>
        <v>24479.33</v>
      </c>
      <c r="M214" s="26">
        <v>24479.33</v>
      </c>
      <c r="N214" s="499"/>
      <c r="O214" s="500"/>
      <c r="P214" s="501" t="s">
        <v>87</v>
      </c>
      <c r="Q214" s="595">
        <f t="shared" ref="Q214" si="32">C214+G214+J214-M214-N214-O214</f>
        <v>-23299.620000000003</v>
      </c>
    </row>
    <row r="215" spans="1:21" ht="15.75" thickBot="1">
      <c r="A215" s="505"/>
      <c r="B215" s="506"/>
      <c r="C215" s="507" t="s">
        <v>96</v>
      </c>
      <c r="D215" s="234"/>
      <c r="E215" s="38">
        <f>32.332-28.8628</f>
        <v>3.4692000000000007</v>
      </c>
      <c r="F215" s="38">
        <f>37.8898-33.8306</f>
        <v>4.0592000000000041</v>
      </c>
      <c r="G215" s="235">
        <f>ROUND(D215*(E215+F215),2)</f>
        <v>0</v>
      </c>
      <c r="H215" s="448"/>
      <c r="I215" s="509"/>
      <c r="J215" s="199"/>
      <c r="K215" s="517"/>
      <c r="L215" s="511"/>
      <c r="M215" s="512"/>
      <c r="N215" s="513"/>
      <c r="O215" s="514"/>
      <c r="P215" s="515"/>
      <c r="Q215" s="262"/>
      <c r="U215" s="33"/>
    </row>
    <row r="216" spans="1:21">
      <c r="A216" s="505"/>
      <c r="B216" s="516" t="s">
        <v>89</v>
      </c>
      <c r="C216" s="512" t="s">
        <v>90</v>
      </c>
      <c r="D216" s="508"/>
      <c r="E216" s="101">
        <v>304.86</v>
      </c>
      <c r="F216" s="21">
        <v>42.4328</v>
      </c>
      <c r="G216" s="50">
        <f>ROUND(D216*(E216+F216),2)</f>
        <v>0</v>
      </c>
      <c r="H216" s="270"/>
      <c r="I216" s="41">
        <v>128.56</v>
      </c>
      <c r="J216" s="207">
        <f>+H216*I216</f>
        <v>0</v>
      </c>
      <c r="K216" s="517"/>
      <c r="L216" s="517"/>
      <c r="M216" s="99"/>
      <c r="N216" s="518"/>
      <c r="O216" s="519"/>
      <c r="P216" s="515" t="s">
        <v>87</v>
      </c>
      <c r="Q216" s="271">
        <f>+G216+J216-M216-N216-O216</f>
        <v>0</v>
      </c>
    </row>
    <row r="217" spans="1:21">
      <c r="A217" s="505"/>
      <c r="B217" s="541"/>
      <c r="C217" s="84" t="s">
        <v>97</v>
      </c>
      <c r="D217" s="508">
        <v>0</v>
      </c>
      <c r="E217" s="41">
        <f>304.86-291.8</f>
        <v>13.060000000000002</v>
      </c>
      <c r="F217" s="38"/>
      <c r="G217" s="50">
        <f>ROUND(D217*(E217+F217),2)</f>
        <v>0</v>
      </c>
      <c r="H217" s="432"/>
      <c r="I217" s="362"/>
      <c r="J217" s="207"/>
      <c r="K217" s="517"/>
      <c r="L217" s="517"/>
      <c r="M217" s="520"/>
      <c r="N217" s="521"/>
      <c r="O217" s="522"/>
      <c r="P217" s="523"/>
      <c r="Q217" s="362"/>
    </row>
    <row r="218" spans="1:21">
      <c r="A218" s="505"/>
      <c r="B218" s="541"/>
      <c r="C218" s="84"/>
      <c r="D218" s="508"/>
      <c r="E218" s="41"/>
      <c r="F218" s="41"/>
      <c r="G218" s="50"/>
      <c r="H218" s="432"/>
      <c r="I218" s="362"/>
      <c r="J218" s="207"/>
      <c r="K218" s="517"/>
      <c r="L218" s="517"/>
      <c r="M218" s="520"/>
      <c r="N218" s="521"/>
      <c r="O218" s="522"/>
      <c r="P218" s="523"/>
      <c r="Q218" s="362"/>
    </row>
    <row r="219" spans="1:21">
      <c r="A219" s="505"/>
      <c r="B219" s="506"/>
      <c r="C219" s="48" t="s">
        <v>164</v>
      </c>
      <c r="D219" s="37">
        <v>3398</v>
      </c>
      <c r="E219" s="41">
        <f>6.6426-6.5554</f>
        <v>8.7200000000000166E-2</v>
      </c>
      <c r="F219" s="41">
        <f t="shared" ref="F219:F224" si="33">+E219</f>
        <v>8.7200000000000166E-2</v>
      </c>
      <c r="G219" s="39">
        <f>ROUND(D219*E219,2)-0.01</f>
        <v>296.3</v>
      </c>
      <c r="H219" s="432"/>
      <c r="I219" s="362"/>
      <c r="J219" s="207"/>
      <c r="K219" s="517"/>
      <c r="L219" s="517"/>
      <c r="M219" s="520"/>
      <c r="N219" s="521"/>
      <c r="O219" s="522"/>
      <c r="P219" s="523"/>
      <c r="Q219" s="362"/>
    </row>
    <row r="220" spans="1:21">
      <c r="A220" s="505"/>
      <c r="B220" s="506"/>
      <c r="C220" s="48" t="s">
        <v>165</v>
      </c>
      <c r="D220" s="37">
        <v>147</v>
      </c>
      <c r="E220" s="41">
        <v>6.6425999999999998</v>
      </c>
      <c r="F220" s="41">
        <f t="shared" si="33"/>
        <v>6.6425999999999998</v>
      </c>
      <c r="G220" s="39">
        <f>ROUND(D220*E220,2)</f>
        <v>976.46</v>
      </c>
      <c r="H220" s="432"/>
      <c r="I220" s="362"/>
      <c r="J220" s="207"/>
      <c r="K220" s="517"/>
      <c r="L220" s="517"/>
      <c r="M220" s="520"/>
      <c r="N220" s="521"/>
      <c r="O220" s="522"/>
      <c r="P220" s="523"/>
      <c r="Q220" s="362"/>
      <c r="U220" s="33"/>
    </row>
    <row r="221" spans="1:21" ht="15.75" thickBot="1">
      <c r="A221" s="525"/>
      <c r="B221" s="526"/>
      <c r="C221" s="99" t="s">
        <v>29</v>
      </c>
      <c r="D221" s="55">
        <v>3316</v>
      </c>
      <c r="E221" s="56">
        <v>6.6425999999999998</v>
      </c>
      <c r="F221" s="281">
        <f t="shared" si="33"/>
        <v>6.6425999999999998</v>
      </c>
      <c r="G221" s="58">
        <f>ROUND(D221*E221,2)</f>
        <v>22026.86</v>
      </c>
      <c r="H221" s="248"/>
      <c r="I221" s="203"/>
      <c r="J221" s="60"/>
      <c r="K221" s="61"/>
      <c r="L221" s="249"/>
      <c r="M221" s="54"/>
      <c r="N221" s="521"/>
      <c r="O221" s="528"/>
      <c r="P221" s="529" t="s">
        <v>87</v>
      </c>
      <c r="Q221" s="362">
        <f>+G221+J221-M221-N221-O221</f>
        <v>22026.86</v>
      </c>
    </row>
    <row r="222" spans="1:21">
      <c r="A222" s="493">
        <v>301</v>
      </c>
      <c r="B222" s="602" t="s">
        <v>106</v>
      </c>
      <c r="C222" s="48" t="s">
        <v>164</v>
      </c>
      <c r="D222" s="184">
        <v>923.16</v>
      </c>
      <c r="E222" s="41">
        <f>6.6426-6.5554</f>
        <v>8.7200000000000166E-2</v>
      </c>
      <c r="F222" s="23">
        <f t="shared" si="33"/>
        <v>8.7200000000000166E-2</v>
      </c>
      <c r="G222" s="185">
        <f>ROUND(D222*(E222),2)</f>
        <v>80.5</v>
      </c>
      <c r="H222" s="23"/>
      <c r="I222" s="23"/>
      <c r="J222" s="23"/>
      <c r="K222" s="23"/>
      <c r="L222" s="603">
        <f>SUM(G222:G224)</f>
        <v>6316.7699999999995</v>
      </c>
      <c r="M222" s="187">
        <v>6316.77</v>
      </c>
      <c r="N222" s="604"/>
      <c r="O222" s="500"/>
      <c r="P222" s="501"/>
      <c r="Q222" s="605"/>
    </row>
    <row r="223" spans="1:21">
      <c r="A223" s="505"/>
      <c r="B223" s="506"/>
      <c r="C223" s="48" t="s">
        <v>165</v>
      </c>
      <c r="D223" s="49">
        <v>39.83</v>
      </c>
      <c r="E223" s="41">
        <v>6.6425999999999998</v>
      </c>
      <c r="F223" s="41">
        <f t="shared" si="33"/>
        <v>6.6425999999999998</v>
      </c>
      <c r="G223" s="50">
        <f>ROUND(D223*(E223),2)</f>
        <v>264.57</v>
      </c>
      <c r="H223" s="41"/>
      <c r="I223" s="41"/>
      <c r="J223" s="41"/>
      <c r="K223" s="41"/>
      <c r="L223" s="606"/>
      <c r="M223" s="606"/>
      <c r="N223" s="607"/>
      <c r="O223" s="608"/>
      <c r="P223" s="609"/>
      <c r="Q223" s="610"/>
    </row>
    <row r="224" spans="1:21" ht="15.75" thickBot="1">
      <c r="A224" s="611"/>
      <c r="B224" s="612"/>
      <c r="C224" s="99" t="s">
        <v>29</v>
      </c>
      <c r="D224" s="613">
        <v>899</v>
      </c>
      <c r="E224" s="56">
        <v>6.6425999999999998</v>
      </c>
      <c r="F224" s="281">
        <f t="shared" si="33"/>
        <v>6.6425999999999998</v>
      </c>
      <c r="G224" s="58">
        <f>ROUND(D224*(E224),2)</f>
        <v>5971.7</v>
      </c>
      <c r="H224" s="57"/>
      <c r="I224" s="57"/>
      <c r="J224" s="57"/>
      <c r="K224" s="57"/>
      <c r="L224" s="614"/>
      <c r="M224" s="606"/>
      <c r="N224" s="615"/>
      <c r="O224" s="615"/>
      <c r="P224" s="615"/>
      <c r="Q224" s="616"/>
    </row>
    <row r="225" spans="1:17">
      <c r="A225" s="617"/>
      <c r="B225" s="602" t="s">
        <v>107</v>
      </c>
      <c r="C225" s="618" t="s">
        <v>73</v>
      </c>
      <c r="D225" s="619">
        <v>6</v>
      </c>
      <c r="E225" s="21">
        <v>36.214199999999998</v>
      </c>
      <c r="F225" s="21">
        <v>42.4328</v>
      </c>
      <c r="G225" s="185">
        <f>ROUND(D225*(E225+F225),2)</f>
        <v>471.88</v>
      </c>
      <c r="H225" s="620"/>
      <c r="I225" s="620"/>
      <c r="J225" s="620"/>
      <c r="K225" s="620"/>
      <c r="L225" s="603">
        <f>SUM(G225:G229,J225:J229)</f>
        <v>6134.9699999999993</v>
      </c>
      <c r="M225" s="187">
        <v>6134.97</v>
      </c>
      <c r="N225" s="621"/>
      <c r="O225" s="621"/>
      <c r="P225" s="621"/>
      <c r="Q225" s="622"/>
    </row>
    <row r="226" spans="1:17">
      <c r="A226" s="611"/>
      <c r="B226" s="612"/>
      <c r="C226" s="542" t="s">
        <v>96</v>
      </c>
      <c r="D226" s="234"/>
      <c r="E226" s="38">
        <f>32.332-28.8628</f>
        <v>3.4692000000000007</v>
      </c>
      <c r="F226" s="38">
        <f>37.8898-33.8306</f>
        <v>4.0592000000000041</v>
      </c>
      <c r="G226" s="235">
        <f>ROUND(D226*(E226+F226),2)</f>
        <v>0</v>
      </c>
      <c r="H226" s="298"/>
      <c r="I226" s="298"/>
      <c r="J226" s="298"/>
      <c r="K226" s="298"/>
      <c r="L226" s="606"/>
      <c r="M226" s="606"/>
      <c r="N226" s="615"/>
      <c r="O226" s="615"/>
      <c r="P226" s="615"/>
      <c r="Q226" s="616"/>
    </row>
    <row r="227" spans="1:17">
      <c r="A227" s="611"/>
      <c r="B227" s="612"/>
      <c r="C227" s="48" t="s">
        <v>164</v>
      </c>
      <c r="D227" s="623">
        <v>803</v>
      </c>
      <c r="E227" s="41">
        <f>6.6426-6.5554</f>
        <v>8.7200000000000166E-2</v>
      </c>
      <c r="F227" s="41">
        <f>+E227</f>
        <v>8.7200000000000166E-2</v>
      </c>
      <c r="G227" s="50">
        <f>ROUND(D227*(E227),2)</f>
        <v>70.02</v>
      </c>
      <c r="H227" s="298"/>
      <c r="I227" s="298"/>
      <c r="J227" s="298"/>
      <c r="K227" s="298"/>
      <c r="L227" s="614"/>
      <c r="M227" s="606"/>
      <c r="N227" s="615"/>
      <c r="O227" s="615"/>
      <c r="P227" s="615"/>
      <c r="Q227" s="616"/>
    </row>
    <row r="228" spans="1:17">
      <c r="A228" s="611"/>
      <c r="B228" s="612"/>
      <c r="C228" s="48" t="s">
        <v>165</v>
      </c>
      <c r="D228" s="623">
        <v>36</v>
      </c>
      <c r="E228" s="41">
        <v>6.6425999999999998</v>
      </c>
      <c r="F228" s="41">
        <f>+E228</f>
        <v>6.6425999999999998</v>
      </c>
      <c r="G228" s="39">
        <f>ROUND(D228*(E228),2)</f>
        <v>239.13</v>
      </c>
      <c r="H228" s="298"/>
      <c r="I228" s="298"/>
      <c r="J228" s="298"/>
      <c r="K228" s="298"/>
      <c r="L228" s="614"/>
      <c r="M228" s="273"/>
      <c r="N228" s="615"/>
      <c r="O228" s="615"/>
      <c r="P228" s="615"/>
      <c r="Q228" s="616"/>
    </row>
    <row r="229" spans="1:17" ht="15.75" thickBot="1">
      <c r="A229" s="624"/>
      <c r="B229" s="526"/>
      <c r="C229" s="99" t="s">
        <v>29</v>
      </c>
      <c r="D229" s="625">
        <v>806</v>
      </c>
      <c r="E229" s="56">
        <v>6.6425999999999998</v>
      </c>
      <c r="F229" s="281">
        <f>+E229</f>
        <v>6.6425999999999998</v>
      </c>
      <c r="G229" s="414">
        <f>ROUND(D229*(E229),2)</f>
        <v>5353.94</v>
      </c>
      <c r="H229" s="41"/>
      <c r="I229" s="41"/>
      <c r="J229" s="41"/>
      <c r="K229" s="41"/>
      <c r="L229" s="606"/>
      <c r="M229" s="606"/>
      <c r="N229" s="626"/>
      <c r="O229" s="626"/>
      <c r="P229" s="626"/>
      <c r="Q229" s="627"/>
    </row>
    <row r="230" spans="1:17" ht="15.75" thickTop="1">
      <c r="A230" s="493"/>
      <c r="B230" s="494" t="s">
        <v>108</v>
      </c>
      <c r="C230" s="71">
        <f>+[1]дек!U87</f>
        <v>0</v>
      </c>
      <c r="D230" s="495">
        <v>4</v>
      </c>
      <c r="E230" s="21">
        <v>36.214199999999998</v>
      </c>
      <c r="F230" s="21">
        <v>42.4328</v>
      </c>
      <c r="G230" s="185">
        <f>ROUND(D230*(E230+F230),2)</f>
        <v>314.58999999999997</v>
      </c>
      <c r="H230" s="496"/>
      <c r="I230" s="73">
        <v>0.85</v>
      </c>
      <c r="J230" s="73">
        <f>+H230*I230</f>
        <v>0</v>
      </c>
      <c r="K230" s="628"/>
      <c r="L230" s="629">
        <f>SUM(G230:G236)+SUM(J230:J235)</f>
        <v>2785.1099999999997</v>
      </c>
      <c r="M230" s="630">
        <v>2785.11</v>
      </c>
      <c r="N230" s="594"/>
      <c r="O230" s="631"/>
      <c r="P230" s="515" t="s">
        <v>87</v>
      </c>
      <c r="Q230" s="595">
        <f t="shared" ref="Q230:Q232" si="34">C230+G230+J230-M230-N230-O230</f>
        <v>-2470.52</v>
      </c>
    </row>
    <row r="231" spans="1:17" ht="15.75" thickBot="1">
      <c r="A231" s="505"/>
      <c r="B231" s="506"/>
      <c r="C231" s="542" t="s">
        <v>96</v>
      </c>
      <c r="D231" s="234"/>
      <c r="E231" s="38">
        <f>32.332-28.8628</f>
        <v>3.4692000000000007</v>
      </c>
      <c r="F231" s="38">
        <f>37.8898-33.8306</f>
        <v>4.0592000000000041</v>
      </c>
      <c r="G231" s="235">
        <f>ROUND(D231*(E231+F231),2)</f>
        <v>0</v>
      </c>
      <c r="H231" s="448"/>
      <c r="I231" s="509"/>
      <c r="J231" s="409"/>
      <c r="K231" s="510"/>
      <c r="L231" s="632"/>
      <c r="M231" s="512"/>
      <c r="N231" s="513"/>
      <c r="O231" s="514"/>
      <c r="P231" s="515"/>
      <c r="Q231" s="262"/>
    </row>
    <row r="232" spans="1:17">
      <c r="A232" s="505"/>
      <c r="B232" s="516" t="s">
        <v>109</v>
      </c>
      <c r="C232" s="633"/>
      <c r="D232" s="508"/>
      <c r="E232" s="101">
        <v>304.86</v>
      </c>
      <c r="F232" s="21">
        <v>42.4328</v>
      </c>
      <c r="G232" s="50">
        <f>D232*(E232+F232)</f>
        <v>0</v>
      </c>
      <c r="H232" s="270"/>
      <c r="I232" s="41">
        <v>128.56</v>
      </c>
      <c r="J232" s="409">
        <f>ROUND(H232*I232,2)</f>
        <v>0</v>
      </c>
      <c r="K232" s="510"/>
      <c r="L232" s="597"/>
      <c r="M232" s="99"/>
      <c r="N232" s="518"/>
      <c r="O232" s="519"/>
      <c r="P232" s="515" t="s">
        <v>87</v>
      </c>
      <c r="Q232" s="271">
        <f t="shared" si="34"/>
        <v>0</v>
      </c>
    </row>
    <row r="233" spans="1:17">
      <c r="A233" s="505"/>
      <c r="B233" s="541"/>
      <c r="C233" s="84" t="s">
        <v>97</v>
      </c>
      <c r="D233" s="508"/>
      <c r="E233" s="41">
        <f>304.86-291.8</f>
        <v>13.060000000000002</v>
      </c>
      <c r="F233" s="41"/>
      <c r="G233" s="50">
        <f>D233*(E233+F233)</f>
        <v>0</v>
      </c>
      <c r="H233" s="432"/>
      <c r="I233" s="362"/>
      <c r="J233" s="207"/>
      <c r="K233" s="510"/>
      <c r="L233" s="597"/>
      <c r="M233" s="520"/>
      <c r="N233" s="521"/>
      <c r="O233" s="522"/>
      <c r="P233" s="523"/>
      <c r="Q233" s="362"/>
    </row>
    <row r="234" spans="1:17">
      <c r="A234" s="505"/>
      <c r="B234" s="506"/>
      <c r="C234" s="48" t="s">
        <v>164</v>
      </c>
      <c r="D234" s="37">
        <v>451</v>
      </c>
      <c r="E234" s="41">
        <f>6.6426-6.5554</f>
        <v>8.7200000000000166E-2</v>
      </c>
      <c r="F234" s="41">
        <f>+E234</f>
        <v>8.7200000000000166E-2</v>
      </c>
      <c r="G234" s="39">
        <f>ROUND(D234*(E234),2)</f>
        <v>39.33</v>
      </c>
      <c r="H234" s="432"/>
      <c r="I234" s="362"/>
      <c r="J234" s="207"/>
      <c r="K234" s="510"/>
      <c r="L234" s="597"/>
      <c r="M234" s="520"/>
      <c r="N234" s="521"/>
      <c r="O234" s="522"/>
      <c r="P234" s="523"/>
      <c r="Q234" s="362"/>
    </row>
    <row r="235" spans="1:17">
      <c r="A235" s="505"/>
      <c r="B235" s="506"/>
      <c r="C235" s="48" t="s">
        <v>165</v>
      </c>
      <c r="D235" s="37">
        <v>16</v>
      </c>
      <c r="E235" s="41">
        <v>6.6425999999999998</v>
      </c>
      <c r="F235" s="41">
        <f>+E235</f>
        <v>6.6425999999999998</v>
      </c>
      <c r="G235" s="39">
        <f t="shared" ref="G235:G240" si="35">ROUND(D235*(E235),2)</f>
        <v>106.28</v>
      </c>
      <c r="H235" s="432"/>
      <c r="I235" s="362"/>
      <c r="J235" s="207"/>
      <c r="K235" s="510"/>
      <c r="L235" s="597"/>
      <c r="M235" s="520"/>
      <c r="N235" s="521"/>
      <c r="O235" s="522"/>
      <c r="P235" s="523"/>
      <c r="Q235" s="362"/>
    </row>
    <row r="236" spans="1:17" ht="15.75" thickBot="1">
      <c r="A236" s="525"/>
      <c r="B236" s="526"/>
      <c r="C236" s="99" t="s">
        <v>29</v>
      </c>
      <c r="D236" s="55">
        <v>350</v>
      </c>
      <c r="E236" s="56">
        <v>6.6425999999999998</v>
      </c>
      <c r="F236" s="281">
        <f>+E236</f>
        <v>6.6425999999999998</v>
      </c>
      <c r="G236" s="414">
        <f t="shared" si="35"/>
        <v>2324.91</v>
      </c>
      <c r="H236" s="248"/>
      <c r="I236" s="203"/>
      <c r="J236" s="60"/>
      <c r="K236" s="61"/>
      <c r="L236" s="249"/>
      <c r="M236" s="54"/>
      <c r="N236" s="527"/>
      <c r="O236" s="528"/>
      <c r="P236" s="529" t="s">
        <v>87</v>
      </c>
      <c r="Q236" s="282">
        <f>+G236+J236-M236-N236-O236</f>
        <v>2324.91</v>
      </c>
    </row>
    <row r="237" spans="1:17">
      <c r="A237" s="493"/>
      <c r="B237" s="602" t="s">
        <v>110</v>
      </c>
      <c r="C237" s="48" t="s">
        <v>164</v>
      </c>
      <c r="D237" s="184">
        <v>310</v>
      </c>
      <c r="E237" s="41">
        <f>6.6426-6.5554</f>
        <v>8.7200000000000166E-2</v>
      </c>
      <c r="F237" s="23">
        <f t="shared" ref="F237:F239" si="36">+E237</f>
        <v>8.7200000000000166E-2</v>
      </c>
      <c r="G237" s="185">
        <f>ROUND(D237*(E237),2)</f>
        <v>27.03</v>
      </c>
      <c r="H237" s="620"/>
      <c r="I237" s="620"/>
      <c r="J237" s="620"/>
      <c r="K237" s="634"/>
      <c r="L237" s="603">
        <f>SUM(G237:G240)</f>
        <v>2146.02</v>
      </c>
      <c r="M237" s="187">
        <v>2146.02</v>
      </c>
      <c r="N237" s="604"/>
      <c r="O237" s="635"/>
      <c r="P237" s="636"/>
      <c r="Q237" s="605"/>
    </row>
    <row r="238" spans="1:17">
      <c r="A238" s="505"/>
      <c r="B238" s="506" t="s">
        <v>169</v>
      </c>
      <c r="C238" s="48" t="s">
        <v>165</v>
      </c>
      <c r="D238" s="49">
        <v>14</v>
      </c>
      <c r="E238" s="41">
        <v>6.6425999999999998</v>
      </c>
      <c r="F238" s="41">
        <f t="shared" si="36"/>
        <v>6.6425999999999998</v>
      </c>
      <c r="G238" s="50">
        <f>ROUND(D238*(E238),2)</f>
        <v>93</v>
      </c>
      <c r="H238" s="296"/>
      <c r="I238" s="298"/>
      <c r="J238" s="298"/>
      <c r="K238" s="637"/>
      <c r="L238" s="606"/>
      <c r="M238" s="606"/>
      <c r="N238" s="607"/>
      <c r="O238" s="608"/>
      <c r="P238" s="609"/>
      <c r="Q238" s="610"/>
    </row>
    <row r="239" spans="1:17" ht="15.75" thickBot="1">
      <c r="A239" s="611"/>
      <c r="B239" s="506"/>
      <c r="C239" s="99" t="s">
        <v>29</v>
      </c>
      <c r="D239" s="296">
        <v>305</v>
      </c>
      <c r="E239" s="56">
        <v>6.6425999999999998</v>
      </c>
      <c r="F239" s="41">
        <f t="shared" si="36"/>
        <v>6.6425999999999998</v>
      </c>
      <c r="G239" s="50">
        <f t="shared" si="35"/>
        <v>2025.99</v>
      </c>
      <c r="H239" s="296"/>
      <c r="I239" s="298"/>
      <c r="J239" s="298"/>
      <c r="K239" s="637"/>
      <c r="L239" s="614"/>
      <c r="M239" s="606"/>
      <c r="N239" s="615"/>
      <c r="O239" s="615"/>
      <c r="P239" s="615"/>
      <c r="Q239" s="616"/>
    </row>
    <row r="240" spans="1:17" ht="15.75" thickBot="1">
      <c r="A240" s="638"/>
      <c r="B240" s="639" t="s">
        <v>111</v>
      </c>
      <c r="C240" s="640"/>
      <c r="D240" s="641"/>
      <c r="E240" s="311"/>
      <c r="F240" s="109"/>
      <c r="G240" s="642">
        <f t="shared" si="35"/>
        <v>0</v>
      </c>
      <c r="H240" s="643"/>
      <c r="I240" s="109"/>
      <c r="J240" s="109"/>
      <c r="K240" s="644"/>
      <c r="L240" s="640"/>
      <c r="M240" s="640"/>
      <c r="N240" s="2"/>
      <c r="O240" s="2"/>
      <c r="P240" s="2"/>
      <c r="Q240" s="2"/>
    </row>
    <row r="241" spans="1:17" ht="15.75" thickTop="1">
      <c r="A241" s="645"/>
      <c r="B241" s="602" t="s">
        <v>112</v>
      </c>
      <c r="C241" s="48" t="s">
        <v>164</v>
      </c>
      <c r="D241" s="184">
        <v>755</v>
      </c>
      <c r="E241" s="41">
        <f>6.6426-6.5554</f>
        <v>8.7200000000000166E-2</v>
      </c>
      <c r="F241" s="23">
        <f t="shared" ref="F241:F245" si="37">+E241</f>
        <v>8.7200000000000166E-2</v>
      </c>
      <c r="G241" s="185">
        <f>ROUND(D241*(E241),2)+0.01</f>
        <v>65.850000000000009</v>
      </c>
      <c r="H241" s="620"/>
      <c r="I241" s="620"/>
      <c r="J241" s="620"/>
      <c r="K241" s="634"/>
      <c r="L241" s="603">
        <f>SUM(G241:G244)</f>
        <v>5014.58</v>
      </c>
      <c r="M241" s="187">
        <v>5014.58</v>
      </c>
      <c r="N241" s="604"/>
      <c r="O241" s="635"/>
      <c r="P241" s="636"/>
      <c r="Q241" s="605"/>
    </row>
    <row r="242" spans="1:17">
      <c r="A242" s="645"/>
      <c r="B242" s="506"/>
      <c r="C242" s="48" t="s">
        <v>165</v>
      </c>
      <c r="D242" s="49">
        <v>32</v>
      </c>
      <c r="E242" s="41">
        <v>6.6425999999999998</v>
      </c>
      <c r="F242" s="41">
        <f t="shared" si="37"/>
        <v>6.6425999999999998</v>
      </c>
      <c r="G242" s="50">
        <f t="shared" ref="G242:G243" si="38">ROUND(D242*(E242),2)</f>
        <v>212.56</v>
      </c>
      <c r="H242" s="296"/>
      <c r="I242" s="298"/>
      <c r="J242" s="298"/>
      <c r="K242" s="637"/>
      <c r="L242" s="606"/>
      <c r="M242" s="606"/>
      <c r="N242" s="607"/>
      <c r="O242" s="608"/>
      <c r="P242" s="609"/>
      <c r="Q242" s="610"/>
    </row>
    <row r="243" spans="1:17" ht="15.75" thickBot="1">
      <c r="A243" s="645"/>
      <c r="B243" s="506"/>
      <c r="C243" s="99" t="s">
        <v>29</v>
      </c>
      <c r="D243" s="296">
        <v>713</v>
      </c>
      <c r="E243" s="56">
        <v>6.6425999999999998</v>
      </c>
      <c r="F243" s="41">
        <f t="shared" si="37"/>
        <v>6.6425999999999998</v>
      </c>
      <c r="G243" s="50">
        <f t="shared" si="38"/>
        <v>4736.17</v>
      </c>
      <c r="H243" s="296"/>
      <c r="I243" s="298"/>
      <c r="J243" s="298"/>
      <c r="K243" s="637"/>
      <c r="L243" s="614"/>
      <c r="M243" s="606"/>
      <c r="N243" s="615"/>
      <c r="O243" s="615"/>
      <c r="P243" s="615"/>
      <c r="Q243" s="616"/>
    </row>
    <row r="244" spans="1:17" ht="15.75" thickBot="1">
      <c r="A244" s="645"/>
      <c r="B244" s="639"/>
      <c r="C244" s="646"/>
      <c r="D244" s="647"/>
      <c r="E244" s="648"/>
      <c r="F244" s="646"/>
      <c r="G244" s="648"/>
      <c r="H244" s="646"/>
      <c r="I244" s="646"/>
      <c r="J244" s="646"/>
      <c r="K244" s="646"/>
      <c r="L244" s="646"/>
      <c r="M244" s="646"/>
      <c r="N244" s="615"/>
      <c r="O244" s="615"/>
      <c r="P244" s="615"/>
      <c r="Q244" s="615"/>
    </row>
    <row r="245" spans="1:17" ht="15.75" thickTop="1">
      <c r="A245" s="645"/>
      <c r="B245" s="602" t="s">
        <v>127</v>
      </c>
      <c r="C245" s="48" t="s">
        <v>164</v>
      </c>
      <c r="D245" s="184">
        <v>645.4</v>
      </c>
      <c r="E245" s="41">
        <f>6.6426-6.5554</f>
        <v>8.7200000000000166E-2</v>
      </c>
      <c r="F245" s="23">
        <f t="shared" si="37"/>
        <v>8.7200000000000166E-2</v>
      </c>
      <c r="G245" s="185">
        <f>ROUND(D245*(E245),2)</f>
        <v>56.28</v>
      </c>
      <c r="H245" s="620"/>
      <c r="I245" s="620"/>
      <c r="J245" s="620"/>
      <c r="K245" s="634"/>
      <c r="L245" s="603">
        <f>SUM(G245:G248)</f>
        <v>3600.77</v>
      </c>
      <c r="M245" s="187">
        <v>3600.77</v>
      </c>
      <c r="N245" s="604"/>
      <c r="O245" s="635"/>
      <c r="P245" s="636"/>
      <c r="Q245" s="605"/>
    </row>
    <row r="246" spans="1:17">
      <c r="A246" s="645"/>
      <c r="B246" s="506"/>
      <c r="C246" s="48" t="s">
        <v>165</v>
      </c>
      <c r="D246" s="49">
        <v>22.6</v>
      </c>
      <c r="E246" s="41">
        <v>6.6425999999999998</v>
      </c>
      <c r="F246" s="41">
        <f>+E246</f>
        <v>6.6425999999999998</v>
      </c>
      <c r="G246" s="50">
        <f>ROUND(D246*(E246),2)</f>
        <v>150.12</v>
      </c>
      <c r="H246" s="296"/>
      <c r="I246" s="298"/>
      <c r="J246" s="298"/>
      <c r="K246" s="637"/>
      <c r="L246" s="606"/>
      <c r="M246" s="606"/>
      <c r="N246" s="607"/>
      <c r="O246" s="608"/>
      <c r="P246" s="609"/>
      <c r="Q246" s="610"/>
    </row>
    <row r="247" spans="1:17" ht="15.75" thickBot="1">
      <c r="A247" s="645"/>
      <c r="B247" s="506"/>
      <c r="C247" s="99" t="s">
        <v>29</v>
      </c>
      <c r="D247" s="296">
        <v>511</v>
      </c>
      <c r="E247" s="56">
        <v>6.6425999999999998</v>
      </c>
      <c r="F247" s="41">
        <f t="shared" ref="F247" si="39">+E247</f>
        <v>6.6425999999999998</v>
      </c>
      <c r="G247" s="50">
        <f t="shared" ref="G247" si="40">ROUND(D247*(E247),2)</f>
        <v>3394.37</v>
      </c>
      <c r="H247" s="296"/>
      <c r="I247" s="298"/>
      <c r="J247" s="298"/>
      <c r="K247" s="637"/>
      <c r="L247" s="614"/>
      <c r="M247" s="606"/>
      <c r="N247" s="615"/>
      <c r="O247" s="615"/>
      <c r="P247" s="615"/>
      <c r="Q247" s="616"/>
    </row>
    <row r="248" spans="1:17" ht="15.75" thickBot="1">
      <c r="A248" s="645"/>
      <c r="B248" s="639"/>
      <c r="C248" s="646"/>
      <c r="D248" s="647"/>
      <c r="E248" s="648"/>
      <c r="F248" s="646"/>
      <c r="G248" s="648"/>
      <c r="H248" s="646"/>
      <c r="I248" s="646"/>
      <c r="J248" s="646"/>
      <c r="K248" s="646"/>
      <c r="L248" s="646"/>
      <c r="M248" s="646"/>
      <c r="N248" s="615"/>
      <c r="O248" s="615"/>
      <c r="P248" s="615"/>
      <c r="Q248" s="615"/>
    </row>
    <row r="249" spans="1:17" ht="15.75" thickTop="1">
      <c r="A249" s="645"/>
      <c r="B249" s="602" t="s">
        <v>128</v>
      </c>
      <c r="C249" s="48" t="s">
        <v>164</v>
      </c>
      <c r="D249" s="184">
        <v>993.1</v>
      </c>
      <c r="E249" s="41">
        <f>6.6426-6.5554</f>
        <v>8.7200000000000166E-2</v>
      </c>
      <c r="F249" s="23">
        <f t="shared" ref="F249" si="41">+E249</f>
        <v>8.7200000000000166E-2</v>
      </c>
      <c r="G249" s="185">
        <f>ROUND(D249*(E249),2)</f>
        <v>86.6</v>
      </c>
      <c r="H249" s="620"/>
      <c r="I249" s="620"/>
      <c r="J249" s="620"/>
      <c r="K249" s="634"/>
      <c r="L249" s="603">
        <f>SUM(G249:G252)</f>
        <v>5677.6799999999994</v>
      </c>
      <c r="M249" s="187">
        <v>5677.68</v>
      </c>
      <c r="N249" s="604"/>
      <c r="O249" s="635"/>
      <c r="P249" s="636"/>
      <c r="Q249" s="605"/>
    </row>
    <row r="250" spans="1:17">
      <c r="A250" s="645"/>
      <c r="B250" s="506"/>
      <c r="C250" s="48" t="s">
        <v>165</v>
      </c>
      <c r="D250" s="49">
        <v>35.700000000000003</v>
      </c>
      <c r="E250" s="41">
        <v>6.6425999999999998</v>
      </c>
      <c r="F250" s="41">
        <f>+E250</f>
        <v>6.6425999999999998</v>
      </c>
      <c r="G250" s="50">
        <f>ROUND(D250*(E250),2)</f>
        <v>237.14</v>
      </c>
      <c r="H250" s="296"/>
      <c r="I250" s="298"/>
      <c r="J250" s="298"/>
      <c r="K250" s="637"/>
      <c r="L250" s="606"/>
      <c r="M250" s="606"/>
      <c r="N250" s="607"/>
      <c r="O250" s="608"/>
      <c r="P250" s="609"/>
      <c r="Q250" s="610"/>
    </row>
    <row r="251" spans="1:17" ht="15.75" thickBot="1">
      <c r="A251" s="645"/>
      <c r="B251" s="506"/>
      <c r="C251" s="99" t="s">
        <v>29</v>
      </c>
      <c r="D251" s="296">
        <v>806</v>
      </c>
      <c r="E251" s="56">
        <v>6.6425999999999998</v>
      </c>
      <c r="F251" s="41">
        <f t="shared" ref="F251" si="42">+E251</f>
        <v>6.6425999999999998</v>
      </c>
      <c r="G251" s="50">
        <f t="shared" ref="G251" si="43">ROUND(D251*(E251),2)</f>
        <v>5353.94</v>
      </c>
      <c r="H251" s="296"/>
      <c r="I251" s="298"/>
      <c r="J251" s="298"/>
      <c r="K251" s="637"/>
      <c r="L251" s="614"/>
      <c r="M251" s="606"/>
      <c r="N251" s="615"/>
      <c r="O251" s="615"/>
      <c r="P251" s="615"/>
      <c r="Q251" s="616"/>
    </row>
    <row r="252" spans="1:17" ht="15.75" thickBot="1">
      <c r="A252" s="645"/>
      <c r="B252" s="639"/>
      <c r="C252" s="646"/>
      <c r="D252" s="647"/>
      <c r="E252" s="648"/>
      <c r="F252" s="646"/>
      <c r="G252" s="648"/>
      <c r="H252" s="646"/>
      <c r="I252" s="646"/>
      <c r="J252" s="646"/>
      <c r="K252" s="646"/>
      <c r="L252" s="646"/>
      <c r="M252" s="646"/>
      <c r="N252" s="615"/>
      <c r="O252" s="615"/>
      <c r="P252" s="615"/>
      <c r="Q252" s="615"/>
    </row>
    <row r="253" spans="1:17" ht="15.75" thickTop="1">
      <c r="A253" s="645"/>
      <c r="B253" s="602" t="s">
        <v>163</v>
      </c>
      <c r="C253" s="48" t="s">
        <v>164</v>
      </c>
      <c r="D253" s="184">
        <v>499</v>
      </c>
      <c r="E253" s="41">
        <f>6.6426-6.5554</f>
        <v>8.7200000000000166E-2</v>
      </c>
      <c r="F253" s="23">
        <f t="shared" ref="F253" si="44">+E253</f>
        <v>8.7200000000000166E-2</v>
      </c>
      <c r="G253" s="185">
        <f>ROUND(D253*(E253),2)+0.01</f>
        <v>43.519999999999996</v>
      </c>
      <c r="H253" s="620"/>
      <c r="I253" s="620"/>
      <c r="J253" s="620"/>
      <c r="K253" s="634"/>
      <c r="L253" s="603">
        <f>SUM(G253:G256)</f>
        <v>3750.09</v>
      </c>
      <c r="M253" s="187">
        <v>3750.09</v>
      </c>
      <c r="N253" s="604"/>
      <c r="O253" s="635"/>
      <c r="P253" s="636"/>
      <c r="Q253" s="605"/>
    </row>
    <row r="254" spans="1:17">
      <c r="A254" s="645"/>
      <c r="B254" s="506"/>
      <c r="C254" s="48" t="s">
        <v>165</v>
      </c>
      <c r="D254" s="49">
        <v>24</v>
      </c>
      <c r="E254" s="41">
        <v>6.6425999999999998</v>
      </c>
      <c r="F254" s="41">
        <f>+E254</f>
        <v>6.6425999999999998</v>
      </c>
      <c r="G254" s="50">
        <f>ROUND(D254*(E254),2)</f>
        <v>159.41999999999999</v>
      </c>
      <c r="H254" s="296"/>
      <c r="I254" s="298"/>
      <c r="J254" s="298"/>
      <c r="K254" s="637"/>
      <c r="L254" s="606"/>
      <c r="M254" s="606"/>
      <c r="N254" s="607"/>
      <c r="O254" s="608"/>
      <c r="P254" s="609"/>
      <c r="Q254" s="610"/>
    </row>
    <row r="255" spans="1:17" ht="15.75" thickBot="1">
      <c r="A255" s="645"/>
      <c r="B255" s="506"/>
      <c r="C255" s="99" t="s">
        <v>29</v>
      </c>
      <c r="D255" s="296">
        <v>534</v>
      </c>
      <c r="E255" s="56">
        <v>6.6425999999999998</v>
      </c>
      <c r="F255" s="41">
        <f t="shared" ref="F255" si="45">+E255</f>
        <v>6.6425999999999998</v>
      </c>
      <c r="G255" s="50">
        <f t="shared" ref="G255" si="46">ROUND(D255*(E255),2)</f>
        <v>3547.15</v>
      </c>
      <c r="H255" s="296"/>
      <c r="I255" s="298"/>
      <c r="J255" s="298"/>
      <c r="K255" s="637"/>
      <c r="L255" s="614"/>
      <c r="M255" s="606"/>
      <c r="N255" s="615"/>
      <c r="O255" s="615"/>
      <c r="P255" s="615"/>
      <c r="Q255" s="616"/>
    </row>
    <row r="256" spans="1:17" ht="15.75" thickBot="1">
      <c r="A256" s="645"/>
      <c r="B256" s="639"/>
      <c r="C256" s="646"/>
      <c r="D256" s="647"/>
      <c r="E256" s="648"/>
      <c r="F256" s="646"/>
      <c r="G256" s="648"/>
      <c r="H256" s="646"/>
      <c r="I256" s="646"/>
      <c r="J256" s="646"/>
      <c r="K256" s="646"/>
      <c r="L256" s="646"/>
      <c r="M256" s="646"/>
      <c r="N256" s="615"/>
      <c r="O256" s="615"/>
      <c r="P256" s="615"/>
      <c r="Q256" s="615"/>
    </row>
    <row r="257" spans="1:20" ht="15.75" thickTop="1">
      <c r="A257" s="705"/>
      <c r="B257" s="615"/>
      <c r="C257" s="615"/>
      <c r="D257" s="696"/>
      <c r="E257" s="473"/>
      <c r="F257" s="615"/>
      <c r="G257" s="473"/>
      <c r="H257" s="615"/>
      <c r="I257" s="615"/>
      <c r="J257" s="615"/>
      <c r="K257" s="615"/>
      <c r="L257" s="615"/>
      <c r="M257" s="615"/>
      <c r="N257" s="615"/>
      <c r="O257" s="615"/>
      <c r="P257" s="615"/>
      <c r="Q257" s="615"/>
    </row>
    <row r="258" spans="1:20" ht="15.75" thickBot="1">
      <c r="A258" s="705"/>
      <c r="B258" s="615"/>
      <c r="C258" s="615"/>
      <c r="D258" s="696"/>
      <c r="E258" s="473"/>
      <c r="F258" s="615"/>
      <c r="G258" s="473"/>
      <c r="H258" s="615"/>
      <c r="I258" s="615"/>
      <c r="J258" s="615"/>
      <c r="K258" s="615"/>
      <c r="L258" s="615"/>
      <c r="M258" s="615"/>
      <c r="N258" s="615"/>
      <c r="O258" s="615"/>
      <c r="P258" s="615"/>
      <c r="Q258" s="615"/>
    </row>
    <row r="259" spans="1:20" s="81" customFormat="1" ht="15" customHeight="1" thickTop="1">
      <c r="A259" s="476"/>
      <c r="B259" s="158"/>
      <c r="C259" s="322"/>
      <c r="D259" s="477"/>
      <c r="E259" s="163"/>
      <c r="F259" s="163"/>
      <c r="G259" s="478"/>
      <c r="H259" s="163"/>
      <c r="I259" s="163"/>
      <c r="J259" s="163"/>
      <c r="K259" s="163"/>
      <c r="L259" s="163"/>
      <c r="M259" s="164"/>
      <c r="N259" s="479"/>
      <c r="O259" s="479"/>
      <c r="P259" s="479"/>
      <c r="Q259" s="479"/>
      <c r="R259" s="422"/>
      <c r="S259" s="399"/>
      <c r="T259" s="399"/>
    </row>
    <row r="260" spans="1:20" ht="21.75" thickBot="1">
      <c r="A260" s="171" t="s">
        <v>113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3"/>
      <c r="N260" s="2"/>
      <c r="O260" s="2"/>
      <c r="P260" s="2"/>
      <c r="Q260" s="2"/>
    </row>
    <row r="261" spans="1:20" ht="15.75" customHeight="1" thickTop="1" thickBot="1">
      <c r="A261" s="1555" t="s">
        <v>1</v>
      </c>
      <c r="B261" s="1543" t="s">
        <v>2</v>
      </c>
      <c r="C261" s="1545" t="s">
        <v>3</v>
      </c>
      <c r="D261" s="1546" t="s">
        <v>4</v>
      </c>
      <c r="E261" s="1546"/>
      <c r="F261" s="1546"/>
      <c r="G261" s="1546"/>
      <c r="H261" s="1547"/>
      <c r="I261" s="1548"/>
      <c r="J261" s="1548"/>
      <c r="K261" s="1549"/>
      <c r="L261" s="1524" t="s">
        <v>6</v>
      </c>
      <c r="M261" s="1511" t="s">
        <v>7</v>
      </c>
      <c r="N261" s="1551" t="s">
        <v>8</v>
      </c>
      <c r="O261" s="1551"/>
      <c r="P261" s="1551"/>
      <c r="Q261" s="1552"/>
      <c r="R261" s="481"/>
      <c r="S261" s="482" t="s">
        <v>20</v>
      </c>
      <c r="T261" s="482" t="s">
        <v>21</v>
      </c>
    </row>
    <row r="262" spans="1:20" ht="26.25" thickBot="1">
      <c r="A262" s="1556"/>
      <c r="B262" s="1557"/>
      <c r="C262" s="1558" t="s">
        <v>10</v>
      </c>
      <c r="D262" s="483" t="s">
        <v>11</v>
      </c>
      <c r="E262" s="649" t="s">
        <v>12</v>
      </c>
      <c r="F262" s="649" t="s">
        <v>13</v>
      </c>
      <c r="G262" s="650" t="s">
        <v>14</v>
      </c>
      <c r="H262" s="651" t="s">
        <v>11</v>
      </c>
      <c r="I262" s="652" t="s">
        <v>15</v>
      </c>
      <c r="J262" s="653"/>
      <c r="K262" s="654" t="s">
        <v>16</v>
      </c>
      <c r="L262" s="1525"/>
      <c r="M262" s="1554"/>
      <c r="N262" s="655"/>
      <c r="O262" s="653"/>
      <c r="P262" s="656" t="s">
        <v>18</v>
      </c>
      <c r="Q262" s="657" t="s">
        <v>19</v>
      </c>
      <c r="R262" s="491"/>
      <c r="S262" s="492"/>
      <c r="T262" s="492"/>
    </row>
    <row r="263" spans="1:20" ht="15.75">
      <c r="A263" s="658"/>
      <c r="B263" s="659" t="s">
        <v>55</v>
      </c>
      <c r="C263" s="48" t="s">
        <v>164</v>
      </c>
      <c r="D263" s="259">
        <v>1745.6</v>
      </c>
      <c r="E263" s="41">
        <f>6.6426-6.5554</f>
        <v>8.7200000000000166E-2</v>
      </c>
      <c r="F263" s="620">
        <f t="shared" ref="F263:F264" si="47">+E263</f>
        <v>8.7200000000000166E-2</v>
      </c>
      <c r="G263" s="214">
        <f>ROUND(D263*E263,2)</f>
        <v>152.22</v>
      </c>
      <c r="H263" s="303"/>
      <c r="I263" s="23"/>
      <c r="J263" s="23"/>
      <c r="K263" s="23"/>
      <c r="L263" s="603">
        <f>SUM(G263:G265)</f>
        <v>12288.91</v>
      </c>
      <c r="M263" s="187">
        <v>12288.91</v>
      </c>
      <c r="N263" s="660"/>
      <c r="O263" s="217"/>
      <c r="P263" s="661"/>
      <c r="Q263" s="219"/>
    </row>
    <row r="264" spans="1:20" ht="15.75">
      <c r="A264" s="662"/>
      <c r="B264" s="35"/>
      <c r="C264" s="48" t="s">
        <v>165</v>
      </c>
      <c r="D264" s="269">
        <v>61.08</v>
      </c>
      <c r="E264" s="41">
        <v>6.6425999999999998</v>
      </c>
      <c r="F264" s="298">
        <f t="shared" si="47"/>
        <v>6.6425999999999998</v>
      </c>
      <c r="G264" s="235">
        <f>ROUND(D264*E264,2)</f>
        <v>405.73</v>
      </c>
      <c r="H264" s="270"/>
      <c r="I264" s="41"/>
      <c r="J264" s="41"/>
      <c r="K264" s="41"/>
      <c r="L264" s="606"/>
      <c r="M264" s="606"/>
      <c r="N264" s="663"/>
      <c r="O264" s="237"/>
      <c r="P264" s="275"/>
      <c r="Q264" s="238"/>
    </row>
    <row r="265" spans="1:20" ht="15.75" thickBot="1">
      <c r="A265" s="664"/>
      <c r="B265" s="665"/>
      <c r="C265" s="99" t="s">
        <v>29</v>
      </c>
      <c r="D265" s="613">
        <v>1766.02</v>
      </c>
      <c r="E265" s="56">
        <v>6.6425999999999998</v>
      </c>
      <c r="F265" s="57"/>
      <c r="G265" s="247">
        <f>ROUND(D265*E265,2)</f>
        <v>11730.96</v>
      </c>
      <c r="H265" s="613"/>
      <c r="I265" s="57"/>
      <c r="J265" s="57"/>
      <c r="K265" s="57"/>
      <c r="L265" s="614"/>
      <c r="M265" s="606"/>
      <c r="N265" s="57"/>
      <c r="O265" s="57"/>
      <c r="P265" s="57"/>
      <c r="Q265" s="666"/>
    </row>
    <row r="266" spans="1:20">
      <c r="A266" s="667"/>
      <c r="B266" s="659" t="s">
        <v>116</v>
      </c>
      <c r="C266" s="668" t="s">
        <v>73</v>
      </c>
      <c r="D266" s="669">
        <v>6</v>
      </c>
      <c r="E266" s="21">
        <v>36.214199999999998</v>
      </c>
      <c r="F266" s="21">
        <v>42.4328</v>
      </c>
      <c r="G266" s="214">
        <f>+D266*(E266+F266)</f>
        <v>471.88199999999995</v>
      </c>
      <c r="H266" s="687"/>
      <c r="I266" s="688">
        <v>35.612400000000001</v>
      </c>
      <c r="J266" s="670">
        <f>ROUND(H266*I266,2)</f>
        <v>0</v>
      </c>
      <c r="K266" s="689"/>
      <c r="L266" s="603">
        <f>SUM(G266:G272)+SUM(J266:J270)</f>
        <v>10967.422</v>
      </c>
      <c r="M266" s="187">
        <v>10967.42</v>
      </c>
      <c r="N266" s="670"/>
      <c r="O266" s="670"/>
      <c r="P266" s="670"/>
      <c r="Q266" s="670"/>
    </row>
    <row r="267" spans="1:20">
      <c r="A267" s="671"/>
      <c r="B267" s="672"/>
      <c r="C267" s="48"/>
      <c r="D267" s="673"/>
      <c r="E267" s="41"/>
      <c r="F267" s="298"/>
      <c r="G267" s="235">
        <f>+D267*E267</f>
        <v>0</v>
      </c>
      <c r="H267" s="687"/>
      <c r="I267" s="688">
        <v>147.77000000000001</v>
      </c>
      <c r="J267" s="670">
        <f>ROUND(H267*I267,2)</f>
        <v>0</v>
      </c>
      <c r="K267" s="689"/>
      <c r="L267" s="606"/>
      <c r="M267" s="606"/>
      <c r="N267" s="298"/>
      <c r="O267" s="298"/>
      <c r="P267" s="298"/>
      <c r="Q267" s="298"/>
    </row>
    <row r="268" spans="1:20">
      <c r="A268" s="671"/>
      <c r="B268" s="442"/>
      <c r="C268" s="48"/>
      <c r="D268" s="673"/>
      <c r="E268" s="41"/>
      <c r="F268" s="298"/>
      <c r="G268" s="235">
        <f>ROUND(D268*E268,2)</f>
        <v>0</v>
      </c>
      <c r="H268" s="687">
        <v>0</v>
      </c>
      <c r="I268" s="688">
        <v>11.75</v>
      </c>
      <c r="J268" s="670">
        <f>ROUND(H268*I268,2)</f>
        <v>0</v>
      </c>
      <c r="K268" s="689">
        <v>42887</v>
      </c>
      <c r="L268" s="614">
        <f>SUM(G268:G269)</f>
        <v>0</v>
      </c>
      <c r="M268" s="606"/>
      <c r="N268" s="298"/>
      <c r="O268" s="298"/>
      <c r="P268" s="298"/>
      <c r="Q268" s="298"/>
    </row>
    <row r="269" spans="1:20">
      <c r="A269" s="671"/>
      <c r="B269" s="35"/>
      <c r="C269" s="606"/>
      <c r="D269" s="673"/>
      <c r="E269" s="41"/>
      <c r="F269" s="298"/>
      <c r="G269" s="235">
        <f>ROUND(D269*E269,2)</f>
        <v>0</v>
      </c>
      <c r="H269" s="270">
        <v>0</v>
      </c>
      <c r="I269" s="41">
        <v>15.15</v>
      </c>
      <c r="J269" s="670">
        <f>ROUND(H269*I269,2)</f>
        <v>0</v>
      </c>
      <c r="K269" s="689">
        <v>42887</v>
      </c>
      <c r="L269" s="614"/>
      <c r="M269" s="273"/>
      <c r="N269" s="298"/>
      <c r="O269" s="298"/>
      <c r="P269" s="298"/>
      <c r="Q269" s="298"/>
    </row>
    <row r="270" spans="1:20" ht="15.75">
      <c r="A270" s="674"/>
      <c r="B270" s="672"/>
      <c r="C270" s="48" t="s">
        <v>164</v>
      </c>
      <c r="D270" s="269">
        <v>1678.5</v>
      </c>
      <c r="E270" s="41">
        <f>6.6426-6.5554</f>
        <v>8.7200000000000166E-2</v>
      </c>
      <c r="F270" s="298">
        <f t="shared" ref="F270:F271" si="48">+E270</f>
        <v>8.7200000000000166E-2</v>
      </c>
      <c r="G270" s="235">
        <f>ROUND(D270*E270,2)</f>
        <v>146.37</v>
      </c>
      <c r="H270" s="270"/>
      <c r="I270" s="41"/>
      <c r="J270" s="670"/>
      <c r="K270" s="670"/>
      <c r="L270" s="606"/>
      <c r="M270" s="606"/>
      <c r="N270" s="663"/>
      <c r="O270" s="237"/>
      <c r="P270" s="275"/>
      <c r="Q270" s="237"/>
    </row>
    <row r="271" spans="1:20" ht="15.75">
      <c r="A271" s="674"/>
      <c r="B271" s="35"/>
      <c r="C271" s="48" t="s">
        <v>165</v>
      </c>
      <c r="D271" s="269">
        <v>52.1</v>
      </c>
      <c r="E271" s="41">
        <v>6.6425999999999998</v>
      </c>
      <c r="F271" s="298">
        <f t="shared" si="48"/>
        <v>6.6425999999999998</v>
      </c>
      <c r="G271" s="235">
        <f>ROUND(D271*E271,2)</f>
        <v>346.08</v>
      </c>
      <c r="H271" s="270"/>
      <c r="I271" s="41"/>
      <c r="J271" s="41"/>
      <c r="K271" s="41"/>
      <c r="L271" s="614"/>
      <c r="M271" s="606"/>
      <c r="N271" s="663"/>
      <c r="O271" s="237"/>
      <c r="P271" s="275"/>
      <c r="Q271" s="237"/>
    </row>
    <row r="272" spans="1:20" ht="15.75" thickBot="1">
      <c r="A272" s="675"/>
      <c r="B272" s="676"/>
      <c r="C272" s="107" t="s">
        <v>29</v>
      </c>
      <c r="D272" s="643">
        <v>1505.9</v>
      </c>
      <c r="E272" s="56">
        <v>6.6425999999999998</v>
      </c>
      <c r="F272" s="109"/>
      <c r="G272" s="309">
        <f t="shared" ref="G272:G282" si="49">ROUND(D272*E272,2)</f>
        <v>10003.09</v>
      </c>
      <c r="H272" s="643"/>
      <c r="I272" s="109"/>
      <c r="J272" s="109"/>
      <c r="K272" s="109"/>
      <c r="L272" s="677"/>
      <c r="M272" s="314"/>
      <c r="N272" s="109"/>
      <c r="O272" s="109"/>
      <c r="P272" s="109"/>
      <c r="Q272" s="109"/>
      <c r="R272" s="2"/>
    </row>
    <row r="273" spans="1:18" ht="16.5" thickTop="1">
      <c r="A273" s="658"/>
      <c r="B273" s="659" t="s">
        <v>117</v>
      </c>
      <c r="C273" s="48" t="s">
        <v>164</v>
      </c>
      <c r="D273" s="259">
        <v>442.5</v>
      </c>
      <c r="E273" s="41">
        <f>6.6426-6.5554</f>
        <v>8.7200000000000166E-2</v>
      </c>
      <c r="F273" s="691">
        <f>+E273</f>
        <v>8.7200000000000166E-2</v>
      </c>
      <c r="G273" s="214">
        <f>ROUND(D273*E273,2)+0.01</f>
        <v>38.6</v>
      </c>
      <c r="H273" s="303"/>
      <c r="I273" s="23"/>
      <c r="J273" s="23"/>
      <c r="K273" s="23"/>
      <c r="L273" s="603">
        <f>SUM(G273:G275)</f>
        <v>2612.6</v>
      </c>
      <c r="M273" s="187">
        <v>2612.6</v>
      </c>
      <c r="N273" s="660"/>
      <c r="O273" s="217"/>
      <c r="P273" s="661"/>
      <c r="Q273" s="219"/>
      <c r="R273" s="324"/>
    </row>
    <row r="274" spans="1:18" ht="15.75">
      <c r="A274" s="662"/>
      <c r="B274" s="35"/>
      <c r="C274" s="48" t="s">
        <v>165</v>
      </c>
      <c r="D274" s="773">
        <v>13</v>
      </c>
      <c r="E274" s="41">
        <v>6.6425999999999998</v>
      </c>
      <c r="F274" s="774">
        <f t="shared" ref="F274" si="50">+E274</f>
        <v>6.6425999999999998</v>
      </c>
      <c r="G274" s="775">
        <f t="shared" si="49"/>
        <v>86.35</v>
      </c>
      <c r="H274" s="432"/>
      <c r="I274" s="207"/>
      <c r="J274" s="207"/>
      <c r="K274" s="207"/>
      <c r="L274" s="776"/>
      <c r="M274" s="776"/>
      <c r="N274" s="777"/>
      <c r="O274" s="778"/>
      <c r="P274" s="779"/>
      <c r="Q274" s="780"/>
    </row>
    <row r="275" spans="1:18" ht="15.75" thickBot="1">
      <c r="A275" s="781"/>
      <c r="B275" s="782"/>
      <c r="C275" s="54" t="s">
        <v>29</v>
      </c>
      <c r="D275" s="613">
        <v>374.5</v>
      </c>
      <c r="E275" s="56">
        <v>6.6425999999999998</v>
      </c>
      <c r="F275" s="57"/>
      <c r="G275" s="247">
        <f t="shared" si="49"/>
        <v>2487.65</v>
      </c>
      <c r="H275" s="613"/>
      <c r="I275" s="57"/>
      <c r="J275" s="57"/>
      <c r="K275" s="57"/>
      <c r="L275" s="783"/>
      <c r="M275" s="784"/>
      <c r="N275" s="57"/>
      <c r="O275" s="57"/>
      <c r="P275" s="57"/>
      <c r="Q275" s="666"/>
    </row>
    <row r="276" spans="1:18" ht="15.75">
      <c r="A276" s="662"/>
      <c r="B276" s="785" t="s">
        <v>142</v>
      </c>
      <c r="C276" s="786" t="s">
        <v>73</v>
      </c>
      <c r="D276" s="787">
        <v>101</v>
      </c>
      <c r="E276" s="21">
        <v>36.214199999999998</v>
      </c>
      <c r="F276" s="21">
        <v>42.4328</v>
      </c>
      <c r="G276" s="214">
        <f>+D276*(E276+F276)</f>
        <v>7943.3469999999988</v>
      </c>
      <c r="H276" s="457"/>
      <c r="I276" s="199"/>
      <c r="J276" s="199"/>
      <c r="K276" s="199"/>
      <c r="L276" s="603">
        <f>SUM(G276:G279)</f>
        <v>22079.386999999999</v>
      </c>
      <c r="M276" s="187">
        <v>22079.39</v>
      </c>
      <c r="N276" s="788"/>
      <c r="O276" s="789"/>
      <c r="P276" s="790"/>
      <c r="Q276" s="791"/>
    </row>
    <row r="277" spans="1:18" ht="15.75">
      <c r="A277" s="792"/>
      <c r="B277" s="793"/>
      <c r="C277" s="48" t="s">
        <v>164</v>
      </c>
      <c r="D277" s="269">
        <v>2711</v>
      </c>
      <c r="E277" s="41">
        <f>6.6426-6.5554</f>
        <v>8.7200000000000166E-2</v>
      </c>
      <c r="F277" s="297">
        <f>+E277</f>
        <v>8.7200000000000166E-2</v>
      </c>
      <c r="G277" s="235">
        <f t="shared" si="49"/>
        <v>236.4</v>
      </c>
      <c r="H277" s="270"/>
      <c r="I277" s="41"/>
      <c r="J277" s="41"/>
      <c r="K277" s="41"/>
      <c r="L277" s="614"/>
      <c r="M277" s="273"/>
      <c r="N277" s="663"/>
      <c r="O277" s="237"/>
      <c r="P277" s="275"/>
      <c r="Q277" s="238"/>
    </row>
    <row r="278" spans="1:18" ht="15.75">
      <c r="A278" s="794"/>
      <c r="B278" s="767"/>
      <c r="C278" s="48" t="s">
        <v>165</v>
      </c>
      <c r="D278" s="269">
        <v>70.010000000000005</v>
      </c>
      <c r="E278" s="41">
        <v>6.6425999999999998</v>
      </c>
      <c r="F278" s="298">
        <f t="shared" ref="F278" si="51">+E278</f>
        <v>6.6425999999999998</v>
      </c>
      <c r="G278" s="235">
        <f t="shared" si="49"/>
        <v>465.05</v>
      </c>
      <c r="H278" s="270"/>
      <c r="I278" s="41"/>
      <c r="J278" s="41"/>
      <c r="K278" s="41"/>
      <c r="L278" s="606"/>
      <c r="M278" s="606"/>
      <c r="N278" s="663"/>
      <c r="O278" s="237"/>
      <c r="P278" s="275"/>
      <c r="Q278" s="238"/>
    </row>
    <row r="279" spans="1:18" ht="15.75" thickBot="1">
      <c r="A279" s="664"/>
      <c r="B279" s="665"/>
      <c r="C279" s="512" t="s">
        <v>29</v>
      </c>
      <c r="D279" s="795">
        <v>2022.49</v>
      </c>
      <c r="E279" s="56">
        <v>6.6425999999999998</v>
      </c>
      <c r="F279" s="797"/>
      <c r="G279" s="798">
        <f t="shared" si="49"/>
        <v>13434.59</v>
      </c>
      <c r="H279" s="795"/>
      <c r="I279" s="797"/>
      <c r="J279" s="797"/>
      <c r="K279" s="797"/>
      <c r="L279" s="799"/>
      <c r="M279" s="292"/>
      <c r="N279" s="797"/>
      <c r="O279" s="797"/>
      <c r="P279" s="797"/>
      <c r="Q279" s="800"/>
    </row>
    <row r="280" spans="1:18" ht="15.75">
      <c r="A280" s="658"/>
      <c r="B280" s="659" t="s">
        <v>148</v>
      </c>
      <c r="C280" s="48" t="s">
        <v>164</v>
      </c>
      <c r="D280" s="259">
        <v>244.7</v>
      </c>
      <c r="E280" s="41">
        <f>6.6426-6.5554</f>
        <v>8.7200000000000166E-2</v>
      </c>
      <c r="F280" s="691">
        <f>+E280</f>
        <v>8.7200000000000166E-2</v>
      </c>
      <c r="G280" s="214">
        <f>ROUND(D280*E280,2)</f>
        <v>21.34</v>
      </c>
      <c r="H280" s="303"/>
      <c r="I280" s="23"/>
      <c r="J280" s="23"/>
      <c r="K280" s="23"/>
      <c r="L280" s="603">
        <f>SUM(G280:G282)</f>
        <v>1395.69</v>
      </c>
      <c r="M280" s="187">
        <v>1395.69</v>
      </c>
      <c r="N280" s="660"/>
      <c r="O280" s="217"/>
      <c r="P280" s="661"/>
      <c r="Q280" s="219"/>
    </row>
    <row r="281" spans="1:18" ht="15.75">
      <c r="A281" s="662"/>
      <c r="B281" s="35"/>
      <c r="C281" s="48" t="s">
        <v>165</v>
      </c>
      <c r="D281" s="269">
        <v>6.9</v>
      </c>
      <c r="E281" s="41">
        <v>6.6425999999999998</v>
      </c>
      <c r="F281" s="298">
        <f t="shared" ref="F281" si="52">+E281</f>
        <v>6.6425999999999998</v>
      </c>
      <c r="G281" s="235">
        <f t="shared" si="49"/>
        <v>45.83</v>
      </c>
      <c r="H281" s="270"/>
      <c r="I281" s="41"/>
      <c r="J281" s="41"/>
      <c r="K281" s="41"/>
      <c r="L281" s="606"/>
      <c r="M281" s="606"/>
      <c r="N281" s="663"/>
      <c r="O281" s="237"/>
      <c r="P281" s="275"/>
      <c r="Q281" s="238"/>
    </row>
    <row r="282" spans="1:18" ht="15.75" thickBot="1">
      <c r="A282" s="664"/>
      <c r="B282" s="665"/>
      <c r="C282" s="99" t="s">
        <v>29</v>
      </c>
      <c r="D282" s="613">
        <v>200</v>
      </c>
      <c r="E282" s="56">
        <v>6.6425999999999998</v>
      </c>
      <c r="F282" s="57"/>
      <c r="G282" s="247">
        <f t="shared" si="49"/>
        <v>1328.52</v>
      </c>
      <c r="H282" s="613"/>
      <c r="I282" s="57"/>
      <c r="J282" s="57"/>
      <c r="K282" s="57"/>
      <c r="L282" s="614"/>
      <c r="M282" s="606"/>
      <c r="N282" s="57"/>
      <c r="O282" s="57"/>
      <c r="P282" s="57"/>
      <c r="Q282" s="666"/>
    </row>
  </sheetData>
  <mergeCells count="40">
    <mergeCell ref="M261:M262"/>
    <mergeCell ref="N261:Q261"/>
    <mergeCell ref="A261:A262"/>
    <mergeCell ref="B261:B262"/>
    <mergeCell ref="C261:C262"/>
    <mergeCell ref="D261:G261"/>
    <mergeCell ref="H261:K261"/>
    <mergeCell ref="L261:L262"/>
    <mergeCell ref="M79:M80"/>
    <mergeCell ref="N79:Q79"/>
    <mergeCell ref="A179:A180"/>
    <mergeCell ref="B179:B180"/>
    <mergeCell ref="C179:C180"/>
    <mergeCell ref="D179:G179"/>
    <mergeCell ref="H179:K179"/>
    <mergeCell ref="L179:L180"/>
    <mergeCell ref="M179:M180"/>
    <mergeCell ref="N179:Q179"/>
    <mergeCell ref="A79:A80"/>
    <mergeCell ref="B79:B80"/>
    <mergeCell ref="C79:C80"/>
    <mergeCell ref="D79:G79"/>
    <mergeCell ref="H79:K79"/>
    <mergeCell ref="L79:L80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291"/>
  <sheetViews>
    <sheetView topLeftCell="A268" workbookViewId="0">
      <selection activeCell="F241" sqref="F241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22</v>
      </c>
      <c r="B4" s="18" t="s">
        <v>23</v>
      </c>
      <c r="C4" s="19"/>
      <c r="D4" s="20">
        <v>51</v>
      </c>
      <c r="E4" s="21">
        <v>36.214199999999998</v>
      </c>
      <c r="F4" s="21">
        <v>42.4328</v>
      </c>
      <c r="G4" s="22">
        <f>ROUND(D4*(E4+F4),2)</f>
        <v>4011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134916.70000000001</v>
      </c>
      <c r="M4" s="26">
        <v>134916.70000000001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170</v>
      </c>
      <c r="D6" s="49">
        <v>0</v>
      </c>
      <c r="E6" s="41">
        <f>7.0207-6.6426</f>
        <v>0.37809999999999988</v>
      </c>
      <c r="F6" s="41">
        <f>+E6</f>
        <v>0.37809999999999988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130905.70000000001</v>
      </c>
      <c r="S6" s="31"/>
      <c r="T6" s="32"/>
    </row>
    <row r="7" spans="1:22">
      <c r="A7" s="34"/>
      <c r="B7" s="35"/>
      <c r="C7" s="48" t="s">
        <v>171</v>
      </c>
      <c r="D7" s="49">
        <v>553</v>
      </c>
      <c r="E7" s="41">
        <v>6.8945999999999996</v>
      </c>
      <c r="F7" s="41">
        <f>+E7</f>
        <v>6.8945999999999996</v>
      </c>
      <c r="G7" s="50">
        <f>ROUND(D7*E7,2)</f>
        <v>3812.71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130905.70000000001</v>
      </c>
    </row>
    <row r="8" spans="1:22" ht="15.75" thickBot="1">
      <c r="A8" s="52"/>
      <c r="B8" s="53"/>
      <c r="C8" s="99" t="s">
        <v>29</v>
      </c>
      <c r="D8" s="55">
        <v>18433.7</v>
      </c>
      <c r="E8" s="56">
        <v>6.8945999999999996</v>
      </c>
      <c r="F8" s="57">
        <f>+E8</f>
        <v>6.8945999999999996</v>
      </c>
      <c r="G8" s="58">
        <f>ROUND(D8*E8,2)</f>
        <v>127092.99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127092.99</v>
      </c>
      <c r="R8" s="66" t="s">
        <v>25</v>
      </c>
      <c r="S8" s="67">
        <f>SUM(O4:O8)</f>
        <v>0</v>
      </c>
      <c r="T8" s="68">
        <f>SUM(Q4:Q8)</f>
        <v>127092.99</v>
      </c>
    </row>
    <row r="9" spans="1:22" s="81" customFormat="1">
      <c r="A9" s="810" t="s">
        <v>30</v>
      </c>
      <c r="B9" s="70" t="s">
        <v>31</v>
      </c>
      <c r="C9" s="71">
        <v>0</v>
      </c>
      <c r="D9" s="72">
        <v>74</v>
      </c>
      <c r="E9" s="21">
        <v>36.214199999999998</v>
      </c>
      <c r="F9" s="21">
        <v>42.4328</v>
      </c>
      <c r="G9" s="22">
        <f>ROUND(D9*(E9+F9),2)</f>
        <v>5819.88</v>
      </c>
      <c r="H9" s="72"/>
      <c r="I9" s="21">
        <v>4.5999999999999996</v>
      </c>
      <c r="J9" s="73">
        <f>+H9*I9</f>
        <v>0</v>
      </c>
      <c r="K9" s="24"/>
      <c r="L9" s="74">
        <f>SUM(G9:G16,J9:J15)</f>
        <v>62144.39</v>
      </c>
      <c r="M9" s="26">
        <v>62144.39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0</v>
      </c>
    </row>
    <row r="10" spans="1:22" s="81" customFormat="1">
      <c r="A10" s="811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2" s="81" customFormat="1">
      <c r="A11" s="811"/>
      <c r="B11" s="98" t="s">
        <v>32</v>
      </c>
      <c r="C11" s="99" t="s">
        <v>33</v>
      </c>
      <c r="D11" s="100">
        <v>42</v>
      </c>
      <c r="E11" s="101">
        <v>304.86</v>
      </c>
      <c r="F11" s="38">
        <v>37.889800000000001</v>
      </c>
      <c r="G11" s="39">
        <f>ROUND(D11*(E11+F11),2)</f>
        <v>14395.49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2" s="81" customFormat="1">
      <c r="A12" s="811"/>
      <c r="B12" s="83" t="s">
        <v>34</v>
      </c>
      <c r="C12" s="84"/>
      <c r="D12" s="49"/>
      <c r="E12" s="41">
        <f>304.86-291.8</f>
        <v>13.060000000000002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2" s="81" customFormat="1">
      <c r="A13" s="811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2" s="81" customFormat="1">
      <c r="A14" s="811"/>
      <c r="B14" s="83"/>
      <c r="C14" s="48" t="s">
        <v>170</v>
      </c>
      <c r="D14" s="49">
        <v>0</v>
      </c>
      <c r="E14" s="41">
        <f>7.0207-6.6426</f>
        <v>0.37809999999999988</v>
      </c>
      <c r="F14" s="41">
        <f>+E14</f>
        <v>0.37809999999999988</v>
      </c>
      <c r="G14" s="50">
        <f>ROUND(D14*E14*70%+D14*F14*30%,2)</f>
        <v>0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2" s="81" customFormat="1">
      <c r="A15" s="811"/>
      <c r="B15" s="83"/>
      <c r="C15" s="48" t="s">
        <v>171</v>
      </c>
      <c r="D15" s="49">
        <v>174</v>
      </c>
      <c r="E15" s="41">
        <v>7.0206999999999997</v>
      </c>
      <c r="F15" s="41">
        <f>+E15</f>
        <v>7.0206999999999997</v>
      </c>
      <c r="G15" s="50">
        <f>ROUND(D15*E15*70%+D15*F15*30%,2)</f>
        <v>1221.5999999999999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2" s="81" customFormat="1" ht="15.75" thickBot="1">
      <c r="A16" s="812"/>
      <c r="B16" s="106"/>
      <c r="C16" s="99" t="s">
        <v>29</v>
      </c>
      <c r="D16" s="108">
        <v>5798.2</v>
      </c>
      <c r="E16" s="56">
        <v>7.0206999999999997</v>
      </c>
      <c r="F16" s="109">
        <f>+E16</f>
        <v>7.0206999999999997</v>
      </c>
      <c r="G16" s="110">
        <f>ROUND(D16*E16*70%+D16*F16*30%,2)</f>
        <v>40707.42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>
        <v>872.42</v>
      </c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813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1533.1499999999999</v>
      </c>
      <c r="M23" s="26">
        <v>1533.15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814"/>
      <c r="B24" s="35"/>
      <c r="C24" s="48" t="s">
        <v>170</v>
      </c>
      <c r="D24" s="37">
        <v>268.8</v>
      </c>
      <c r="E24" s="41">
        <f>7.0207-6.6426</f>
        <v>0.37809999999999988</v>
      </c>
      <c r="F24" s="38"/>
      <c r="G24" s="39">
        <f>ROUND(D24*(E24+F24),2)</f>
        <v>101.63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815" t="s">
        <v>172</v>
      </c>
      <c r="S24" s="31"/>
      <c r="T24" s="32"/>
      <c r="U24"/>
    </row>
    <row r="25" spans="1:21" s="140" customFormat="1">
      <c r="A25" s="814"/>
      <c r="B25" s="35"/>
      <c r="C25" s="48" t="s">
        <v>171</v>
      </c>
      <c r="D25" s="49">
        <v>5.9</v>
      </c>
      <c r="E25" s="41">
        <v>7.0206999999999997</v>
      </c>
      <c r="F25" s="41">
        <f>+E25</f>
        <v>7.0206999999999997</v>
      </c>
      <c r="G25" s="50">
        <f>ROUND(D25*E25,2)</f>
        <v>41.42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816"/>
      <c r="B26" s="767"/>
      <c r="C26" s="99" t="s">
        <v>29</v>
      </c>
      <c r="D26" s="49">
        <v>198</v>
      </c>
      <c r="E26" s="56">
        <v>7.0206999999999997</v>
      </c>
      <c r="F26" s="41">
        <f>+E26</f>
        <v>7.0206999999999997</v>
      </c>
      <c r="G26" s="50">
        <f>ROUND(D26*E26,2)</f>
        <v>1390.1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v>0</v>
      </c>
      <c r="D30" s="184">
        <v>46.97</v>
      </c>
      <c r="E30" s="21">
        <v>36.214199999999998</v>
      </c>
      <c r="F30" s="21">
        <v>42.4328</v>
      </c>
      <c r="G30" s="185">
        <f>ROUND(D30*(E30+F30),2)</f>
        <v>3694.05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172329.07</v>
      </c>
      <c r="M30" s="187">
        <v>172329.07</v>
      </c>
      <c r="N30" s="188"/>
      <c r="O30" s="23">
        <v>3998.87</v>
      </c>
      <c r="P30" s="189" t="s">
        <v>47</v>
      </c>
      <c r="Q30" s="23">
        <f t="shared" ref="Q30:Q35" si="0">C30+G30+J30-M30-N30-O30</f>
        <v>-172633.89</v>
      </c>
      <c r="R30" s="190" t="s">
        <v>48</v>
      </c>
      <c r="S30" s="176"/>
      <c r="U30" s="33">
        <f>+C30+L30-M30</f>
        <v>0</v>
      </c>
    </row>
    <row r="31" spans="1:21">
      <c r="A31" s="191"/>
      <c r="B31" s="192"/>
      <c r="C31" s="36" t="s">
        <v>26</v>
      </c>
      <c r="D31" s="37"/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170</v>
      </c>
      <c r="D32" s="49">
        <v>0</v>
      </c>
      <c r="E32" s="41">
        <f>7.0207-6.6426</f>
        <v>0.37809999999999988</v>
      </c>
      <c r="F32" s="41">
        <f>+E32</f>
        <v>0.37809999999999988</v>
      </c>
      <c r="G32" s="50">
        <f>ROUND(D32*F32,2)</f>
        <v>0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171</v>
      </c>
      <c r="D33" s="49">
        <v>259</v>
      </c>
      <c r="E33" s="41">
        <v>6.8945999999999996</v>
      </c>
      <c r="F33" s="41">
        <f>+E33</f>
        <v>6.8945999999999996</v>
      </c>
      <c r="G33" s="50">
        <f>ROUND(D33*E33,2)</f>
        <v>1785.7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24200</v>
      </c>
      <c r="E34" s="56">
        <v>6.8945999999999996</v>
      </c>
      <c r="F34" s="57">
        <f>+E34</f>
        <v>6.8945999999999996</v>
      </c>
      <c r="G34" s="58">
        <f>ROUND(D34*E34,2)</f>
        <v>166849.32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98139.310000000012</v>
      </c>
      <c r="R34" s="209" t="s">
        <v>50</v>
      </c>
      <c r="S34" s="210">
        <f>SUM(O30:O34)</f>
        <v>72708.87999999999</v>
      </c>
      <c r="T34" s="210">
        <f>SUM(Q30:Q34)</f>
        <v>-74494.58</v>
      </c>
    </row>
    <row r="35" spans="1:21">
      <c r="A35" s="817" t="s">
        <v>51</v>
      </c>
      <c r="B35" s="212" t="s">
        <v>52</v>
      </c>
      <c r="C35" s="71">
        <v>0</v>
      </c>
      <c r="D35" s="213">
        <v>126.75</v>
      </c>
      <c r="E35" s="21">
        <v>36.214199999999998</v>
      </c>
      <c r="F35" s="21">
        <v>42.4328</v>
      </c>
      <c r="G35" s="214">
        <f>ROUND(D35*(E35+F35),2)</f>
        <v>9968.51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63243.37</v>
      </c>
      <c r="M35" s="187">
        <v>63243.37</v>
      </c>
      <c r="N35" s="188"/>
      <c r="O35" s="217">
        <v>4253.6899999999996</v>
      </c>
      <c r="P35" s="218" t="s">
        <v>47</v>
      </c>
      <c r="Q35" s="219">
        <f t="shared" si="0"/>
        <v>-57528.55</v>
      </c>
      <c r="R35" s="220" t="s">
        <v>53</v>
      </c>
      <c r="S35" s="221"/>
      <c r="T35" s="222"/>
      <c r="U35" s="33">
        <f>+C35+L35-M35</f>
        <v>0</v>
      </c>
    </row>
    <row r="36" spans="1:21" ht="15.75" thickBot="1">
      <c r="A36" s="818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818"/>
      <c r="B37" s="98" t="s">
        <v>32</v>
      </c>
      <c r="C37" s="99" t="s">
        <v>33</v>
      </c>
      <c r="D37" s="234">
        <v>22.09</v>
      </c>
      <c r="E37" s="101">
        <v>197.35</v>
      </c>
      <c r="F37" s="21">
        <v>42.4328</v>
      </c>
      <c r="G37" s="235">
        <f>ROUND(D37*(E37+F37),2)</f>
        <v>5296.8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-159.80000000000018</v>
      </c>
      <c r="R37" s="232"/>
      <c r="S37" s="233"/>
      <c r="T37" s="224"/>
    </row>
    <row r="38" spans="1:21">
      <c r="A38" s="818"/>
      <c r="B38" s="224" t="s">
        <v>33</v>
      </c>
      <c r="C38" s="239" t="s">
        <v>26</v>
      </c>
      <c r="D38" s="234"/>
      <c r="E38" s="240">
        <f>155.72-178.43</f>
        <v>-22.710000000000008</v>
      </c>
      <c r="F38" s="240"/>
      <c r="G38" s="235">
        <f>+ROUND(D38*E38,2)</f>
        <v>0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818"/>
      <c r="B39" s="224"/>
      <c r="C39" s="239" t="s">
        <v>26</v>
      </c>
      <c r="D39" s="234"/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818"/>
      <c r="B40" s="224"/>
      <c r="C40" s="48" t="s">
        <v>170</v>
      </c>
      <c r="D40" s="49">
        <v>0</v>
      </c>
      <c r="E40" s="41">
        <f>7.0207-6.6426</f>
        <v>0.37809999999999988</v>
      </c>
      <c r="F40" s="41">
        <f t="shared" ref="F40:F48" si="2">+E40</f>
        <v>0.37809999999999988</v>
      </c>
      <c r="G40" s="50">
        <f>ROUND(D40*E40,2)</f>
        <v>0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818"/>
      <c r="B41" s="224"/>
      <c r="C41" s="48" t="s">
        <v>171</v>
      </c>
      <c r="D41" s="49">
        <v>72.3</v>
      </c>
      <c r="E41" s="41">
        <v>7.0206999999999997</v>
      </c>
      <c r="F41" s="41">
        <f t="shared" si="2"/>
        <v>7.0206999999999997</v>
      </c>
      <c r="G41" s="50">
        <f>ROUND(D41*E41,2)</f>
        <v>507.6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819"/>
      <c r="B42" s="245"/>
      <c r="C42" s="99" t="s">
        <v>29</v>
      </c>
      <c r="D42" s="246">
        <v>6761.5</v>
      </c>
      <c r="E42" s="56">
        <v>7.0206999999999997</v>
      </c>
      <c r="F42" s="57">
        <f t="shared" si="2"/>
        <v>7.0206999999999997</v>
      </c>
      <c r="G42" s="247">
        <f>ROUND(D42*E42*70%+D42*F42*30%,2)</f>
        <v>47470.46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31692.559999999998</v>
      </c>
      <c r="R42" s="255" t="s">
        <v>54</v>
      </c>
      <c r="S42" s="256">
        <f>SUM(O35:O42)</f>
        <v>25488.190000000002</v>
      </c>
      <c r="T42" s="256">
        <f>SUM(Q35:Q42)</f>
        <v>-25995.790000000008</v>
      </c>
    </row>
    <row r="43" spans="1:21" ht="15.75">
      <c r="A43" s="302"/>
      <c r="B43" s="258" t="s">
        <v>55</v>
      </c>
      <c r="C43" s="48" t="s">
        <v>170</v>
      </c>
      <c r="D43" s="259">
        <v>1848.53</v>
      </c>
      <c r="E43" s="41">
        <f>7.0207-6.6426</f>
        <v>0.37809999999999988</v>
      </c>
      <c r="F43" s="41">
        <f t="shared" si="2"/>
        <v>0.37809999999999988</v>
      </c>
      <c r="G43" s="214">
        <f>ROUND(D43*E43,2)</f>
        <v>698.93</v>
      </c>
      <c r="H43" s="260"/>
      <c r="I43" s="261"/>
      <c r="J43" s="261"/>
      <c r="K43" s="262"/>
      <c r="L43" s="263">
        <f>SUM(G43:G45)</f>
        <v>15118.32</v>
      </c>
      <c r="M43" s="187">
        <v>15118.32</v>
      </c>
      <c r="N43" s="264"/>
      <c r="O43" s="229"/>
      <c r="P43" s="265"/>
      <c r="Q43" s="229"/>
      <c r="R43" s="242"/>
      <c r="S43" s="266"/>
      <c r="T43" s="266"/>
    </row>
    <row r="44" spans="1:21" ht="15.75">
      <c r="A44" s="305"/>
      <c r="B44" s="268"/>
      <c r="C44" s="48" t="s">
        <v>171</v>
      </c>
      <c r="D44" s="269">
        <v>21.74</v>
      </c>
      <c r="E44" s="41">
        <v>7.0206999999999997</v>
      </c>
      <c r="F44" s="41">
        <f t="shared" si="2"/>
        <v>7.0206999999999997</v>
      </c>
      <c r="G44" s="235">
        <f>ROUND(D44*E44,2)</f>
        <v>152.63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820"/>
      <c r="B45" s="277"/>
      <c r="C45" s="99" t="s">
        <v>29</v>
      </c>
      <c r="D45" s="279">
        <v>2032.1</v>
      </c>
      <c r="E45" s="56">
        <v>7.0206999999999997</v>
      </c>
      <c r="F45" s="57">
        <f t="shared" si="2"/>
        <v>7.0206999999999997</v>
      </c>
      <c r="G45" s="247">
        <f t="shared" ref="G45:G48" si="3">ROUND(D45*E45,2)</f>
        <v>14266.76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808"/>
      <c r="B46" s="258" t="s">
        <v>56</v>
      </c>
      <c r="C46" s="48" t="s">
        <v>170</v>
      </c>
      <c r="D46" s="259">
        <v>385.1</v>
      </c>
      <c r="E46" s="41">
        <f>7.0207-6.6426</f>
        <v>0.37809999999999988</v>
      </c>
      <c r="F46" s="41">
        <f t="shared" si="2"/>
        <v>0.37809999999999988</v>
      </c>
      <c r="G46" s="214">
        <f>ROUND(D46*E46,2)-0.01</f>
        <v>145.60000000000002</v>
      </c>
      <c r="H46" s="260"/>
      <c r="I46" s="261"/>
      <c r="J46" s="261"/>
      <c r="K46" s="262"/>
      <c r="L46" s="286">
        <f>SUM(G46:G48)</f>
        <v>2873.1400000000003</v>
      </c>
      <c r="M46" s="227">
        <v>2873.14</v>
      </c>
      <c r="N46" s="264"/>
      <c r="O46" s="229"/>
      <c r="P46" s="265"/>
      <c r="Q46" s="229"/>
      <c r="R46" s="287"/>
      <c r="S46" s="288"/>
      <c r="T46" s="288"/>
    </row>
    <row r="47" spans="1:21" ht="15.75">
      <c r="A47" s="809"/>
      <c r="B47" s="268"/>
      <c r="C47" s="48" t="s">
        <v>171</v>
      </c>
      <c r="D47" s="269">
        <v>4.0999999999999996</v>
      </c>
      <c r="E47" s="41">
        <v>7.0206999999999997</v>
      </c>
      <c r="F47" s="41">
        <f t="shared" si="2"/>
        <v>7.0206999999999997</v>
      </c>
      <c r="G47" s="235">
        <f>ROUND(D47*E47,2)</f>
        <v>28.78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802"/>
      <c r="B48" s="277"/>
      <c r="C48" s="99" t="s">
        <v>29</v>
      </c>
      <c r="D48" s="279">
        <v>384.4</v>
      </c>
      <c r="E48" s="56">
        <v>7.0206999999999997</v>
      </c>
      <c r="F48" s="57">
        <f t="shared" si="2"/>
        <v>7.0206999999999997</v>
      </c>
      <c r="G48" s="247">
        <f t="shared" si="3"/>
        <v>2698.76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6.5" hidden="1" outlineLevel="1" thickBot="1">
      <c r="A49" s="808"/>
      <c r="B49" s="291" t="s">
        <v>57</v>
      </c>
      <c r="C49" s="292"/>
      <c r="D49" s="259"/>
      <c r="E49" s="21">
        <v>36.214199999999998</v>
      </c>
      <c r="F49" s="21">
        <v>42.4328</v>
      </c>
      <c r="G49" s="214">
        <f>ROUND(D49*(E49+F49),2)</f>
        <v>0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0</v>
      </c>
      <c r="M49" s="227">
        <v>0</v>
      </c>
      <c r="N49" s="264"/>
      <c r="O49" s="229"/>
      <c r="P49" s="265"/>
      <c r="Q49" s="229"/>
      <c r="R49" s="242"/>
      <c r="S49" s="266"/>
      <c r="T49" s="266"/>
    </row>
    <row r="50" spans="1:20" ht="16.5" hidden="1" outlineLevel="1" thickBot="1">
      <c r="A50" s="80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 ht="15.75" hidden="1" outlineLevel="1" thickBot="1">
      <c r="A51" s="809"/>
      <c r="B51" s="268"/>
      <c r="C51" s="48" t="s">
        <v>170</v>
      </c>
      <c r="D51" s="296"/>
      <c r="E51" s="41">
        <f>7.0207-6.6426</f>
        <v>0.37809999999999988</v>
      </c>
      <c r="F51" s="41">
        <f>+E51</f>
        <v>0.37809999999999988</v>
      </c>
      <c r="G51" s="235">
        <f>ROUND(D51*E51,2)</f>
        <v>0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hidden="1" outlineLevel="1" thickBot="1">
      <c r="A52" s="809"/>
      <c r="B52" s="268"/>
      <c r="C52" s="48" t="s">
        <v>171</v>
      </c>
      <c r="D52" s="269"/>
      <c r="E52" s="41">
        <v>7.0206999999999997</v>
      </c>
      <c r="F52" s="41">
        <f>+E52</f>
        <v>7.0206999999999997</v>
      </c>
      <c r="G52" s="235">
        <f>ROUND(D52*E52,2)</f>
        <v>0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hidden="1" outlineLevel="1" thickBot="1">
      <c r="A53" s="802"/>
      <c r="B53" s="277"/>
      <c r="C53" s="99" t="s">
        <v>29</v>
      </c>
      <c r="D53" s="279"/>
      <c r="E53" s="56">
        <v>7.0206999999999997</v>
      </c>
      <c r="F53" s="57">
        <f>+E53</f>
        <v>7.0206999999999997</v>
      </c>
      <c r="G53" s="247">
        <f>ROUND(D53*E53,2)</f>
        <v>0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 collapsed="1">
      <c r="A54" s="821"/>
      <c r="B54" s="258" t="s">
        <v>58</v>
      </c>
      <c r="C54" s="48" t="s">
        <v>59</v>
      </c>
      <c r="D54" s="822">
        <v>0.38</v>
      </c>
      <c r="E54" s="21">
        <v>36.214199999999998</v>
      </c>
      <c r="F54" s="21">
        <v>42.4328</v>
      </c>
      <c r="G54" s="214">
        <f>ROUND(D54*(E54+F54),2)</f>
        <v>29.89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1772.29</v>
      </c>
      <c r="M54" s="227">
        <v>1772.29</v>
      </c>
      <c r="N54" s="264"/>
      <c r="O54" s="229"/>
      <c r="P54" s="265"/>
      <c r="Q54" s="229"/>
      <c r="R54" s="242"/>
      <c r="S54" s="266"/>
      <c r="T54" s="266"/>
    </row>
    <row r="55" spans="1:20" ht="15.75">
      <c r="A55" s="823"/>
      <c r="B55" s="268"/>
      <c r="C55" s="292"/>
      <c r="D55" s="269"/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823"/>
      <c r="B56" s="268"/>
      <c r="C56" s="48" t="s">
        <v>170</v>
      </c>
      <c r="D56" s="296">
        <v>211.3</v>
      </c>
      <c r="E56" s="41">
        <f>7.0207-6.6426</f>
        <v>0.37809999999999988</v>
      </c>
      <c r="F56" s="41">
        <f t="shared" ref="F56:F82" si="6">+E56</f>
        <v>0.37809999999999988</v>
      </c>
      <c r="G56" s="235">
        <f>ROUND(D56*E56,2)+0.01</f>
        <v>79.900000000000006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823"/>
      <c r="B57" s="268"/>
      <c r="C57" s="48" t="s">
        <v>171</v>
      </c>
      <c r="D57" s="269">
        <v>2.5</v>
      </c>
      <c r="E57" s="41">
        <v>7.0206999999999997</v>
      </c>
      <c r="F57" s="41">
        <f t="shared" si="6"/>
        <v>7.0206999999999997</v>
      </c>
      <c r="G57" s="235">
        <f t="shared" ref="G57:G64" si="7">ROUND(D57*E57,2)</f>
        <v>17.55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824"/>
      <c r="B58" s="277"/>
      <c r="C58" s="99" t="s">
        <v>29</v>
      </c>
      <c r="D58" s="279">
        <v>234.3</v>
      </c>
      <c r="E58" s="56">
        <v>7.0206999999999997</v>
      </c>
      <c r="F58" s="57">
        <f t="shared" si="6"/>
        <v>7.0206999999999997</v>
      </c>
      <c r="G58" s="247">
        <f t="shared" si="7"/>
        <v>1644.95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801"/>
      <c r="B59" s="192" t="s">
        <v>137</v>
      </c>
      <c r="C59" s="48" t="s">
        <v>170</v>
      </c>
      <c r="D59" s="296">
        <v>170.55</v>
      </c>
      <c r="E59" s="41">
        <f>7.0207-6.6426</f>
        <v>0.37809999999999988</v>
      </c>
      <c r="F59" s="41">
        <f t="shared" si="6"/>
        <v>0.37809999999999988</v>
      </c>
      <c r="G59" s="235">
        <f>ROUND(D59*E59,2)</f>
        <v>64.48</v>
      </c>
      <c r="H59" s="270"/>
      <c r="I59" s="41"/>
      <c r="J59" s="41"/>
      <c r="K59" s="271"/>
      <c r="L59" s="294">
        <f>SUM(G59:G61)</f>
        <v>1549.01</v>
      </c>
      <c r="M59" s="227">
        <v>1549.01</v>
      </c>
      <c r="N59" s="274"/>
      <c r="O59" s="237"/>
      <c r="P59" s="275"/>
      <c r="Q59" s="237"/>
      <c r="R59" s="242"/>
      <c r="S59" s="266"/>
      <c r="T59" s="266"/>
    </row>
    <row r="60" spans="1:20" ht="15.75">
      <c r="A60" s="801"/>
      <c r="B60" s="192"/>
      <c r="C60" s="48" t="s">
        <v>171</v>
      </c>
      <c r="D60" s="269">
        <v>2.2400000000000002</v>
      </c>
      <c r="E60" s="41">
        <v>7.0206999999999997</v>
      </c>
      <c r="F60" s="41">
        <f t="shared" si="6"/>
        <v>7.0206999999999997</v>
      </c>
      <c r="G60" s="235">
        <f t="shared" si="7"/>
        <v>15.73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802"/>
      <c r="B61" s="277"/>
      <c r="C61" s="99" t="s">
        <v>29</v>
      </c>
      <c r="D61" s="279">
        <v>209.21</v>
      </c>
      <c r="E61" s="56">
        <v>7.0206999999999997</v>
      </c>
      <c r="F61" s="57">
        <f t="shared" si="6"/>
        <v>7.0206999999999997</v>
      </c>
      <c r="G61" s="247">
        <f t="shared" si="7"/>
        <v>1468.8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01"/>
      <c r="B62" s="192" t="s">
        <v>138</v>
      </c>
      <c r="C62" s="48" t="s">
        <v>170</v>
      </c>
      <c r="D62" s="296">
        <v>257.63</v>
      </c>
      <c r="E62" s="41">
        <f>7.0207-6.6426</f>
        <v>0.37809999999999988</v>
      </c>
      <c r="F62" s="41">
        <f t="shared" si="6"/>
        <v>0.37809999999999988</v>
      </c>
      <c r="G62" s="235">
        <f>ROUND(D62*E62,2)</f>
        <v>97.41</v>
      </c>
      <c r="H62" s="270"/>
      <c r="I62" s="41"/>
      <c r="J62" s="41"/>
      <c r="K62" s="271"/>
      <c r="L62" s="294">
        <f>SUM(G62:G64)</f>
        <v>2159.46</v>
      </c>
      <c r="M62" s="227">
        <v>2159.46</v>
      </c>
      <c r="N62" s="274"/>
      <c r="O62" s="237"/>
      <c r="P62" s="275"/>
      <c r="Q62" s="237"/>
      <c r="R62" s="242"/>
      <c r="S62" s="266"/>
      <c r="T62" s="266"/>
    </row>
    <row r="63" spans="1:20" ht="15.75">
      <c r="A63" s="801"/>
      <c r="B63" s="192"/>
      <c r="C63" s="48" t="s">
        <v>171</v>
      </c>
      <c r="D63" s="269">
        <v>3.11</v>
      </c>
      <c r="E63" s="41">
        <v>7.0206999999999997</v>
      </c>
      <c r="F63" s="41">
        <f t="shared" si="6"/>
        <v>7.0206999999999997</v>
      </c>
      <c r="G63" s="235">
        <f t="shared" si="7"/>
        <v>21.83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02"/>
      <c r="B64" s="277"/>
      <c r="C64" s="99" t="s">
        <v>29</v>
      </c>
      <c r="D64" s="279">
        <v>290.60000000000002</v>
      </c>
      <c r="E64" s="56">
        <v>7.0206999999999997</v>
      </c>
      <c r="F64" s="57">
        <f t="shared" si="6"/>
        <v>7.0206999999999997</v>
      </c>
      <c r="G64" s="247">
        <f t="shared" si="7"/>
        <v>2040.22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0" hidden="1" outlineLevel="1">
      <c r="A65" s="801"/>
      <c r="B65" s="192" t="s">
        <v>145</v>
      </c>
      <c r="C65" s="48" t="s">
        <v>170</v>
      </c>
      <c r="D65" s="296"/>
      <c r="E65" s="41">
        <f>7.0207-6.6426</f>
        <v>0.37809999999999988</v>
      </c>
      <c r="F65" s="41">
        <f t="shared" si="6"/>
        <v>0.37809999999999988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0" ht="15.75" hidden="1" outlineLevel="1">
      <c r="A66" s="801"/>
      <c r="B66" s="192"/>
      <c r="C66" s="48" t="s">
        <v>171</v>
      </c>
      <c r="D66" s="269"/>
      <c r="E66" s="41">
        <v>7.0206999999999997</v>
      </c>
      <c r="F66" s="41">
        <f t="shared" si="6"/>
        <v>7.0206999999999997</v>
      </c>
      <c r="G66" s="235">
        <f t="shared" ref="G66:G67" si="8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6.5" hidden="1" outlineLevel="1" thickBot="1">
      <c r="A67" s="802"/>
      <c r="B67" s="277"/>
      <c r="C67" s="99" t="s">
        <v>29</v>
      </c>
      <c r="D67" s="279"/>
      <c r="E67" s="56">
        <v>7.0206999999999997</v>
      </c>
      <c r="F67" s="57">
        <f t="shared" si="6"/>
        <v>7.0206999999999997</v>
      </c>
      <c r="G67" s="247">
        <f t="shared" si="8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0" collapsed="1">
      <c r="A68" s="801"/>
      <c r="B68" s="192" t="s">
        <v>152</v>
      </c>
      <c r="C68" s="48" t="s">
        <v>170</v>
      </c>
      <c r="D68" s="296">
        <v>350.51</v>
      </c>
      <c r="E68" s="41">
        <f>7.0207-6.6426</f>
        <v>0.37809999999999988</v>
      </c>
      <c r="F68" s="41">
        <f t="shared" si="6"/>
        <v>0.37809999999999988</v>
      </c>
      <c r="G68" s="235">
        <f>ROUND(D68*E68,2)</f>
        <v>132.53</v>
      </c>
      <c r="H68" s="270"/>
      <c r="I68" s="41"/>
      <c r="J68" s="41"/>
      <c r="K68" s="271"/>
      <c r="L68" s="294">
        <f>SUM(G68:G70)</f>
        <v>2893.49</v>
      </c>
      <c r="M68" s="227">
        <v>2893.49</v>
      </c>
      <c r="N68" s="274"/>
      <c r="O68" s="237"/>
      <c r="P68" s="275"/>
      <c r="Q68" s="237"/>
      <c r="R68" s="242"/>
      <c r="S68" s="266"/>
      <c r="T68" s="266"/>
    </row>
    <row r="69" spans="1:20" ht="15.75">
      <c r="A69" s="801"/>
      <c r="B69" s="192"/>
      <c r="C69" s="48" t="s">
        <v>171</v>
      </c>
      <c r="D69" s="269">
        <v>4.16</v>
      </c>
      <c r="E69" s="41">
        <v>7.0206999999999997</v>
      </c>
      <c r="F69" s="41">
        <f t="shared" si="6"/>
        <v>7.0206999999999997</v>
      </c>
      <c r="G69" s="235">
        <f t="shared" ref="G69:G70" si="9">ROUND(D69*E69,2)</f>
        <v>29.21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25"/>
      <c r="B70" s="804"/>
      <c r="C70" s="54" t="s">
        <v>29</v>
      </c>
      <c r="D70" s="279">
        <v>389.1</v>
      </c>
      <c r="E70" s="56">
        <v>7.0206999999999997</v>
      </c>
      <c r="F70" s="57">
        <f t="shared" si="6"/>
        <v>7.0206999999999997</v>
      </c>
      <c r="G70" s="247">
        <f t="shared" si="9"/>
        <v>2731.75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>
      <c r="A71" s="801"/>
      <c r="B71" s="192" t="s">
        <v>159</v>
      </c>
      <c r="C71" s="48" t="s">
        <v>170</v>
      </c>
      <c r="D71" s="296">
        <v>126.84</v>
      </c>
      <c r="E71" s="41">
        <f>7.0207-6.6426</f>
        <v>0.37809999999999988</v>
      </c>
      <c r="F71" s="41">
        <f t="shared" si="6"/>
        <v>0.37809999999999988</v>
      </c>
      <c r="G71" s="235">
        <f>ROUND(D71*E71,2)-0.01</f>
        <v>47.95</v>
      </c>
      <c r="H71" s="270"/>
      <c r="I71" s="41"/>
      <c r="J71" s="41"/>
      <c r="K71" s="271"/>
      <c r="L71" s="294">
        <f>SUM(G71:G73)</f>
        <v>1209.53</v>
      </c>
      <c r="M71" s="227">
        <v>1209.53</v>
      </c>
      <c r="N71" s="274"/>
      <c r="O71" s="237"/>
      <c r="P71" s="275"/>
      <c r="Q71" s="237"/>
      <c r="R71" s="242"/>
      <c r="S71" s="266"/>
      <c r="T71" s="266"/>
    </row>
    <row r="72" spans="1:20" ht="15.75">
      <c r="A72" s="801"/>
      <c r="B72" s="192"/>
      <c r="C72" s="48" t="s">
        <v>171</v>
      </c>
      <c r="D72" s="269">
        <v>1.75</v>
      </c>
      <c r="E72" s="41">
        <v>7.0206999999999997</v>
      </c>
      <c r="F72" s="41">
        <f t="shared" si="6"/>
        <v>7.0206999999999997</v>
      </c>
      <c r="G72" s="235">
        <f t="shared" ref="G72:G73" si="10">ROUND(D72*E72,2)</f>
        <v>12.29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0" ht="16.5" thickBot="1">
      <c r="A73" s="801"/>
      <c r="B73" s="192"/>
      <c r="C73" s="99" t="s">
        <v>29</v>
      </c>
      <c r="D73" s="279">
        <v>163.69999999999999</v>
      </c>
      <c r="E73" s="56">
        <v>7.0206999999999997</v>
      </c>
      <c r="F73" s="57">
        <f t="shared" si="6"/>
        <v>7.0206999999999997</v>
      </c>
      <c r="G73" s="247">
        <f t="shared" si="10"/>
        <v>1149.29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0">
      <c r="A74" s="801"/>
      <c r="B74" s="192" t="s">
        <v>166</v>
      </c>
      <c r="C74" s="48" t="s">
        <v>170</v>
      </c>
      <c r="D74" s="296">
        <v>10.210000000000001</v>
      </c>
      <c r="E74" s="41">
        <f>7.0207-6.6426</f>
        <v>0.37809999999999988</v>
      </c>
      <c r="F74" s="41">
        <f t="shared" si="6"/>
        <v>0.37809999999999988</v>
      </c>
      <c r="G74" s="235">
        <f>ROUND(D74*E74,2)+0.01</f>
        <v>3.8699999999999997</v>
      </c>
      <c r="H74" s="270"/>
      <c r="I74" s="41"/>
      <c r="J74" s="41"/>
      <c r="K74" s="271"/>
      <c r="L74" s="294">
        <f>SUM(G74:G76)</f>
        <v>1335.06</v>
      </c>
      <c r="M74" s="227">
        <v>1335.06</v>
      </c>
      <c r="N74" s="274"/>
      <c r="O74" s="237"/>
      <c r="P74" s="275"/>
      <c r="Q74" s="237"/>
      <c r="R74" s="242"/>
      <c r="S74" s="266"/>
      <c r="T74" s="266"/>
    </row>
    <row r="75" spans="1:20" ht="15.75">
      <c r="A75" s="801"/>
      <c r="B75" s="192"/>
      <c r="C75" s="48" t="s">
        <v>171</v>
      </c>
      <c r="D75" s="269">
        <v>2.0099999999999998</v>
      </c>
      <c r="E75" s="41">
        <v>7.0206999999999997</v>
      </c>
      <c r="F75" s="41">
        <f t="shared" si="6"/>
        <v>7.0206999999999997</v>
      </c>
      <c r="G75" s="235">
        <f t="shared" ref="G75:G76" si="11">ROUND(D75*E75,2)</f>
        <v>14.11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0" ht="16.5" thickBot="1">
      <c r="A76" s="801"/>
      <c r="B76" s="192"/>
      <c r="C76" s="99" t="s">
        <v>29</v>
      </c>
      <c r="D76" s="279">
        <v>187.6</v>
      </c>
      <c r="E76" s="56">
        <v>7.0206999999999997</v>
      </c>
      <c r="F76" s="57">
        <f t="shared" si="6"/>
        <v>7.0206999999999997</v>
      </c>
      <c r="G76" s="247">
        <f t="shared" si="11"/>
        <v>1317.08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0">
      <c r="A77" s="801"/>
      <c r="B77" s="192" t="s">
        <v>173</v>
      </c>
      <c r="C77" s="48" t="s">
        <v>170</v>
      </c>
      <c r="D77" s="296">
        <v>0</v>
      </c>
      <c r="E77" s="41">
        <f>7.0207-6.6426</f>
        <v>0.37809999999999988</v>
      </c>
      <c r="F77" s="41">
        <f t="shared" si="6"/>
        <v>0.37809999999999988</v>
      </c>
      <c r="G77" s="235">
        <f>ROUND(D77*E77,2)</f>
        <v>0</v>
      </c>
      <c r="H77" s="270"/>
      <c r="I77" s="41"/>
      <c r="J77" s="41"/>
      <c r="K77" s="271"/>
      <c r="L77" s="294">
        <f>SUM(G77:G79)</f>
        <v>3128.56</v>
      </c>
      <c r="M77" s="227">
        <v>3128.56</v>
      </c>
      <c r="N77" s="274"/>
      <c r="O77" s="237"/>
      <c r="P77" s="275"/>
      <c r="Q77" s="237"/>
      <c r="R77" s="242"/>
      <c r="S77" s="266"/>
      <c r="T77" s="266"/>
    </row>
    <row r="78" spans="1:20" ht="15.75">
      <c r="A78" s="801"/>
      <c r="B78" s="192"/>
      <c r="C78" s="48" t="s">
        <v>171</v>
      </c>
      <c r="D78" s="269">
        <v>4.72</v>
      </c>
      <c r="E78" s="41">
        <v>7.0206999999999997</v>
      </c>
      <c r="F78" s="41">
        <f t="shared" si="6"/>
        <v>7.0206999999999997</v>
      </c>
      <c r="G78" s="235">
        <f>ROUND(D78*E78,2)-0.01</f>
        <v>33.130000000000003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01"/>
      <c r="B79" s="192"/>
      <c r="C79" s="99" t="s">
        <v>29</v>
      </c>
      <c r="D79" s="279">
        <v>440.9</v>
      </c>
      <c r="E79" s="56">
        <v>7.0206999999999997</v>
      </c>
      <c r="F79" s="57">
        <f t="shared" si="6"/>
        <v>7.0206999999999997</v>
      </c>
      <c r="G79" s="247">
        <f>ROUND(D79*E79,2)</f>
        <v>3095.43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>
      <c r="A80" s="801"/>
      <c r="B80" s="192" t="s">
        <v>174</v>
      </c>
      <c r="C80" s="48" t="s">
        <v>170</v>
      </c>
      <c r="D80" s="296">
        <v>0</v>
      </c>
      <c r="E80" s="41">
        <f>7.0207-6.6426</f>
        <v>0.37809999999999988</v>
      </c>
      <c r="F80" s="41">
        <f t="shared" si="6"/>
        <v>0.37809999999999988</v>
      </c>
      <c r="G80" s="235">
        <f>ROUND(D80*E80,2)</f>
        <v>0</v>
      </c>
      <c r="H80" s="270"/>
      <c r="I80" s="41"/>
      <c r="J80" s="41"/>
      <c r="K80" s="271"/>
      <c r="L80" s="294">
        <f>SUM(G80:G82)</f>
        <v>1264.5</v>
      </c>
      <c r="M80" s="227">
        <v>1264.5</v>
      </c>
      <c r="N80" s="274"/>
      <c r="O80" s="237"/>
      <c r="P80" s="275"/>
      <c r="Q80" s="237"/>
      <c r="R80" s="242"/>
      <c r="S80" s="266"/>
      <c r="T80" s="266"/>
    </row>
    <row r="81" spans="1:21" ht="15.75">
      <c r="A81" s="801"/>
      <c r="B81" s="192"/>
      <c r="C81" s="48" t="s">
        <v>171</v>
      </c>
      <c r="D81" s="269">
        <v>1.91</v>
      </c>
      <c r="E81" s="41">
        <v>7.0206999999999997</v>
      </c>
      <c r="F81" s="41">
        <f t="shared" si="6"/>
        <v>7.0206999999999997</v>
      </c>
      <c r="G81" s="235">
        <f>ROUND(D81*E81,2)</f>
        <v>13.41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1" ht="16.5" thickBot="1">
      <c r="A82" s="801"/>
      <c r="B82" s="192"/>
      <c r="C82" s="99" t="s">
        <v>29</v>
      </c>
      <c r="D82" s="279">
        <v>178.2</v>
      </c>
      <c r="E82" s="56">
        <v>7.0206999999999997</v>
      </c>
      <c r="F82" s="57">
        <f t="shared" si="6"/>
        <v>7.0206999999999997</v>
      </c>
      <c r="G82" s="247">
        <f>ROUND(D82*E82,2)</f>
        <v>1251.0899999999999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1" ht="16.5" thickTop="1">
      <c r="A83" s="320"/>
      <c r="B83" s="321"/>
      <c r="C83" s="322"/>
      <c r="D83" s="323"/>
      <c r="E83" s="163"/>
      <c r="F83" s="324"/>
      <c r="G83" s="325"/>
      <c r="H83" s="163"/>
      <c r="I83" s="163"/>
      <c r="J83" s="163"/>
      <c r="K83" s="163"/>
      <c r="L83" s="163"/>
      <c r="M83" s="326"/>
      <c r="N83" s="327"/>
      <c r="O83" s="328"/>
      <c r="P83" s="329"/>
      <c r="Q83" s="328"/>
      <c r="R83" s="330"/>
      <c r="S83" s="331"/>
      <c r="T83" s="266"/>
    </row>
    <row r="84" spans="1:21" ht="21.75" thickBot="1">
      <c r="A84" s="171" t="s">
        <v>60</v>
      </c>
      <c r="B84" s="2"/>
      <c r="C84" s="3"/>
      <c r="D84" s="2"/>
      <c r="E84" s="2"/>
      <c r="F84" s="2"/>
      <c r="G84" s="332"/>
      <c r="H84" s="332"/>
      <c r="I84" s="332"/>
      <c r="J84" s="2"/>
      <c r="K84" s="2"/>
      <c r="L84" s="2"/>
      <c r="M84" s="3"/>
      <c r="N84" s="2"/>
      <c r="O84" s="2"/>
      <c r="P84" s="2"/>
      <c r="Q84" s="2"/>
      <c r="R84" s="2"/>
      <c r="S84" s="2"/>
    </row>
    <row r="85" spans="1:21" ht="15" customHeight="1" thickTop="1">
      <c r="A85" s="1553" t="s">
        <v>1</v>
      </c>
      <c r="B85" s="1516" t="s">
        <v>2</v>
      </c>
      <c r="C85" s="1518" t="s">
        <v>3</v>
      </c>
      <c r="D85" s="1532" t="s">
        <v>4</v>
      </c>
      <c r="E85" s="1532"/>
      <c r="F85" s="1532"/>
      <c r="G85" s="1532"/>
      <c r="H85" s="1533" t="s">
        <v>5</v>
      </c>
      <c r="I85" s="1534"/>
      <c r="J85" s="1534"/>
      <c r="K85" s="1534"/>
      <c r="L85" s="1524" t="s">
        <v>6</v>
      </c>
      <c r="M85" s="1537" t="s">
        <v>7</v>
      </c>
      <c r="N85" s="1538" t="s">
        <v>8</v>
      </c>
      <c r="O85" s="1538"/>
      <c r="P85" s="1538"/>
      <c r="Q85" s="1539"/>
      <c r="R85" s="5"/>
      <c r="S85" s="5"/>
      <c r="T85" s="5" t="s">
        <v>61</v>
      </c>
      <c r="U85" t="s">
        <v>21</v>
      </c>
    </row>
    <row r="86" spans="1:21" ht="27" customHeight="1" thickBot="1">
      <c r="A86" s="1531"/>
      <c r="B86" s="1517"/>
      <c r="C86" s="1519" t="s">
        <v>10</v>
      </c>
      <c r="D86" s="333" t="s">
        <v>11</v>
      </c>
      <c r="E86" s="7" t="s">
        <v>12</v>
      </c>
      <c r="F86" s="7" t="s">
        <v>13</v>
      </c>
      <c r="G86" s="334" t="s">
        <v>14</v>
      </c>
      <c r="H86" s="335" t="s">
        <v>11</v>
      </c>
      <c r="I86" s="333" t="s">
        <v>15</v>
      </c>
      <c r="J86" s="336" t="s">
        <v>14</v>
      </c>
      <c r="K86" s="11" t="s">
        <v>16</v>
      </c>
      <c r="L86" s="1525"/>
      <c r="M86" s="1511"/>
      <c r="N86" s="337" t="s">
        <v>62</v>
      </c>
      <c r="O86" s="338" t="s">
        <v>44</v>
      </c>
      <c r="P86" s="13" t="s">
        <v>18</v>
      </c>
      <c r="Q86" s="14" t="s">
        <v>19</v>
      </c>
    </row>
    <row r="87" spans="1:21" ht="14.25" customHeight="1">
      <c r="A87" s="339" t="s">
        <v>63</v>
      </c>
      <c r="B87" s="18" t="s">
        <v>64</v>
      </c>
      <c r="C87" s="71"/>
      <c r="D87" s="340">
        <v>66</v>
      </c>
      <c r="E87" s="21">
        <v>36.214199999999998</v>
      </c>
      <c r="F87" s="21">
        <v>42.4328</v>
      </c>
      <c r="G87" s="185">
        <f>ROUND(D87*(E87+F87),2)</f>
        <v>5190.7</v>
      </c>
      <c r="H87" s="184"/>
      <c r="I87" s="23"/>
      <c r="J87" s="341">
        <v>0</v>
      </c>
      <c r="K87" s="342"/>
      <c r="L87" s="343">
        <f>SUM(G87:G92,J87:J91)</f>
        <v>303789.89999999997</v>
      </c>
      <c r="M87" s="344">
        <v>303789.90000000002</v>
      </c>
      <c r="N87" s="345"/>
      <c r="O87" s="346">
        <v>7157.88</v>
      </c>
      <c r="P87" s="347" t="s">
        <v>24</v>
      </c>
      <c r="Q87" s="348">
        <f t="shared" ref="Q87:Q93" si="12">C87+G87+J87-M87-N87-O87</f>
        <v>-305757.08</v>
      </c>
      <c r="R87" s="349" t="s">
        <v>65</v>
      </c>
      <c r="S87" s="350" t="s">
        <v>20</v>
      </c>
      <c r="T87" s="351" t="s">
        <v>21</v>
      </c>
      <c r="U87" s="352">
        <f>+L87-M87+C87</f>
        <v>-5.8207660913467407E-11</v>
      </c>
    </row>
    <row r="88" spans="1:21" ht="14.25" customHeight="1">
      <c r="A88" s="353"/>
      <c r="B88" s="35"/>
      <c r="C88" s="84" t="s">
        <v>26</v>
      </c>
      <c r="D88" s="37"/>
      <c r="E88" s="38">
        <f>32.332-28.8628</f>
        <v>3.4692000000000007</v>
      </c>
      <c r="F88" s="38">
        <f>37.8898-33.8306</f>
        <v>4.0592000000000041</v>
      </c>
      <c r="G88" s="39">
        <f>ROUND(D88*(E88+F88),2)</f>
        <v>0</v>
      </c>
      <c r="H88" s="49"/>
      <c r="I88" s="271"/>
      <c r="J88" s="101"/>
      <c r="K88" s="354"/>
      <c r="L88" s="355"/>
      <c r="M88" s="356"/>
      <c r="N88" s="357"/>
      <c r="O88" s="358"/>
      <c r="P88" s="359"/>
      <c r="Q88" s="360"/>
      <c r="R88" s="349"/>
      <c r="S88" s="350"/>
      <c r="T88" s="351"/>
      <c r="U88" s="352"/>
    </row>
    <row r="89" spans="1:21">
      <c r="A89" s="353"/>
      <c r="B89" s="35"/>
      <c r="C89" s="48"/>
      <c r="D89" s="49"/>
      <c r="E89" s="41">
        <f>4.4128-4.4153</f>
        <v>-2.5000000000003908E-3</v>
      </c>
      <c r="F89" s="41">
        <f>+E89</f>
        <v>-2.5000000000003908E-3</v>
      </c>
      <c r="G89" s="50">
        <f>ROUND(D89*E89*70%+D89*F89*30%,2)</f>
        <v>0</v>
      </c>
      <c r="H89" s="49"/>
      <c r="I89" s="271">
        <v>0</v>
      </c>
      <c r="J89" s="41">
        <f>H89*I89</f>
        <v>0</v>
      </c>
      <c r="K89" s="354"/>
      <c r="L89" s="355"/>
      <c r="M89" s="356"/>
      <c r="N89" s="357"/>
      <c r="O89" s="358"/>
      <c r="P89" s="359"/>
      <c r="Q89" s="360"/>
      <c r="R89" s="349"/>
      <c r="S89" s="350"/>
      <c r="T89" s="351"/>
      <c r="U89" s="352"/>
    </row>
    <row r="90" spans="1:21">
      <c r="A90" s="353"/>
      <c r="B90" s="35"/>
      <c r="C90" s="48" t="s">
        <v>170</v>
      </c>
      <c r="D90" s="49">
        <v>0</v>
      </c>
      <c r="E90" s="41">
        <f>6.9536-6.7921</f>
        <v>0.1615000000000002</v>
      </c>
      <c r="F90" s="38">
        <f>+E90</f>
        <v>0.1615000000000002</v>
      </c>
      <c r="G90" s="50">
        <f>ROUND(+D90*E90,2)</f>
        <v>0</v>
      </c>
      <c r="H90" s="49"/>
      <c r="I90" s="271"/>
      <c r="J90" s="41"/>
      <c r="K90" s="354"/>
      <c r="L90" s="355"/>
      <c r="M90" s="356"/>
      <c r="N90" s="357"/>
      <c r="O90" s="358"/>
      <c r="P90" s="359"/>
      <c r="Q90" s="360"/>
      <c r="R90" s="349"/>
      <c r="S90" s="350"/>
      <c r="T90" s="351"/>
      <c r="U90" s="352"/>
    </row>
    <row r="91" spans="1:21">
      <c r="A91" s="353"/>
      <c r="B91" s="35"/>
      <c r="C91" s="48" t="s">
        <v>171</v>
      </c>
      <c r="D91" s="49">
        <v>102</v>
      </c>
      <c r="E91" s="41">
        <v>7.0426000000000002</v>
      </c>
      <c r="F91" s="41">
        <f>+E91</f>
        <v>7.0426000000000002</v>
      </c>
      <c r="G91" s="50">
        <f>ROUND(D91*E91,2)</f>
        <v>718.35</v>
      </c>
      <c r="H91" s="361"/>
      <c r="I91" s="362"/>
      <c r="J91" s="207"/>
      <c r="K91" s="363"/>
      <c r="L91" s="364"/>
      <c r="M91" s="365"/>
      <c r="N91" s="366"/>
      <c r="O91" s="367"/>
      <c r="P91" s="368"/>
      <c r="Q91" s="360"/>
      <c r="R91" s="349"/>
      <c r="S91" s="350"/>
      <c r="T91" s="351"/>
      <c r="U91" s="352"/>
    </row>
    <row r="92" spans="1:21" ht="15.75" thickBot="1">
      <c r="A92" s="369"/>
      <c r="B92" s="53" t="s">
        <v>66</v>
      </c>
      <c r="C92" s="99" t="s">
        <v>29</v>
      </c>
      <c r="D92" s="55">
        <v>42297</v>
      </c>
      <c r="E92" s="56">
        <v>7.0426000000000002</v>
      </c>
      <c r="F92" s="370">
        <f>+E92</f>
        <v>7.0426000000000002</v>
      </c>
      <c r="G92" s="58">
        <f>ROUND(D92*E92,2)</f>
        <v>297880.84999999998</v>
      </c>
      <c r="H92" s="248"/>
      <c r="I92" s="203"/>
      <c r="J92" s="60"/>
      <c r="K92" s="203"/>
      <c r="L92" s="204"/>
      <c r="M92" s="371"/>
      <c r="N92" s="372"/>
      <c r="O92" s="373">
        <v>165882.5</v>
      </c>
      <c r="P92" s="374" t="s">
        <v>24</v>
      </c>
      <c r="Q92" s="373">
        <f>G92+J92-M92-N92-O92</f>
        <v>131998.34999999998</v>
      </c>
      <c r="R92" s="349" t="s">
        <v>65</v>
      </c>
      <c r="S92" s="375">
        <f>SUM(O87:O92)</f>
        <v>173040.38</v>
      </c>
      <c r="T92" s="375">
        <f>SUM(Q87:Q92)</f>
        <v>-173758.73000000004</v>
      </c>
    </row>
    <row r="93" spans="1:21" s="81" customFormat="1" ht="15" customHeight="1">
      <c r="A93" s="826">
        <v>301</v>
      </c>
      <c r="B93" s="70" t="s">
        <v>67</v>
      </c>
      <c r="C93" s="377"/>
      <c r="D93" s="378">
        <v>645</v>
      </c>
      <c r="E93" s="21">
        <v>36.214199999999998</v>
      </c>
      <c r="F93" s="21">
        <v>42.4328</v>
      </c>
      <c r="G93" s="379">
        <f>ROUND(D93*(E93+F93),2)</f>
        <v>50727.32</v>
      </c>
      <c r="H93" s="380"/>
      <c r="I93" s="381">
        <v>183.82</v>
      </c>
      <c r="J93" s="381">
        <f>H93*I93</f>
        <v>0</v>
      </c>
      <c r="K93" s="342"/>
      <c r="L93" s="382">
        <f>+SUM(G93:G102,J93:J101)</f>
        <v>193559.67000000004</v>
      </c>
      <c r="M93" s="26">
        <v>193559.67</v>
      </c>
      <c r="N93" s="383"/>
      <c r="O93" s="77"/>
      <c r="P93" s="77" t="s">
        <v>68</v>
      </c>
      <c r="Q93" s="384">
        <f t="shared" si="12"/>
        <v>-142832.35</v>
      </c>
      <c r="R93" s="385" t="s">
        <v>69</v>
      </c>
      <c r="S93" s="386"/>
      <c r="T93" s="387"/>
      <c r="U93" s="388"/>
    </row>
    <row r="94" spans="1:21" s="81" customFormat="1" ht="12.75">
      <c r="A94" s="827"/>
      <c r="B94" s="83"/>
      <c r="C94" s="390" t="s">
        <v>26</v>
      </c>
      <c r="D94" s="37"/>
      <c r="E94" s="38">
        <f>32.332-28.8628</f>
        <v>3.4692000000000007</v>
      </c>
      <c r="F94" s="38">
        <v>0</v>
      </c>
      <c r="G94" s="39">
        <f>ROUND(D94*(E94+F94),2)</f>
        <v>0</v>
      </c>
      <c r="H94" s="391"/>
      <c r="I94" s="392"/>
      <c r="J94" s="392"/>
      <c r="K94" s="393"/>
      <c r="L94" s="394"/>
      <c r="M94" s="90"/>
      <c r="N94" s="395"/>
      <c r="O94" s="94"/>
      <c r="P94" s="94"/>
      <c r="Q94" s="396"/>
      <c r="R94" s="397"/>
      <c r="S94" s="398"/>
      <c r="T94" s="399"/>
    </row>
    <row r="95" spans="1:21" s="81" customFormat="1" ht="12.75">
      <c r="A95" s="827"/>
      <c r="B95" s="98" t="s">
        <v>32</v>
      </c>
      <c r="C95" s="99" t="s">
        <v>33</v>
      </c>
      <c r="D95" s="37">
        <v>103</v>
      </c>
      <c r="E95" s="101">
        <v>304.86</v>
      </c>
      <c r="F95" s="38">
        <v>42.4328</v>
      </c>
      <c r="G95" s="400">
        <f>ROUND(D95*(E95+F95),2)</f>
        <v>35771.160000000003</v>
      </c>
      <c r="H95" s="401"/>
      <c r="I95" s="402"/>
      <c r="J95" s="402"/>
      <c r="K95" s="403"/>
      <c r="L95" s="404"/>
      <c r="M95" s="102"/>
      <c r="N95" s="405"/>
      <c r="O95" s="406"/>
      <c r="P95" s="406" t="s">
        <v>68</v>
      </c>
      <c r="Q95" s="407">
        <f>+G95+J95-M95-N95-O95</f>
        <v>35771.160000000003</v>
      </c>
      <c r="R95" s="397" t="s">
        <v>69</v>
      </c>
      <c r="S95" s="398"/>
      <c r="T95" s="399"/>
    </row>
    <row r="96" spans="1:21" s="81" customFormat="1" ht="15" customHeight="1">
      <c r="A96" s="827"/>
      <c r="B96" s="98"/>
      <c r="C96" s="84"/>
      <c r="D96" s="37">
        <v>0</v>
      </c>
      <c r="E96" s="41">
        <f>304.86-291.8</f>
        <v>13.060000000000002</v>
      </c>
      <c r="F96" s="38">
        <v>0</v>
      </c>
      <c r="G96" s="400">
        <f>+D96*(E96+F96)</f>
        <v>0</v>
      </c>
      <c r="H96" s="401"/>
      <c r="I96" s="402"/>
      <c r="J96" s="402"/>
      <c r="K96" s="408"/>
      <c r="L96" s="404"/>
      <c r="M96" s="102"/>
      <c r="N96" s="405"/>
      <c r="O96" s="406"/>
      <c r="P96" s="406"/>
      <c r="Q96" s="407"/>
      <c r="R96" s="397"/>
      <c r="S96" s="398"/>
      <c r="T96" s="399"/>
    </row>
    <row r="97" spans="1:20" s="81" customFormat="1" ht="15" customHeight="1">
      <c r="A97" s="827"/>
      <c r="B97" s="83"/>
      <c r="C97" s="84"/>
      <c r="D97" s="37"/>
      <c r="E97" s="41"/>
      <c r="F97" s="38"/>
      <c r="G97" s="400"/>
      <c r="H97" s="401"/>
      <c r="I97" s="402"/>
      <c r="J97" s="402"/>
      <c r="K97" s="408"/>
      <c r="L97" s="404"/>
      <c r="M97" s="102"/>
      <c r="N97" s="405"/>
      <c r="O97" s="406"/>
      <c r="P97" s="406"/>
      <c r="Q97" s="407"/>
      <c r="R97" s="397"/>
      <c r="S97" s="398"/>
      <c r="T97" s="399"/>
    </row>
    <row r="98" spans="1:20" s="81" customFormat="1" ht="15" customHeight="1">
      <c r="A98" s="827"/>
      <c r="B98" s="83" t="s">
        <v>70</v>
      </c>
      <c r="C98" s="84"/>
      <c r="D98" s="37"/>
      <c r="E98" s="41"/>
      <c r="F98" s="38">
        <v>33.830599999999997</v>
      </c>
      <c r="G98" s="400"/>
      <c r="H98" s="401"/>
      <c r="I98" s="402"/>
      <c r="J98" s="402"/>
      <c r="K98" s="408"/>
      <c r="L98" s="404"/>
      <c r="M98" s="102"/>
      <c r="N98" s="405"/>
      <c r="O98" s="406"/>
      <c r="P98" s="406"/>
      <c r="Q98" s="407"/>
      <c r="R98" s="397"/>
      <c r="S98" s="398"/>
      <c r="T98" s="399"/>
    </row>
    <row r="99" spans="1:20" s="81" customFormat="1" ht="15" customHeight="1">
      <c r="A99" s="827"/>
      <c r="B99" s="83"/>
      <c r="C99" s="48"/>
      <c r="D99" s="37"/>
      <c r="E99" s="41">
        <f>4.4128-4.4153</f>
        <v>-2.5000000000003908E-3</v>
      </c>
      <c r="F99" s="38"/>
      <c r="G99" s="39">
        <f>ROUND(D99*(E99+F99),2)</f>
        <v>0</v>
      </c>
      <c r="H99" s="37"/>
      <c r="I99" s="409"/>
      <c r="J99" s="409"/>
      <c r="K99" s="408"/>
      <c r="L99" s="404"/>
      <c r="M99" s="102"/>
      <c r="N99" s="405"/>
      <c r="O99" s="406"/>
      <c r="P99" s="406"/>
      <c r="Q99" s="407"/>
      <c r="R99" s="397"/>
      <c r="S99" s="398"/>
      <c r="T99" s="399"/>
    </row>
    <row r="100" spans="1:20" s="81" customFormat="1" ht="15" customHeight="1">
      <c r="A100" s="827"/>
      <c r="B100" s="83"/>
      <c r="C100" s="48" t="s">
        <v>170</v>
      </c>
      <c r="D100" s="37">
        <v>13757</v>
      </c>
      <c r="E100" s="41">
        <f>6.9536-6.7921</f>
        <v>0.1615000000000002</v>
      </c>
      <c r="F100" s="38">
        <f>+E100</f>
        <v>0.1615000000000002</v>
      </c>
      <c r="G100" s="39">
        <f>ROUND(D100*E100,2)+0.01</f>
        <v>2221.7700000000004</v>
      </c>
      <c r="H100" s="37"/>
      <c r="I100" s="409"/>
      <c r="J100" s="409"/>
      <c r="K100" s="408"/>
      <c r="L100" s="404"/>
      <c r="M100" s="102"/>
      <c r="N100" s="405"/>
      <c r="O100" s="406"/>
      <c r="P100" s="406"/>
      <c r="Q100" s="407"/>
      <c r="R100" s="397"/>
      <c r="S100" s="398"/>
      <c r="T100" s="399"/>
    </row>
    <row r="101" spans="1:20" s="81" customFormat="1" ht="15" customHeight="1">
      <c r="A101" s="827"/>
      <c r="B101" s="83"/>
      <c r="C101" s="48" t="s">
        <v>171</v>
      </c>
      <c r="D101" s="37">
        <v>36</v>
      </c>
      <c r="E101" s="41">
        <v>6.9535999999999998</v>
      </c>
      <c r="F101" s="41">
        <f>+E101</f>
        <v>6.9535999999999998</v>
      </c>
      <c r="G101" s="39">
        <f>ROUND(D101*E101,2)-0.01</f>
        <v>250.32000000000002</v>
      </c>
      <c r="H101" s="37"/>
      <c r="I101" s="409"/>
      <c r="J101" s="409"/>
      <c r="K101" s="410"/>
      <c r="L101" s="404"/>
      <c r="M101" s="102"/>
      <c r="N101" s="405"/>
      <c r="O101" s="406"/>
      <c r="P101" s="406"/>
      <c r="Q101" s="407"/>
      <c r="R101" s="397"/>
      <c r="S101" s="398"/>
      <c r="T101" s="399"/>
    </row>
    <row r="102" spans="1:20" s="81" customFormat="1" ht="15.75" customHeight="1" thickBot="1">
      <c r="A102" s="828"/>
      <c r="B102" s="412"/>
      <c r="C102" s="99" t="s">
        <v>29</v>
      </c>
      <c r="D102" s="413">
        <v>15041</v>
      </c>
      <c r="E102" s="56">
        <v>6.9535999999999998</v>
      </c>
      <c r="F102" s="370">
        <f>+E102</f>
        <v>6.9535999999999998</v>
      </c>
      <c r="G102" s="414">
        <f>ROUND(D102*E102,2)</f>
        <v>104589.1</v>
      </c>
      <c r="H102" s="248"/>
      <c r="I102" s="60"/>
      <c r="J102" s="60"/>
      <c r="K102" s="203"/>
      <c r="L102" s="204"/>
      <c r="M102" s="371"/>
      <c r="N102" s="415"/>
      <c r="O102" s="416"/>
      <c r="P102" s="416" t="s">
        <v>68</v>
      </c>
      <c r="Q102" s="417">
        <f>+G102+J102-M102-N102-O102</f>
        <v>104589.1</v>
      </c>
      <c r="R102" s="418" t="s">
        <v>69</v>
      </c>
      <c r="S102" s="419">
        <f>SUM(O93:O102)</f>
        <v>0</v>
      </c>
      <c r="T102" s="419">
        <f>SUM(Q93:Q102)</f>
        <v>-2472.0899999999965</v>
      </c>
    </row>
    <row r="103" spans="1:20" s="81" customFormat="1" ht="15.75" customHeight="1">
      <c r="A103" s="826"/>
      <c r="B103" s="420" t="s">
        <v>72</v>
      </c>
      <c r="C103" s="377" t="s">
        <v>73</v>
      </c>
      <c r="D103" s="378">
        <v>186</v>
      </c>
      <c r="E103" s="21">
        <v>36.214199999999998</v>
      </c>
      <c r="F103" s="21">
        <v>42.4328</v>
      </c>
      <c r="G103" s="22">
        <f>+D103*(E103+F103)</f>
        <v>14628.341999999999</v>
      </c>
      <c r="H103" s="303"/>
      <c r="I103" s="23"/>
      <c r="J103" s="341"/>
      <c r="K103" s="342"/>
      <c r="L103" s="263">
        <f>SUM(G103:G107,J103:J107)</f>
        <v>291998.80199999997</v>
      </c>
      <c r="M103" s="26">
        <v>291998.8</v>
      </c>
      <c r="N103" s="421"/>
      <c r="O103" s="77"/>
      <c r="P103" s="77"/>
      <c r="Q103" s="384"/>
      <c r="R103" s="422"/>
      <c r="S103" s="399"/>
      <c r="T103" s="399"/>
    </row>
    <row r="104" spans="1:20" s="81" customFormat="1" ht="15.75" customHeight="1">
      <c r="A104" s="827"/>
      <c r="B104" s="83"/>
      <c r="C104" s="84" t="s">
        <v>26</v>
      </c>
      <c r="D104" s="37"/>
      <c r="E104" s="38">
        <f>32.332-28.8628</f>
        <v>3.4692000000000007</v>
      </c>
      <c r="F104" s="38">
        <f>37.8898-33.8306</f>
        <v>4.0592000000000041</v>
      </c>
      <c r="G104" s="39">
        <f>ROUND(D104*(E104+F104),2)</f>
        <v>0</v>
      </c>
      <c r="H104" s="270"/>
      <c r="I104" s="41"/>
      <c r="J104" s="41"/>
      <c r="K104" s="271"/>
      <c r="L104" s="272"/>
      <c r="M104" s="102"/>
      <c r="N104" s="423"/>
      <c r="O104" s="406"/>
      <c r="P104" s="406"/>
      <c r="Q104" s="424"/>
      <c r="R104" s="422"/>
      <c r="S104" s="399"/>
      <c r="T104" s="399"/>
    </row>
    <row r="105" spans="1:20" s="81" customFormat="1" ht="15.75" customHeight="1">
      <c r="A105" s="827"/>
      <c r="B105" s="83"/>
      <c r="C105" s="48" t="s">
        <v>170</v>
      </c>
      <c r="D105" s="37">
        <v>31636</v>
      </c>
      <c r="E105" s="41">
        <f>6.9536-6.7921</f>
        <v>0.1615000000000002</v>
      </c>
      <c r="F105" s="38"/>
      <c r="G105" s="39">
        <f>ROUND(D105*(E105),2)-0.01</f>
        <v>5109.2</v>
      </c>
      <c r="H105" s="270"/>
      <c r="I105" s="41"/>
      <c r="J105" s="41"/>
      <c r="K105" s="271"/>
      <c r="L105" s="272"/>
      <c r="M105" s="102"/>
      <c r="N105" s="423"/>
      <c r="O105" s="406"/>
      <c r="P105" s="406"/>
      <c r="Q105" s="424"/>
      <c r="R105" s="422"/>
      <c r="S105" s="399"/>
      <c r="T105" s="399"/>
    </row>
    <row r="106" spans="1:20" s="81" customFormat="1" ht="15.75" customHeight="1">
      <c r="A106" s="827"/>
      <c r="B106" s="83"/>
      <c r="C106" s="48" t="s">
        <v>171</v>
      </c>
      <c r="D106" s="37">
        <v>94</v>
      </c>
      <c r="E106" s="41">
        <v>6.9535999999999998</v>
      </c>
      <c r="F106" s="38"/>
      <c r="G106" s="39">
        <f>ROUND(D106*(E106),2)</f>
        <v>653.64</v>
      </c>
      <c r="H106" s="270"/>
      <c r="I106" s="41"/>
      <c r="J106" s="41"/>
      <c r="K106" s="271"/>
      <c r="L106" s="272"/>
      <c r="M106" s="102"/>
      <c r="N106" s="423"/>
      <c r="O106" s="406"/>
      <c r="P106" s="406"/>
      <c r="Q106" s="425"/>
      <c r="R106" s="422"/>
      <c r="S106" s="399"/>
      <c r="T106" s="399"/>
    </row>
    <row r="107" spans="1:20" s="81" customFormat="1" ht="15.75" customHeight="1" thickBot="1">
      <c r="A107" s="828"/>
      <c r="B107" s="412"/>
      <c r="C107" s="99" t="s">
        <v>29</v>
      </c>
      <c r="D107" s="413">
        <v>39060</v>
      </c>
      <c r="E107" s="56">
        <v>6.9535999999999998</v>
      </c>
      <c r="F107" s="281"/>
      <c r="G107" s="414">
        <f>ROUND(D107*(E107),2)</f>
        <v>271607.62</v>
      </c>
      <c r="H107" s="280"/>
      <c r="I107" s="281"/>
      <c r="J107" s="281"/>
      <c r="K107" s="282"/>
      <c r="L107" s="204"/>
      <c r="M107" s="371"/>
      <c r="N107" s="426"/>
      <c r="O107" s="416"/>
      <c r="P107" s="416"/>
      <c r="Q107" s="417"/>
      <c r="R107" s="422"/>
      <c r="S107" s="399"/>
      <c r="T107" s="399"/>
    </row>
    <row r="108" spans="1:20" s="81" customFormat="1" ht="15.75" customHeight="1">
      <c r="A108" s="826"/>
      <c r="B108" s="427" t="s">
        <v>74</v>
      </c>
      <c r="C108" s="377" t="s">
        <v>73</v>
      </c>
      <c r="D108" s="378">
        <v>17</v>
      </c>
      <c r="E108" s="21">
        <v>36.214199999999998</v>
      </c>
      <c r="F108" s="21">
        <v>42.4328</v>
      </c>
      <c r="G108" s="22">
        <f>ROUND(D108*(E108+F108),2)</f>
        <v>1337</v>
      </c>
      <c r="H108" s="303"/>
      <c r="I108" s="23"/>
      <c r="J108" s="23">
        <v>0</v>
      </c>
      <c r="K108" s="342"/>
      <c r="L108" s="263">
        <f>SUM(G108:G114,J108:J114)</f>
        <v>23677.969999999998</v>
      </c>
      <c r="M108" s="26">
        <v>23677.97</v>
      </c>
      <c r="N108" s="421"/>
      <c r="O108" s="77"/>
      <c r="P108" s="77"/>
      <c r="Q108" s="384"/>
      <c r="R108" s="422"/>
      <c r="S108" s="399"/>
      <c r="T108" s="399"/>
    </row>
    <row r="109" spans="1:20" s="81" customFormat="1" ht="15.75" customHeight="1">
      <c r="A109" s="827"/>
      <c r="B109" s="98" t="s">
        <v>75</v>
      </c>
      <c r="C109" s="84" t="s">
        <v>26</v>
      </c>
      <c r="D109" s="37"/>
      <c r="E109" s="38">
        <f>32.332-28.8628</f>
        <v>3.4692000000000007</v>
      </c>
      <c r="F109" s="38">
        <f>37.8898-33.8306</f>
        <v>4.0592000000000041</v>
      </c>
      <c r="G109" s="39">
        <f>ROUND(D109*(E109+F109),2)</f>
        <v>0</v>
      </c>
      <c r="H109" s="270"/>
      <c r="I109" s="41"/>
      <c r="J109" s="41"/>
      <c r="K109" s="354"/>
      <c r="L109" s="272"/>
      <c r="M109" s="102"/>
      <c r="N109" s="423"/>
      <c r="O109" s="406"/>
      <c r="P109" s="406"/>
      <c r="Q109" s="424"/>
      <c r="R109" s="422"/>
      <c r="S109" s="399"/>
      <c r="T109" s="399"/>
    </row>
    <row r="110" spans="1:20" s="81" customFormat="1" ht="15.75" customHeight="1">
      <c r="A110" s="827"/>
      <c r="B110" s="83"/>
      <c r="C110" s="99" t="s">
        <v>33</v>
      </c>
      <c r="D110" s="428">
        <v>7</v>
      </c>
      <c r="E110" s="101">
        <v>304.86</v>
      </c>
      <c r="F110" s="38">
        <v>42.43</v>
      </c>
      <c r="G110" s="39">
        <f>ROUND(D110*(E110+F110),2)</f>
        <v>2431.0300000000002</v>
      </c>
      <c r="H110" s="270"/>
      <c r="I110" s="41"/>
      <c r="J110" s="41"/>
      <c r="K110" s="271"/>
      <c r="L110" s="272"/>
      <c r="M110" s="102"/>
      <c r="N110" s="423"/>
      <c r="O110" s="406"/>
      <c r="P110" s="406"/>
      <c r="Q110" s="424"/>
      <c r="R110" s="422"/>
      <c r="S110" s="399"/>
      <c r="T110" s="399"/>
    </row>
    <row r="111" spans="1:20" s="81" customFormat="1" ht="15.75" customHeight="1">
      <c r="A111" s="827"/>
      <c r="B111" s="83"/>
      <c r="C111" s="48" t="s">
        <v>76</v>
      </c>
      <c r="D111" s="37">
        <v>0</v>
      </c>
      <c r="E111" s="41">
        <f>304.86-291.8</f>
        <v>13.060000000000002</v>
      </c>
      <c r="F111" s="38"/>
      <c r="G111" s="39">
        <f>ROUND(D111*(E111+F111),2)</f>
        <v>0</v>
      </c>
      <c r="H111" s="270"/>
      <c r="I111" s="41"/>
      <c r="J111" s="41"/>
      <c r="K111" s="271"/>
      <c r="L111" s="272"/>
      <c r="M111" s="102"/>
      <c r="N111" s="423"/>
      <c r="O111" s="406"/>
      <c r="P111" s="406"/>
      <c r="Q111" s="424"/>
      <c r="R111" s="422"/>
      <c r="S111" s="399"/>
      <c r="T111" s="399"/>
    </row>
    <row r="112" spans="1:20" s="81" customFormat="1" ht="15.75" customHeight="1">
      <c r="A112" s="827"/>
      <c r="B112" s="83"/>
      <c r="C112" s="48" t="s">
        <v>170</v>
      </c>
      <c r="D112" s="37">
        <v>2521.1</v>
      </c>
      <c r="E112" s="41">
        <f>6.9536-6.7921</f>
        <v>0.1615000000000002</v>
      </c>
      <c r="F112" s="38"/>
      <c r="G112" s="39">
        <f>ROUND(D112*(E112+F112),2)+0.02</f>
        <v>407.18</v>
      </c>
      <c r="H112" s="270"/>
      <c r="I112" s="41"/>
      <c r="J112" s="41"/>
      <c r="K112" s="271"/>
      <c r="L112" s="272"/>
      <c r="M112" s="102"/>
      <c r="N112" s="423"/>
      <c r="O112" s="406"/>
      <c r="P112" s="406"/>
      <c r="Q112" s="424"/>
      <c r="R112" s="422"/>
      <c r="S112" s="399"/>
      <c r="T112" s="399"/>
    </row>
    <row r="113" spans="1:20" s="81" customFormat="1" ht="15.75" customHeight="1">
      <c r="A113" s="827"/>
      <c r="B113" s="83"/>
      <c r="C113" s="48" t="s">
        <v>171</v>
      </c>
      <c r="D113" s="37">
        <v>6.7</v>
      </c>
      <c r="E113" s="41">
        <v>6.9535999999999998</v>
      </c>
      <c r="F113" s="38"/>
      <c r="G113" s="39">
        <f>ROUND(D113*E113,2)</f>
        <v>46.59</v>
      </c>
      <c r="H113" s="270"/>
      <c r="I113" s="41"/>
      <c r="J113" s="41"/>
      <c r="K113" s="271"/>
      <c r="L113" s="272"/>
      <c r="M113" s="102"/>
      <c r="N113" s="423"/>
      <c r="O113" s="406"/>
      <c r="P113" s="406"/>
      <c r="Q113" s="425"/>
      <c r="R113" s="422"/>
      <c r="S113" s="399"/>
      <c r="T113" s="399"/>
    </row>
    <row r="114" spans="1:20" s="81" customFormat="1" ht="15" customHeight="1" thickBot="1">
      <c r="A114" s="828"/>
      <c r="B114" s="412"/>
      <c r="C114" s="99" t="s">
        <v>29</v>
      </c>
      <c r="D114" s="413">
        <v>2798</v>
      </c>
      <c r="E114" s="56">
        <v>6.9535999999999998</v>
      </c>
      <c r="F114" s="281"/>
      <c r="G114" s="414">
        <f t="shared" ref="G114:G121" si="13">ROUND(D114*(E114+F114),2)</f>
        <v>19456.169999999998</v>
      </c>
      <c r="H114" s="280"/>
      <c r="I114" s="281"/>
      <c r="J114" s="281"/>
      <c r="K114" s="282"/>
      <c r="L114" s="204"/>
      <c r="M114" s="371"/>
      <c r="N114" s="426"/>
      <c r="O114" s="416"/>
      <c r="P114" s="416"/>
      <c r="Q114" s="417"/>
      <c r="R114" s="422"/>
      <c r="S114" s="399"/>
      <c r="T114" s="399"/>
    </row>
    <row r="115" spans="1:20" s="81" customFormat="1" ht="15" customHeight="1">
      <c r="A115" s="826"/>
      <c r="B115" s="420" t="s">
        <v>77</v>
      </c>
      <c r="C115" s="377" t="s">
        <v>73</v>
      </c>
      <c r="D115" s="378">
        <v>3</v>
      </c>
      <c r="E115" s="21">
        <v>36.214199999999998</v>
      </c>
      <c r="F115" s="21">
        <v>42.4328</v>
      </c>
      <c r="G115" s="22">
        <f t="shared" si="13"/>
        <v>235.94</v>
      </c>
      <c r="H115" s="303"/>
      <c r="I115" s="23">
        <v>183.82</v>
      </c>
      <c r="J115" s="381">
        <f>H115*I115</f>
        <v>0</v>
      </c>
      <c r="K115" s="342"/>
      <c r="L115" s="382">
        <f>+SUM(G115:G121,J115:J121)</f>
        <v>3615.29</v>
      </c>
      <c r="M115" s="26">
        <v>3615.29</v>
      </c>
      <c r="N115" s="421"/>
      <c r="O115" s="77"/>
      <c r="P115" s="77"/>
      <c r="Q115" s="384"/>
      <c r="R115" s="422"/>
      <c r="S115" s="399"/>
      <c r="T115" s="399"/>
    </row>
    <row r="116" spans="1:20" s="81" customFormat="1" ht="15" customHeight="1">
      <c r="A116" s="827"/>
      <c r="B116" s="83"/>
      <c r="C116" s="84" t="s">
        <v>26</v>
      </c>
      <c r="D116" s="37"/>
      <c r="E116" s="38">
        <v>3.4692000000000007</v>
      </c>
      <c r="F116" s="38"/>
      <c r="G116" s="39">
        <f t="shared" si="13"/>
        <v>0</v>
      </c>
      <c r="H116" s="270"/>
      <c r="I116" s="41"/>
      <c r="J116" s="402"/>
      <c r="K116" s="354"/>
      <c r="L116" s="429"/>
      <c r="M116" s="102"/>
      <c r="N116" s="430"/>
      <c r="O116" s="431"/>
      <c r="P116" s="431"/>
      <c r="Q116" s="424"/>
      <c r="R116" s="422"/>
      <c r="S116" s="399"/>
      <c r="T116" s="399"/>
    </row>
    <row r="117" spans="1:20" s="81" customFormat="1" ht="15" customHeight="1">
      <c r="A117" s="827"/>
      <c r="B117" s="98" t="s">
        <v>32</v>
      </c>
      <c r="C117" s="99" t="s">
        <v>33</v>
      </c>
      <c r="D117" s="37">
        <v>3</v>
      </c>
      <c r="E117" s="101">
        <v>304.86</v>
      </c>
      <c r="F117" s="38">
        <v>42.4328</v>
      </c>
      <c r="G117" s="39">
        <f t="shared" si="13"/>
        <v>1041.8800000000001</v>
      </c>
      <c r="H117" s="270"/>
      <c r="I117" s="41"/>
      <c r="J117" s="41"/>
      <c r="K117" s="271"/>
      <c r="L117" s="272"/>
      <c r="M117" s="102"/>
      <c r="N117" s="430"/>
      <c r="O117" s="431"/>
      <c r="P117" s="431"/>
      <c r="Q117" s="424"/>
      <c r="R117" s="422"/>
      <c r="S117" s="399"/>
      <c r="T117" s="399"/>
    </row>
    <row r="118" spans="1:20" s="81" customFormat="1" ht="15" customHeight="1">
      <c r="A118" s="827"/>
      <c r="B118" s="83"/>
      <c r="C118" s="48" t="s">
        <v>78</v>
      </c>
      <c r="D118" s="37">
        <v>0</v>
      </c>
      <c r="E118" s="41">
        <f>304.86-291.8</f>
        <v>13.060000000000002</v>
      </c>
      <c r="F118" s="38"/>
      <c r="G118" s="39">
        <f>ROUND(D118*(E118+F118),2)</f>
        <v>0</v>
      </c>
      <c r="H118" s="270"/>
      <c r="I118" s="41"/>
      <c r="J118" s="41"/>
      <c r="K118" s="271"/>
      <c r="L118" s="272"/>
      <c r="M118" s="102"/>
      <c r="N118" s="430"/>
      <c r="O118" s="431"/>
      <c r="P118" s="431"/>
      <c r="Q118" s="424"/>
      <c r="R118" s="422"/>
      <c r="S118" s="399"/>
      <c r="T118" s="399"/>
    </row>
    <row r="119" spans="1:20" s="81" customFormat="1" ht="15" customHeight="1">
      <c r="A119" s="827"/>
      <c r="B119" s="83"/>
      <c r="C119" s="48" t="s">
        <v>170</v>
      </c>
      <c r="D119" s="37">
        <v>187.4</v>
      </c>
      <c r="E119" s="41">
        <f>6.9536-6.7921</f>
        <v>0.1615000000000002</v>
      </c>
      <c r="F119" s="38"/>
      <c r="G119" s="39">
        <f>ROUND(D119*(E119+F119),2)</f>
        <v>30.27</v>
      </c>
      <c r="H119" s="270"/>
      <c r="I119" s="41"/>
      <c r="J119" s="41"/>
      <c r="K119" s="271"/>
      <c r="L119" s="272"/>
      <c r="M119" s="102"/>
      <c r="N119" s="430"/>
      <c r="O119" s="431"/>
      <c r="P119" s="431"/>
      <c r="Q119" s="424"/>
      <c r="R119" s="422"/>
      <c r="S119" s="399"/>
      <c r="T119" s="399"/>
    </row>
    <row r="120" spans="1:20" s="81" customFormat="1" ht="15" customHeight="1">
      <c r="A120" s="827"/>
      <c r="B120" s="83"/>
      <c r="C120" s="48" t="s">
        <v>171</v>
      </c>
      <c r="D120" s="37">
        <v>0.8</v>
      </c>
      <c r="E120" s="41">
        <v>6.9535999999999998</v>
      </c>
      <c r="F120" s="38"/>
      <c r="G120" s="39">
        <f t="shared" si="13"/>
        <v>5.56</v>
      </c>
      <c r="H120" s="432"/>
      <c r="I120" s="207"/>
      <c r="J120" s="207"/>
      <c r="K120" s="362"/>
      <c r="L120" s="433"/>
      <c r="M120" s="63"/>
      <c r="N120" s="434"/>
      <c r="O120" s="435"/>
      <c r="P120" s="435"/>
      <c r="Q120" s="425"/>
      <c r="R120" s="422"/>
      <c r="S120" s="399"/>
      <c r="T120" s="399"/>
    </row>
    <row r="121" spans="1:20" s="81" customFormat="1" ht="15" customHeight="1" thickBot="1">
      <c r="A121" s="828"/>
      <c r="B121" s="412"/>
      <c r="C121" s="99" t="s">
        <v>29</v>
      </c>
      <c r="D121" s="413">
        <v>331</v>
      </c>
      <c r="E121" s="56">
        <v>6.9535999999999998</v>
      </c>
      <c r="F121" s="281"/>
      <c r="G121" s="414">
        <f t="shared" si="13"/>
        <v>2301.64</v>
      </c>
      <c r="H121" s="280"/>
      <c r="I121" s="281"/>
      <c r="J121" s="281"/>
      <c r="K121" s="282"/>
      <c r="L121" s="204"/>
      <c r="M121" s="371"/>
      <c r="N121" s="426"/>
      <c r="O121" s="416"/>
      <c r="P121" s="416"/>
      <c r="Q121" s="417"/>
      <c r="R121" s="436"/>
      <c r="S121" s="399"/>
      <c r="T121" s="399"/>
    </row>
    <row r="122" spans="1:20" s="81" customFormat="1" ht="15" customHeight="1">
      <c r="A122" s="829"/>
      <c r="B122" s="438" t="s">
        <v>38</v>
      </c>
      <c r="C122" s="439"/>
      <c r="D122" s="378"/>
      <c r="E122" s="23"/>
      <c r="F122" s="23"/>
      <c r="G122" s="22"/>
      <c r="H122" s="303"/>
      <c r="I122" s="23"/>
      <c r="J122" s="23"/>
      <c r="K122" s="304"/>
      <c r="L122" s="382">
        <f>+SUM(G122:G125,J122:J125)</f>
        <v>3764.53</v>
      </c>
      <c r="M122" s="26">
        <v>3764.53</v>
      </c>
      <c r="N122" s="421"/>
      <c r="O122" s="77"/>
      <c r="P122" s="77"/>
      <c r="Q122" s="77">
        <f>+L122-M122</f>
        <v>0</v>
      </c>
      <c r="R122" s="440"/>
      <c r="S122" s="399"/>
      <c r="T122" s="399"/>
    </row>
    <row r="123" spans="1:20" s="81" customFormat="1" ht="15" customHeight="1">
      <c r="A123" s="830"/>
      <c r="B123" s="442"/>
      <c r="C123" s="48" t="s">
        <v>170</v>
      </c>
      <c r="D123" s="37">
        <v>347.8</v>
      </c>
      <c r="E123" s="41">
        <f>6.9536-6.7921</f>
        <v>0.1615000000000002</v>
      </c>
      <c r="F123" s="41"/>
      <c r="G123" s="39">
        <f>ROUND(D123*E123,2)</f>
        <v>56.17</v>
      </c>
      <c r="H123" s="260"/>
      <c r="I123" s="261"/>
      <c r="J123" s="261"/>
      <c r="K123" s="262"/>
      <c r="L123" s="394"/>
      <c r="M123" s="90"/>
      <c r="N123" s="443"/>
      <c r="O123" s="94"/>
      <c r="P123" s="94"/>
      <c r="Q123" s="94"/>
      <c r="R123" s="422"/>
      <c r="S123" s="399"/>
      <c r="T123" s="399"/>
    </row>
    <row r="124" spans="1:20" s="81" customFormat="1">
      <c r="A124" s="830"/>
      <c r="B124" s="444"/>
      <c r="C124" s="48" t="s">
        <v>171</v>
      </c>
      <c r="D124" s="37">
        <v>1.3</v>
      </c>
      <c r="E124" s="41">
        <v>6.9535999999999998</v>
      </c>
      <c r="F124" s="41"/>
      <c r="G124" s="39">
        <f t="shared" ref="G124:G132" si="14">ROUND(D124*E124,2)</f>
        <v>9.0399999999999991</v>
      </c>
      <c r="H124" s="432"/>
      <c r="I124" s="207"/>
      <c r="J124" s="207"/>
      <c r="K124" s="362"/>
      <c r="L124" s="433"/>
      <c r="M124" s="63"/>
      <c r="N124" s="423"/>
      <c r="O124" s="406"/>
      <c r="P124" s="406"/>
      <c r="Q124" s="406"/>
      <c r="R124" s="422"/>
      <c r="S124" s="399"/>
      <c r="T124" s="399"/>
    </row>
    <row r="125" spans="1:20" s="81" customFormat="1" ht="15" customHeight="1" thickBot="1">
      <c r="A125" s="831"/>
      <c r="B125" s="446"/>
      <c r="C125" s="99" t="s">
        <v>29</v>
      </c>
      <c r="D125" s="413">
        <v>532</v>
      </c>
      <c r="E125" s="56">
        <v>6.9535999999999998</v>
      </c>
      <c r="F125" s="281"/>
      <c r="G125" s="414">
        <f t="shared" si="14"/>
        <v>3699.32</v>
      </c>
      <c r="H125" s="280"/>
      <c r="I125" s="281"/>
      <c r="J125" s="281"/>
      <c r="K125" s="282"/>
      <c r="L125" s="204"/>
      <c r="M125" s="371"/>
      <c r="N125" s="434"/>
      <c r="O125" s="435"/>
      <c r="P125" s="435"/>
      <c r="Q125" s="435"/>
      <c r="R125" s="422"/>
      <c r="S125" s="399"/>
      <c r="T125" s="399"/>
    </row>
    <row r="126" spans="1:20" s="81" customFormat="1" ht="15" customHeight="1">
      <c r="A126" s="829"/>
      <c r="B126" s="438" t="s">
        <v>122</v>
      </c>
      <c r="C126" s="439"/>
      <c r="D126" s="378"/>
      <c r="E126" s="23"/>
      <c r="F126" s="23"/>
      <c r="G126" s="22"/>
      <c r="H126" s="303"/>
      <c r="I126" s="23"/>
      <c r="J126" s="23"/>
      <c r="K126" s="304"/>
      <c r="L126" s="382">
        <f>+SUM(G126:G129,J126:J129)</f>
        <v>1873.1599999999999</v>
      </c>
      <c r="M126" s="26">
        <v>1873.16</v>
      </c>
      <c r="N126" s="421"/>
      <c r="O126" s="77"/>
      <c r="P126" s="77"/>
      <c r="Q126" s="77"/>
      <c r="R126" s="440"/>
      <c r="S126" s="399"/>
      <c r="T126" s="399"/>
    </row>
    <row r="127" spans="1:20" s="81" customFormat="1" ht="15" customHeight="1" thickBot="1">
      <c r="A127" s="830"/>
      <c r="B127" s="442"/>
      <c r="C127" s="48" t="s">
        <v>170</v>
      </c>
      <c r="D127" s="37">
        <v>247.59</v>
      </c>
      <c r="E127" s="41">
        <f>6.9536-6.7921</f>
        <v>0.1615000000000002</v>
      </c>
      <c r="F127" s="41"/>
      <c r="G127" s="414">
        <f>ROUND(D127*E127,2)-0.01</f>
        <v>39.980000000000004</v>
      </c>
      <c r="H127" s="260"/>
      <c r="I127" s="261"/>
      <c r="J127" s="261"/>
      <c r="K127" s="262"/>
      <c r="L127" s="394"/>
      <c r="M127" s="90"/>
      <c r="N127" s="443"/>
      <c r="O127" s="94"/>
      <c r="P127" s="94"/>
      <c r="Q127" s="94"/>
      <c r="R127" s="422"/>
      <c r="S127" s="399"/>
      <c r="T127" s="399"/>
    </row>
    <row r="128" spans="1:20" s="81" customFormat="1" ht="15" customHeight="1" thickBot="1">
      <c r="A128" s="830"/>
      <c r="B128" s="444"/>
      <c r="C128" s="48" t="s">
        <v>171</v>
      </c>
      <c r="D128" s="37">
        <v>0.63</v>
      </c>
      <c r="E128" s="41">
        <v>6.9535999999999998</v>
      </c>
      <c r="F128" s="41"/>
      <c r="G128" s="414">
        <f t="shared" si="14"/>
        <v>4.38</v>
      </c>
      <c r="H128" s="432"/>
      <c r="I128" s="207"/>
      <c r="J128" s="207"/>
      <c r="K128" s="362"/>
      <c r="L128" s="433"/>
      <c r="M128" s="63"/>
      <c r="N128" s="423"/>
      <c r="O128" s="406"/>
      <c r="P128" s="406"/>
      <c r="Q128" s="406"/>
      <c r="R128" s="422"/>
      <c r="S128" s="399"/>
      <c r="T128" s="399"/>
    </row>
    <row r="129" spans="1:20" s="81" customFormat="1" ht="15" customHeight="1" thickBot="1">
      <c r="A129" s="831"/>
      <c r="B129" s="446"/>
      <c r="C129" s="99" t="s">
        <v>29</v>
      </c>
      <c r="D129" s="413">
        <v>263</v>
      </c>
      <c r="E129" s="56">
        <v>6.9535999999999998</v>
      </c>
      <c r="F129" s="281"/>
      <c r="G129" s="414">
        <f t="shared" si="14"/>
        <v>1828.8</v>
      </c>
      <c r="H129" s="280"/>
      <c r="I129" s="281"/>
      <c r="J129" s="281"/>
      <c r="K129" s="282"/>
      <c r="L129" s="204"/>
      <c r="M129" s="371"/>
      <c r="N129" s="434"/>
      <c r="O129" s="435"/>
      <c r="P129" s="435"/>
      <c r="Q129" s="435"/>
      <c r="R129" s="422"/>
      <c r="S129" s="399"/>
      <c r="T129" s="399"/>
    </row>
    <row r="130" spans="1:20" s="81" customFormat="1" ht="15" customHeight="1">
      <c r="A130" s="805"/>
      <c r="B130" s="438" t="s">
        <v>79</v>
      </c>
      <c r="C130" s="48" t="s">
        <v>170</v>
      </c>
      <c r="D130" s="448">
        <v>4476</v>
      </c>
      <c r="E130" s="41">
        <f>6.9536-6.7921</f>
        <v>0.1615000000000002</v>
      </c>
      <c r="F130" s="261"/>
      <c r="G130" s="449">
        <f>ROUND(D130*E130,2)</f>
        <v>722.87</v>
      </c>
      <c r="H130" s="303"/>
      <c r="I130" s="23"/>
      <c r="J130" s="23"/>
      <c r="K130" s="304"/>
      <c r="L130" s="263">
        <f>SUM(G130:G132)</f>
        <v>35643.85</v>
      </c>
      <c r="M130" s="26">
        <v>35643.85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" customHeight="1">
      <c r="A131" s="806"/>
      <c r="B131" s="442"/>
      <c r="C131" s="48" t="s">
        <v>171</v>
      </c>
      <c r="D131" s="448">
        <v>12</v>
      </c>
      <c r="E131" s="41">
        <v>6.9535999999999998</v>
      </c>
      <c r="F131" s="261"/>
      <c r="G131" s="449">
        <f t="shared" si="14"/>
        <v>83.44</v>
      </c>
      <c r="H131" s="260"/>
      <c r="I131" s="261"/>
      <c r="J131" s="261"/>
      <c r="K131" s="262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" customHeight="1" thickBot="1">
      <c r="A132" s="807"/>
      <c r="B132" s="446"/>
      <c r="C132" s="99" t="s">
        <v>29</v>
      </c>
      <c r="D132" s="452">
        <v>5010</v>
      </c>
      <c r="E132" s="56">
        <v>6.9535999999999998</v>
      </c>
      <c r="F132" s="207"/>
      <c r="G132" s="453">
        <f t="shared" si="14"/>
        <v>34837.54</v>
      </c>
      <c r="H132" s="280"/>
      <c r="I132" s="281"/>
      <c r="J132" s="281"/>
      <c r="K132" s="282"/>
      <c r="L132" s="204"/>
      <c r="M132" s="371"/>
      <c r="N132" s="426"/>
      <c r="O132" s="416"/>
      <c r="P132" s="416"/>
      <c r="Q132" s="417"/>
      <c r="R132" s="422"/>
      <c r="S132" s="399"/>
      <c r="T132" s="399"/>
    </row>
    <row r="133" spans="1:20" s="81" customFormat="1" ht="15" customHeight="1">
      <c r="A133" s="829"/>
      <c r="B133" s="438" t="s">
        <v>82</v>
      </c>
      <c r="C133" s="377" t="s">
        <v>73</v>
      </c>
      <c r="D133" s="378">
        <v>29</v>
      </c>
      <c r="E133" s="21">
        <v>36.214199999999998</v>
      </c>
      <c r="F133" s="21">
        <v>42.4328</v>
      </c>
      <c r="G133" s="22">
        <f>+D133*(E133+F133)</f>
        <v>2280.7629999999999</v>
      </c>
      <c r="H133" s="303"/>
      <c r="I133" s="23"/>
      <c r="J133" s="341"/>
      <c r="K133" s="342"/>
      <c r="L133" s="263">
        <f>SUM(G133:G137,J133:J137)</f>
        <v>104193.883</v>
      </c>
      <c r="M133" s="26">
        <v>104193.88</v>
      </c>
      <c r="N133" s="421"/>
      <c r="O133" s="77"/>
      <c r="P133" s="77"/>
      <c r="Q133" s="384"/>
      <c r="R133" s="422"/>
      <c r="S133" s="399"/>
      <c r="T133" s="399"/>
    </row>
    <row r="134" spans="1:20" s="81" customFormat="1" ht="15" customHeight="1">
      <c r="A134" s="830"/>
      <c r="B134" s="442"/>
      <c r="C134" s="36" t="s">
        <v>26</v>
      </c>
      <c r="D134" s="37"/>
      <c r="E134" s="38">
        <v>3.4692000000000007</v>
      </c>
      <c r="F134" s="38">
        <f>37.8898-33.8306</f>
        <v>4.0592000000000041</v>
      </c>
      <c r="G134" s="39">
        <f>ROUND(D134*(E134+F134),2)</f>
        <v>0</v>
      </c>
      <c r="H134" s="457"/>
      <c r="I134" s="199"/>
      <c r="J134" s="199"/>
      <c r="K134" s="458"/>
      <c r="L134" s="459"/>
      <c r="M134" s="44"/>
      <c r="N134" s="430"/>
      <c r="O134" s="431"/>
      <c r="P134" s="431"/>
      <c r="Q134" s="424"/>
      <c r="R134" s="422"/>
      <c r="S134" s="399"/>
      <c r="T134" s="399"/>
    </row>
    <row r="135" spans="1:20" s="81" customFormat="1" ht="15" customHeight="1">
      <c r="A135" s="830"/>
      <c r="B135" s="442"/>
      <c r="C135" s="48" t="s">
        <v>170</v>
      </c>
      <c r="D135" s="37">
        <v>12881</v>
      </c>
      <c r="E135" s="41">
        <f>6.9536-6.7921</f>
        <v>0.1615000000000002</v>
      </c>
      <c r="F135" s="38"/>
      <c r="G135" s="39">
        <f>ROUND(D135*(E135),2)+0.01</f>
        <v>2080.2900000000004</v>
      </c>
      <c r="H135" s="270"/>
      <c r="I135" s="41"/>
      <c r="J135" s="41"/>
      <c r="K135" s="271"/>
      <c r="L135" s="272"/>
      <c r="M135" s="102"/>
      <c r="N135" s="430"/>
      <c r="O135" s="431"/>
      <c r="P135" s="431"/>
      <c r="Q135" s="424"/>
      <c r="R135" s="422"/>
      <c r="S135" s="399"/>
      <c r="T135" s="399"/>
    </row>
    <row r="136" spans="1:20" s="81" customFormat="1" ht="15" customHeight="1">
      <c r="A136" s="830"/>
      <c r="B136" s="442"/>
      <c r="C136" s="48" t="s">
        <v>171</v>
      </c>
      <c r="D136" s="37">
        <v>34</v>
      </c>
      <c r="E136" s="41">
        <v>6.9535999999999998</v>
      </c>
      <c r="F136" s="38"/>
      <c r="G136" s="39">
        <f>ROUND(D136*(E136),2)</f>
        <v>236.42</v>
      </c>
      <c r="H136" s="270"/>
      <c r="I136" s="41"/>
      <c r="J136" s="41"/>
      <c r="K136" s="271"/>
      <c r="L136" s="272"/>
      <c r="M136" s="102"/>
      <c r="N136" s="434"/>
      <c r="O136" s="435"/>
      <c r="P136" s="435"/>
      <c r="Q136" s="425"/>
      <c r="R136" s="422"/>
      <c r="S136" s="399"/>
      <c r="T136" s="399"/>
    </row>
    <row r="137" spans="1:20" s="81" customFormat="1" ht="15" customHeight="1" thickBot="1">
      <c r="A137" s="832"/>
      <c r="B137" s="461"/>
      <c r="C137" s="99" t="s">
        <v>29</v>
      </c>
      <c r="D137" s="37">
        <v>14323</v>
      </c>
      <c r="E137" s="56">
        <v>6.9535999999999998</v>
      </c>
      <c r="F137" s="311"/>
      <c r="G137" s="110">
        <f>ROUND(D137*(E137),2)</f>
        <v>99596.41</v>
      </c>
      <c r="H137" s="310"/>
      <c r="I137" s="311"/>
      <c r="J137" s="311"/>
      <c r="K137" s="312"/>
      <c r="L137" s="313"/>
      <c r="M137" s="115"/>
      <c r="N137" s="463"/>
      <c r="O137" s="464"/>
      <c r="P137" s="464"/>
      <c r="Q137" s="465"/>
      <c r="R137" s="466"/>
      <c r="S137" s="467"/>
      <c r="T137" s="399"/>
    </row>
    <row r="138" spans="1:20" s="81" customFormat="1" ht="15" customHeight="1" thickTop="1">
      <c r="A138" s="829"/>
      <c r="B138" s="438" t="s">
        <v>83</v>
      </c>
      <c r="C138" s="377" t="s">
        <v>73</v>
      </c>
      <c r="D138" s="378">
        <v>0</v>
      </c>
      <c r="E138" s="21">
        <v>36.214199999999998</v>
      </c>
      <c r="F138" s="21">
        <v>42.4328</v>
      </c>
      <c r="G138" s="22">
        <f>+D138*(E138+F138)</f>
        <v>0</v>
      </c>
      <c r="H138" s="303"/>
      <c r="I138" s="23"/>
      <c r="J138" s="341"/>
      <c r="K138" s="342"/>
      <c r="L138" s="263">
        <f>SUM(G138:G142,J138:J142)</f>
        <v>455.80999999999995</v>
      </c>
      <c r="M138" s="26">
        <v>455.81</v>
      </c>
      <c r="N138" s="421"/>
      <c r="O138" s="77"/>
      <c r="P138" s="77"/>
      <c r="Q138" s="384"/>
      <c r="R138" s="422"/>
      <c r="S138" s="399"/>
      <c r="T138" s="399"/>
    </row>
    <row r="139" spans="1:20" s="81" customFormat="1" ht="15" customHeight="1">
      <c r="A139" s="830"/>
      <c r="B139" s="442"/>
      <c r="C139" s="36" t="s">
        <v>26</v>
      </c>
      <c r="D139" s="37"/>
      <c r="E139" s="38">
        <v>3.4692000000000007</v>
      </c>
      <c r="F139" s="38">
        <f>37.8898-33.8306</f>
        <v>4.0592000000000041</v>
      </c>
      <c r="G139" s="39">
        <f>ROUND(D139*(E139+F139),2)</f>
        <v>0</v>
      </c>
      <c r="H139" s="457"/>
      <c r="I139" s="199"/>
      <c r="J139" s="199"/>
      <c r="K139" s="458"/>
      <c r="L139" s="459"/>
      <c r="M139" s="44"/>
      <c r="N139" s="430"/>
      <c r="O139" s="431"/>
      <c r="P139" s="431"/>
      <c r="Q139" s="424"/>
      <c r="R139" s="422"/>
      <c r="S139" s="399"/>
      <c r="T139" s="399"/>
    </row>
    <row r="140" spans="1:20" s="81" customFormat="1" ht="15" customHeight="1">
      <c r="A140" s="830"/>
      <c r="B140" s="442"/>
      <c r="C140" s="48" t="s">
        <v>170</v>
      </c>
      <c r="D140" s="37">
        <v>58.1</v>
      </c>
      <c r="E140" s="41">
        <f>6.9536-6.7921</f>
        <v>0.1615000000000002</v>
      </c>
      <c r="F140" s="38"/>
      <c r="G140" s="39">
        <f>ROUND(D140*(E140),2)+0.01</f>
        <v>9.39</v>
      </c>
      <c r="H140" s="270"/>
      <c r="I140" s="41"/>
      <c r="J140" s="41"/>
      <c r="K140" s="271"/>
      <c r="L140" s="272"/>
      <c r="M140" s="102"/>
      <c r="N140" s="430"/>
      <c r="O140" s="431"/>
      <c r="P140" s="431"/>
      <c r="Q140" s="424"/>
      <c r="R140" s="422"/>
      <c r="S140" s="399"/>
      <c r="T140" s="399"/>
    </row>
    <row r="141" spans="1:20" s="81" customFormat="1" ht="15" customHeight="1">
      <c r="A141" s="830"/>
      <c r="B141" s="442"/>
      <c r="C141" s="48" t="s">
        <v>171</v>
      </c>
      <c r="D141" s="37">
        <v>0.2</v>
      </c>
      <c r="E141" s="41">
        <v>6.9535999999999998</v>
      </c>
      <c r="F141" s="38"/>
      <c r="G141" s="39">
        <f>ROUND(D141*(E141),2)</f>
        <v>1.39</v>
      </c>
      <c r="H141" s="270"/>
      <c r="I141" s="41"/>
      <c r="J141" s="41"/>
      <c r="K141" s="271"/>
      <c r="L141" s="272"/>
      <c r="M141" s="102"/>
      <c r="N141" s="434"/>
      <c r="O141" s="435"/>
      <c r="P141" s="435"/>
      <c r="Q141" s="425"/>
      <c r="R141" s="422"/>
      <c r="S141" s="399"/>
      <c r="T141" s="399"/>
    </row>
    <row r="142" spans="1:20" s="81" customFormat="1" ht="15.75" customHeight="1" thickBot="1">
      <c r="A142" s="832"/>
      <c r="B142" s="461"/>
      <c r="C142" s="99" t="s">
        <v>29</v>
      </c>
      <c r="D142" s="462">
        <v>64</v>
      </c>
      <c r="E142" s="56">
        <v>6.9535999999999998</v>
      </c>
      <c r="F142" s="311"/>
      <c r="G142" s="110">
        <f>ROUND(D142*(E142),2)</f>
        <v>445.03</v>
      </c>
      <c r="H142" s="310"/>
      <c r="I142" s="311"/>
      <c r="J142" s="311"/>
      <c r="K142" s="312"/>
      <c r="L142" s="313"/>
      <c r="M142" s="115"/>
      <c r="N142" s="463"/>
      <c r="O142" s="464"/>
      <c r="P142" s="464"/>
      <c r="Q142" s="465"/>
      <c r="R142" s="422"/>
      <c r="S142" s="399"/>
      <c r="T142" s="399"/>
    </row>
    <row r="143" spans="1:20" s="81" customFormat="1" ht="15.75" customHeight="1" thickTop="1">
      <c r="A143" s="805"/>
      <c r="B143" s="438" t="s">
        <v>126</v>
      </c>
      <c r="C143" s="48" t="s">
        <v>170</v>
      </c>
      <c r="D143" s="448">
        <v>75.2</v>
      </c>
      <c r="E143" s="41">
        <f>6.9536-6.7921</f>
        <v>0.1615000000000002</v>
      </c>
      <c r="F143" s="261"/>
      <c r="G143" s="449">
        <f>ROUND(D143*E143,2)+0.01</f>
        <v>12.15</v>
      </c>
      <c r="H143" s="303"/>
      <c r="I143" s="23"/>
      <c r="J143" s="23"/>
      <c r="K143" s="304"/>
      <c r="L143" s="263">
        <f>SUM(G143:G145)</f>
        <v>667.18</v>
      </c>
      <c r="M143" s="26">
        <v>667.18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806"/>
      <c r="B144" s="442"/>
      <c r="C144" s="48" t="s">
        <v>171</v>
      </c>
      <c r="D144" s="448">
        <v>0.2</v>
      </c>
      <c r="E144" s="41">
        <v>6.9535999999999998</v>
      </c>
      <c r="F144" s="261"/>
      <c r="G144" s="449">
        <f t="shared" ref="G144:G145" si="15">ROUND(D144*E144,2)</f>
        <v>1.39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833"/>
      <c r="B145" s="698"/>
      <c r="C145" s="99" t="s">
        <v>29</v>
      </c>
      <c r="D145" s="596">
        <v>94</v>
      </c>
      <c r="E145" s="56">
        <v>6.9535999999999998</v>
      </c>
      <c r="F145" s="41"/>
      <c r="G145" s="39">
        <f t="shared" si="15"/>
        <v>653.64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0" s="81" customFormat="1" ht="15.75" customHeight="1">
      <c r="A146" s="686"/>
      <c r="B146" s="699" t="s">
        <v>133</v>
      </c>
      <c r="C146" s="48" t="s">
        <v>170</v>
      </c>
      <c r="D146" s="471">
        <v>220.5</v>
      </c>
      <c r="E146" s="41">
        <f>6.9536-6.7921</f>
        <v>0.1615000000000002</v>
      </c>
      <c r="F146" s="473"/>
      <c r="G146" s="449">
        <f>ROUND(D146*E146,2)</f>
        <v>35.61</v>
      </c>
      <c r="H146" s="303"/>
      <c r="I146" s="23"/>
      <c r="J146" s="23"/>
      <c r="K146" s="304"/>
      <c r="L146" s="263">
        <f>SUM(G146:G148)</f>
        <v>3730.06</v>
      </c>
      <c r="M146" s="26">
        <v>3730.06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.75" customHeight="1">
      <c r="A147" s="686"/>
      <c r="B147" s="469"/>
      <c r="C147" s="48" t="s">
        <v>171</v>
      </c>
      <c r="D147" s="471">
        <v>1.3</v>
      </c>
      <c r="E147" s="41">
        <v>6.9535999999999998</v>
      </c>
      <c r="F147" s="473"/>
      <c r="G147" s="449">
        <f>ROUND(D147*E147,2)</f>
        <v>9.0399999999999991</v>
      </c>
      <c r="H147" s="260"/>
      <c r="I147" s="261"/>
      <c r="J147" s="261"/>
      <c r="K147" s="262"/>
      <c r="L147" s="286"/>
      <c r="M147" s="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834"/>
      <c r="B148" s="702"/>
      <c r="C148" s="99" t="s">
        <v>29</v>
      </c>
      <c r="D148" s="703">
        <v>530</v>
      </c>
      <c r="E148" s="56">
        <v>6.9535999999999998</v>
      </c>
      <c r="F148" s="704"/>
      <c r="G148" s="39">
        <f t="shared" ref="G148" si="16">ROUND(D148*E148,2)</f>
        <v>3685.41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>
      <c r="A149" s="686"/>
      <c r="B149" s="699" t="s">
        <v>134</v>
      </c>
      <c r="C149" s="48" t="s">
        <v>170</v>
      </c>
      <c r="D149" s="471">
        <v>636.5</v>
      </c>
      <c r="E149" s="41">
        <f>6.9536-6.7921</f>
        <v>0.1615000000000002</v>
      </c>
      <c r="F149" s="473"/>
      <c r="G149" s="449">
        <f>ROUND(D149*E149,2)+0.01</f>
        <v>102.80000000000001</v>
      </c>
      <c r="H149" s="303"/>
      <c r="I149" s="23"/>
      <c r="J149" s="23"/>
      <c r="K149" s="304"/>
      <c r="L149" s="263">
        <f>SUM(G149:G151)</f>
        <v>4961.28</v>
      </c>
      <c r="M149" s="26">
        <v>4961.28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686"/>
      <c r="B150" s="469"/>
      <c r="C150" s="48" t="s">
        <v>171</v>
      </c>
      <c r="D150" s="471">
        <v>1.7</v>
      </c>
      <c r="E150" s="41">
        <v>6.9535999999999998</v>
      </c>
      <c r="F150" s="473"/>
      <c r="G150" s="449">
        <f t="shared" ref="G150:G151" si="17">ROUND(D150*E150,2)</f>
        <v>11.82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834"/>
      <c r="B151" s="702"/>
      <c r="C151" s="99" t="s">
        <v>29</v>
      </c>
      <c r="D151" s="703">
        <v>697</v>
      </c>
      <c r="E151" s="56">
        <v>6.9535999999999998</v>
      </c>
      <c r="F151" s="704"/>
      <c r="G151" s="39">
        <f t="shared" si="17"/>
        <v>4846.66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686"/>
      <c r="B152" s="699" t="s">
        <v>140</v>
      </c>
      <c r="C152" s="48" t="s">
        <v>170</v>
      </c>
      <c r="D152" s="471">
        <v>805.9</v>
      </c>
      <c r="E152" s="41">
        <f>6.9536-6.7921</f>
        <v>0.1615000000000002</v>
      </c>
      <c r="F152" s="473"/>
      <c r="G152" s="449">
        <f>ROUND(D152*E152,2)+0.01</f>
        <v>130.16</v>
      </c>
      <c r="H152" s="303"/>
      <c r="I152" s="23"/>
      <c r="J152" s="23"/>
      <c r="K152" s="304"/>
      <c r="L152" s="263">
        <f>SUM(G152:G154)</f>
        <v>6138.76</v>
      </c>
      <c r="M152" s="26">
        <v>6138.76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686"/>
      <c r="B153" s="469"/>
      <c r="C153" s="48" t="s">
        <v>171</v>
      </c>
      <c r="D153" s="471">
        <v>2.1</v>
      </c>
      <c r="E153" s="41">
        <v>6.9535999999999998</v>
      </c>
      <c r="F153" s="473"/>
      <c r="G153" s="449">
        <f>ROUND(D153*E153,2)</f>
        <v>14.6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834"/>
      <c r="B154" s="702"/>
      <c r="C154" s="99" t="s">
        <v>29</v>
      </c>
      <c r="D154" s="703">
        <v>862</v>
      </c>
      <c r="E154" s="56">
        <v>6.9535999999999998</v>
      </c>
      <c r="F154" s="704"/>
      <c r="G154" s="39">
        <f t="shared" ref="G154" si="18">ROUND(D154*E154,2)</f>
        <v>5994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686"/>
      <c r="B155" s="699" t="s">
        <v>141</v>
      </c>
      <c r="C155" s="48" t="s">
        <v>170</v>
      </c>
      <c r="D155" s="471">
        <v>2614.3000000000002</v>
      </c>
      <c r="E155" s="41">
        <f>6.9536-6.7921</f>
        <v>0.1615000000000002</v>
      </c>
      <c r="F155" s="473"/>
      <c r="G155" s="449">
        <f>ROUND(D155*E155,2)</f>
        <v>422.21</v>
      </c>
      <c r="H155" s="303"/>
      <c r="I155" s="23"/>
      <c r="J155" s="23"/>
      <c r="K155" s="304"/>
      <c r="L155" s="263">
        <f>SUM(G155:G157)</f>
        <v>11114.76</v>
      </c>
      <c r="M155" s="26">
        <v>11114.76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686"/>
      <c r="B156" s="469"/>
      <c r="C156" s="48" t="s">
        <v>171</v>
      </c>
      <c r="D156" s="471">
        <v>3.7</v>
      </c>
      <c r="E156" s="41">
        <v>6.9535999999999998</v>
      </c>
      <c r="F156" s="473"/>
      <c r="G156" s="449">
        <f>ROUND(D156*E156,2)</f>
        <v>25.73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834"/>
      <c r="B157" s="702"/>
      <c r="C157" s="99" t="s">
        <v>29</v>
      </c>
      <c r="D157" s="703">
        <v>1534</v>
      </c>
      <c r="E157" s="56">
        <v>6.9535999999999998</v>
      </c>
      <c r="F157" s="704"/>
      <c r="G157" s="39">
        <f t="shared" ref="G157" si="19">ROUND(D157*E157,2)</f>
        <v>10666.82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686"/>
      <c r="B158" s="699" t="s">
        <v>147</v>
      </c>
      <c r="C158" s="48" t="s">
        <v>170</v>
      </c>
      <c r="D158" s="471">
        <v>126.3</v>
      </c>
      <c r="E158" s="41">
        <f>6.9536-6.7921</f>
        <v>0.1615000000000002</v>
      </c>
      <c r="F158" s="473"/>
      <c r="G158" s="449">
        <f>ROUND(D158*E158,2)-0.01</f>
        <v>20.389999999999997</v>
      </c>
      <c r="H158" s="303"/>
      <c r="I158" s="23"/>
      <c r="J158" s="23"/>
      <c r="K158" s="304"/>
      <c r="L158" s="263">
        <f>SUM(G158:G160)</f>
        <v>1002.94</v>
      </c>
      <c r="M158" s="26">
        <v>1002.94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686"/>
      <c r="B159" s="469"/>
      <c r="C159" s="48" t="s">
        <v>171</v>
      </c>
      <c r="D159" s="471">
        <v>0.3</v>
      </c>
      <c r="E159" s="41">
        <v>6.9535999999999998</v>
      </c>
      <c r="F159" s="473"/>
      <c r="G159" s="449">
        <f>ROUND(D159*E159,2)</f>
        <v>2.09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834"/>
      <c r="B160" s="702"/>
      <c r="C160" s="99" t="s">
        <v>29</v>
      </c>
      <c r="D160" s="703">
        <v>141</v>
      </c>
      <c r="E160" s="56">
        <v>6.9535999999999998</v>
      </c>
      <c r="F160" s="704"/>
      <c r="G160" s="39">
        <f t="shared" ref="G160" si="20">ROUND(D160*E160,2)</f>
        <v>980.46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686"/>
      <c r="B161" s="699" t="s">
        <v>154</v>
      </c>
      <c r="C161" s="48" t="s">
        <v>170</v>
      </c>
      <c r="D161" s="471">
        <v>264.60000000000002</v>
      </c>
      <c r="E161" s="41">
        <f>6.9536-6.7921</f>
        <v>0.1615000000000002</v>
      </c>
      <c r="F161" s="473"/>
      <c r="G161" s="449">
        <f>ROUND(D161*E161,2)</f>
        <v>42.73</v>
      </c>
      <c r="H161" s="303"/>
      <c r="I161" s="23"/>
      <c r="J161" s="23"/>
      <c r="K161" s="304"/>
      <c r="L161" s="263">
        <f>SUM(G161:G163)</f>
        <v>2071.1</v>
      </c>
      <c r="M161" s="26">
        <v>2071.1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686"/>
      <c r="B162" s="469"/>
      <c r="C162" s="48" t="s">
        <v>171</v>
      </c>
      <c r="D162" s="471">
        <v>0.7</v>
      </c>
      <c r="E162" s="41">
        <v>6.9535999999999998</v>
      </c>
      <c r="F162" s="473"/>
      <c r="G162" s="449">
        <f>ROUND(D162*E162,2)</f>
        <v>4.87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834"/>
      <c r="B163" s="702"/>
      <c r="C163" s="99" t="s">
        <v>29</v>
      </c>
      <c r="D163" s="703">
        <v>291</v>
      </c>
      <c r="E163" s="56">
        <v>6.9535999999999998</v>
      </c>
      <c r="F163" s="704"/>
      <c r="G163" s="39">
        <f t="shared" ref="G163" si="21">ROUND(D163*E163,2)</f>
        <v>2023.5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686"/>
      <c r="B164" s="699" t="s">
        <v>155</v>
      </c>
      <c r="C164" s="48" t="s">
        <v>170</v>
      </c>
      <c r="D164" s="471">
        <v>0</v>
      </c>
      <c r="E164" s="41">
        <f>6.9536-6.7921</f>
        <v>0.1615000000000002</v>
      </c>
      <c r="F164" s="473"/>
      <c r="G164" s="449">
        <f>ROUND(D164*E164,2)</f>
        <v>0</v>
      </c>
      <c r="H164" s="303"/>
      <c r="I164" s="23"/>
      <c r="J164" s="23"/>
      <c r="K164" s="304"/>
      <c r="L164" s="263">
        <f>SUM(G164:G166)</f>
        <v>0</v>
      </c>
      <c r="M164" s="26">
        <v>0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686"/>
      <c r="B165" s="469"/>
      <c r="C165" s="48" t="s">
        <v>171</v>
      </c>
      <c r="D165" s="471">
        <v>0</v>
      </c>
      <c r="E165" s="41">
        <v>6.9535999999999998</v>
      </c>
      <c r="F165" s="473"/>
      <c r="G165" s="449">
        <f>ROUND(D165*E165,2)</f>
        <v>0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834"/>
      <c r="B166" s="702"/>
      <c r="C166" s="99" t="s">
        <v>29</v>
      </c>
      <c r="D166" s="703">
        <v>0</v>
      </c>
      <c r="E166" s="56">
        <v>6.9535999999999998</v>
      </c>
      <c r="F166" s="704"/>
      <c r="G166" s="39">
        <f t="shared" ref="G166" si="22">ROUND(D166*E166,2)</f>
        <v>0</v>
      </c>
      <c r="H166" s="280"/>
      <c r="I166" s="281"/>
      <c r="J166" s="281"/>
      <c r="K166" s="282"/>
      <c r="L166" s="204"/>
      <c r="M166" s="371"/>
      <c r="N166" s="426"/>
      <c r="O166" s="416"/>
      <c r="P166" s="416"/>
      <c r="Q166" s="417"/>
      <c r="R166" s="422"/>
      <c r="S166" s="399"/>
      <c r="T166" s="399"/>
    </row>
    <row r="167" spans="1:20" s="81" customFormat="1" ht="15.75" customHeight="1">
      <c r="A167" s="686"/>
      <c r="B167" s="699" t="s">
        <v>160</v>
      </c>
      <c r="C167" s="48" t="s">
        <v>170</v>
      </c>
      <c r="D167" s="471">
        <v>13.03</v>
      </c>
      <c r="E167" s="41">
        <f>6.9536-6.7921</f>
        <v>0.1615000000000002</v>
      </c>
      <c r="F167" s="473"/>
      <c r="G167" s="449">
        <f>ROUND(D167*E167,2)-0.02</f>
        <v>2.08</v>
      </c>
      <c r="H167" s="303"/>
      <c r="I167" s="23"/>
      <c r="J167" s="23"/>
      <c r="K167" s="304"/>
      <c r="L167" s="263">
        <f>SUM(G167:G169)</f>
        <v>225.17000000000002</v>
      </c>
      <c r="M167" s="26">
        <v>225.17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.75" customHeight="1">
      <c r="A168" s="686"/>
      <c r="B168" s="469"/>
      <c r="C168" s="48" t="s">
        <v>171</v>
      </c>
      <c r="D168" s="471">
        <v>0.08</v>
      </c>
      <c r="E168" s="41">
        <v>6.9535999999999998</v>
      </c>
      <c r="F168" s="473"/>
      <c r="G168" s="449">
        <f>ROUND(D168*E168,2)+0.01</f>
        <v>0.57000000000000006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0" s="81" customFormat="1" ht="15.75" customHeight="1" thickBot="1">
      <c r="A169" s="834"/>
      <c r="B169" s="702"/>
      <c r="C169" s="99" t="s">
        <v>29</v>
      </c>
      <c r="D169" s="703">
        <v>32</v>
      </c>
      <c r="E169" s="56">
        <v>6.9535999999999998</v>
      </c>
      <c r="F169" s="704"/>
      <c r="G169" s="39">
        <f t="shared" ref="G169" si="23">ROUND(D169*E169,2)</f>
        <v>222.52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customHeight="1">
      <c r="A170" s="686"/>
      <c r="B170" s="699" t="s">
        <v>161</v>
      </c>
      <c r="C170" s="48" t="s">
        <v>170</v>
      </c>
      <c r="D170" s="471">
        <v>190.5</v>
      </c>
      <c r="E170" s="41">
        <f>6.9536-6.7921</f>
        <v>0.1615000000000002</v>
      </c>
      <c r="F170" s="473"/>
      <c r="G170" s="449">
        <f>ROUND(D170*E170,2)</f>
        <v>30.77</v>
      </c>
      <c r="H170" s="303"/>
      <c r="I170" s="23"/>
      <c r="J170" s="23"/>
      <c r="K170" s="304"/>
      <c r="L170" s="263">
        <f>SUM(G170:G172)</f>
        <v>4394.1499999999996</v>
      </c>
      <c r="M170" s="26">
        <v>4394.1499999999996</v>
      </c>
      <c r="N170" s="421"/>
      <c r="O170" s="77"/>
      <c r="P170" s="77"/>
      <c r="Q170" s="384"/>
      <c r="R170" s="422"/>
      <c r="S170" s="399"/>
      <c r="T170" s="399"/>
    </row>
    <row r="171" spans="1:20" s="81" customFormat="1" ht="15.75" customHeight="1">
      <c r="A171" s="686"/>
      <c r="B171" s="469"/>
      <c r="C171" s="48" t="s">
        <v>171</v>
      </c>
      <c r="D171" s="471">
        <v>1.5</v>
      </c>
      <c r="E171" s="41">
        <v>6.9535999999999998</v>
      </c>
      <c r="F171" s="473"/>
      <c r="G171" s="449">
        <f>ROUND(D171*E171,2)</f>
        <v>10.43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834"/>
      <c r="B172" s="702"/>
      <c r="C172" s="99" t="s">
        <v>29</v>
      </c>
      <c r="D172" s="703">
        <v>626</v>
      </c>
      <c r="E172" s="56">
        <v>6.9535999999999998</v>
      </c>
      <c r="F172" s="704"/>
      <c r="G172" s="39">
        <f t="shared" ref="G172" si="24">ROUND(D172*E172,2)</f>
        <v>4352.95</v>
      </c>
      <c r="H172" s="280"/>
      <c r="I172" s="281"/>
      <c r="J172" s="281"/>
      <c r="K172" s="282"/>
      <c r="L172" s="204"/>
      <c r="M172" s="371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686"/>
      <c r="B173" s="699" t="s">
        <v>162</v>
      </c>
      <c r="C173" s="48" t="s">
        <v>170</v>
      </c>
      <c r="D173" s="471">
        <v>1369.3</v>
      </c>
      <c r="E173" s="41">
        <f>6.9536-6.7921</f>
        <v>0.1615000000000002</v>
      </c>
      <c r="F173" s="473"/>
      <c r="G173" s="449">
        <f>ROUND(D173*E173,2)</f>
        <v>221.14</v>
      </c>
      <c r="H173" s="303"/>
      <c r="I173" s="23"/>
      <c r="J173" s="23"/>
      <c r="K173" s="304"/>
      <c r="L173" s="263">
        <f>SUM(G173:G175)</f>
        <v>18949.96</v>
      </c>
      <c r="M173" s="26">
        <v>18949.96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686"/>
      <c r="B174" s="469"/>
      <c r="C174" s="48" t="s">
        <v>171</v>
      </c>
      <c r="D174" s="471">
        <v>6.4</v>
      </c>
      <c r="E174" s="41">
        <v>6.9535999999999998</v>
      </c>
      <c r="F174" s="473"/>
      <c r="G174" s="449">
        <f>ROUND(D174*E174,2)</f>
        <v>44.5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834"/>
      <c r="B175" s="702"/>
      <c r="C175" s="99" t="s">
        <v>29</v>
      </c>
      <c r="D175" s="703">
        <v>2687</v>
      </c>
      <c r="E175" s="56">
        <v>6.9535999999999998</v>
      </c>
      <c r="F175" s="704"/>
      <c r="G175" s="39">
        <f t="shared" ref="G175" si="25">ROUND(D175*E175,2)</f>
        <v>18684.32</v>
      </c>
      <c r="H175" s="280"/>
      <c r="I175" s="281"/>
      <c r="J175" s="281"/>
      <c r="K175" s="282"/>
      <c r="L175" s="204"/>
      <c r="M175" s="371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686"/>
      <c r="B176" s="699" t="s">
        <v>167</v>
      </c>
      <c r="C176" s="48" t="s">
        <v>170</v>
      </c>
      <c r="D176" s="471">
        <v>34.1</v>
      </c>
      <c r="E176" s="41">
        <f>6.9536-6.7921</f>
        <v>0.1615000000000002</v>
      </c>
      <c r="F176" s="473"/>
      <c r="G176" s="449">
        <f>ROUND(D176*E176,2)</f>
        <v>5.51</v>
      </c>
      <c r="H176" s="303"/>
      <c r="I176" s="23"/>
      <c r="J176" s="23"/>
      <c r="K176" s="304"/>
      <c r="L176" s="263">
        <f>SUM(G176:G178)</f>
        <v>444.97999999999996</v>
      </c>
      <c r="M176" s="26">
        <v>444.98</v>
      </c>
      <c r="N176" s="421"/>
      <c r="O176" s="77"/>
      <c r="P176" s="77"/>
      <c r="Q176" s="384"/>
      <c r="R176" s="422"/>
      <c r="S176" s="399"/>
      <c r="T176" s="399"/>
    </row>
    <row r="177" spans="1:21" s="81" customFormat="1" ht="15.75" customHeight="1">
      <c r="A177" s="686"/>
      <c r="B177" s="469"/>
      <c r="C177" s="48" t="s">
        <v>171</v>
      </c>
      <c r="D177" s="471">
        <v>0.2</v>
      </c>
      <c r="E177" s="41">
        <v>6.9535999999999998</v>
      </c>
      <c r="F177" s="473"/>
      <c r="G177" s="449">
        <f>ROUND(D177*E177,2)</f>
        <v>1.39</v>
      </c>
      <c r="H177" s="260"/>
      <c r="I177" s="261"/>
      <c r="J177" s="261"/>
      <c r="K177" s="262"/>
      <c r="L177" s="286"/>
      <c r="M177" s="90"/>
      <c r="N177" s="423"/>
      <c r="O177" s="406"/>
      <c r="P177" s="406"/>
      <c r="Q177" s="407"/>
      <c r="R177" s="422"/>
      <c r="S177" s="399"/>
      <c r="T177" s="399"/>
    </row>
    <row r="178" spans="1:21" s="81" customFormat="1" ht="15.75" customHeight="1" thickBot="1">
      <c r="A178" s="834"/>
      <c r="B178" s="702"/>
      <c r="C178" s="99" t="s">
        <v>29</v>
      </c>
      <c r="D178" s="703">
        <v>63</v>
      </c>
      <c r="E178" s="56">
        <v>6.9535999999999998</v>
      </c>
      <c r="F178" s="704"/>
      <c r="G178" s="39">
        <f t="shared" ref="G178" si="26">ROUND(D178*E178,2)</f>
        <v>438.08</v>
      </c>
      <c r="H178" s="280"/>
      <c r="I178" s="281"/>
      <c r="J178" s="281"/>
      <c r="K178" s="282"/>
      <c r="L178" s="204"/>
      <c r="M178" s="371"/>
      <c r="N178" s="426"/>
      <c r="O178" s="416"/>
      <c r="P178" s="416"/>
      <c r="Q178" s="417"/>
      <c r="R178" s="422"/>
      <c r="S178" s="399"/>
      <c r="T178" s="399"/>
    </row>
    <row r="179" spans="1:21" s="81" customFormat="1" ht="15.75" customHeight="1">
      <c r="A179" s="686"/>
      <c r="B179" s="699" t="s">
        <v>168</v>
      </c>
      <c r="C179" s="48" t="s">
        <v>170</v>
      </c>
      <c r="D179" s="471">
        <v>114.3</v>
      </c>
      <c r="E179" s="41">
        <f>6.9536-6.7921</f>
        <v>0.1615000000000002</v>
      </c>
      <c r="F179" s="473"/>
      <c r="G179" s="449">
        <f>ROUND(D179*E179,2)-0.01</f>
        <v>18.45</v>
      </c>
      <c r="H179" s="303"/>
      <c r="I179" s="23"/>
      <c r="J179" s="23"/>
      <c r="K179" s="304"/>
      <c r="L179" s="263">
        <f>SUM(G179:G181)</f>
        <v>931.45999999999992</v>
      </c>
      <c r="M179" s="26">
        <v>931.46</v>
      </c>
      <c r="N179" s="421"/>
      <c r="O179" s="77"/>
      <c r="P179" s="77"/>
      <c r="Q179" s="384"/>
      <c r="R179" s="422"/>
      <c r="S179" s="399"/>
      <c r="T179" s="399"/>
    </row>
    <row r="180" spans="1:21" s="81" customFormat="1" ht="15.75" customHeight="1">
      <c r="A180" s="686"/>
      <c r="B180" s="469"/>
      <c r="C180" s="48" t="s">
        <v>171</v>
      </c>
      <c r="D180" s="471">
        <v>0.3</v>
      </c>
      <c r="E180" s="41">
        <v>6.9535999999999998</v>
      </c>
      <c r="F180" s="473"/>
      <c r="G180" s="449">
        <f>ROUND(D180*E180,2)</f>
        <v>2.09</v>
      </c>
      <c r="H180" s="260"/>
      <c r="I180" s="261"/>
      <c r="J180" s="261"/>
      <c r="K180" s="262"/>
      <c r="L180" s="286"/>
      <c r="M180" s="90"/>
      <c r="N180" s="423"/>
      <c r="O180" s="406"/>
      <c r="P180" s="406"/>
      <c r="Q180" s="407"/>
      <c r="R180" s="422"/>
      <c r="S180" s="399"/>
      <c r="T180" s="399"/>
    </row>
    <row r="181" spans="1:21" s="81" customFormat="1" ht="15.75" customHeight="1" thickBot="1">
      <c r="A181" s="834"/>
      <c r="B181" s="702"/>
      <c r="C181" s="99" t="s">
        <v>29</v>
      </c>
      <c r="D181" s="703">
        <v>131</v>
      </c>
      <c r="E181" s="56">
        <v>6.9535999999999998</v>
      </c>
      <c r="F181" s="704"/>
      <c r="G181" s="39">
        <f t="shared" ref="G181" si="27">ROUND(D181*E181,2)</f>
        <v>910.92</v>
      </c>
      <c r="H181" s="280"/>
      <c r="I181" s="281"/>
      <c r="J181" s="281"/>
      <c r="K181" s="282"/>
      <c r="L181" s="204"/>
      <c r="M181" s="371"/>
      <c r="N181" s="426"/>
      <c r="O181" s="416"/>
      <c r="P181" s="416"/>
      <c r="Q181" s="417"/>
      <c r="R181" s="422"/>
      <c r="S181" s="399"/>
      <c r="T181" s="399"/>
    </row>
    <row r="182" spans="1:21" s="81" customFormat="1" ht="15.75" customHeight="1">
      <c r="A182" s="686"/>
      <c r="B182" s="699" t="s">
        <v>175</v>
      </c>
      <c r="C182" s="48" t="s">
        <v>170</v>
      </c>
      <c r="D182" s="471">
        <v>0</v>
      </c>
      <c r="E182" s="41">
        <f>6.9536-6.7921</f>
        <v>0.1615000000000002</v>
      </c>
      <c r="F182" s="473"/>
      <c r="G182" s="449">
        <f>ROUND(D182*E182,2)</f>
        <v>0</v>
      </c>
      <c r="H182" s="303"/>
      <c r="I182" s="23"/>
      <c r="J182" s="23"/>
      <c r="K182" s="304"/>
      <c r="L182" s="263">
        <f>SUM(G182:G184)</f>
        <v>682.84</v>
      </c>
      <c r="M182" s="26">
        <v>682.84</v>
      </c>
      <c r="N182" s="421"/>
      <c r="O182" s="77"/>
      <c r="P182" s="77"/>
      <c r="Q182" s="384"/>
      <c r="R182" s="422"/>
      <c r="S182" s="399"/>
      <c r="T182" s="399"/>
    </row>
    <row r="183" spans="1:21" s="81" customFormat="1" ht="15.75" customHeight="1">
      <c r="A183" s="686"/>
      <c r="B183" s="469"/>
      <c r="C183" s="48" t="s">
        <v>171</v>
      </c>
      <c r="D183" s="471">
        <v>0.2</v>
      </c>
      <c r="E183" s="41">
        <v>6.9535999999999998</v>
      </c>
      <c r="F183" s="473"/>
      <c r="G183" s="449">
        <f>ROUND(D183*E183,2)</f>
        <v>1.39</v>
      </c>
      <c r="H183" s="260"/>
      <c r="I183" s="261"/>
      <c r="J183" s="261"/>
      <c r="K183" s="262"/>
      <c r="L183" s="286"/>
      <c r="M183" s="90"/>
      <c r="N183" s="423"/>
      <c r="O183" s="406"/>
      <c r="P183" s="406"/>
      <c r="Q183" s="407"/>
      <c r="R183" s="422"/>
      <c r="S183" s="399"/>
      <c r="T183" s="399"/>
    </row>
    <row r="184" spans="1:21" s="81" customFormat="1" ht="15.75" customHeight="1" thickBot="1">
      <c r="A184" s="834"/>
      <c r="B184" s="702"/>
      <c r="C184" s="99" t="s">
        <v>29</v>
      </c>
      <c r="D184" s="703">
        <v>98</v>
      </c>
      <c r="E184" s="56">
        <v>6.9535999999999998</v>
      </c>
      <c r="F184" s="704"/>
      <c r="G184" s="39">
        <f t="shared" ref="G184" si="28">ROUND(D184*E184,2)</f>
        <v>681.45</v>
      </c>
      <c r="H184" s="280"/>
      <c r="I184" s="281"/>
      <c r="J184" s="281"/>
      <c r="K184" s="282"/>
      <c r="L184" s="204"/>
      <c r="M184" s="371"/>
      <c r="N184" s="426"/>
      <c r="O184" s="416"/>
      <c r="P184" s="416"/>
      <c r="Q184" s="417"/>
      <c r="R184" s="422"/>
      <c r="S184" s="399"/>
      <c r="T184" s="399"/>
    </row>
    <row r="185" spans="1:21" s="81" customFormat="1" ht="15.75" customHeight="1" thickBot="1">
      <c r="A185" s="686"/>
      <c r="B185" s="469"/>
      <c r="C185" s="470"/>
      <c r="D185" s="471"/>
      <c r="E185" s="472"/>
      <c r="F185" s="473"/>
      <c r="G185" s="474"/>
      <c r="H185" s="473"/>
      <c r="I185" s="473"/>
      <c r="J185" s="473"/>
      <c r="K185" s="473"/>
      <c r="L185" s="473"/>
      <c r="M185" s="475"/>
      <c r="N185" s="399"/>
      <c r="O185" s="399"/>
      <c r="P185" s="399"/>
      <c r="Q185" s="399"/>
      <c r="R185" s="422"/>
      <c r="S185" s="399"/>
      <c r="T185" s="399"/>
    </row>
    <row r="186" spans="1:21" s="81" customFormat="1" ht="15" customHeight="1" thickTop="1">
      <c r="A186" s="476"/>
      <c r="B186" s="158"/>
      <c r="C186" s="322"/>
      <c r="D186" s="477"/>
      <c r="E186" s="163"/>
      <c r="F186" s="163"/>
      <c r="G186" s="478"/>
      <c r="H186" s="163"/>
      <c r="I186" s="163"/>
      <c r="J186" s="163"/>
      <c r="K186" s="163"/>
      <c r="L186" s="163"/>
      <c r="M186" s="164"/>
      <c r="N186" s="479"/>
      <c r="O186" s="479"/>
      <c r="P186" s="479"/>
      <c r="Q186" s="479"/>
      <c r="R186" s="480"/>
      <c r="S186" s="479"/>
      <c r="T186" s="399"/>
    </row>
    <row r="187" spans="1:21" ht="21.75" thickBot="1">
      <c r="A187" s="171" t="s">
        <v>84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s="2"/>
      <c r="O187" s="2"/>
      <c r="P187" s="2"/>
      <c r="Q187" s="2"/>
      <c r="R187" s="2"/>
      <c r="S187" s="2"/>
      <c r="T187" s="2"/>
    </row>
    <row r="188" spans="1:21" ht="15.75" customHeight="1" thickTop="1" thickBot="1">
      <c r="A188" s="1540" t="s">
        <v>1</v>
      </c>
      <c r="B188" s="1542" t="s">
        <v>2</v>
      </c>
      <c r="C188" s="1544" t="s">
        <v>3</v>
      </c>
      <c r="D188" s="1546" t="s">
        <v>4</v>
      </c>
      <c r="E188" s="1546"/>
      <c r="F188" s="1546"/>
      <c r="G188" s="1546"/>
      <c r="H188" s="1547" t="s">
        <v>5</v>
      </c>
      <c r="I188" s="1548"/>
      <c r="J188" s="1548"/>
      <c r="K188" s="1549"/>
      <c r="L188" s="1524" t="s">
        <v>6</v>
      </c>
      <c r="M188" s="1511" t="s">
        <v>7</v>
      </c>
      <c r="N188" s="1551" t="s">
        <v>8</v>
      </c>
      <c r="O188" s="1551"/>
      <c r="P188" s="1551"/>
      <c r="Q188" s="1552" t="s">
        <v>18</v>
      </c>
      <c r="R188" s="481" t="s">
        <v>85</v>
      </c>
      <c r="S188" s="482" t="s">
        <v>20</v>
      </c>
      <c r="T188" s="482" t="s">
        <v>21</v>
      </c>
    </row>
    <row r="189" spans="1:21" ht="40.5" customHeight="1" thickTop="1" thickBot="1">
      <c r="A189" s="1541"/>
      <c r="B189" s="1543"/>
      <c r="C189" s="1545" t="s">
        <v>10</v>
      </c>
      <c r="D189" s="483" t="s">
        <v>11</v>
      </c>
      <c r="E189" s="484" t="s">
        <v>12</v>
      </c>
      <c r="F189" s="484" t="s">
        <v>13</v>
      </c>
      <c r="G189" s="485" t="s">
        <v>14</v>
      </c>
      <c r="H189" s="483" t="s">
        <v>11</v>
      </c>
      <c r="I189" s="486" t="s">
        <v>15</v>
      </c>
      <c r="J189" s="485"/>
      <c r="K189" s="487" t="s">
        <v>16</v>
      </c>
      <c r="L189" s="1525"/>
      <c r="M189" s="1550"/>
      <c r="N189" s="488" t="s">
        <v>14</v>
      </c>
      <c r="O189" s="485"/>
      <c r="P189" s="489" t="s">
        <v>18</v>
      </c>
      <c r="Q189" s="490" t="s">
        <v>19</v>
      </c>
      <c r="R189" s="491"/>
      <c r="S189" s="492"/>
      <c r="T189" s="492"/>
    </row>
    <row r="190" spans="1:21">
      <c r="A190" s="835">
        <v>501</v>
      </c>
      <c r="B190" s="494" t="s">
        <v>86</v>
      </c>
      <c r="C190" s="71"/>
      <c r="D190" s="495">
        <v>38</v>
      </c>
      <c r="E190" s="21">
        <v>36.214199999999998</v>
      </c>
      <c r="F190" s="21">
        <v>42.4328</v>
      </c>
      <c r="G190" s="185">
        <f>ROUND(D190*(E190+F190),2)</f>
        <v>2988.59</v>
      </c>
      <c r="H190" s="496"/>
      <c r="I190" s="73">
        <v>0.85</v>
      </c>
      <c r="J190" s="73">
        <f>+H190*I190</f>
        <v>0</v>
      </c>
      <c r="K190" s="497"/>
      <c r="L190" s="498">
        <f>+SUM(G190:G197,C197)</f>
        <v>59639.162400000001</v>
      </c>
      <c r="M190" s="26">
        <v>59639.16</v>
      </c>
      <c r="N190" s="499"/>
      <c r="O190" s="500"/>
      <c r="P190" s="501" t="s">
        <v>87</v>
      </c>
      <c r="Q190" s="304">
        <f t="shared" ref="Q190:Q208" si="29">C190+G190+J190-M190-N190-O190</f>
        <v>-56650.570000000007</v>
      </c>
      <c r="R190" s="502" t="s">
        <v>88</v>
      </c>
      <c r="S190" s="503"/>
      <c r="T190" s="504"/>
      <c r="U190" s="33"/>
    </row>
    <row r="191" spans="1:21" ht="15.75" thickBot="1">
      <c r="A191" s="836"/>
      <c r="B191" s="506"/>
      <c r="C191" s="507"/>
      <c r="D191" s="508"/>
      <c r="E191" s="38">
        <f>32.332-28.8628</f>
        <v>3.4692000000000007</v>
      </c>
      <c r="F191" s="38">
        <f>37.8898-33.8306</f>
        <v>4.0592000000000041</v>
      </c>
      <c r="G191" s="50">
        <f>ROUND(D191*(E191+F191),2)</f>
        <v>0</v>
      </c>
      <c r="H191" s="448"/>
      <c r="I191" s="509"/>
      <c r="J191" s="409"/>
      <c r="K191" s="510"/>
      <c r="L191" s="511"/>
      <c r="M191" s="512"/>
      <c r="N191" s="513"/>
      <c r="O191" s="514"/>
      <c r="P191" s="515"/>
      <c r="Q191" s="262"/>
      <c r="R191" s="502"/>
      <c r="S191" s="503"/>
      <c r="T191" s="504"/>
      <c r="U191" s="33"/>
    </row>
    <row r="192" spans="1:21">
      <c r="A192" s="836"/>
      <c r="B192" s="516" t="s">
        <v>89</v>
      </c>
      <c r="C192" s="512" t="s">
        <v>90</v>
      </c>
      <c r="D192" s="508">
        <v>8</v>
      </c>
      <c r="E192" s="101">
        <v>304.86</v>
      </c>
      <c r="F192" s="21">
        <v>42.4328</v>
      </c>
      <c r="G192" s="50">
        <f>D192*(E192+F192)</f>
        <v>2778.3424</v>
      </c>
      <c r="H192" s="270"/>
      <c r="I192" s="41">
        <v>128.56</v>
      </c>
      <c r="J192" s="409">
        <f>+H192*I192</f>
        <v>0</v>
      </c>
      <c r="K192" s="510"/>
      <c r="L192" s="517"/>
      <c r="M192" s="99"/>
      <c r="N192" s="518"/>
      <c r="O192" s="519"/>
      <c r="P192" s="515" t="s">
        <v>87</v>
      </c>
      <c r="Q192" s="271">
        <f>+G192+J192-M192-N192-O192</f>
        <v>2778.3424</v>
      </c>
      <c r="R192" s="502" t="s">
        <v>88</v>
      </c>
      <c r="S192" s="503"/>
      <c r="T192" s="504"/>
    </row>
    <row r="193" spans="1:21">
      <c r="A193" s="836"/>
      <c r="B193" s="506" t="s">
        <v>91</v>
      </c>
      <c r="C193" s="507"/>
      <c r="D193" s="508">
        <v>0</v>
      </c>
      <c r="E193" s="41">
        <f>304.86-291.8</f>
        <v>13.060000000000002</v>
      </c>
      <c r="F193" s="38"/>
      <c r="G193" s="50">
        <f>ROUND(D193*(E193+F193),2)</f>
        <v>0</v>
      </c>
      <c r="H193" s="432"/>
      <c r="I193" s="362"/>
      <c r="J193" s="409"/>
      <c r="K193" s="510"/>
      <c r="L193" s="517"/>
      <c r="M193" s="520"/>
      <c r="N193" s="521"/>
      <c r="O193" s="522"/>
      <c r="P193" s="523"/>
      <c r="Q193" s="362"/>
      <c r="R193" s="502"/>
      <c r="S193" s="503"/>
      <c r="T193" s="504"/>
    </row>
    <row r="194" spans="1:21">
      <c r="A194" s="836"/>
      <c r="B194" s="506" t="s">
        <v>91</v>
      </c>
      <c r="C194" s="507"/>
      <c r="D194" s="508"/>
      <c r="E194" s="38"/>
      <c r="F194" s="41"/>
      <c r="G194" s="50">
        <f>D194*(E194+F194)</f>
        <v>0</v>
      </c>
      <c r="H194" s="432"/>
      <c r="I194" s="362"/>
      <c r="J194" s="409"/>
      <c r="K194" s="510"/>
      <c r="L194" s="517"/>
      <c r="M194" s="520"/>
      <c r="N194" s="521"/>
      <c r="O194" s="522"/>
      <c r="P194" s="523"/>
      <c r="Q194" s="362"/>
      <c r="R194" s="502"/>
      <c r="S194" s="503"/>
      <c r="T194" s="504"/>
    </row>
    <row r="195" spans="1:21">
      <c r="A195" s="836"/>
      <c r="B195" s="506" t="s">
        <v>92</v>
      </c>
      <c r="C195" s="48" t="s">
        <v>170</v>
      </c>
      <c r="D195" s="508">
        <v>7378</v>
      </c>
      <c r="E195" s="41">
        <f>7.0207-6.6426</f>
        <v>0.37809999999999988</v>
      </c>
      <c r="F195" s="41">
        <f>+E195</f>
        <v>0.37809999999999988</v>
      </c>
      <c r="G195" s="39">
        <f>ROUNDDOWN(D195*E195,2)-0.01</f>
        <v>2789.6099999999997</v>
      </c>
      <c r="H195" s="432"/>
      <c r="I195" s="362"/>
      <c r="J195" s="41"/>
      <c r="K195" s="510"/>
      <c r="L195" s="517"/>
      <c r="M195" s="520"/>
      <c r="N195" s="521"/>
      <c r="O195" s="522"/>
      <c r="P195" s="523"/>
      <c r="Q195" s="362"/>
      <c r="R195" s="502"/>
      <c r="S195" s="503"/>
      <c r="T195" s="504"/>
    </row>
    <row r="196" spans="1:21">
      <c r="A196" s="836"/>
      <c r="B196" s="506"/>
      <c r="C196" s="48" t="s">
        <v>171</v>
      </c>
      <c r="D196" s="508">
        <v>309</v>
      </c>
      <c r="E196" s="41">
        <v>7.0206999999999997</v>
      </c>
      <c r="F196" s="41">
        <f>+E196</f>
        <v>7.0206999999999997</v>
      </c>
      <c r="G196" s="39">
        <f>ROUND(D196*E196,2)</f>
        <v>2169.4</v>
      </c>
      <c r="H196" s="432"/>
      <c r="I196" s="362"/>
      <c r="J196" s="207"/>
      <c r="K196" s="524"/>
      <c r="L196" s="517"/>
      <c r="M196" s="520"/>
      <c r="N196" s="521"/>
      <c r="O196" s="522"/>
      <c r="P196" s="523"/>
      <c r="Q196" s="362"/>
      <c r="R196" s="502"/>
      <c r="S196" s="503"/>
      <c r="T196" s="504"/>
    </row>
    <row r="197" spans="1:21" ht="15.75" thickBot="1">
      <c r="A197" s="837"/>
      <c r="B197" s="526"/>
      <c r="C197" s="99" t="s">
        <v>29</v>
      </c>
      <c r="D197" s="55">
        <v>6967</v>
      </c>
      <c r="E197" s="56">
        <v>7.0206999999999997</v>
      </c>
      <c r="F197" s="57">
        <f>+E197</f>
        <v>7.0206999999999997</v>
      </c>
      <c r="G197" s="58">
        <f>ROUND(D197*E197,2)</f>
        <v>48913.22</v>
      </c>
      <c r="H197" s="248"/>
      <c r="I197" s="203"/>
      <c r="J197" s="60"/>
      <c r="K197" s="61"/>
      <c r="L197" s="249"/>
      <c r="M197" s="54"/>
      <c r="N197" s="527"/>
      <c r="O197" s="528"/>
      <c r="P197" s="529" t="s">
        <v>87</v>
      </c>
      <c r="Q197" s="282">
        <f>+G197+J197-M197-N197-O197</f>
        <v>48913.22</v>
      </c>
      <c r="R197" s="530" t="s">
        <v>88</v>
      </c>
      <c r="S197" s="531">
        <f>SUM(N190:N197)+O190:O197</f>
        <v>0</v>
      </c>
      <c r="T197" s="531">
        <f>SUM(Q190:Q197)</f>
        <v>-4959.0076000000045</v>
      </c>
      <c r="U197" s="33"/>
    </row>
    <row r="198" spans="1:21" ht="15.75" thickTop="1">
      <c r="A198" s="838" t="s">
        <v>93</v>
      </c>
      <c r="B198" s="532" t="s">
        <v>94</v>
      </c>
      <c r="C198" s="71">
        <f>+[1]дек!U51</f>
        <v>-6.0000000303261913E-4</v>
      </c>
      <c r="D198" s="213">
        <v>59</v>
      </c>
      <c r="E198" s="21">
        <v>36.214199999999998</v>
      </c>
      <c r="F198" s="21">
        <v>42.4328</v>
      </c>
      <c r="G198" s="214">
        <f>ROUND(D198*(E198+F198),2)</f>
        <v>4640.17</v>
      </c>
      <c r="H198" s="496"/>
      <c r="I198" s="73">
        <v>0.85</v>
      </c>
      <c r="J198" s="73">
        <f>H198*I198</f>
        <v>0</v>
      </c>
      <c r="K198" s="497"/>
      <c r="L198" s="533">
        <f>+SUM(G198:G205,)+J198+J200</f>
        <v>55565.68</v>
      </c>
      <c r="M198" s="26">
        <v>55565.68</v>
      </c>
      <c r="N198" s="534"/>
      <c r="O198" s="535"/>
      <c r="P198" s="536" t="s">
        <v>87</v>
      </c>
      <c r="Q198" s="537">
        <f t="shared" si="29"/>
        <v>-50925.510600000001</v>
      </c>
      <c r="R198" s="538" t="s">
        <v>95</v>
      </c>
      <c r="S198" s="539"/>
      <c r="T198" s="540"/>
      <c r="U198" s="33"/>
    </row>
    <row r="199" spans="1:21" ht="15.75" thickBot="1">
      <c r="A199" s="571"/>
      <c r="B199" s="541"/>
      <c r="C199" s="542" t="s">
        <v>96</v>
      </c>
      <c r="D199" s="234"/>
      <c r="E199" s="38">
        <f>32.332-28.8628</f>
        <v>3.4692000000000007</v>
      </c>
      <c r="F199" s="38">
        <f>37.8898-33.8306</f>
        <v>4.0592000000000041</v>
      </c>
      <c r="G199" s="235">
        <f>ROUND(D199*(E199+F199),2)</f>
        <v>0</v>
      </c>
      <c r="H199" s="448"/>
      <c r="I199" s="509"/>
      <c r="J199" s="509"/>
      <c r="K199" s="543"/>
      <c r="L199" s="544"/>
      <c r="M199" s="545"/>
      <c r="N199" s="546"/>
      <c r="O199" s="547"/>
      <c r="P199" s="548"/>
      <c r="Q199" s="549"/>
      <c r="R199" s="550"/>
      <c r="S199" s="551"/>
      <c r="T199" s="552"/>
      <c r="U199" s="33"/>
    </row>
    <row r="200" spans="1:21">
      <c r="A200" s="571"/>
      <c r="B200" s="516" t="s">
        <v>32</v>
      </c>
      <c r="C200" s="99" t="s">
        <v>90</v>
      </c>
      <c r="D200" s="234">
        <v>4</v>
      </c>
      <c r="E200" s="101">
        <v>304.86</v>
      </c>
      <c r="F200" s="21">
        <v>42.4328</v>
      </c>
      <c r="G200" s="235">
        <f>ROUND(D200*(E200+F200),2)</f>
        <v>1389.17</v>
      </c>
      <c r="H200" s="270"/>
      <c r="I200" s="41">
        <v>128.56</v>
      </c>
      <c r="J200" s="41">
        <f>ROUND(H200*I200,2)</f>
        <v>0</v>
      </c>
      <c r="K200" s="510"/>
      <c r="L200" s="553"/>
      <c r="M200" s="554"/>
      <c r="N200" s="555"/>
      <c r="O200" s="556"/>
      <c r="P200" s="557" t="s">
        <v>87</v>
      </c>
      <c r="Q200" s="558">
        <f>+G200+J200-M200-N200-O200</f>
        <v>1389.17</v>
      </c>
      <c r="R200" s="550" t="s">
        <v>95</v>
      </c>
      <c r="S200" s="551"/>
      <c r="T200" s="552"/>
    </row>
    <row r="201" spans="1:21">
      <c r="A201" s="571"/>
      <c r="B201" s="541"/>
      <c r="C201" s="84" t="s">
        <v>97</v>
      </c>
      <c r="D201" s="234"/>
      <c r="E201" s="41">
        <f>304.86-291.8</f>
        <v>13.060000000000002</v>
      </c>
      <c r="F201" s="38"/>
      <c r="G201" s="50">
        <f>ROUND(D201*E201,2)</f>
        <v>0</v>
      </c>
      <c r="H201" s="432"/>
      <c r="I201" s="362"/>
      <c r="J201" s="41"/>
      <c r="K201" s="510"/>
      <c r="L201" s="559"/>
      <c r="M201" s="560"/>
      <c r="N201" s="561"/>
      <c r="O201" s="562"/>
      <c r="P201" s="563"/>
      <c r="Q201" s="564"/>
      <c r="R201" s="550"/>
      <c r="S201" s="551"/>
      <c r="T201" s="552"/>
    </row>
    <row r="202" spans="1:21">
      <c r="A202" s="571"/>
      <c r="B202" s="541"/>
      <c r="C202" s="84" t="s">
        <v>97</v>
      </c>
      <c r="D202" s="234"/>
      <c r="E202" s="38"/>
      <c r="F202" s="240"/>
      <c r="G202" s="50">
        <f>D202*(E202+F202)</f>
        <v>0</v>
      </c>
      <c r="H202" s="432"/>
      <c r="I202" s="362"/>
      <c r="J202" s="41"/>
      <c r="K202" s="510"/>
      <c r="L202" s="559"/>
      <c r="M202" s="560"/>
      <c r="N202" s="561"/>
      <c r="O202" s="562"/>
      <c r="P202" s="563"/>
      <c r="Q202" s="564"/>
      <c r="R202" s="550"/>
      <c r="S202" s="551"/>
      <c r="T202" s="552"/>
    </row>
    <row r="203" spans="1:21">
      <c r="A203" s="571"/>
      <c r="B203" s="541"/>
      <c r="C203" s="48" t="s">
        <v>170</v>
      </c>
      <c r="D203" s="37">
        <v>6940</v>
      </c>
      <c r="E203" s="41">
        <f>7.0207-6.6426</f>
        <v>0.37809999999999988</v>
      </c>
      <c r="F203" s="41">
        <f>+E203</f>
        <v>0.37809999999999988</v>
      </c>
      <c r="G203" s="235">
        <f>ROUND(D203*E203,2)+0.01</f>
        <v>2624.0200000000004</v>
      </c>
      <c r="H203" s="565"/>
      <c r="I203" s="564"/>
      <c r="J203" s="566"/>
      <c r="K203" s="567"/>
      <c r="L203" s="559"/>
      <c r="M203" s="560"/>
      <c r="N203" s="561"/>
      <c r="O203" s="562"/>
      <c r="P203" s="563"/>
      <c r="Q203" s="564"/>
      <c r="R203" s="550"/>
      <c r="S203" s="551"/>
      <c r="T203" s="552"/>
      <c r="U203" s="352"/>
    </row>
    <row r="204" spans="1:21">
      <c r="A204" s="571"/>
      <c r="B204" s="541"/>
      <c r="C204" s="48" t="s">
        <v>171</v>
      </c>
      <c r="D204" s="37">
        <v>283</v>
      </c>
      <c r="E204" s="41">
        <v>7.0206999999999997</v>
      </c>
      <c r="F204" s="41">
        <f>+E204</f>
        <v>7.0206999999999997</v>
      </c>
      <c r="G204" s="235">
        <f>ROUND(D204*E204,2)</f>
        <v>1986.86</v>
      </c>
      <c r="H204" s="565"/>
      <c r="I204" s="564"/>
      <c r="J204" s="566"/>
      <c r="K204" s="567"/>
      <c r="L204" s="559"/>
      <c r="M204" s="560"/>
      <c r="N204" s="561"/>
      <c r="O204" s="562"/>
      <c r="P204" s="563"/>
      <c r="Q204" s="564"/>
      <c r="R204" s="550"/>
      <c r="S204" s="551"/>
      <c r="T204" s="552"/>
      <c r="U204" s="33"/>
    </row>
    <row r="205" spans="1:21" ht="15.75" thickBot="1">
      <c r="A205" s="839"/>
      <c r="B205" s="568"/>
      <c r="C205" s="99" t="s">
        <v>29</v>
      </c>
      <c r="D205" s="246">
        <v>6399</v>
      </c>
      <c r="E205" s="56">
        <v>7.0206999999999997</v>
      </c>
      <c r="F205" s="57">
        <f>+E205</f>
        <v>7.0206999999999997</v>
      </c>
      <c r="G205" s="247">
        <f>ROUND(D205*E205,2)</f>
        <v>44925.46</v>
      </c>
      <c r="H205" s="248"/>
      <c r="I205" s="203"/>
      <c r="J205" s="60"/>
      <c r="K205" s="61"/>
      <c r="L205" s="204"/>
      <c r="M205" s="560"/>
      <c r="N205" s="561"/>
      <c r="O205" s="528"/>
      <c r="P205" s="529" t="s">
        <v>87</v>
      </c>
      <c r="Q205" s="564">
        <f>+G205+J205-M205-N205-O205</f>
        <v>44925.46</v>
      </c>
      <c r="R205" s="550" t="s">
        <v>95</v>
      </c>
      <c r="S205" s="569">
        <f>SUM(N198:N205)+O198:O205</f>
        <v>0</v>
      </c>
      <c r="T205" s="570">
        <f>SUM(Q200:Q205)</f>
        <v>46314.63</v>
      </c>
    </row>
    <row r="206" spans="1:21" ht="15.75" hidden="1" outlineLevel="1" thickBot="1">
      <c r="A206" s="571"/>
      <c r="B206" s="572" t="s">
        <v>98</v>
      </c>
      <c r="C206" s="573" t="s">
        <v>99</v>
      </c>
      <c r="D206" s="574"/>
      <c r="E206" s="575">
        <f>3.193-2.9732</f>
        <v>0.21980000000000022</v>
      </c>
      <c r="F206" s="575">
        <f>3.193-2.9732</f>
        <v>0.21980000000000022</v>
      </c>
      <c r="G206" s="576">
        <f>D206*E206*70%+D206*F206*30%</f>
        <v>0</v>
      </c>
      <c r="H206" s="577"/>
      <c r="I206" s="578"/>
      <c r="J206" s="579"/>
      <c r="K206" s="579"/>
      <c r="L206" s="580"/>
      <c r="M206" s="581"/>
      <c r="N206" s="582"/>
      <c r="O206" s="535"/>
      <c r="P206" s="536"/>
      <c r="Q206" s="583"/>
      <c r="R206" s="584"/>
      <c r="S206" s="569"/>
      <c r="T206" s="585"/>
    </row>
    <row r="207" spans="1:21" s="81" customFormat="1" ht="16.5" hidden="1" customHeight="1" outlineLevel="1" thickBot="1">
      <c r="A207" s="586" t="s">
        <v>100</v>
      </c>
      <c r="B207" s="587" t="s">
        <v>98</v>
      </c>
      <c r="C207" s="588">
        <f>+[1]авг!C52</f>
        <v>0</v>
      </c>
      <c r="D207" s="589"/>
      <c r="E207" s="575">
        <v>3.1930000000000001</v>
      </c>
      <c r="F207" s="575">
        <f>+E207</f>
        <v>3.1930000000000001</v>
      </c>
      <c r="G207" s="576">
        <f>D207*E207*70%+D207*F207*30%</f>
        <v>0</v>
      </c>
      <c r="H207" s="579"/>
      <c r="I207" s="579"/>
      <c r="J207" s="579"/>
      <c r="K207" s="579"/>
      <c r="L207" s="579">
        <f>+C207+G207+G206</f>
        <v>0</v>
      </c>
      <c r="M207" s="590">
        <v>0</v>
      </c>
      <c r="N207" s="500"/>
      <c r="O207" s="528"/>
      <c r="P207" s="529" t="s">
        <v>87</v>
      </c>
      <c r="Q207" s="591">
        <f t="shared" si="29"/>
        <v>0</v>
      </c>
      <c r="R207" s="592" t="s">
        <v>101</v>
      </c>
      <c r="S207" s="77">
        <f>SUM(N207:N207)+SUM(O207:O207)</f>
        <v>0</v>
      </c>
      <c r="T207" s="593">
        <f>SUM(Q207:Q207)</f>
        <v>0</v>
      </c>
    </row>
    <row r="208" spans="1:21" ht="15.75" collapsed="1" thickTop="1">
      <c r="A208" s="836">
        <v>115</v>
      </c>
      <c r="B208" s="494" t="s">
        <v>102</v>
      </c>
      <c r="C208" s="71">
        <f>+[1]дек!U57</f>
        <v>0</v>
      </c>
      <c r="D208" s="495">
        <v>29</v>
      </c>
      <c r="E208" s="21">
        <v>36.214199999999998</v>
      </c>
      <c r="F208" s="21">
        <v>42.4328</v>
      </c>
      <c r="G208" s="185">
        <f>ROUND(D208*(E208+F208),2)</f>
        <v>2280.7600000000002</v>
      </c>
      <c r="H208" s="496"/>
      <c r="I208" s="73">
        <v>0.85</v>
      </c>
      <c r="J208" s="73">
        <f>+H208*I208</f>
        <v>0</v>
      </c>
      <c r="K208" s="497"/>
      <c r="L208" s="498">
        <f>SUM(G208:G214)+SUM(J208:J213)</f>
        <v>27171.32</v>
      </c>
      <c r="M208" s="26">
        <v>27171.32</v>
      </c>
      <c r="N208" s="594"/>
      <c r="O208" s="535"/>
      <c r="P208" s="536" t="s">
        <v>87</v>
      </c>
      <c r="Q208" s="595">
        <f t="shared" si="29"/>
        <v>-24890.559999999998</v>
      </c>
      <c r="R208" s="502" t="s">
        <v>88</v>
      </c>
      <c r="S208" s="503"/>
      <c r="T208" s="504"/>
      <c r="U208" s="33">
        <f>+M208-L208</f>
        <v>0</v>
      </c>
    </row>
    <row r="209" spans="1:21" ht="15.75" thickBot="1">
      <c r="A209" s="836"/>
      <c r="B209" s="506"/>
      <c r="C209" s="542"/>
      <c r="D209" s="508"/>
      <c r="E209" s="38">
        <f>32.332-28.8628</f>
        <v>3.4692000000000007</v>
      </c>
      <c r="F209" s="38">
        <f>37.8898-33.8306</f>
        <v>4.0592000000000041</v>
      </c>
      <c r="G209" s="50">
        <f>ROUND(D209*(E209+F209),2)</f>
        <v>0</v>
      </c>
      <c r="H209" s="596"/>
      <c r="I209" s="409"/>
      <c r="J209" s="509"/>
      <c r="K209" s="543"/>
      <c r="L209" s="511"/>
      <c r="M209" s="99"/>
      <c r="N209" s="513"/>
      <c r="O209" s="514"/>
      <c r="P209" s="515"/>
      <c r="Q209" s="262"/>
      <c r="R209" s="502"/>
      <c r="S209" s="503"/>
      <c r="T209" s="504"/>
    </row>
    <row r="210" spans="1:21">
      <c r="A210" s="836"/>
      <c r="B210" s="516" t="s">
        <v>103</v>
      </c>
      <c r="C210" s="99" t="s">
        <v>90</v>
      </c>
      <c r="D210" s="508">
        <v>3</v>
      </c>
      <c r="E210" s="101">
        <v>304.86</v>
      </c>
      <c r="F210" s="21">
        <v>42.4328</v>
      </c>
      <c r="G210" s="50">
        <f>ROUND(D210*(E210+F210),2)</f>
        <v>1041.8800000000001</v>
      </c>
      <c r="H210" s="270"/>
      <c r="I210" s="41">
        <v>128.56</v>
      </c>
      <c r="J210" s="409">
        <f>+H210*I210</f>
        <v>0</v>
      </c>
      <c r="K210" s="510"/>
      <c r="L210" s="597"/>
      <c r="M210" s="99"/>
      <c r="N210" s="518"/>
      <c r="O210" s="519"/>
      <c r="P210" s="515" t="s">
        <v>87</v>
      </c>
      <c r="Q210" s="271">
        <f>+G210+J210-M210-N210-O210</f>
        <v>1041.8800000000001</v>
      </c>
      <c r="R210" s="502" t="s">
        <v>88</v>
      </c>
      <c r="S210" s="503"/>
      <c r="T210" s="504"/>
    </row>
    <row r="211" spans="1:21">
      <c r="A211" s="836"/>
      <c r="B211" s="506"/>
      <c r="C211" s="390" t="s">
        <v>97</v>
      </c>
      <c r="D211" s="508">
        <v>0</v>
      </c>
      <c r="E211" s="41">
        <f>304.86-291.8</f>
        <v>13.060000000000002</v>
      </c>
      <c r="F211" s="38"/>
      <c r="G211" s="50">
        <f>D211*(E211+F211)</f>
        <v>0</v>
      </c>
      <c r="H211" s="432"/>
      <c r="I211" s="362"/>
      <c r="J211" s="41"/>
      <c r="K211" s="510"/>
      <c r="L211" s="597"/>
      <c r="M211" s="99"/>
      <c r="N211" s="521"/>
      <c r="O211" s="522"/>
      <c r="P211" s="523"/>
      <c r="Q211" s="362"/>
      <c r="R211" s="502"/>
      <c r="S211" s="503"/>
      <c r="T211" s="504"/>
    </row>
    <row r="212" spans="1:21">
      <c r="A212" s="836"/>
      <c r="B212" s="506"/>
      <c r="C212" s="48" t="s">
        <v>170</v>
      </c>
      <c r="D212" s="37">
        <v>2765</v>
      </c>
      <c r="E212" s="41">
        <f>7.0207-6.6426</f>
        <v>0.37809999999999988</v>
      </c>
      <c r="F212" s="297">
        <f t="shared" ref="F212:F214" si="30">+E212</f>
        <v>0.37809999999999988</v>
      </c>
      <c r="G212" s="39">
        <f>ROUND(D212*(E212+F212)/2,2)-0.01</f>
        <v>1045.44</v>
      </c>
      <c r="H212" s="432"/>
      <c r="I212" s="362"/>
      <c r="J212" s="41"/>
      <c r="K212" s="510"/>
      <c r="L212" s="597"/>
      <c r="M212" s="99"/>
      <c r="N212" s="521"/>
      <c r="O212" s="522"/>
      <c r="P212" s="523"/>
      <c r="Q212" s="362"/>
      <c r="R212" s="502"/>
      <c r="S212" s="503"/>
      <c r="T212" s="504"/>
    </row>
    <row r="213" spans="1:21">
      <c r="A213" s="836"/>
      <c r="B213" s="506"/>
      <c r="C213" s="48" t="s">
        <v>171</v>
      </c>
      <c r="D213" s="37">
        <v>138</v>
      </c>
      <c r="E213" s="41">
        <v>7.0206999999999997</v>
      </c>
      <c r="F213" s="298">
        <f t="shared" si="30"/>
        <v>7.0206999999999997</v>
      </c>
      <c r="G213" s="39">
        <f>ROUND(D213*E213,2)</f>
        <v>968.86</v>
      </c>
      <c r="H213" s="432"/>
      <c r="I213" s="362"/>
      <c r="J213" s="41"/>
      <c r="K213" s="510"/>
      <c r="L213" s="597"/>
      <c r="M213" s="99"/>
      <c r="N213" s="521"/>
      <c r="O213" s="522"/>
      <c r="P213" s="523"/>
      <c r="Q213" s="362"/>
      <c r="R213" s="502"/>
      <c r="S213" s="503"/>
      <c r="T213" s="504"/>
    </row>
    <row r="214" spans="1:21" ht="15.75" thickBot="1">
      <c r="A214" s="836"/>
      <c r="B214" s="526"/>
      <c r="C214" s="99" t="s">
        <v>29</v>
      </c>
      <c r="D214" s="55">
        <v>3110</v>
      </c>
      <c r="E214" s="56">
        <v>7.0206999999999997</v>
      </c>
      <c r="F214" s="57">
        <f t="shared" si="30"/>
        <v>7.0206999999999997</v>
      </c>
      <c r="G214" s="414">
        <f>ROUND(D214*E214,2)</f>
        <v>21834.38</v>
      </c>
      <c r="H214" s="248"/>
      <c r="I214" s="203"/>
      <c r="J214" s="60"/>
      <c r="K214" s="61"/>
      <c r="L214" s="249"/>
      <c r="M214" s="54"/>
      <c r="N214" s="527"/>
      <c r="O214" s="528"/>
      <c r="P214" s="529" t="s">
        <v>87</v>
      </c>
      <c r="Q214" s="58">
        <f>+G214+J214-M214-N214-O214</f>
        <v>21834.38</v>
      </c>
      <c r="R214" s="502" t="s">
        <v>88</v>
      </c>
      <c r="S214" s="598">
        <f>SUM(N208:N214)+O208:O214</f>
        <v>0</v>
      </c>
      <c r="T214" s="598">
        <f>SUM(Q208:Q214)</f>
        <v>-2014.2999999999956</v>
      </c>
    </row>
    <row r="215" spans="1:21">
      <c r="A215" s="705"/>
      <c r="B215" s="494" t="s">
        <v>104</v>
      </c>
      <c r="C215" s="71">
        <f>+[1]дек!U66</f>
        <v>0</v>
      </c>
      <c r="D215" s="495">
        <v>33</v>
      </c>
      <c r="E215" s="21">
        <v>36.214199999999998</v>
      </c>
      <c r="F215" s="21">
        <v>42.4328</v>
      </c>
      <c r="G215" s="185">
        <f>ROUND(D215*(E215+F215),2)</f>
        <v>2595.35</v>
      </c>
      <c r="H215" s="496"/>
      <c r="I215" s="73">
        <v>0.85</v>
      </c>
      <c r="J215" s="73">
        <f>+H215*I215</f>
        <v>0</v>
      </c>
      <c r="K215" s="497"/>
      <c r="L215" s="439">
        <f>SUM(G215:G222)+SUM(J215:J221)</f>
        <v>23311.15</v>
      </c>
      <c r="M215" s="26">
        <v>23311.15</v>
      </c>
      <c r="N215" s="499"/>
      <c r="O215" s="500"/>
      <c r="P215" s="501" t="s">
        <v>87</v>
      </c>
      <c r="Q215" s="185">
        <f t="shared" ref="Q215" si="31">C215+G215+J215-M215-N215-O215</f>
        <v>-20715.800000000003</v>
      </c>
      <c r="R215" s="502" t="s">
        <v>88</v>
      </c>
      <c r="S215" s="503"/>
      <c r="T215" s="504"/>
    </row>
    <row r="216" spans="1:21" ht="15.75" thickBot="1">
      <c r="A216" s="705"/>
      <c r="B216" s="506"/>
      <c r="C216" s="599" t="s">
        <v>96</v>
      </c>
      <c r="D216" s="234"/>
      <c r="E216" s="38">
        <f>32.332-28.8628</f>
        <v>3.4692000000000007</v>
      </c>
      <c r="F216" s="38">
        <f>37.8898-33.8306</f>
        <v>4.0592000000000041</v>
      </c>
      <c r="G216" s="235">
        <f>ROUND(D216*(E216+F216),2)</f>
        <v>0</v>
      </c>
      <c r="H216" s="448"/>
      <c r="I216" s="509"/>
      <c r="J216" s="409"/>
      <c r="K216" s="510"/>
      <c r="L216" s="48"/>
      <c r="M216" s="512"/>
      <c r="N216" s="513"/>
      <c r="O216" s="514"/>
      <c r="P216" s="515"/>
      <c r="Q216" s="262"/>
      <c r="R216" s="502"/>
      <c r="S216" s="503"/>
      <c r="T216" s="504"/>
    </row>
    <row r="217" spans="1:21">
      <c r="A217" s="705"/>
      <c r="B217" s="516" t="s">
        <v>89</v>
      </c>
      <c r="C217" s="512" t="s">
        <v>90</v>
      </c>
      <c r="D217" s="508">
        <v>4</v>
      </c>
      <c r="E217" s="101">
        <v>304.86</v>
      </c>
      <c r="F217" s="21">
        <v>42.4328</v>
      </c>
      <c r="G217" s="50">
        <f>ROUND(D217*(E217+F217),2)</f>
        <v>1389.17</v>
      </c>
      <c r="H217" s="270"/>
      <c r="I217" s="41">
        <v>128.56</v>
      </c>
      <c r="J217" s="409">
        <f>ROUND(H217*I217,2)</f>
        <v>0</v>
      </c>
      <c r="K217" s="510"/>
      <c r="L217" s="600"/>
      <c r="M217" s="99"/>
      <c r="N217" s="518"/>
      <c r="O217" s="519"/>
      <c r="P217" s="515" t="s">
        <v>87</v>
      </c>
      <c r="Q217" s="271">
        <f>+G217+J217-M217-N217-O217</f>
        <v>1389.17</v>
      </c>
      <c r="R217" s="502" t="s">
        <v>88</v>
      </c>
      <c r="S217" s="503"/>
      <c r="T217" s="504"/>
    </row>
    <row r="218" spans="1:21">
      <c r="A218" s="705"/>
      <c r="B218" s="541"/>
      <c r="C218" s="84" t="s">
        <v>97</v>
      </c>
      <c r="D218" s="508"/>
      <c r="E218" s="41">
        <f>304.86-291.8</f>
        <v>13.060000000000002</v>
      </c>
      <c r="F218" s="38"/>
      <c r="G218" s="50">
        <f>ROUND(D218*(E218+F218),2)</f>
        <v>0</v>
      </c>
      <c r="H218" s="432"/>
      <c r="I218" s="362"/>
      <c r="J218" s="41"/>
      <c r="K218" s="510"/>
      <c r="L218" s="600"/>
      <c r="M218" s="520"/>
      <c r="N218" s="521"/>
      <c r="O218" s="522"/>
      <c r="P218" s="523"/>
      <c r="Q218" s="362"/>
      <c r="R218" s="502"/>
      <c r="S218" s="503"/>
      <c r="T218" s="504"/>
    </row>
    <row r="219" spans="1:21">
      <c r="A219" s="705"/>
      <c r="B219" s="541"/>
      <c r="C219" s="84" t="s">
        <v>97</v>
      </c>
      <c r="D219" s="508"/>
      <c r="E219" s="41"/>
      <c r="F219" s="41"/>
      <c r="G219" s="50">
        <f>D219*(E219+F219)</f>
        <v>0</v>
      </c>
      <c r="H219" s="432"/>
      <c r="I219" s="362"/>
      <c r="J219" s="41"/>
      <c r="K219" s="510"/>
      <c r="L219" s="600"/>
      <c r="M219" s="520"/>
      <c r="N219" s="521"/>
      <c r="O219" s="522"/>
      <c r="P219" s="523"/>
      <c r="Q219" s="362"/>
      <c r="R219" s="502"/>
      <c r="S219" s="503"/>
      <c r="T219" s="504"/>
    </row>
    <row r="220" spans="1:21">
      <c r="A220" s="705"/>
      <c r="B220" s="506"/>
      <c r="C220" s="48" t="s">
        <v>170</v>
      </c>
      <c r="D220" s="37">
        <v>2336</v>
      </c>
      <c r="E220" s="41">
        <f>7.0207-6.6426</f>
        <v>0.37809999999999988</v>
      </c>
      <c r="F220" s="297">
        <f t="shared" ref="F220:F222" si="32">+E220</f>
        <v>0.37809999999999988</v>
      </c>
      <c r="G220" s="39">
        <f>ROUND(D220*(E220),2)+0.01</f>
        <v>883.25</v>
      </c>
      <c r="H220" s="432"/>
      <c r="I220" s="362"/>
      <c r="J220" s="41"/>
      <c r="K220" s="510"/>
      <c r="L220" s="600"/>
      <c r="M220" s="520"/>
      <c r="N220" s="521"/>
      <c r="O220" s="522"/>
      <c r="P220" s="523"/>
      <c r="Q220" s="362"/>
      <c r="R220" s="502"/>
      <c r="S220" s="503"/>
      <c r="T220" s="504"/>
    </row>
    <row r="221" spans="1:21">
      <c r="A221" s="705"/>
      <c r="B221" s="506"/>
      <c r="C221" s="48" t="s">
        <v>171</v>
      </c>
      <c r="D221" s="37">
        <v>111</v>
      </c>
      <c r="E221" s="41">
        <v>7.0206999999999997</v>
      </c>
      <c r="F221" s="298">
        <f t="shared" si="32"/>
        <v>7.0206999999999997</v>
      </c>
      <c r="G221" s="39">
        <f>ROUND(D221*(E221),2)</f>
        <v>779.3</v>
      </c>
      <c r="H221" s="432"/>
      <c r="I221" s="362"/>
      <c r="J221" s="41"/>
      <c r="K221" s="510"/>
      <c r="L221" s="600"/>
      <c r="M221" s="520"/>
      <c r="N221" s="521"/>
      <c r="O221" s="522"/>
      <c r="P221" s="523"/>
      <c r="Q221" s="362"/>
      <c r="R221" s="502"/>
      <c r="S221" s="503"/>
      <c r="T221" s="504"/>
      <c r="U221" s="33"/>
    </row>
    <row r="222" spans="1:21" ht="15.75" thickBot="1">
      <c r="A222" s="705"/>
      <c r="B222" s="526"/>
      <c r="C222" s="99" t="s">
        <v>29</v>
      </c>
      <c r="D222" s="55">
        <v>2516</v>
      </c>
      <c r="E222" s="56">
        <v>7.0206999999999997</v>
      </c>
      <c r="F222" s="57">
        <f t="shared" si="32"/>
        <v>7.0206999999999997</v>
      </c>
      <c r="G222" s="414">
        <f>ROUND(D222*(E222),2)</f>
        <v>17664.080000000002</v>
      </c>
      <c r="H222" s="248"/>
      <c r="I222" s="203"/>
      <c r="J222" s="60"/>
      <c r="K222" s="61"/>
      <c r="L222" s="204"/>
      <c r="M222" s="54"/>
      <c r="N222" s="527"/>
      <c r="O222" s="528"/>
      <c r="P222" s="529" t="s">
        <v>87</v>
      </c>
      <c r="Q222" s="362">
        <f>+G222+J222-M222-N222-O222</f>
        <v>17664.080000000002</v>
      </c>
      <c r="R222" s="502" t="s">
        <v>88</v>
      </c>
      <c r="S222" s="598">
        <f>SUM(N215:N222)+O215:O222</f>
        <v>0</v>
      </c>
      <c r="T222" s="598">
        <f>SUM(Q215:Q222)</f>
        <v>-1662.5500000000029</v>
      </c>
    </row>
    <row r="223" spans="1:21" ht="15.75" thickTop="1">
      <c r="A223" s="835">
        <v>115</v>
      </c>
      <c r="B223" s="494" t="s">
        <v>105</v>
      </c>
      <c r="C223" s="71">
        <f>+[1]дек!U72</f>
        <v>0</v>
      </c>
      <c r="D223" s="495">
        <v>16</v>
      </c>
      <c r="E223" s="21">
        <v>36.214199999999998</v>
      </c>
      <c r="F223" s="21">
        <v>42.4328</v>
      </c>
      <c r="G223" s="185">
        <f>ROUND(D223*(E223+F223),2)</f>
        <v>1258.3499999999999</v>
      </c>
      <c r="H223" s="496"/>
      <c r="I223" s="73">
        <v>0.85</v>
      </c>
      <c r="J223" s="73">
        <f>+H223*I223</f>
        <v>0</v>
      </c>
      <c r="K223" s="601"/>
      <c r="L223" s="498">
        <f>SUM(G223:G230)+SUM(J223:J229)</f>
        <v>31500.010000000002</v>
      </c>
      <c r="M223" s="26">
        <v>31500.01</v>
      </c>
      <c r="N223" s="499"/>
      <c r="O223" s="500"/>
      <c r="P223" s="501" t="s">
        <v>87</v>
      </c>
      <c r="Q223" s="595">
        <f t="shared" ref="Q223" si="33">C223+G223+J223-M223-N223-O223</f>
        <v>-30241.66</v>
      </c>
    </row>
    <row r="224" spans="1:21" ht="15.75" thickBot="1">
      <c r="A224" s="836"/>
      <c r="B224" s="506"/>
      <c r="C224" s="507" t="s">
        <v>96</v>
      </c>
      <c r="D224" s="234"/>
      <c r="E224" s="38">
        <f>32.332-28.8628</f>
        <v>3.4692000000000007</v>
      </c>
      <c r="F224" s="38">
        <f>37.8898-33.8306</f>
        <v>4.0592000000000041</v>
      </c>
      <c r="G224" s="235">
        <f>ROUND(D224*(E224+F224),2)</f>
        <v>0</v>
      </c>
      <c r="H224" s="448"/>
      <c r="I224" s="509"/>
      <c r="J224" s="199"/>
      <c r="K224" s="517"/>
      <c r="L224" s="511"/>
      <c r="M224" s="512"/>
      <c r="N224" s="513"/>
      <c r="O224" s="514"/>
      <c r="P224" s="515"/>
      <c r="Q224" s="262"/>
      <c r="U224" s="33"/>
    </row>
    <row r="225" spans="1:21">
      <c r="A225" s="836"/>
      <c r="B225" s="516" t="s">
        <v>89</v>
      </c>
      <c r="C225" s="512" t="s">
        <v>90</v>
      </c>
      <c r="D225" s="508"/>
      <c r="E225" s="101">
        <v>304.86</v>
      </c>
      <c r="F225" s="21">
        <v>42.4328</v>
      </c>
      <c r="G225" s="50">
        <f>ROUND(D225*(E225+F225),2)</f>
        <v>0</v>
      </c>
      <c r="H225" s="270"/>
      <c r="I225" s="41">
        <v>128.56</v>
      </c>
      <c r="J225" s="207">
        <f>+H225*I225</f>
        <v>0</v>
      </c>
      <c r="K225" s="517"/>
      <c r="L225" s="517"/>
      <c r="M225" s="99"/>
      <c r="N225" s="518"/>
      <c r="O225" s="519"/>
      <c r="P225" s="515" t="s">
        <v>87</v>
      </c>
      <c r="Q225" s="271">
        <f>+G225+J225-M225-N225-O225</f>
        <v>0</v>
      </c>
    </row>
    <row r="226" spans="1:21">
      <c r="A226" s="836"/>
      <c r="B226" s="541"/>
      <c r="C226" s="84" t="s">
        <v>97</v>
      </c>
      <c r="D226" s="508">
        <v>0</v>
      </c>
      <c r="E226" s="41">
        <f>304.86-291.8</f>
        <v>13.060000000000002</v>
      </c>
      <c r="F226" s="38"/>
      <c r="G226" s="50">
        <f>ROUND(D226*(E226+F226),2)</f>
        <v>0</v>
      </c>
      <c r="H226" s="432"/>
      <c r="I226" s="362"/>
      <c r="J226" s="207"/>
      <c r="K226" s="517"/>
      <c r="L226" s="517"/>
      <c r="M226" s="520"/>
      <c r="N226" s="521"/>
      <c r="O226" s="522"/>
      <c r="P226" s="523"/>
      <c r="Q226" s="362"/>
    </row>
    <row r="227" spans="1:21">
      <c r="A227" s="836"/>
      <c r="B227" s="541"/>
      <c r="C227" s="84"/>
      <c r="D227" s="508"/>
      <c r="E227" s="41"/>
      <c r="F227" s="41"/>
      <c r="G227" s="50"/>
      <c r="H227" s="432"/>
      <c r="I227" s="362"/>
      <c r="J227" s="207"/>
      <c r="K227" s="517"/>
      <c r="L227" s="517"/>
      <c r="M227" s="520"/>
      <c r="N227" s="521"/>
      <c r="O227" s="522"/>
      <c r="P227" s="523"/>
      <c r="Q227" s="362"/>
    </row>
    <row r="228" spans="1:21">
      <c r="A228" s="836"/>
      <c r="B228" s="506"/>
      <c r="C228" s="48" t="s">
        <v>170</v>
      </c>
      <c r="D228" s="37">
        <v>3463</v>
      </c>
      <c r="E228" s="41">
        <f>7.0207-6.6426</f>
        <v>0.37809999999999988</v>
      </c>
      <c r="F228" s="41">
        <f t="shared" ref="F228:F233" si="34">+E228</f>
        <v>0.37809999999999988</v>
      </c>
      <c r="G228" s="39">
        <f>ROUND(D228*E228,2)</f>
        <v>1309.3599999999999</v>
      </c>
      <c r="H228" s="432"/>
      <c r="I228" s="362"/>
      <c r="J228" s="207"/>
      <c r="K228" s="517"/>
      <c r="L228" s="517"/>
      <c r="M228" s="520"/>
      <c r="N228" s="521"/>
      <c r="O228" s="522"/>
      <c r="P228" s="523"/>
      <c r="Q228" s="362"/>
    </row>
    <row r="229" spans="1:21">
      <c r="A229" s="836"/>
      <c r="B229" s="506"/>
      <c r="C229" s="48" t="s">
        <v>171</v>
      </c>
      <c r="D229" s="37">
        <v>175</v>
      </c>
      <c r="E229" s="41">
        <v>7.0206999999999997</v>
      </c>
      <c r="F229" s="41">
        <f t="shared" si="34"/>
        <v>7.0206999999999997</v>
      </c>
      <c r="G229" s="39">
        <f>ROUND(D229*E229,2)</f>
        <v>1228.6199999999999</v>
      </c>
      <c r="H229" s="432"/>
      <c r="I229" s="362"/>
      <c r="J229" s="207"/>
      <c r="K229" s="517"/>
      <c r="L229" s="517"/>
      <c r="M229" s="520"/>
      <c r="N229" s="521"/>
      <c r="O229" s="522"/>
      <c r="P229" s="523"/>
      <c r="Q229" s="362"/>
      <c r="U229" s="33"/>
    </row>
    <row r="230" spans="1:21" ht="15.75" thickBot="1">
      <c r="A230" s="837"/>
      <c r="B230" s="526"/>
      <c r="C230" s="99" t="s">
        <v>29</v>
      </c>
      <c r="D230" s="55">
        <v>3946</v>
      </c>
      <c r="E230" s="56">
        <v>7.0206999999999997</v>
      </c>
      <c r="F230" s="281">
        <f t="shared" si="34"/>
        <v>7.0206999999999997</v>
      </c>
      <c r="G230" s="58">
        <f>ROUND(D230*E230,2)</f>
        <v>27703.68</v>
      </c>
      <c r="H230" s="248"/>
      <c r="I230" s="203"/>
      <c r="J230" s="60"/>
      <c r="K230" s="61"/>
      <c r="L230" s="249"/>
      <c r="M230" s="54"/>
      <c r="N230" s="521"/>
      <c r="O230" s="528"/>
      <c r="P230" s="529" t="s">
        <v>87</v>
      </c>
      <c r="Q230" s="362">
        <f>+G230+J230-M230-N230-O230</f>
        <v>27703.68</v>
      </c>
    </row>
    <row r="231" spans="1:21">
      <c r="A231" s="835">
        <v>301</v>
      </c>
      <c r="B231" s="602" t="s">
        <v>106</v>
      </c>
      <c r="C231" s="48" t="s">
        <v>170</v>
      </c>
      <c r="D231" s="184">
        <v>938.83</v>
      </c>
      <c r="E231" s="41">
        <f>7.0207-6.6426</f>
        <v>0.37809999999999988</v>
      </c>
      <c r="F231" s="23">
        <f t="shared" si="34"/>
        <v>0.37809999999999988</v>
      </c>
      <c r="G231" s="185">
        <f>ROUND(D231*(E231),2)+0.01</f>
        <v>354.98</v>
      </c>
      <c r="H231" s="23"/>
      <c r="I231" s="23"/>
      <c r="J231" s="23"/>
      <c r="K231" s="23"/>
      <c r="L231" s="603">
        <f>SUM(G231:G233)</f>
        <v>6689.6100000000006</v>
      </c>
      <c r="M231" s="187">
        <v>6689.61</v>
      </c>
      <c r="N231" s="604"/>
      <c r="O231" s="500"/>
      <c r="P231" s="501"/>
      <c r="Q231" s="605"/>
    </row>
    <row r="232" spans="1:21">
      <c r="A232" s="836"/>
      <c r="B232" s="506"/>
      <c r="C232" s="48" t="s">
        <v>171</v>
      </c>
      <c r="D232" s="49">
        <v>38.28</v>
      </c>
      <c r="E232" s="41">
        <v>7.0206999999999997</v>
      </c>
      <c r="F232" s="41">
        <f t="shared" si="34"/>
        <v>7.0206999999999997</v>
      </c>
      <c r="G232" s="50">
        <f>ROUND(D232*(E232),2)</f>
        <v>268.75</v>
      </c>
      <c r="H232" s="41"/>
      <c r="I232" s="41"/>
      <c r="J232" s="41"/>
      <c r="K232" s="41"/>
      <c r="L232" s="606"/>
      <c r="M232" s="606"/>
      <c r="N232" s="607"/>
      <c r="O232" s="608"/>
      <c r="P232" s="609"/>
      <c r="Q232" s="610"/>
    </row>
    <row r="233" spans="1:21" ht="15.75" thickBot="1">
      <c r="A233" s="840"/>
      <c r="B233" s="612"/>
      <c r="C233" s="99" t="s">
        <v>29</v>
      </c>
      <c r="D233" s="613">
        <v>864</v>
      </c>
      <c r="E233" s="56">
        <v>7.0206999999999997</v>
      </c>
      <c r="F233" s="281">
        <f t="shared" si="34"/>
        <v>7.0206999999999997</v>
      </c>
      <c r="G233" s="58">
        <f>ROUND(D233*(E233),2)</f>
        <v>6065.88</v>
      </c>
      <c r="H233" s="57"/>
      <c r="I233" s="57"/>
      <c r="J233" s="57"/>
      <c r="K233" s="57"/>
      <c r="L233" s="614"/>
      <c r="M233" s="606"/>
      <c r="N233" s="615"/>
      <c r="O233" s="615"/>
      <c r="P233" s="615"/>
      <c r="Q233" s="616"/>
    </row>
    <row r="234" spans="1:21">
      <c r="A234" s="841"/>
      <c r="B234" s="602" t="s">
        <v>107</v>
      </c>
      <c r="C234" s="618" t="s">
        <v>73</v>
      </c>
      <c r="D234" s="619">
        <v>3</v>
      </c>
      <c r="E234" s="21">
        <v>36.214199999999998</v>
      </c>
      <c r="F234" s="21">
        <v>42.4328</v>
      </c>
      <c r="G234" s="185">
        <f>ROUND(D234*(E234+F234),2)</f>
        <v>235.94</v>
      </c>
      <c r="H234" s="620"/>
      <c r="I234" s="620"/>
      <c r="J234" s="620"/>
      <c r="K234" s="620"/>
      <c r="L234" s="603">
        <f>SUM(G234:G238,J234:J238)</f>
        <v>7483.7300000000005</v>
      </c>
      <c r="M234" s="187">
        <v>7483.73</v>
      </c>
      <c r="N234" s="621"/>
      <c r="O234" s="621"/>
      <c r="P234" s="621"/>
      <c r="Q234" s="622"/>
    </row>
    <row r="235" spans="1:21">
      <c r="A235" s="840"/>
      <c r="B235" s="612"/>
      <c r="C235" s="542" t="s">
        <v>96</v>
      </c>
      <c r="D235" s="234"/>
      <c r="E235" s="38">
        <f>32.332-28.8628</f>
        <v>3.4692000000000007</v>
      </c>
      <c r="F235" s="38">
        <f>37.8898-33.8306</f>
        <v>4.0592000000000041</v>
      </c>
      <c r="G235" s="235">
        <f>ROUND(D235*(E235+F235),2)</f>
        <v>0</v>
      </c>
      <c r="H235" s="298"/>
      <c r="I235" s="298"/>
      <c r="J235" s="298"/>
      <c r="K235" s="298"/>
      <c r="L235" s="606"/>
      <c r="M235" s="606"/>
      <c r="N235" s="615"/>
      <c r="O235" s="615"/>
      <c r="P235" s="615"/>
      <c r="Q235" s="616"/>
    </row>
    <row r="236" spans="1:21">
      <c r="A236" s="840"/>
      <c r="B236" s="612"/>
      <c r="C236" s="48" t="s">
        <v>170</v>
      </c>
      <c r="D236" s="623">
        <v>842</v>
      </c>
      <c r="E236" s="41">
        <f>7.0207-6.6426</f>
        <v>0.37809999999999988</v>
      </c>
      <c r="F236" s="41">
        <f>+E236</f>
        <v>0.37809999999999988</v>
      </c>
      <c r="G236" s="50">
        <f>ROUND(D236*(E236),2)</f>
        <v>318.36</v>
      </c>
      <c r="H236" s="298"/>
      <c r="I236" s="298"/>
      <c r="J236" s="298"/>
      <c r="K236" s="298"/>
      <c r="L236" s="614"/>
      <c r="M236" s="606"/>
      <c r="N236" s="615"/>
      <c r="O236" s="615"/>
      <c r="P236" s="615"/>
      <c r="Q236" s="616"/>
    </row>
    <row r="237" spans="1:21">
      <c r="A237" s="840"/>
      <c r="B237" s="612"/>
      <c r="C237" s="48" t="s">
        <v>171</v>
      </c>
      <c r="D237" s="623">
        <v>42</v>
      </c>
      <c r="E237" s="41">
        <v>7.0206999999999997</v>
      </c>
      <c r="F237" s="41">
        <f>+E237</f>
        <v>7.0206999999999997</v>
      </c>
      <c r="G237" s="39">
        <f>ROUND(D237*(E237),2)</f>
        <v>294.87</v>
      </c>
      <c r="H237" s="298"/>
      <c r="I237" s="298"/>
      <c r="J237" s="298"/>
      <c r="K237" s="298"/>
      <c r="L237" s="614"/>
      <c r="M237" s="273"/>
      <c r="N237" s="615"/>
      <c r="O237" s="615"/>
      <c r="P237" s="615"/>
      <c r="Q237" s="616"/>
    </row>
    <row r="238" spans="1:21" ht="15.75" thickBot="1">
      <c r="A238" s="842"/>
      <c r="B238" s="526"/>
      <c r="C238" s="99" t="s">
        <v>29</v>
      </c>
      <c r="D238" s="625">
        <v>945</v>
      </c>
      <c r="E238" s="56">
        <v>7.0206999999999997</v>
      </c>
      <c r="F238" s="281">
        <f>+E238</f>
        <v>7.0206999999999997</v>
      </c>
      <c r="G238" s="414">
        <f>ROUND(D238*(E238),2)</f>
        <v>6634.56</v>
      </c>
      <c r="H238" s="41"/>
      <c r="I238" s="41"/>
      <c r="J238" s="41"/>
      <c r="K238" s="41"/>
      <c r="L238" s="606"/>
      <c r="M238" s="606"/>
      <c r="N238" s="626"/>
      <c r="O238" s="626"/>
      <c r="P238" s="626"/>
      <c r="Q238" s="627"/>
    </row>
    <row r="239" spans="1:21" ht="15.75" thickTop="1">
      <c r="A239" s="835"/>
      <c r="B239" s="494" t="s">
        <v>108</v>
      </c>
      <c r="C239" s="71">
        <f>+[1]дек!U87</f>
        <v>0</v>
      </c>
      <c r="D239" s="495">
        <v>3</v>
      </c>
      <c r="E239" s="21">
        <v>36.214199999999998</v>
      </c>
      <c r="F239" s="21">
        <v>42.4328</v>
      </c>
      <c r="G239" s="185">
        <f>ROUND(D239*(E239+F239),2)</f>
        <v>235.94</v>
      </c>
      <c r="H239" s="496"/>
      <c r="I239" s="73">
        <v>0.85</v>
      </c>
      <c r="J239" s="73">
        <f>+H239*I239</f>
        <v>0</v>
      </c>
      <c r="K239" s="628"/>
      <c r="L239" s="629">
        <f>SUM(G239:G245)+SUM(J239:J244)</f>
        <v>3175.58</v>
      </c>
      <c r="M239" s="630">
        <v>3175.58</v>
      </c>
      <c r="N239" s="594"/>
      <c r="O239" s="631"/>
      <c r="P239" s="515" t="s">
        <v>87</v>
      </c>
      <c r="Q239" s="595">
        <f t="shared" ref="Q239:Q241" si="35">C239+G239+J239-M239-N239-O239</f>
        <v>-2939.64</v>
      </c>
    </row>
    <row r="240" spans="1:21" ht="15.75" thickBot="1">
      <c r="A240" s="836"/>
      <c r="B240" s="506"/>
      <c r="C240" s="542" t="s">
        <v>96</v>
      </c>
      <c r="D240" s="234"/>
      <c r="E240" s="38">
        <f>32.332-28.8628</f>
        <v>3.4692000000000007</v>
      </c>
      <c r="F240" s="38">
        <f>37.8898-33.8306</f>
        <v>4.0592000000000041</v>
      </c>
      <c r="G240" s="235">
        <f>ROUND(D240*(E240+F240),2)</f>
        <v>0</v>
      </c>
      <c r="H240" s="448"/>
      <c r="I240" s="509"/>
      <c r="J240" s="409"/>
      <c r="K240" s="510"/>
      <c r="L240" s="632"/>
      <c r="M240" s="512"/>
      <c r="N240" s="513"/>
      <c r="O240" s="514"/>
      <c r="P240" s="515"/>
      <c r="Q240" s="262"/>
    </row>
    <row r="241" spans="1:17">
      <c r="A241" s="836"/>
      <c r="B241" s="516" t="s">
        <v>109</v>
      </c>
      <c r="C241" s="633"/>
      <c r="D241" s="508"/>
      <c r="E241" s="101">
        <v>304.86</v>
      </c>
      <c r="F241" s="21">
        <v>42.4328</v>
      </c>
      <c r="G241" s="50">
        <f>D241*(E241+F241)</f>
        <v>0</v>
      </c>
      <c r="H241" s="270"/>
      <c r="I241" s="41">
        <v>128.56</v>
      </c>
      <c r="J241" s="409">
        <f>ROUND(H241*I241,2)</f>
        <v>0</v>
      </c>
      <c r="K241" s="510"/>
      <c r="L241" s="597"/>
      <c r="M241" s="99"/>
      <c r="N241" s="518"/>
      <c r="O241" s="519"/>
      <c r="P241" s="515" t="s">
        <v>87</v>
      </c>
      <c r="Q241" s="271">
        <f t="shared" si="35"/>
        <v>0</v>
      </c>
    </row>
    <row r="242" spans="1:17">
      <c r="A242" s="836"/>
      <c r="B242" s="541"/>
      <c r="C242" s="84" t="s">
        <v>97</v>
      </c>
      <c r="D242" s="508"/>
      <c r="E242" s="41">
        <f>304.86-291.8</f>
        <v>13.060000000000002</v>
      </c>
      <c r="F242" s="41"/>
      <c r="G242" s="50">
        <f>D242*(E242+F242)</f>
        <v>0</v>
      </c>
      <c r="H242" s="432"/>
      <c r="I242" s="362"/>
      <c r="J242" s="207"/>
      <c r="K242" s="510"/>
      <c r="L242" s="597"/>
      <c r="M242" s="520"/>
      <c r="N242" s="521"/>
      <c r="O242" s="522"/>
      <c r="P242" s="523"/>
      <c r="Q242" s="362"/>
    </row>
    <row r="243" spans="1:17">
      <c r="A243" s="836"/>
      <c r="B243" s="506"/>
      <c r="C243" s="48" t="s">
        <v>170</v>
      </c>
      <c r="D243" s="37">
        <v>366</v>
      </c>
      <c r="E243" s="41">
        <f>7.0207-6.6426</f>
        <v>0.37809999999999988</v>
      </c>
      <c r="F243" s="41">
        <f>+E243</f>
        <v>0.37809999999999988</v>
      </c>
      <c r="G243" s="39">
        <f>ROUND(D243*(E243),2)</f>
        <v>138.38</v>
      </c>
      <c r="H243" s="432"/>
      <c r="I243" s="362"/>
      <c r="J243" s="207"/>
      <c r="K243" s="510"/>
      <c r="L243" s="597"/>
      <c r="M243" s="520"/>
      <c r="N243" s="521"/>
      <c r="O243" s="522"/>
      <c r="P243" s="523"/>
      <c r="Q243" s="362"/>
    </row>
    <row r="244" spans="1:17">
      <c r="A244" s="836"/>
      <c r="B244" s="506"/>
      <c r="C244" s="48" t="s">
        <v>171</v>
      </c>
      <c r="D244" s="37">
        <v>17</v>
      </c>
      <c r="E244" s="41">
        <v>7.0206999999999997</v>
      </c>
      <c r="F244" s="41">
        <f>+E244</f>
        <v>7.0206999999999997</v>
      </c>
      <c r="G244" s="39">
        <f t="shared" ref="G244:G249" si="36">ROUND(D244*(E244),2)</f>
        <v>119.35</v>
      </c>
      <c r="H244" s="432"/>
      <c r="I244" s="362"/>
      <c r="J244" s="207"/>
      <c r="K244" s="510"/>
      <c r="L244" s="597"/>
      <c r="M244" s="520"/>
      <c r="N244" s="521"/>
      <c r="O244" s="522"/>
      <c r="P244" s="523"/>
      <c r="Q244" s="362"/>
    </row>
    <row r="245" spans="1:17" ht="15.75" thickBot="1">
      <c r="A245" s="837"/>
      <c r="B245" s="526"/>
      <c r="C245" s="99" t="s">
        <v>29</v>
      </c>
      <c r="D245" s="55">
        <v>382</v>
      </c>
      <c r="E245" s="56">
        <v>7.0206999999999997</v>
      </c>
      <c r="F245" s="281">
        <f>+E245</f>
        <v>7.0206999999999997</v>
      </c>
      <c r="G245" s="414">
        <f t="shared" si="36"/>
        <v>2681.91</v>
      </c>
      <c r="H245" s="248"/>
      <c r="I245" s="203"/>
      <c r="J245" s="60"/>
      <c r="K245" s="61"/>
      <c r="L245" s="249"/>
      <c r="M245" s="54"/>
      <c r="N245" s="527"/>
      <c r="O245" s="528"/>
      <c r="P245" s="529" t="s">
        <v>87</v>
      </c>
      <c r="Q245" s="282">
        <f>+G245+J245-M245-N245-O245</f>
        <v>2681.91</v>
      </c>
    </row>
    <row r="246" spans="1:17">
      <c r="A246" s="835"/>
      <c r="B246" s="602" t="s">
        <v>110</v>
      </c>
      <c r="C246" s="48" t="s">
        <v>170</v>
      </c>
      <c r="D246" s="184">
        <v>319</v>
      </c>
      <c r="E246" s="41">
        <f>7.0207-6.6426</f>
        <v>0.37809999999999988</v>
      </c>
      <c r="F246" s="23">
        <f t="shared" ref="F246:F248" si="37">+E246</f>
        <v>0.37809999999999988</v>
      </c>
      <c r="G246" s="185">
        <f>ROUND(D246*(E246),2)</f>
        <v>120.61</v>
      </c>
      <c r="H246" s="620"/>
      <c r="I246" s="620"/>
      <c r="J246" s="620"/>
      <c r="K246" s="634"/>
      <c r="L246" s="603">
        <f>SUM(G246:G249)</f>
        <v>2304.0500000000002</v>
      </c>
      <c r="M246" s="187">
        <v>2304.0500000000002</v>
      </c>
      <c r="N246" s="604"/>
      <c r="O246" s="635"/>
      <c r="P246" s="636"/>
      <c r="Q246" s="605"/>
    </row>
    <row r="247" spans="1:17">
      <c r="A247" s="836"/>
      <c r="B247" s="506" t="s">
        <v>169</v>
      </c>
      <c r="C247" s="48" t="s">
        <v>171</v>
      </c>
      <c r="D247" s="49">
        <v>13</v>
      </c>
      <c r="E247" s="41">
        <v>7.0206999999999997</v>
      </c>
      <c r="F247" s="41">
        <f t="shared" si="37"/>
        <v>7.0206999999999997</v>
      </c>
      <c r="G247" s="50">
        <f>ROUND(D247*(E247),2)</f>
        <v>91.27</v>
      </c>
      <c r="H247" s="296"/>
      <c r="I247" s="298"/>
      <c r="J247" s="298"/>
      <c r="K247" s="637"/>
      <c r="L247" s="606"/>
      <c r="M247" s="606"/>
      <c r="N247" s="607"/>
      <c r="O247" s="608"/>
      <c r="P247" s="609"/>
      <c r="Q247" s="610"/>
    </row>
    <row r="248" spans="1:17" ht="15.75" thickBot="1">
      <c r="A248" s="840"/>
      <c r="B248" s="506"/>
      <c r="C248" s="99" t="s">
        <v>29</v>
      </c>
      <c r="D248" s="296">
        <v>298</v>
      </c>
      <c r="E248" s="56">
        <v>7.0206999999999997</v>
      </c>
      <c r="F248" s="41">
        <f t="shared" si="37"/>
        <v>7.0206999999999997</v>
      </c>
      <c r="G248" s="50">
        <f t="shared" si="36"/>
        <v>2092.17</v>
      </c>
      <c r="H248" s="296"/>
      <c r="I248" s="298"/>
      <c r="J248" s="298"/>
      <c r="K248" s="637"/>
      <c r="L248" s="614"/>
      <c r="M248" s="606"/>
      <c r="N248" s="615"/>
      <c r="O248" s="615"/>
      <c r="P248" s="615"/>
      <c r="Q248" s="616"/>
    </row>
    <row r="249" spans="1:17" ht="15.75" thickBot="1">
      <c r="A249" s="843"/>
      <c r="B249" s="639" t="s">
        <v>111</v>
      </c>
      <c r="C249" s="640"/>
      <c r="D249" s="641"/>
      <c r="E249" s="311"/>
      <c r="F249" s="109"/>
      <c r="G249" s="642">
        <f t="shared" si="36"/>
        <v>0</v>
      </c>
      <c r="H249" s="643"/>
      <c r="I249" s="109"/>
      <c r="J249" s="109"/>
      <c r="K249" s="644"/>
      <c r="L249" s="640"/>
      <c r="M249" s="640"/>
      <c r="N249" s="2"/>
      <c r="O249" s="2"/>
      <c r="P249" s="2"/>
      <c r="Q249" s="2"/>
    </row>
    <row r="250" spans="1:17" ht="15.75" thickTop="1">
      <c r="A250" s="705"/>
      <c r="B250" s="602" t="s">
        <v>112</v>
      </c>
      <c r="C250" s="48" t="s">
        <v>170</v>
      </c>
      <c r="D250" s="184">
        <v>745</v>
      </c>
      <c r="E250" s="41">
        <f>7.0207-6.6426</f>
        <v>0.37809999999999988</v>
      </c>
      <c r="F250" s="23">
        <f t="shared" ref="F250:F254" si="38">+E250</f>
        <v>0.37809999999999988</v>
      </c>
      <c r="G250" s="185">
        <f>ROUND(D250*(E250),2)</f>
        <v>281.68</v>
      </c>
      <c r="H250" s="620"/>
      <c r="I250" s="620"/>
      <c r="J250" s="620"/>
      <c r="K250" s="634"/>
      <c r="L250" s="603">
        <f>SUM(G250:G253)</f>
        <v>5540.18</v>
      </c>
      <c r="M250" s="187">
        <v>5540.18</v>
      </c>
      <c r="N250" s="604"/>
      <c r="O250" s="635"/>
      <c r="P250" s="636"/>
      <c r="Q250" s="605"/>
    </row>
    <row r="251" spans="1:17">
      <c r="A251" s="705"/>
      <c r="B251" s="506"/>
      <c r="C251" s="48" t="s">
        <v>171</v>
      </c>
      <c r="D251" s="49">
        <v>32</v>
      </c>
      <c r="E251" s="41">
        <v>7.0206999999999997</v>
      </c>
      <c r="F251" s="41">
        <f t="shared" si="38"/>
        <v>7.0206999999999997</v>
      </c>
      <c r="G251" s="50">
        <f t="shared" ref="G251:G252" si="39">ROUND(D251*(E251),2)</f>
        <v>224.66</v>
      </c>
      <c r="H251" s="296"/>
      <c r="I251" s="298"/>
      <c r="J251" s="298"/>
      <c r="K251" s="637"/>
      <c r="L251" s="606"/>
      <c r="M251" s="606"/>
      <c r="N251" s="607"/>
      <c r="O251" s="608"/>
      <c r="P251" s="609"/>
      <c r="Q251" s="610"/>
    </row>
    <row r="252" spans="1:17" ht="15.75" thickBot="1">
      <c r="A252" s="705"/>
      <c r="B252" s="506"/>
      <c r="C252" s="99" t="s">
        <v>29</v>
      </c>
      <c r="D252" s="296">
        <v>717</v>
      </c>
      <c r="E252" s="56">
        <v>7.0206999999999997</v>
      </c>
      <c r="F252" s="41">
        <f t="shared" si="38"/>
        <v>7.0206999999999997</v>
      </c>
      <c r="G252" s="50">
        <f t="shared" si="39"/>
        <v>5033.84</v>
      </c>
      <c r="H252" s="296"/>
      <c r="I252" s="298"/>
      <c r="J252" s="298"/>
      <c r="K252" s="637"/>
      <c r="L252" s="614"/>
      <c r="M252" s="606"/>
      <c r="N252" s="615"/>
      <c r="O252" s="615"/>
      <c r="P252" s="615"/>
      <c r="Q252" s="616"/>
    </row>
    <row r="253" spans="1:17" ht="15.75" thickBot="1">
      <c r="A253" s="705"/>
      <c r="B253" s="639"/>
      <c r="C253" s="646"/>
      <c r="D253" s="647"/>
      <c r="E253" s="648"/>
      <c r="F253" s="646"/>
      <c r="G253" s="648"/>
      <c r="H253" s="646"/>
      <c r="I253" s="646"/>
      <c r="J253" s="646"/>
      <c r="K253" s="646"/>
      <c r="L253" s="646"/>
      <c r="M253" s="646"/>
      <c r="N253" s="615"/>
      <c r="O253" s="615"/>
      <c r="P253" s="615"/>
      <c r="Q253" s="615"/>
    </row>
    <row r="254" spans="1:17" ht="15.75" thickTop="1">
      <c r="A254" s="705"/>
      <c r="B254" s="602" t="s">
        <v>127</v>
      </c>
      <c r="C254" s="48" t="s">
        <v>170</v>
      </c>
      <c r="D254" s="184">
        <v>533.6</v>
      </c>
      <c r="E254" s="41">
        <f>7.0207-6.6426</f>
        <v>0.37809999999999988</v>
      </c>
      <c r="F254" s="23">
        <f t="shared" si="38"/>
        <v>0.37809999999999988</v>
      </c>
      <c r="G254" s="185">
        <f>ROUND(D254*(E254),2)</f>
        <v>201.75</v>
      </c>
      <c r="H254" s="620"/>
      <c r="I254" s="620"/>
      <c r="J254" s="620"/>
      <c r="K254" s="634"/>
      <c r="L254" s="603">
        <f>SUM(G254:G257)</f>
        <v>4145.9799999999996</v>
      </c>
      <c r="M254" s="187">
        <v>4145.9799999999996</v>
      </c>
      <c r="N254" s="604"/>
      <c r="O254" s="635"/>
      <c r="P254" s="636"/>
      <c r="Q254" s="605"/>
    </row>
    <row r="255" spans="1:17">
      <c r="A255" s="705"/>
      <c r="B255" s="506"/>
      <c r="C255" s="48" t="s">
        <v>171</v>
      </c>
      <c r="D255" s="49">
        <v>23.8</v>
      </c>
      <c r="E255" s="41">
        <v>7.0206999999999997</v>
      </c>
      <c r="F255" s="41">
        <f>+E255</f>
        <v>7.0206999999999997</v>
      </c>
      <c r="G255" s="50">
        <f>ROUND(D255*(E255),2)</f>
        <v>167.09</v>
      </c>
      <c r="H255" s="296"/>
      <c r="I255" s="298"/>
      <c r="J255" s="298"/>
      <c r="K255" s="637"/>
      <c r="L255" s="606"/>
      <c r="M255" s="606"/>
      <c r="N255" s="607"/>
      <c r="O255" s="608"/>
      <c r="P255" s="609"/>
      <c r="Q255" s="610"/>
    </row>
    <row r="256" spans="1:17" ht="15.75" thickBot="1">
      <c r="A256" s="705"/>
      <c r="B256" s="506"/>
      <c r="C256" s="99" t="s">
        <v>29</v>
      </c>
      <c r="D256" s="296">
        <v>538</v>
      </c>
      <c r="E256" s="56">
        <v>7.0206999999999997</v>
      </c>
      <c r="F256" s="41">
        <f t="shared" ref="F256" si="40">+E256</f>
        <v>7.0206999999999997</v>
      </c>
      <c r="G256" s="50">
        <f t="shared" ref="G256" si="41">ROUND(D256*(E256),2)</f>
        <v>3777.14</v>
      </c>
      <c r="H256" s="296"/>
      <c r="I256" s="298"/>
      <c r="J256" s="298"/>
      <c r="K256" s="637"/>
      <c r="L256" s="614"/>
      <c r="M256" s="606"/>
      <c r="N256" s="615"/>
      <c r="O256" s="615"/>
      <c r="P256" s="615"/>
      <c r="Q256" s="616"/>
    </row>
    <row r="257" spans="1:20" ht="15.75" thickBot="1">
      <c r="A257" s="705"/>
      <c r="B257" s="639"/>
      <c r="C257" s="646"/>
      <c r="D257" s="647"/>
      <c r="E257" s="648"/>
      <c r="F257" s="646"/>
      <c r="G257" s="648"/>
      <c r="H257" s="646"/>
      <c r="I257" s="646"/>
      <c r="J257" s="646"/>
      <c r="K257" s="646"/>
      <c r="L257" s="646"/>
      <c r="M257" s="646"/>
      <c r="N257" s="615"/>
      <c r="O257" s="615"/>
      <c r="P257" s="615"/>
      <c r="Q257" s="615"/>
    </row>
    <row r="258" spans="1:20" ht="15.75" thickTop="1">
      <c r="A258" s="705"/>
      <c r="B258" s="602" t="s">
        <v>128</v>
      </c>
      <c r="C258" s="48" t="s">
        <v>170</v>
      </c>
      <c r="D258" s="184">
        <v>841.7</v>
      </c>
      <c r="E258" s="41">
        <f>7.0207-6.6426</f>
        <v>0.37809999999999988</v>
      </c>
      <c r="F258" s="23">
        <f t="shared" ref="F258" si="42">+E258</f>
        <v>0.37809999999999988</v>
      </c>
      <c r="G258" s="185">
        <f>ROUND(D258*(E258),2)-0.01</f>
        <v>318.24</v>
      </c>
      <c r="H258" s="620"/>
      <c r="I258" s="620"/>
      <c r="J258" s="620"/>
      <c r="K258" s="634"/>
      <c r="L258" s="603">
        <f>SUM(G258:G261)</f>
        <v>6975.27</v>
      </c>
      <c r="M258" s="187">
        <v>6975.27</v>
      </c>
      <c r="N258" s="604"/>
      <c r="O258" s="635"/>
      <c r="P258" s="636"/>
      <c r="Q258" s="605"/>
    </row>
    <row r="259" spans="1:20">
      <c r="A259" s="705"/>
      <c r="B259" s="506"/>
      <c r="C259" s="48" t="s">
        <v>171</v>
      </c>
      <c r="D259" s="49">
        <v>40.200000000000003</v>
      </c>
      <c r="E259" s="41">
        <v>7.0206999999999997</v>
      </c>
      <c r="F259" s="41">
        <f>+E259</f>
        <v>7.0206999999999997</v>
      </c>
      <c r="G259" s="50">
        <f>ROUND(D259*(E259),2)</f>
        <v>282.23</v>
      </c>
      <c r="H259" s="296"/>
      <c r="I259" s="298"/>
      <c r="J259" s="298"/>
      <c r="K259" s="637"/>
      <c r="L259" s="606"/>
      <c r="M259" s="606"/>
      <c r="N259" s="607"/>
      <c r="O259" s="608"/>
      <c r="P259" s="609"/>
      <c r="Q259" s="610"/>
    </row>
    <row r="260" spans="1:20" ht="15.75" thickBot="1">
      <c r="A260" s="705"/>
      <c r="B260" s="506"/>
      <c r="C260" s="99" t="s">
        <v>29</v>
      </c>
      <c r="D260" s="296">
        <v>908</v>
      </c>
      <c r="E260" s="56">
        <v>7.0206999999999997</v>
      </c>
      <c r="F260" s="41">
        <f t="shared" ref="F260" si="43">+E260</f>
        <v>7.0206999999999997</v>
      </c>
      <c r="G260" s="50">
        <f t="shared" ref="G260" si="44">ROUND(D260*(E260),2)</f>
        <v>6374.8</v>
      </c>
      <c r="H260" s="296"/>
      <c r="I260" s="298"/>
      <c r="J260" s="298"/>
      <c r="K260" s="637"/>
      <c r="L260" s="614"/>
      <c r="M260" s="606"/>
      <c r="N260" s="615"/>
      <c r="O260" s="615"/>
      <c r="P260" s="615"/>
      <c r="Q260" s="616"/>
    </row>
    <row r="261" spans="1:20" ht="15.75" thickBot="1">
      <c r="A261" s="705"/>
      <c r="B261" s="639"/>
      <c r="C261" s="646"/>
      <c r="D261" s="647"/>
      <c r="E261" s="648"/>
      <c r="F261" s="646"/>
      <c r="G261" s="648"/>
      <c r="H261" s="646"/>
      <c r="I261" s="646"/>
      <c r="J261" s="646"/>
      <c r="K261" s="646"/>
      <c r="L261" s="646"/>
      <c r="M261" s="646"/>
      <c r="N261" s="615"/>
      <c r="O261" s="615"/>
      <c r="P261" s="615"/>
      <c r="Q261" s="615"/>
    </row>
    <row r="262" spans="1:20" ht="15.75" thickTop="1">
      <c r="A262" s="705"/>
      <c r="B262" s="602" t="s">
        <v>163</v>
      </c>
      <c r="C262" s="48" t="s">
        <v>170</v>
      </c>
      <c r="D262" s="184">
        <v>558</v>
      </c>
      <c r="E262" s="41">
        <f>7.0207-6.6426</f>
        <v>0.37809999999999988</v>
      </c>
      <c r="F262" s="23">
        <f t="shared" ref="F262" si="45">+E262</f>
        <v>0.37809999999999988</v>
      </c>
      <c r="G262" s="185">
        <f>ROUND(D262*(E262),2)+0.01</f>
        <v>210.98999999999998</v>
      </c>
      <c r="H262" s="620"/>
      <c r="I262" s="620"/>
      <c r="J262" s="620"/>
      <c r="K262" s="634"/>
      <c r="L262" s="603">
        <f>SUM(G262:G265)</f>
        <v>3609</v>
      </c>
      <c r="M262" s="187">
        <v>3609</v>
      </c>
      <c r="N262" s="604"/>
      <c r="O262" s="635"/>
      <c r="P262" s="636"/>
      <c r="Q262" s="605"/>
    </row>
    <row r="263" spans="1:20">
      <c r="A263" s="705"/>
      <c r="B263" s="506"/>
      <c r="C263" s="48" t="s">
        <v>171</v>
      </c>
      <c r="D263" s="49">
        <v>21</v>
      </c>
      <c r="E263" s="41">
        <v>7.0206999999999997</v>
      </c>
      <c r="F263" s="41">
        <f>+E263</f>
        <v>7.0206999999999997</v>
      </c>
      <c r="G263" s="50">
        <f>ROUND(D263*(E263),2)</f>
        <v>147.43</v>
      </c>
      <c r="H263" s="296"/>
      <c r="I263" s="298"/>
      <c r="J263" s="298"/>
      <c r="K263" s="637"/>
      <c r="L263" s="606"/>
      <c r="M263" s="606"/>
      <c r="N263" s="607"/>
      <c r="O263" s="608"/>
      <c r="P263" s="609"/>
      <c r="Q263" s="610"/>
    </row>
    <row r="264" spans="1:20" ht="15.75" thickBot="1">
      <c r="A264" s="705"/>
      <c r="B264" s="506"/>
      <c r="C264" s="99" t="s">
        <v>29</v>
      </c>
      <c r="D264" s="296">
        <v>463</v>
      </c>
      <c r="E264" s="56">
        <v>7.0206999999999997</v>
      </c>
      <c r="F264" s="41">
        <f t="shared" ref="F264" si="46">+E264</f>
        <v>7.0206999999999997</v>
      </c>
      <c r="G264" s="50">
        <f t="shared" ref="G264" si="47">ROUND(D264*(E264),2)</f>
        <v>3250.58</v>
      </c>
      <c r="H264" s="296"/>
      <c r="I264" s="298"/>
      <c r="J264" s="298"/>
      <c r="K264" s="637"/>
      <c r="L264" s="614"/>
      <c r="M264" s="606"/>
      <c r="N264" s="615"/>
      <c r="O264" s="615"/>
      <c r="P264" s="615"/>
      <c r="Q264" s="616"/>
    </row>
    <row r="265" spans="1:20" ht="15.75" thickBot="1">
      <c r="A265" s="705"/>
      <c r="B265" s="639"/>
      <c r="C265" s="646"/>
      <c r="D265" s="647"/>
      <c r="E265" s="648"/>
      <c r="F265" s="646"/>
      <c r="G265" s="648"/>
      <c r="H265" s="646"/>
      <c r="I265" s="646"/>
      <c r="J265" s="646"/>
      <c r="K265" s="646"/>
      <c r="L265" s="646"/>
      <c r="M265" s="646"/>
      <c r="N265" s="615"/>
      <c r="O265" s="615"/>
      <c r="P265" s="615"/>
      <c r="Q265" s="615"/>
    </row>
    <row r="266" spans="1:20" ht="15.75" thickTop="1">
      <c r="A266" s="705"/>
      <c r="B266" s="615"/>
      <c r="C266" s="615"/>
      <c r="D266" s="696"/>
      <c r="E266" s="473"/>
      <c r="F266" s="615"/>
      <c r="G266" s="473"/>
      <c r="H266" s="615"/>
      <c r="I266" s="615"/>
      <c r="J266" s="615"/>
      <c r="K266" s="615"/>
      <c r="L266" s="615"/>
      <c r="M266" s="615"/>
      <c r="N266" s="615"/>
      <c r="O266" s="615"/>
      <c r="P266" s="615"/>
      <c r="Q266" s="615"/>
    </row>
    <row r="267" spans="1:20" ht="15.75" thickBot="1">
      <c r="A267" s="705"/>
      <c r="B267" s="615"/>
      <c r="C267" s="615"/>
      <c r="D267" s="696"/>
      <c r="E267" s="473"/>
      <c r="F267" s="615"/>
      <c r="G267" s="473"/>
      <c r="H267" s="615"/>
      <c r="I267" s="615"/>
      <c r="J267" s="615"/>
      <c r="K267" s="615"/>
      <c r="L267" s="615"/>
      <c r="M267" s="615"/>
      <c r="N267" s="615"/>
      <c r="O267" s="615"/>
      <c r="P267" s="615"/>
      <c r="Q267" s="615"/>
    </row>
    <row r="268" spans="1:20" s="81" customFormat="1" ht="15" customHeight="1" thickTop="1">
      <c r="A268" s="476"/>
      <c r="B268" s="158"/>
      <c r="C268" s="322"/>
      <c r="D268" s="477"/>
      <c r="E268" s="163"/>
      <c r="F268" s="163"/>
      <c r="G268" s="478"/>
      <c r="H268" s="163"/>
      <c r="I268" s="163"/>
      <c r="J268" s="163"/>
      <c r="K268" s="163"/>
      <c r="L268" s="163"/>
      <c r="M268" s="164"/>
      <c r="N268" s="479"/>
      <c r="O268" s="479"/>
      <c r="P268" s="479"/>
      <c r="Q268" s="479"/>
      <c r="R268" s="422"/>
      <c r="S268" s="399"/>
      <c r="T268" s="399"/>
    </row>
    <row r="269" spans="1:20" ht="21.75" thickBot="1">
      <c r="A269" s="171" t="s">
        <v>113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3"/>
      <c r="N269" s="2"/>
      <c r="O269" s="2"/>
      <c r="P269" s="2"/>
      <c r="Q269" s="2"/>
    </row>
    <row r="270" spans="1:20" ht="15.75" customHeight="1" thickTop="1" thickBot="1">
      <c r="A270" s="1555" t="s">
        <v>1</v>
      </c>
      <c r="B270" s="1543" t="s">
        <v>2</v>
      </c>
      <c r="C270" s="1545" t="s">
        <v>3</v>
      </c>
      <c r="D270" s="1546" t="s">
        <v>4</v>
      </c>
      <c r="E270" s="1546"/>
      <c r="F270" s="1546"/>
      <c r="G270" s="1546"/>
      <c r="H270" s="1547"/>
      <c r="I270" s="1548"/>
      <c r="J270" s="1548"/>
      <c r="K270" s="1549"/>
      <c r="L270" s="1524" t="s">
        <v>6</v>
      </c>
      <c r="M270" s="1511" t="s">
        <v>7</v>
      </c>
      <c r="N270" s="1551" t="s">
        <v>8</v>
      </c>
      <c r="O270" s="1551"/>
      <c r="P270" s="1551"/>
      <c r="Q270" s="1552"/>
      <c r="R270" s="481"/>
      <c r="S270" s="482" t="s">
        <v>20</v>
      </c>
      <c r="T270" s="482" t="s">
        <v>21</v>
      </c>
    </row>
    <row r="271" spans="1:20" ht="26.25" thickBot="1">
      <c r="A271" s="1556"/>
      <c r="B271" s="1557"/>
      <c r="C271" s="1558" t="s">
        <v>10</v>
      </c>
      <c r="D271" s="483" t="s">
        <v>11</v>
      </c>
      <c r="E271" s="649" t="s">
        <v>12</v>
      </c>
      <c r="F271" s="649" t="s">
        <v>13</v>
      </c>
      <c r="G271" s="650" t="s">
        <v>14</v>
      </c>
      <c r="H271" s="651" t="s">
        <v>11</v>
      </c>
      <c r="I271" s="652" t="s">
        <v>15</v>
      </c>
      <c r="J271" s="653"/>
      <c r="K271" s="654" t="s">
        <v>16</v>
      </c>
      <c r="L271" s="1525"/>
      <c r="M271" s="1554"/>
      <c r="N271" s="655"/>
      <c r="O271" s="653"/>
      <c r="P271" s="656" t="s">
        <v>18</v>
      </c>
      <c r="Q271" s="657" t="s">
        <v>19</v>
      </c>
      <c r="R271" s="491"/>
      <c r="S271" s="492"/>
      <c r="T271" s="492"/>
    </row>
    <row r="272" spans="1:20" ht="15.75">
      <c r="A272" s="844"/>
      <c r="B272" s="659" t="s">
        <v>55</v>
      </c>
      <c r="C272" s="48" t="s">
        <v>170</v>
      </c>
      <c r="D272" s="259">
        <v>1827.1</v>
      </c>
      <c r="E272" s="41">
        <f>7.0207-6.6426</f>
        <v>0.37809999999999988</v>
      </c>
      <c r="F272" s="620">
        <f t="shared" ref="F272:F273" si="48">+E272</f>
        <v>0.37809999999999988</v>
      </c>
      <c r="G272" s="214">
        <f>ROUND(D272*E272,2)</f>
        <v>690.83</v>
      </c>
      <c r="H272" s="303"/>
      <c r="I272" s="23"/>
      <c r="J272" s="23"/>
      <c r="K272" s="23"/>
      <c r="L272" s="603">
        <f>SUM(G272:G274)</f>
        <v>15727.76</v>
      </c>
      <c r="M272" s="187">
        <v>15727.76</v>
      </c>
      <c r="N272" s="660"/>
      <c r="O272" s="217"/>
      <c r="P272" s="661"/>
      <c r="Q272" s="219"/>
    </row>
    <row r="273" spans="1:18" ht="15.75">
      <c r="A273" s="845"/>
      <c r="B273" s="35"/>
      <c r="C273" s="48" t="s">
        <v>171</v>
      </c>
      <c r="D273" s="269">
        <v>71.63</v>
      </c>
      <c r="E273" s="41">
        <v>7.0206999999999997</v>
      </c>
      <c r="F273" s="298">
        <f t="shared" si="48"/>
        <v>7.0206999999999997</v>
      </c>
      <c r="G273" s="235">
        <f>ROUND(D273*E273,2)</f>
        <v>502.89</v>
      </c>
      <c r="H273" s="270"/>
      <c r="I273" s="41"/>
      <c r="J273" s="41"/>
      <c r="K273" s="41"/>
      <c r="L273" s="606"/>
      <c r="M273" s="606"/>
      <c r="N273" s="663"/>
      <c r="O273" s="237"/>
      <c r="P273" s="275"/>
      <c r="Q273" s="238"/>
    </row>
    <row r="274" spans="1:18" ht="15.75" thickBot="1">
      <c r="A274" s="846"/>
      <c r="B274" s="665"/>
      <c r="C274" s="99" t="s">
        <v>29</v>
      </c>
      <c r="D274" s="613">
        <v>2070.17</v>
      </c>
      <c r="E274" s="56">
        <v>7.0206999999999997</v>
      </c>
      <c r="F274" s="57"/>
      <c r="G274" s="247">
        <f>ROUND(D274*E274,2)</f>
        <v>14534.04</v>
      </c>
      <c r="H274" s="613"/>
      <c r="I274" s="57"/>
      <c r="J274" s="57"/>
      <c r="K274" s="57"/>
      <c r="L274" s="614"/>
      <c r="M274" s="606"/>
      <c r="N274" s="57"/>
      <c r="O274" s="57"/>
      <c r="P274" s="57"/>
      <c r="Q274" s="666"/>
    </row>
    <row r="275" spans="1:18">
      <c r="A275" s="847"/>
      <c r="B275" s="659" t="s">
        <v>116</v>
      </c>
      <c r="C275" s="668" t="s">
        <v>73</v>
      </c>
      <c r="D275" s="669">
        <v>6</v>
      </c>
      <c r="E275" s="21">
        <v>36.214199999999998</v>
      </c>
      <c r="F275" s="21">
        <v>42.4328</v>
      </c>
      <c r="G275" s="214">
        <f>+D275*(E275+F275)</f>
        <v>471.88199999999995</v>
      </c>
      <c r="H275" s="687"/>
      <c r="I275" s="688">
        <v>35.612400000000001</v>
      </c>
      <c r="J275" s="670">
        <f>ROUND(H275*I275,2)</f>
        <v>0</v>
      </c>
      <c r="K275" s="689"/>
      <c r="L275" s="603">
        <f>SUM(G275:G281)+SUM(J275:J279)</f>
        <v>13245.292000000001</v>
      </c>
      <c r="M275" s="187">
        <v>13245.29</v>
      </c>
      <c r="N275" s="670"/>
      <c r="O275" s="670"/>
      <c r="P275" s="670"/>
      <c r="Q275" s="670"/>
    </row>
    <row r="276" spans="1:18">
      <c r="A276" s="848"/>
      <c r="B276" s="672"/>
      <c r="C276" s="48"/>
      <c r="D276" s="673"/>
      <c r="E276" s="41"/>
      <c r="F276" s="298"/>
      <c r="G276" s="235">
        <f>+D276*E276</f>
        <v>0</v>
      </c>
      <c r="H276" s="687"/>
      <c r="I276" s="688">
        <v>147.77000000000001</v>
      </c>
      <c r="J276" s="670">
        <f>ROUND(H276*I276,2)</f>
        <v>0</v>
      </c>
      <c r="K276" s="689"/>
      <c r="L276" s="606"/>
      <c r="M276" s="606"/>
      <c r="N276" s="298"/>
      <c r="O276" s="298"/>
      <c r="P276" s="298"/>
      <c r="Q276" s="298"/>
    </row>
    <row r="277" spans="1:18">
      <c r="A277" s="848"/>
      <c r="B277" s="442"/>
      <c r="C277" s="48"/>
      <c r="D277" s="673"/>
      <c r="E277" s="41"/>
      <c r="F277" s="298"/>
      <c r="G277" s="235">
        <f>ROUND(D277*E277,2)</f>
        <v>0</v>
      </c>
      <c r="H277" s="687">
        <v>8</v>
      </c>
      <c r="I277" s="688">
        <v>16.350000000000001</v>
      </c>
      <c r="J277" s="670">
        <f>ROUND(H277*I277,2)</f>
        <v>130.80000000000001</v>
      </c>
      <c r="K277" s="689">
        <v>42917</v>
      </c>
      <c r="L277" s="614">
        <f>SUM(G277:G278)</f>
        <v>0</v>
      </c>
      <c r="M277" s="606"/>
      <c r="N277" s="298"/>
      <c r="O277" s="298"/>
      <c r="P277" s="298"/>
      <c r="Q277" s="298"/>
    </row>
    <row r="278" spans="1:18">
      <c r="A278" s="848"/>
      <c r="B278" s="35"/>
      <c r="C278" s="606"/>
      <c r="D278" s="673"/>
      <c r="E278" s="41"/>
      <c r="F278" s="298"/>
      <c r="G278" s="235">
        <f>ROUND(D278*E278,2)</f>
        <v>0</v>
      </c>
      <c r="H278" s="270">
        <v>8</v>
      </c>
      <c r="I278" s="41">
        <v>16.968399999999999</v>
      </c>
      <c r="J278" s="670">
        <f>ROUND(H278*I278,2)</f>
        <v>135.75</v>
      </c>
      <c r="K278" s="689">
        <v>42917</v>
      </c>
      <c r="L278" s="614"/>
      <c r="M278" s="273"/>
      <c r="N278" s="298"/>
      <c r="O278" s="298"/>
      <c r="P278" s="298"/>
      <c r="Q278" s="298"/>
    </row>
    <row r="279" spans="1:18" ht="15.75">
      <c r="A279" s="849"/>
      <c r="B279" s="672"/>
      <c r="C279" s="48" t="s">
        <v>170</v>
      </c>
      <c r="D279" s="269">
        <v>1558</v>
      </c>
      <c r="E279" s="41">
        <f>7.0207-6.6426</f>
        <v>0.37809999999999988</v>
      </c>
      <c r="F279" s="298">
        <f t="shared" ref="F279:F280" si="49">+E279</f>
        <v>0.37809999999999988</v>
      </c>
      <c r="G279" s="235">
        <f>ROUND(D279*E279,2)</f>
        <v>589.08000000000004</v>
      </c>
      <c r="H279" s="270">
        <v>7</v>
      </c>
      <c r="I279" s="41">
        <v>16.97</v>
      </c>
      <c r="J279" s="670">
        <f>ROUND(H279*I279,2)</f>
        <v>118.79</v>
      </c>
      <c r="K279" s="850">
        <v>42948</v>
      </c>
      <c r="L279" s="606"/>
      <c r="M279" s="606"/>
      <c r="N279" s="663"/>
      <c r="O279" s="237"/>
      <c r="P279" s="275"/>
      <c r="Q279" s="237"/>
    </row>
    <row r="280" spans="1:18" ht="15.75">
      <c r="A280" s="849"/>
      <c r="B280" s="35"/>
      <c r="C280" s="48" t="s">
        <v>171</v>
      </c>
      <c r="D280" s="269">
        <v>56.2</v>
      </c>
      <c r="E280" s="41">
        <v>7.0206999999999997</v>
      </c>
      <c r="F280" s="298">
        <f t="shared" si="49"/>
        <v>7.0206999999999997</v>
      </c>
      <c r="G280" s="235">
        <f>ROUND(D280*E280,2)</f>
        <v>394.56</v>
      </c>
      <c r="H280" s="270"/>
      <c r="I280" s="41"/>
      <c r="J280" s="41"/>
      <c r="K280" s="41"/>
      <c r="L280" s="614"/>
      <c r="M280" s="606"/>
      <c r="N280" s="663"/>
      <c r="O280" s="237"/>
      <c r="P280" s="275"/>
      <c r="Q280" s="237"/>
    </row>
    <row r="281" spans="1:18" ht="15.75" thickBot="1">
      <c r="A281" s="851"/>
      <c r="B281" s="676"/>
      <c r="C281" s="107" t="s">
        <v>29</v>
      </c>
      <c r="D281" s="643">
        <v>1624.4</v>
      </c>
      <c r="E281" s="56">
        <v>7.0206999999999997</v>
      </c>
      <c r="F281" s="109"/>
      <c r="G281" s="309">
        <f t="shared" ref="G281:G291" si="50">ROUND(D281*E281,2)</f>
        <v>11404.43</v>
      </c>
      <c r="H281" s="643"/>
      <c r="I281" s="109"/>
      <c r="J281" s="109"/>
      <c r="K281" s="109"/>
      <c r="L281" s="677"/>
      <c r="M281" s="314"/>
      <c r="N281" s="109"/>
      <c r="O281" s="109"/>
      <c r="P281" s="109"/>
      <c r="Q281" s="109"/>
      <c r="R281" s="2"/>
    </row>
    <row r="282" spans="1:18" ht="16.5" thickTop="1">
      <c r="A282" s="844"/>
      <c r="B282" s="659" t="s">
        <v>117</v>
      </c>
      <c r="C282" s="48" t="s">
        <v>170</v>
      </c>
      <c r="D282" s="259">
        <v>387.5</v>
      </c>
      <c r="E282" s="41">
        <f>7.0207-6.6426</f>
        <v>0.37809999999999988</v>
      </c>
      <c r="F282" s="691">
        <f>+E282</f>
        <v>0.37809999999999988</v>
      </c>
      <c r="G282" s="214">
        <f>ROUND(D282*E282,2)</f>
        <v>146.51</v>
      </c>
      <c r="H282" s="303"/>
      <c r="I282" s="23"/>
      <c r="J282" s="23"/>
      <c r="K282" s="23"/>
      <c r="L282" s="603">
        <f>SUM(G282:G284)</f>
        <v>2950.58</v>
      </c>
      <c r="M282" s="187">
        <v>2950.58</v>
      </c>
      <c r="N282" s="660"/>
      <c r="O282" s="217"/>
      <c r="P282" s="661"/>
      <c r="Q282" s="219"/>
      <c r="R282" s="324"/>
    </row>
    <row r="283" spans="1:18" ht="15.75">
      <c r="A283" s="845"/>
      <c r="B283" s="35"/>
      <c r="C283" s="48" t="s">
        <v>171</v>
      </c>
      <c r="D283" s="773">
        <v>13.4</v>
      </c>
      <c r="E283" s="41">
        <v>7.0206999999999997</v>
      </c>
      <c r="F283" s="774">
        <f t="shared" ref="F283" si="51">+E283</f>
        <v>7.0206999999999997</v>
      </c>
      <c r="G283" s="775">
        <f t="shared" si="50"/>
        <v>94.08</v>
      </c>
      <c r="H283" s="432"/>
      <c r="I283" s="207"/>
      <c r="J283" s="207"/>
      <c r="K283" s="207"/>
      <c r="L283" s="776"/>
      <c r="M283" s="776"/>
      <c r="N283" s="777"/>
      <c r="O283" s="778"/>
      <c r="P283" s="779"/>
      <c r="Q283" s="780"/>
    </row>
    <row r="284" spans="1:18" ht="15.75" thickBot="1">
      <c r="A284" s="852"/>
      <c r="B284" s="782"/>
      <c r="C284" s="54" t="s">
        <v>29</v>
      </c>
      <c r="D284" s="613">
        <v>386</v>
      </c>
      <c r="E284" s="56">
        <v>7.0206999999999997</v>
      </c>
      <c r="F284" s="57"/>
      <c r="G284" s="247">
        <f t="shared" si="50"/>
        <v>2709.99</v>
      </c>
      <c r="H284" s="613"/>
      <c r="I284" s="57"/>
      <c r="J284" s="57"/>
      <c r="K284" s="57"/>
      <c r="L284" s="783"/>
      <c r="M284" s="784"/>
      <c r="N284" s="57"/>
      <c r="O284" s="57"/>
      <c r="P284" s="57"/>
      <c r="Q284" s="666"/>
    </row>
    <row r="285" spans="1:18" ht="15.75">
      <c r="A285" s="845"/>
      <c r="B285" s="785" t="s">
        <v>142</v>
      </c>
      <c r="C285" s="786" t="s">
        <v>73</v>
      </c>
      <c r="D285" s="787">
        <v>2</v>
      </c>
      <c r="E285" s="21">
        <v>36.214199999999998</v>
      </c>
      <c r="F285" s="21">
        <v>42.4328</v>
      </c>
      <c r="G285" s="214">
        <f>+D285*(E285+F285)</f>
        <v>157.29399999999998</v>
      </c>
      <c r="H285" s="687">
        <v>1</v>
      </c>
      <c r="I285" s="688">
        <v>16.354800000000001</v>
      </c>
      <c r="J285" s="670">
        <f>ROUND(H285*I285,2)</f>
        <v>16.350000000000001</v>
      </c>
      <c r="K285" s="689">
        <v>42917</v>
      </c>
      <c r="L285" s="603">
        <f>SUM(G285:G288,J285:J288)</f>
        <v>19855.374</v>
      </c>
      <c r="M285" s="187">
        <v>19855.37</v>
      </c>
      <c r="N285" s="788"/>
      <c r="O285" s="789"/>
      <c r="P285" s="790"/>
      <c r="Q285" s="791"/>
    </row>
    <row r="286" spans="1:18" ht="15.75">
      <c r="A286" s="853"/>
      <c r="B286" s="793"/>
      <c r="C286" s="48" t="s">
        <v>170</v>
      </c>
      <c r="D286" s="269">
        <v>2092.5</v>
      </c>
      <c r="E286" s="41">
        <f>7.0207-6.6426</f>
        <v>0.37809999999999988</v>
      </c>
      <c r="F286" s="297">
        <f>+E286</f>
        <v>0.37809999999999988</v>
      </c>
      <c r="G286" s="235">
        <f t="shared" si="50"/>
        <v>791.17</v>
      </c>
      <c r="H286" s="270">
        <v>1</v>
      </c>
      <c r="I286" s="41">
        <v>16.968399999999999</v>
      </c>
      <c r="J286" s="670">
        <f>ROUND(H286*I286,2)</f>
        <v>16.97</v>
      </c>
      <c r="K286" s="689">
        <v>42917</v>
      </c>
      <c r="L286" s="614"/>
      <c r="M286" s="273"/>
      <c r="N286" s="663"/>
      <c r="O286" s="237"/>
      <c r="P286" s="275"/>
      <c r="Q286" s="238"/>
    </row>
    <row r="287" spans="1:18" ht="15.75">
      <c r="A287" s="854"/>
      <c r="B287" s="767"/>
      <c r="C287" s="48" t="s">
        <v>171</v>
      </c>
      <c r="D287" s="269">
        <v>85.28</v>
      </c>
      <c r="E287" s="41">
        <v>7.0206999999999997</v>
      </c>
      <c r="F287" s="298">
        <f t="shared" ref="F287" si="52">+E287</f>
        <v>7.0206999999999997</v>
      </c>
      <c r="G287" s="235">
        <f t="shared" si="50"/>
        <v>598.73</v>
      </c>
      <c r="H287" s="270">
        <v>57</v>
      </c>
      <c r="I287" s="41">
        <v>16.97</v>
      </c>
      <c r="J287" s="670">
        <f>ROUND(H287*I287,2)</f>
        <v>967.29</v>
      </c>
      <c r="K287" s="850">
        <v>42948</v>
      </c>
      <c r="L287" s="606"/>
      <c r="M287" s="606"/>
      <c r="N287" s="663"/>
      <c r="O287" s="237"/>
      <c r="P287" s="275"/>
      <c r="Q287" s="238"/>
    </row>
    <row r="288" spans="1:18" ht="15.75" thickBot="1">
      <c r="A288" s="846"/>
      <c r="B288" s="665"/>
      <c r="C288" s="512" t="s">
        <v>29</v>
      </c>
      <c r="D288" s="795">
        <v>2465.2199999999998</v>
      </c>
      <c r="E288" s="56">
        <v>7.0206999999999997</v>
      </c>
      <c r="F288" s="797"/>
      <c r="G288" s="798">
        <f t="shared" si="50"/>
        <v>17307.57</v>
      </c>
      <c r="H288" s="795"/>
      <c r="I288" s="797"/>
      <c r="J288" s="797"/>
      <c r="K288" s="797"/>
      <c r="L288" s="799"/>
      <c r="M288" s="292"/>
      <c r="N288" s="797"/>
      <c r="O288" s="797"/>
      <c r="P288" s="797"/>
      <c r="Q288" s="800"/>
    </row>
    <row r="289" spans="1:17" ht="15.75">
      <c r="A289" s="844"/>
      <c r="B289" s="659" t="s">
        <v>148</v>
      </c>
      <c r="C289" s="48" t="s">
        <v>170</v>
      </c>
      <c r="D289" s="259">
        <v>206.9</v>
      </c>
      <c r="E289" s="41">
        <f>7.0207-6.6426</f>
        <v>0.37809999999999988</v>
      </c>
      <c r="F289" s="691">
        <f>+E289</f>
        <v>0.37809999999999988</v>
      </c>
      <c r="G289" s="214">
        <f>ROUND(D289*E289,2)</f>
        <v>78.23</v>
      </c>
      <c r="H289" s="303"/>
      <c r="I289" s="23"/>
      <c r="J289" s="23"/>
      <c r="K289" s="23"/>
      <c r="L289" s="603">
        <f>SUM(G289:G291)</f>
        <v>1607.34</v>
      </c>
      <c r="M289" s="187">
        <v>1607.34</v>
      </c>
      <c r="N289" s="660"/>
      <c r="O289" s="217"/>
      <c r="P289" s="661"/>
      <c r="Q289" s="219"/>
    </row>
    <row r="290" spans="1:17" ht="15.75">
      <c r="A290" s="845"/>
      <c r="B290" s="35"/>
      <c r="C290" s="48" t="s">
        <v>171</v>
      </c>
      <c r="D290" s="269">
        <v>7.3</v>
      </c>
      <c r="E290" s="41">
        <v>7.0206999999999997</v>
      </c>
      <c r="F290" s="298">
        <f t="shared" ref="F290" si="53">+E290</f>
        <v>7.0206999999999997</v>
      </c>
      <c r="G290" s="235">
        <f t="shared" si="50"/>
        <v>51.25</v>
      </c>
      <c r="H290" s="270"/>
      <c r="I290" s="41"/>
      <c r="J290" s="41"/>
      <c r="K290" s="41"/>
      <c r="L290" s="606"/>
      <c r="M290" s="606"/>
      <c r="N290" s="663"/>
      <c r="O290" s="237"/>
      <c r="P290" s="275"/>
      <c r="Q290" s="238"/>
    </row>
    <row r="291" spans="1:17" ht="15.75" thickBot="1">
      <c r="A291" s="846"/>
      <c r="B291" s="665"/>
      <c r="C291" s="99" t="s">
        <v>29</v>
      </c>
      <c r="D291" s="613">
        <v>210.5</v>
      </c>
      <c r="E291" s="56">
        <v>7.0206999999999997</v>
      </c>
      <c r="F291" s="57"/>
      <c r="G291" s="247">
        <f t="shared" si="50"/>
        <v>1477.86</v>
      </c>
      <c r="H291" s="613"/>
      <c r="I291" s="57"/>
      <c r="J291" s="57"/>
      <c r="K291" s="57"/>
      <c r="L291" s="614"/>
      <c r="M291" s="606"/>
      <c r="N291" s="57"/>
      <c r="O291" s="57"/>
      <c r="P291" s="57"/>
      <c r="Q291" s="666"/>
    </row>
  </sheetData>
  <mergeCells count="40">
    <mergeCell ref="M270:M271"/>
    <mergeCell ref="N270:Q270"/>
    <mergeCell ref="A270:A271"/>
    <mergeCell ref="B270:B271"/>
    <mergeCell ref="C270:C271"/>
    <mergeCell ref="D270:G270"/>
    <mergeCell ref="H270:K270"/>
    <mergeCell ref="L270:L271"/>
    <mergeCell ref="M85:M86"/>
    <mergeCell ref="N85:Q85"/>
    <mergeCell ref="A188:A189"/>
    <mergeCell ref="B188:B189"/>
    <mergeCell ref="C188:C189"/>
    <mergeCell ref="D188:G188"/>
    <mergeCell ref="H188:K188"/>
    <mergeCell ref="L188:L189"/>
    <mergeCell ref="M188:M189"/>
    <mergeCell ref="N188:Q188"/>
    <mergeCell ref="A85:A86"/>
    <mergeCell ref="B85:B86"/>
    <mergeCell ref="C85:C86"/>
    <mergeCell ref="D85:G85"/>
    <mergeCell ref="H85:K85"/>
    <mergeCell ref="L85:L86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310"/>
  <sheetViews>
    <sheetView topLeftCell="A297" workbookViewId="0">
      <selection activeCell="K296" sqref="K29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710" t="s">
        <v>22</v>
      </c>
      <c r="B4" s="18" t="s">
        <v>23</v>
      </c>
      <c r="C4" s="19"/>
      <c r="D4" s="20">
        <v>101</v>
      </c>
      <c r="E4" s="21">
        <v>36.214199999999998</v>
      </c>
      <c r="F4" s="21">
        <v>42.4328</v>
      </c>
      <c r="G4" s="22">
        <f>ROUND(D4*(E4+F4),2)</f>
        <v>7943.35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135882.01</v>
      </c>
      <c r="M4" s="26">
        <v>135882.01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711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711"/>
      <c r="B6" s="35"/>
      <c r="C6" s="48" t="s">
        <v>176</v>
      </c>
      <c r="D6" s="49"/>
      <c r="E6" s="41">
        <f>6.8946-7.0207</f>
        <v>-0.1261000000000001</v>
      </c>
      <c r="F6" s="41">
        <f>+E6</f>
        <v>-0.1261000000000001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127938.66</v>
      </c>
      <c r="S6" s="31"/>
      <c r="T6" s="32"/>
    </row>
    <row r="7" spans="1:22">
      <c r="A7" s="711"/>
      <c r="B7" s="35"/>
      <c r="C7" s="48" t="s">
        <v>177</v>
      </c>
      <c r="D7" s="49">
        <v>547.79999999999995</v>
      </c>
      <c r="E7" s="41">
        <v>6.8021000000000003</v>
      </c>
      <c r="F7" s="41">
        <f>+E7</f>
        <v>6.8021000000000003</v>
      </c>
      <c r="G7" s="50">
        <f>ROUND(D7*E7,2)</f>
        <v>3726.19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127938.66</v>
      </c>
    </row>
    <row r="8" spans="1:22" ht="15.75" thickBot="1">
      <c r="A8" s="712"/>
      <c r="B8" s="53"/>
      <c r="C8" s="99" t="s">
        <v>29</v>
      </c>
      <c r="D8" s="55">
        <v>18260.900000000001</v>
      </c>
      <c r="E8" s="56">
        <v>6.8021000000000003</v>
      </c>
      <c r="F8" s="57">
        <f>+E8</f>
        <v>6.8021000000000003</v>
      </c>
      <c r="G8" s="58">
        <f>ROUND(D8*E8,2)</f>
        <v>124212.47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124212.47</v>
      </c>
      <c r="R8" s="66" t="s">
        <v>25</v>
      </c>
      <c r="S8" s="67">
        <f>SUM(O4:O8)</f>
        <v>0</v>
      </c>
      <c r="T8" s="68">
        <f>SUM(Q4:Q8)</f>
        <v>124212.47</v>
      </c>
    </row>
    <row r="9" spans="1:22" s="81" customFormat="1">
      <c r="A9" s="69" t="s">
        <v>30</v>
      </c>
      <c r="B9" s="70" t="s">
        <v>31</v>
      </c>
      <c r="C9" s="71">
        <v>0</v>
      </c>
      <c r="D9" s="72">
        <v>58</v>
      </c>
      <c r="E9" s="21">
        <v>36.214199999999998</v>
      </c>
      <c r="F9" s="21">
        <v>42.4328</v>
      </c>
      <c r="G9" s="22">
        <f>ROUND(D9*(E9+F9),2)</f>
        <v>4561.53</v>
      </c>
      <c r="H9" s="72"/>
      <c r="I9" s="21">
        <v>4.5999999999999996</v>
      </c>
      <c r="J9" s="73">
        <f>+H9*I9</f>
        <v>0</v>
      </c>
      <c r="K9" s="24"/>
      <c r="L9" s="74">
        <f>SUM(G9:G16,J9:J15)</f>
        <v>53528.85</v>
      </c>
      <c r="M9" s="26">
        <v>53528.85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0</v>
      </c>
    </row>
    <row r="10" spans="1:22" s="81" customFormat="1">
      <c r="A10" s="82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2" s="81" customFormat="1">
      <c r="A11" s="82"/>
      <c r="B11" s="98" t="s">
        <v>32</v>
      </c>
      <c r="C11" s="99" t="s">
        <v>33</v>
      </c>
      <c r="D11" s="100">
        <v>47</v>
      </c>
      <c r="E11" s="101">
        <v>304.86</v>
      </c>
      <c r="F11" s="38">
        <v>37.889800000000001</v>
      </c>
      <c r="G11" s="39">
        <f>ROUND(D11*(E11+F11),2)</f>
        <v>16109.24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2" s="81" customFormat="1">
      <c r="A12" s="82"/>
      <c r="B12" s="83" t="s">
        <v>34</v>
      </c>
      <c r="C12" s="84"/>
      <c r="D12" s="49"/>
      <c r="E12" s="41">
        <f>304.86-291.8</f>
        <v>13.060000000000002</v>
      </c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2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2" s="81" customFormat="1">
      <c r="A14" s="82"/>
      <c r="B14" s="83"/>
      <c r="C14" s="48" t="s">
        <v>176</v>
      </c>
      <c r="D14" s="49">
        <v>5972.2</v>
      </c>
      <c r="E14" s="41">
        <f>6.8946-7.0207</f>
        <v>-0.1261000000000001</v>
      </c>
      <c r="F14" s="41">
        <f>+E14</f>
        <v>-0.1261000000000001</v>
      </c>
      <c r="G14" s="50">
        <f>ROUND(D14*E14*70%+D14*F14*30%,2)</f>
        <v>-753.09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2" s="81" customFormat="1">
      <c r="A15" s="82"/>
      <c r="B15" s="83"/>
      <c r="C15" s="48" t="s">
        <v>177</v>
      </c>
      <c r="D15" s="49">
        <v>142</v>
      </c>
      <c r="E15" s="41">
        <v>6.8945999999999996</v>
      </c>
      <c r="F15" s="41">
        <f>+E15</f>
        <v>6.8945999999999996</v>
      </c>
      <c r="G15" s="50">
        <f>ROUND(D15*E15*70%+D15*F15*30%,2)</f>
        <v>979.03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2" s="81" customFormat="1" ht="15.75" thickBot="1">
      <c r="A16" s="105"/>
      <c r="B16" s="106"/>
      <c r="C16" s="99" t="s">
        <v>29</v>
      </c>
      <c r="D16" s="108">
        <v>4733</v>
      </c>
      <c r="E16" s="56">
        <v>6.8945999999999996</v>
      </c>
      <c r="F16" s="109">
        <f>+E16</f>
        <v>6.8945999999999996</v>
      </c>
      <c r="G16" s="110">
        <f>ROUND(D16*E16*70%+D16*F16*30%,2)</f>
        <v>32632.14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/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1543.5</v>
      </c>
      <c r="M23" s="26">
        <v>1543.5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176</v>
      </c>
      <c r="D24" s="37">
        <v>203.9</v>
      </c>
      <c r="E24" s="41">
        <f>6.8946-7.0207</f>
        <v>-0.1261000000000001</v>
      </c>
      <c r="F24" s="38"/>
      <c r="G24" s="39">
        <f>ROUND(D24*(E24+F24),2)</f>
        <v>-25.71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815" t="s">
        <v>172</v>
      </c>
      <c r="S24" s="31"/>
      <c r="T24" s="32"/>
      <c r="U24"/>
    </row>
    <row r="25" spans="1:21" s="140" customFormat="1">
      <c r="A25" s="34"/>
      <c r="B25" s="35"/>
      <c r="C25" s="48" t="s">
        <v>177</v>
      </c>
      <c r="D25" s="49">
        <v>6.6</v>
      </c>
      <c r="E25" s="41">
        <v>6.8945999999999996</v>
      </c>
      <c r="F25" s="41">
        <f>+E25</f>
        <v>6.8945999999999996</v>
      </c>
      <c r="G25" s="50">
        <f>ROUND(D25*E25,2)</f>
        <v>45.5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766"/>
      <c r="B26" s="767"/>
      <c r="C26" s="99" t="s">
        <v>29</v>
      </c>
      <c r="D26" s="49">
        <v>221</v>
      </c>
      <c r="E26" s="56">
        <v>6.8945999999999996</v>
      </c>
      <c r="F26" s="41">
        <f>+E26</f>
        <v>6.8945999999999996</v>
      </c>
      <c r="G26" s="50">
        <f>ROUND(D26*E26,2)</f>
        <v>1523.71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716" t="s">
        <v>45</v>
      </c>
      <c r="B30" s="183" t="s">
        <v>46</v>
      </c>
      <c r="C30" s="71">
        <v>0</v>
      </c>
      <c r="D30" s="184">
        <v>41.8</v>
      </c>
      <c r="E30" s="21">
        <v>36.214199999999998</v>
      </c>
      <c r="F30" s="21">
        <v>42.4328</v>
      </c>
      <c r="G30" s="185">
        <f>ROUND(D30*(E30+F30),2)</f>
        <v>3287.44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157559.07</v>
      </c>
      <c r="M30" s="187">
        <v>157559.07</v>
      </c>
      <c r="N30" s="188"/>
      <c r="O30" s="23">
        <v>3998.87</v>
      </c>
      <c r="P30" s="189" t="s">
        <v>47</v>
      </c>
      <c r="Q30" s="23">
        <f t="shared" ref="Q30:Q35" si="0">C30+G30+J30-M30-N30-O30</f>
        <v>-158270.5</v>
      </c>
      <c r="R30" s="190" t="s">
        <v>48</v>
      </c>
      <c r="S30" s="176"/>
      <c r="U30" s="33">
        <f>+C30+L30-M30</f>
        <v>0</v>
      </c>
    </row>
    <row r="31" spans="1:21">
      <c r="A31" s="717"/>
      <c r="B31" s="192"/>
      <c r="C31" s="36" t="s">
        <v>26</v>
      </c>
      <c r="D31" s="37"/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717"/>
      <c r="B32" s="192"/>
      <c r="C32" s="48" t="s">
        <v>176</v>
      </c>
      <c r="D32" s="49"/>
      <c r="E32" s="41">
        <f>6.8946-7.0207</f>
        <v>-0.1261000000000001</v>
      </c>
      <c r="F32" s="41">
        <f>+E32</f>
        <v>-0.1261000000000001</v>
      </c>
      <c r="G32" s="50">
        <f>ROUND(D32*F32,2)</f>
        <v>0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717"/>
      <c r="B33" s="192"/>
      <c r="C33" s="48" t="s">
        <v>177</v>
      </c>
      <c r="D33" s="49">
        <v>240</v>
      </c>
      <c r="E33" s="41">
        <v>6.8021000000000003</v>
      </c>
      <c r="F33" s="41">
        <f>+E33</f>
        <v>6.8021000000000003</v>
      </c>
      <c r="G33" s="50">
        <f>ROUND(D33*E33,2)+0.01</f>
        <v>1632.51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718"/>
      <c r="B34" s="202" t="s">
        <v>49</v>
      </c>
      <c r="C34" s="99" t="s">
        <v>29</v>
      </c>
      <c r="D34" s="55">
        <v>22440</v>
      </c>
      <c r="E34" s="56">
        <v>6.8021000000000003</v>
      </c>
      <c r="F34" s="57">
        <f>+E34</f>
        <v>6.8021000000000003</v>
      </c>
      <c r="G34" s="58">
        <f>ROUND(D34*E34,2)</f>
        <v>152639.12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83929.11</v>
      </c>
      <c r="R34" s="209" t="s">
        <v>50</v>
      </c>
      <c r="S34" s="210">
        <f>SUM(O30:O34)</f>
        <v>72708.87999999999</v>
      </c>
      <c r="T34" s="210">
        <f>SUM(Q30:Q34)</f>
        <v>-74341.39</v>
      </c>
    </row>
    <row r="35" spans="1:21">
      <c r="A35" s="211" t="s">
        <v>51</v>
      </c>
      <c r="B35" s="212" t="s">
        <v>52</v>
      </c>
      <c r="C35" s="71">
        <v>0</v>
      </c>
      <c r="D35" s="213">
        <v>100.14</v>
      </c>
      <c r="E35" s="21">
        <v>36.214199999999998</v>
      </c>
      <c r="F35" s="21">
        <v>42.4328</v>
      </c>
      <c r="G35" s="214">
        <f>ROUND(D35*(E35+F35),2)</f>
        <v>7875.71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58964.759999999995</v>
      </c>
      <c r="M35" s="187">
        <v>58964.76</v>
      </c>
      <c r="N35" s="188"/>
      <c r="O35" s="217">
        <v>4253.6899999999996</v>
      </c>
      <c r="P35" s="218" t="s">
        <v>47</v>
      </c>
      <c r="Q35" s="219">
        <f t="shared" si="0"/>
        <v>-55342.740000000005</v>
      </c>
      <c r="R35" s="220" t="s">
        <v>53</v>
      </c>
      <c r="S35" s="221"/>
      <c r="T35" s="222"/>
      <c r="U35" s="33">
        <f>+C35+L35-M35</f>
        <v>0</v>
      </c>
    </row>
    <row r="36" spans="1:21" ht="15.75" thickBot="1">
      <c r="A36" s="223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>
        <v>54.68</v>
      </c>
      <c r="E37" s="101">
        <v>160.6</v>
      </c>
      <c r="F37" s="21">
        <v>42.4328</v>
      </c>
      <c r="G37" s="235">
        <f>ROUND(D37*(E37+F37),2)</f>
        <v>11101.83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5645.23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>
        <v>22.09</v>
      </c>
      <c r="E38" s="240">
        <f>415.51-197.35</f>
        <v>218.16</v>
      </c>
      <c r="F38" s="240"/>
      <c r="G38" s="235">
        <f>+ROUND(D38*E38,2)+0.01</f>
        <v>4819.16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/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176</v>
      </c>
      <c r="D40" s="49">
        <v>6833.8</v>
      </c>
      <c r="E40" s="41">
        <f>6.8946-7.0207</f>
        <v>-0.1261000000000001</v>
      </c>
      <c r="F40" s="41">
        <f t="shared" ref="F40:F48" si="2">+E40</f>
        <v>-0.1261000000000001</v>
      </c>
      <c r="G40" s="50">
        <f>ROUND(D40*E40,2)</f>
        <v>-861.74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177</v>
      </c>
      <c r="D41" s="49">
        <v>55.3</v>
      </c>
      <c r="E41" s="41">
        <v>6.8945999999999996</v>
      </c>
      <c r="F41" s="41">
        <f t="shared" si="2"/>
        <v>6.8945999999999996</v>
      </c>
      <c r="G41" s="50">
        <f>ROUND(D41*E41,2)</f>
        <v>381.27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5170.5</v>
      </c>
      <c r="E42" s="56">
        <v>6.8945999999999996</v>
      </c>
      <c r="F42" s="57">
        <f t="shared" si="2"/>
        <v>6.8945999999999996</v>
      </c>
      <c r="G42" s="247">
        <f>ROUND(D42*E42*70%+D42*F42*30%,2)</f>
        <v>35648.53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19870.629999999997</v>
      </c>
      <c r="R42" s="255" t="s">
        <v>54</v>
      </c>
      <c r="S42" s="256">
        <f>SUM(O35:O42)</f>
        <v>25488.190000000002</v>
      </c>
      <c r="T42" s="256">
        <f>SUM(Q35:Q42)</f>
        <v>-29826.880000000012</v>
      </c>
    </row>
    <row r="43" spans="1:21" ht="15.75">
      <c r="A43" s="257"/>
      <c r="B43" s="258" t="s">
        <v>55</v>
      </c>
      <c r="C43" s="48" t="s">
        <v>176</v>
      </c>
      <c r="D43" s="259">
        <v>2053.84</v>
      </c>
      <c r="E43" s="41">
        <f>6.8946-7.0207</f>
        <v>-0.1261000000000001</v>
      </c>
      <c r="F43" s="41">
        <f t="shared" si="2"/>
        <v>-0.1261000000000001</v>
      </c>
      <c r="G43" s="214">
        <f>ROUND(D43*E43,2)</f>
        <v>-258.99</v>
      </c>
      <c r="H43" s="260"/>
      <c r="I43" s="261"/>
      <c r="J43" s="261"/>
      <c r="K43" s="262"/>
      <c r="L43" s="263">
        <f>SUM(G43:G45)</f>
        <v>13282.49</v>
      </c>
      <c r="M43" s="187">
        <v>13282.49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177</v>
      </c>
      <c r="D44" s="269">
        <v>20.79</v>
      </c>
      <c r="E44" s="41">
        <v>6.8945999999999996</v>
      </c>
      <c r="F44" s="41">
        <f t="shared" si="2"/>
        <v>6.8945999999999996</v>
      </c>
      <c r="G44" s="235">
        <f>ROUND(D44*E44,2)</f>
        <v>143.34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1943.28</v>
      </c>
      <c r="E45" s="56">
        <v>6.8945999999999996</v>
      </c>
      <c r="F45" s="57">
        <f t="shared" si="2"/>
        <v>6.8945999999999996</v>
      </c>
      <c r="G45" s="247">
        <f t="shared" ref="G45:G48" si="3">ROUND(D45*E45,2)</f>
        <v>13398.14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176</v>
      </c>
      <c r="D46" s="259">
        <v>388.5</v>
      </c>
      <c r="E46" s="41">
        <f>6.8946-7.0207</f>
        <v>-0.1261000000000001</v>
      </c>
      <c r="F46" s="41">
        <f t="shared" si="2"/>
        <v>-0.1261000000000001</v>
      </c>
      <c r="G46" s="214">
        <f>ROUND(D46*E46,2)</f>
        <v>-48.99</v>
      </c>
      <c r="H46" s="260"/>
      <c r="I46" s="261"/>
      <c r="J46" s="261"/>
      <c r="K46" s="262"/>
      <c r="L46" s="286">
        <f>SUM(G46:G48)</f>
        <v>2358.6</v>
      </c>
      <c r="M46" s="227">
        <v>2358.6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177</v>
      </c>
      <c r="D47" s="269">
        <v>3.7</v>
      </c>
      <c r="E47" s="41">
        <v>6.8945999999999996</v>
      </c>
      <c r="F47" s="41">
        <f t="shared" si="2"/>
        <v>6.8945999999999996</v>
      </c>
      <c r="G47" s="235">
        <f>ROUND(D47*E47,2)</f>
        <v>25.51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345.5</v>
      </c>
      <c r="E48" s="56">
        <v>6.8945999999999996</v>
      </c>
      <c r="F48" s="57">
        <f t="shared" si="2"/>
        <v>6.8945999999999996</v>
      </c>
      <c r="G48" s="247">
        <f t="shared" si="3"/>
        <v>2382.08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6.5" hidden="1" outlineLevel="1" thickBot="1">
      <c r="A49" s="808"/>
      <c r="B49" s="291" t="s">
        <v>57</v>
      </c>
      <c r="C49" s="292"/>
      <c r="D49" s="259"/>
      <c r="E49" s="21">
        <v>36.214199999999998</v>
      </c>
      <c r="F49" s="21">
        <v>42.4328</v>
      </c>
      <c r="G49" s="214">
        <f>ROUND(D49*(E49+F49),2)</f>
        <v>0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0</v>
      </c>
      <c r="M49" s="227"/>
      <c r="N49" s="264"/>
      <c r="O49" s="229"/>
      <c r="P49" s="265"/>
      <c r="Q49" s="229"/>
      <c r="R49" s="242"/>
      <c r="S49" s="266"/>
      <c r="T49" s="266"/>
    </row>
    <row r="50" spans="1:20" ht="16.5" hidden="1" outlineLevel="1" thickBot="1">
      <c r="A50" s="80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 ht="15.75" hidden="1" outlineLevel="1" thickBot="1">
      <c r="A51" s="809"/>
      <c r="B51" s="268"/>
      <c r="C51" s="48" t="s">
        <v>170</v>
      </c>
      <c r="D51" s="296"/>
      <c r="E51" s="41">
        <f>7.0207-6.6426</f>
        <v>0.37809999999999988</v>
      </c>
      <c r="F51" s="41">
        <f>+E51</f>
        <v>0.37809999999999988</v>
      </c>
      <c r="G51" s="235">
        <f>ROUND(D51*E51,2)</f>
        <v>0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hidden="1" outlineLevel="1" thickBot="1">
      <c r="A52" s="809"/>
      <c r="B52" s="268"/>
      <c r="C52" s="48" t="s">
        <v>171</v>
      </c>
      <c r="D52" s="269"/>
      <c r="E52" s="41">
        <v>7.0206999999999997</v>
      </c>
      <c r="F52" s="41">
        <f>+E52</f>
        <v>7.0206999999999997</v>
      </c>
      <c r="G52" s="235">
        <f>ROUND(D52*E52,2)</f>
        <v>0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hidden="1" outlineLevel="1" thickBot="1">
      <c r="A53" s="802"/>
      <c r="B53" s="277"/>
      <c r="C53" s="99" t="s">
        <v>29</v>
      </c>
      <c r="D53" s="279"/>
      <c r="E53" s="56">
        <v>7.0206999999999997</v>
      </c>
      <c r="F53" s="57">
        <f>+E53</f>
        <v>7.0206999999999997</v>
      </c>
      <c r="G53" s="247">
        <f>ROUND(D53*E53,2)</f>
        <v>0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 collapsed="1">
      <c r="A54" s="299"/>
      <c r="B54" s="258" t="s">
        <v>58</v>
      </c>
      <c r="C54" s="48" t="s">
        <v>59</v>
      </c>
      <c r="D54" s="822">
        <v>0.41</v>
      </c>
      <c r="E54" s="21">
        <v>36.214199999999998</v>
      </c>
      <c r="F54" s="21">
        <v>42.4328</v>
      </c>
      <c r="G54" s="214">
        <f>ROUND(D54*(E54+F54),2)</f>
        <v>32.25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1374.4099999999999</v>
      </c>
      <c r="M54" s="227">
        <v>1374.41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/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176</v>
      </c>
      <c r="D56" s="296">
        <v>236.8</v>
      </c>
      <c r="E56" s="41">
        <f>6.8946-7.0207</f>
        <v>-0.1261000000000001</v>
      </c>
      <c r="F56" s="41">
        <f t="shared" ref="F56:F88" si="6">+E56</f>
        <v>-0.1261000000000001</v>
      </c>
      <c r="G56" s="235">
        <f>ROUND(D56*E56,2)-0.01</f>
        <v>-29.87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177</v>
      </c>
      <c r="D57" s="269">
        <v>2.1</v>
      </c>
      <c r="E57" s="41">
        <v>6.8945999999999996</v>
      </c>
      <c r="F57" s="41">
        <f t="shared" si="6"/>
        <v>6.8945999999999996</v>
      </c>
      <c r="G57" s="235">
        <f t="shared" ref="G57:G64" si="7">ROUND(D57*E57,2)</f>
        <v>14.48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196.9</v>
      </c>
      <c r="E58" s="56">
        <v>6.8945999999999996</v>
      </c>
      <c r="F58" s="57">
        <f t="shared" si="6"/>
        <v>6.8945999999999996</v>
      </c>
      <c r="G58" s="247">
        <f t="shared" si="7"/>
        <v>1357.55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170</v>
      </c>
      <c r="D59" s="296">
        <v>211.45</v>
      </c>
      <c r="E59" s="41">
        <f>6.8946-7.0207</f>
        <v>-0.1261000000000001</v>
      </c>
      <c r="F59" s="41">
        <f t="shared" si="6"/>
        <v>-0.1261000000000001</v>
      </c>
      <c r="G59" s="235">
        <f>ROUND(D59*E59,2)</f>
        <v>-26.66</v>
      </c>
      <c r="H59" s="270"/>
      <c r="I59" s="41"/>
      <c r="J59" s="41"/>
      <c r="K59" s="271"/>
      <c r="L59" s="294">
        <f>SUM(G59:G61)</f>
        <v>1260.42</v>
      </c>
      <c r="M59" s="227">
        <v>1260.42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171</v>
      </c>
      <c r="D60" s="269">
        <v>1.98</v>
      </c>
      <c r="E60" s="41">
        <v>6.8945999999999996</v>
      </c>
      <c r="F60" s="41">
        <f t="shared" si="6"/>
        <v>6.8945999999999996</v>
      </c>
      <c r="G60" s="235">
        <f t="shared" si="7"/>
        <v>13.65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184.7</v>
      </c>
      <c r="E61" s="56">
        <v>6.8945999999999996</v>
      </c>
      <c r="F61" s="57">
        <f t="shared" si="6"/>
        <v>6.8945999999999996</v>
      </c>
      <c r="G61" s="247">
        <f t="shared" si="7"/>
        <v>1273.43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176</v>
      </c>
      <c r="D62" s="296">
        <v>293.70999999999998</v>
      </c>
      <c r="E62" s="41">
        <f>6.8946-7.0207</f>
        <v>-0.1261000000000001</v>
      </c>
      <c r="F62" s="41">
        <f t="shared" si="6"/>
        <v>-0.1261000000000001</v>
      </c>
      <c r="G62" s="235">
        <f>ROUND(D62*E62,2)</f>
        <v>-37.04</v>
      </c>
      <c r="H62" s="270"/>
      <c r="I62" s="41"/>
      <c r="J62" s="41"/>
      <c r="K62" s="271"/>
      <c r="L62" s="294">
        <f>SUM(G62:G64)</f>
        <v>1766.3799999999999</v>
      </c>
      <c r="M62" s="227">
        <v>1766.38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177</v>
      </c>
      <c r="D63" s="269">
        <v>2.77</v>
      </c>
      <c r="E63" s="41">
        <v>6.8945999999999996</v>
      </c>
      <c r="F63" s="41">
        <f t="shared" si="6"/>
        <v>6.8945999999999996</v>
      </c>
      <c r="G63" s="235">
        <f t="shared" si="7"/>
        <v>19.100000000000001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258.8</v>
      </c>
      <c r="E64" s="56">
        <v>6.8945999999999996</v>
      </c>
      <c r="F64" s="57">
        <f t="shared" si="6"/>
        <v>6.8945999999999996</v>
      </c>
      <c r="G64" s="247">
        <f t="shared" si="7"/>
        <v>1784.32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0" hidden="1" outlineLevel="1">
      <c r="A65" s="801"/>
      <c r="B65" s="192" t="s">
        <v>145</v>
      </c>
      <c r="C65" s="48" t="s">
        <v>170</v>
      </c>
      <c r="D65" s="296"/>
      <c r="E65" s="41">
        <f>7.0207-6.6426</f>
        <v>0.37809999999999988</v>
      </c>
      <c r="F65" s="41">
        <f t="shared" si="6"/>
        <v>0.37809999999999988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0" ht="15.75" hidden="1" outlineLevel="1">
      <c r="A66" s="801"/>
      <c r="B66" s="192"/>
      <c r="C66" s="48" t="s">
        <v>171</v>
      </c>
      <c r="D66" s="269"/>
      <c r="E66" s="41">
        <v>7.0206999999999997</v>
      </c>
      <c r="F66" s="41">
        <f t="shared" si="6"/>
        <v>7.0206999999999997</v>
      </c>
      <c r="G66" s="235">
        <f t="shared" ref="G66:G67" si="8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6.5" hidden="1" outlineLevel="1" thickBot="1">
      <c r="A67" s="802"/>
      <c r="B67" s="277"/>
      <c r="C67" s="99" t="s">
        <v>29</v>
      </c>
      <c r="D67" s="279"/>
      <c r="E67" s="56">
        <v>7.0206999999999997</v>
      </c>
      <c r="F67" s="57">
        <f t="shared" si="6"/>
        <v>7.0206999999999997</v>
      </c>
      <c r="G67" s="247">
        <f t="shared" si="8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0" collapsed="1">
      <c r="A68" s="706"/>
      <c r="B68" s="192" t="s">
        <v>152</v>
      </c>
      <c r="C68" s="48" t="s">
        <v>176</v>
      </c>
      <c r="D68" s="296">
        <v>393.26</v>
      </c>
      <c r="E68" s="41">
        <f>6.8946-7.0207</f>
        <v>-0.1261000000000001</v>
      </c>
      <c r="F68" s="41">
        <f t="shared" si="6"/>
        <v>-0.1261000000000001</v>
      </c>
      <c r="G68" s="235">
        <f>ROUND(D68*E68,2)</f>
        <v>-49.59</v>
      </c>
      <c r="H68" s="270"/>
      <c r="I68" s="41"/>
      <c r="J68" s="41"/>
      <c r="K68" s="271"/>
      <c r="L68" s="294">
        <f>SUM(G68:G70)</f>
        <v>2442.3300000000004</v>
      </c>
      <c r="M68" s="227">
        <v>2442.33</v>
      </c>
      <c r="N68" s="274"/>
      <c r="O68" s="237"/>
      <c r="P68" s="275"/>
      <c r="Q68" s="237"/>
      <c r="R68" s="242"/>
      <c r="S68" s="266"/>
      <c r="T68" s="266"/>
    </row>
    <row r="69" spans="1:20" ht="15.75">
      <c r="A69" s="706"/>
      <c r="B69" s="192"/>
      <c r="C69" s="48" t="s">
        <v>177</v>
      </c>
      <c r="D69" s="269">
        <v>3.83</v>
      </c>
      <c r="E69" s="41">
        <v>6.8945999999999996</v>
      </c>
      <c r="F69" s="41">
        <f t="shared" si="6"/>
        <v>6.8945999999999996</v>
      </c>
      <c r="G69" s="235">
        <f t="shared" ref="G69:G70" si="9">ROUND(D69*E69,2)</f>
        <v>26.41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03"/>
      <c r="B70" s="804"/>
      <c r="C70" s="54" t="s">
        <v>29</v>
      </c>
      <c r="D70" s="279">
        <v>357.6</v>
      </c>
      <c r="E70" s="56">
        <v>6.8945999999999996</v>
      </c>
      <c r="F70" s="57">
        <f t="shared" si="6"/>
        <v>6.8945999999999996</v>
      </c>
      <c r="G70" s="247">
        <f t="shared" si="9"/>
        <v>2465.5100000000002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>
      <c r="A71" s="706"/>
      <c r="B71" s="192" t="s">
        <v>159</v>
      </c>
      <c r="C71" s="48" t="s">
        <v>176</v>
      </c>
      <c r="D71" s="296">
        <v>165.45</v>
      </c>
      <c r="E71" s="41">
        <f>6.8946-7.0207</f>
        <v>-0.1261000000000001</v>
      </c>
      <c r="F71" s="41">
        <f t="shared" si="6"/>
        <v>-0.1261000000000001</v>
      </c>
      <c r="G71" s="235">
        <f>ROUND(D71*E71,2)</f>
        <v>-20.86</v>
      </c>
      <c r="H71" s="270"/>
      <c r="I71" s="41"/>
      <c r="J71" s="41"/>
      <c r="K71" s="271"/>
      <c r="L71" s="294">
        <f>SUM(G71:G73)</f>
        <v>940.11</v>
      </c>
      <c r="M71" s="227">
        <v>940.11</v>
      </c>
      <c r="N71" s="274"/>
      <c r="O71" s="237"/>
      <c r="P71" s="275"/>
      <c r="Q71" s="237"/>
      <c r="R71" s="242"/>
      <c r="S71" s="266"/>
      <c r="T71" s="266"/>
    </row>
    <row r="72" spans="1:20" ht="15.75">
      <c r="A72" s="706"/>
      <c r="B72" s="192"/>
      <c r="C72" s="48" t="s">
        <v>177</v>
      </c>
      <c r="D72" s="269">
        <v>1.48</v>
      </c>
      <c r="E72" s="41">
        <v>6.8945999999999996</v>
      </c>
      <c r="F72" s="41">
        <f t="shared" si="6"/>
        <v>6.8945999999999996</v>
      </c>
      <c r="G72" s="235">
        <f t="shared" ref="G72:G73" si="10">ROUND(D72*E72,2)</f>
        <v>10.199999999999999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0" ht="16.5" thickBot="1">
      <c r="A73" s="855"/>
      <c r="B73" s="856"/>
      <c r="C73" s="99" t="s">
        <v>29</v>
      </c>
      <c r="D73" s="279">
        <v>137.9</v>
      </c>
      <c r="E73" s="56">
        <v>6.8945999999999996</v>
      </c>
      <c r="F73" s="57">
        <f t="shared" si="6"/>
        <v>6.8945999999999996</v>
      </c>
      <c r="G73" s="247">
        <f t="shared" si="10"/>
        <v>950.77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0">
      <c r="A74" s="706"/>
      <c r="B74" s="192" t="s">
        <v>166</v>
      </c>
      <c r="C74" s="700" t="s">
        <v>176</v>
      </c>
      <c r="D74" s="296">
        <v>189.61</v>
      </c>
      <c r="E74" s="41">
        <f>6.8946-7.0207</f>
        <v>-0.1261000000000001</v>
      </c>
      <c r="F74" s="41">
        <f t="shared" si="6"/>
        <v>-0.1261000000000001</v>
      </c>
      <c r="G74" s="235">
        <f>ROUND(D74*E74,2)</f>
        <v>-23.91</v>
      </c>
      <c r="H74" s="270"/>
      <c r="I74" s="41"/>
      <c r="J74" s="41"/>
      <c r="K74" s="271"/>
      <c r="L74" s="294">
        <f>SUM(G74:G76)</f>
        <v>900.79</v>
      </c>
      <c r="M74" s="227">
        <v>900.79</v>
      </c>
      <c r="N74" s="274"/>
      <c r="O74" s="237"/>
      <c r="P74" s="275"/>
      <c r="Q74" s="237"/>
      <c r="R74" s="242"/>
      <c r="S74" s="266"/>
      <c r="T74" s="266"/>
    </row>
    <row r="75" spans="1:20" ht="15.75">
      <c r="A75" s="706"/>
      <c r="B75" s="192"/>
      <c r="C75" s="48" t="s">
        <v>177</v>
      </c>
      <c r="D75" s="269">
        <v>1.42</v>
      </c>
      <c r="E75" s="41">
        <v>6.8945999999999996</v>
      </c>
      <c r="F75" s="41">
        <f t="shared" si="6"/>
        <v>6.8945999999999996</v>
      </c>
      <c r="G75" s="235">
        <f t="shared" ref="G75:G76" si="11">ROUND(D75*E75,2)</f>
        <v>9.7899999999999991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0" ht="16.5" thickBot="1">
      <c r="A76" s="855"/>
      <c r="B76" s="857"/>
      <c r="C76" s="99" t="s">
        <v>29</v>
      </c>
      <c r="D76" s="279">
        <v>132.69999999999999</v>
      </c>
      <c r="E76" s="56">
        <v>6.8945999999999996</v>
      </c>
      <c r="F76" s="57">
        <f t="shared" si="6"/>
        <v>6.8945999999999996</v>
      </c>
      <c r="G76" s="247">
        <f t="shared" si="11"/>
        <v>914.91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0">
      <c r="A77" s="706"/>
      <c r="B77" s="192" t="s">
        <v>173</v>
      </c>
      <c r="C77" s="48" t="s">
        <v>176</v>
      </c>
      <c r="D77" s="296">
        <v>445.62</v>
      </c>
      <c r="E77" s="41">
        <f>6.8946-7.0207</f>
        <v>-0.1261000000000001</v>
      </c>
      <c r="F77" s="41">
        <f t="shared" si="6"/>
        <v>-0.1261000000000001</v>
      </c>
      <c r="G77" s="235">
        <f>ROUND(D77*E77,2)+0.01</f>
        <v>-56.18</v>
      </c>
      <c r="H77" s="270"/>
      <c r="I77" s="41"/>
      <c r="J77" s="41"/>
      <c r="K77" s="271"/>
      <c r="L77" s="294">
        <f>SUM(G77:G79)</f>
        <v>3952.7400000000002</v>
      </c>
      <c r="M77" s="227">
        <v>3952.74</v>
      </c>
      <c r="N77" s="274"/>
      <c r="O77" s="237"/>
      <c r="P77" s="275"/>
      <c r="Q77" s="237"/>
      <c r="R77" s="242"/>
      <c r="S77" s="266"/>
      <c r="T77" s="266"/>
    </row>
    <row r="78" spans="1:20" ht="15.75">
      <c r="A78" s="706"/>
      <c r="B78" s="192"/>
      <c r="C78" s="48" t="s">
        <v>177</v>
      </c>
      <c r="D78" s="269">
        <v>6.16</v>
      </c>
      <c r="E78" s="41">
        <v>6.8945999999999996</v>
      </c>
      <c r="F78" s="41">
        <f t="shared" si="6"/>
        <v>6.8945999999999996</v>
      </c>
      <c r="G78" s="235">
        <f>ROUND(D78*E78,2)-0.01</f>
        <v>42.46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55"/>
      <c r="B79" s="857"/>
      <c r="C79" s="99" t="s">
        <v>29</v>
      </c>
      <c r="D79" s="279">
        <v>575.29999999999995</v>
      </c>
      <c r="E79" s="56">
        <v>6.8945999999999996</v>
      </c>
      <c r="F79" s="57">
        <f t="shared" si="6"/>
        <v>6.8945999999999996</v>
      </c>
      <c r="G79" s="247">
        <f>ROUND(D79*E79,2)</f>
        <v>3966.46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>
      <c r="A80" s="706"/>
      <c r="B80" s="192" t="s">
        <v>174</v>
      </c>
      <c r="C80" s="48" t="s">
        <v>176</v>
      </c>
      <c r="D80" s="296">
        <v>180.11</v>
      </c>
      <c r="E80" s="41">
        <f>6.8946-7.0207</f>
        <v>-0.1261000000000001</v>
      </c>
      <c r="F80" s="41">
        <f t="shared" si="6"/>
        <v>-0.1261000000000001</v>
      </c>
      <c r="G80" s="235">
        <f>ROUND(D80*E80,2)-0.01</f>
        <v>-22.720000000000002</v>
      </c>
      <c r="H80" s="270"/>
      <c r="I80" s="41"/>
      <c r="J80" s="41"/>
      <c r="K80" s="271"/>
      <c r="L80" s="294">
        <f>SUM(G80:G82)</f>
        <v>1917.29</v>
      </c>
      <c r="M80" s="227">
        <v>1917.29</v>
      </c>
      <c r="N80" s="274"/>
      <c r="O80" s="237"/>
      <c r="P80" s="275"/>
      <c r="Q80" s="237"/>
      <c r="R80" s="242"/>
      <c r="S80" s="266"/>
      <c r="T80" s="266"/>
    </row>
    <row r="81" spans="1:21" ht="15.75">
      <c r="A81" s="706"/>
      <c r="B81" s="192"/>
      <c r="C81" s="48" t="s">
        <v>177</v>
      </c>
      <c r="D81" s="269">
        <v>2.98</v>
      </c>
      <c r="E81" s="41">
        <v>6.8945999999999996</v>
      </c>
      <c r="F81" s="41">
        <f t="shared" si="6"/>
        <v>6.8945999999999996</v>
      </c>
      <c r="G81" s="235">
        <f t="shared" ref="G81:G88" si="12">ROUND(D81*E81,2)</f>
        <v>20.55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1" ht="16.5" thickBot="1">
      <c r="A82" s="706"/>
      <c r="B82" s="192"/>
      <c r="C82" s="99" t="s">
        <v>29</v>
      </c>
      <c r="D82" s="279">
        <v>278.39999999999998</v>
      </c>
      <c r="E82" s="56">
        <v>6.8945999999999996</v>
      </c>
      <c r="F82" s="57">
        <f t="shared" si="6"/>
        <v>6.8945999999999996</v>
      </c>
      <c r="G82" s="247">
        <f t="shared" si="12"/>
        <v>1919.46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1">
      <c r="A83" s="706"/>
      <c r="B83" s="192" t="s">
        <v>178</v>
      </c>
      <c r="C83" s="48" t="s">
        <v>176</v>
      </c>
      <c r="D83" s="296">
        <v>0</v>
      </c>
      <c r="E83" s="41">
        <f>6.8946-7.0207</f>
        <v>-0.1261000000000001</v>
      </c>
      <c r="F83" s="41">
        <f t="shared" si="6"/>
        <v>-0.1261000000000001</v>
      </c>
      <c r="G83" s="235">
        <f t="shared" si="12"/>
        <v>0</v>
      </c>
      <c r="H83" s="270"/>
      <c r="I83" s="41"/>
      <c r="J83" s="41"/>
      <c r="K83" s="271"/>
      <c r="L83" s="294">
        <f>SUM(G83:G85)</f>
        <v>1058.18</v>
      </c>
      <c r="M83" s="227">
        <v>1058.18</v>
      </c>
      <c r="N83" s="274"/>
      <c r="O83" s="237"/>
      <c r="P83" s="275"/>
      <c r="Q83" s="237"/>
      <c r="R83" s="242"/>
      <c r="S83" s="266"/>
      <c r="T83" s="266"/>
    </row>
    <row r="84" spans="1:21" ht="15.75">
      <c r="A84" s="706"/>
      <c r="B84" s="192"/>
      <c r="C84" s="48" t="s">
        <v>177</v>
      </c>
      <c r="D84" s="269">
        <v>1.62</v>
      </c>
      <c r="E84" s="41">
        <v>6.8945999999999996</v>
      </c>
      <c r="F84" s="41">
        <f t="shared" si="6"/>
        <v>6.8945999999999996</v>
      </c>
      <c r="G84" s="235">
        <f t="shared" si="12"/>
        <v>11.17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1" ht="16.5" thickBot="1">
      <c r="A85" s="706"/>
      <c r="B85" s="192"/>
      <c r="C85" s="99" t="s">
        <v>29</v>
      </c>
      <c r="D85" s="279">
        <v>151.86000000000001</v>
      </c>
      <c r="E85" s="56">
        <v>6.8945999999999996</v>
      </c>
      <c r="F85" s="57">
        <f t="shared" si="6"/>
        <v>6.8945999999999996</v>
      </c>
      <c r="G85" s="247">
        <f t="shared" si="12"/>
        <v>1047.01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1">
      <c r="A86" s="706"/>
      <c r="B86" s="192" t="s">
        <v>179</v>
      </c>
      <c r="C86" s="48" t="s">
        <v>176</v>
      </c>
      <c r="D86" s="296">
        <v>0</v>
      </c>
      <c r="E86" s="41">
        <f>6.8946-7.0207</f>
        <v>-0.1261000000000001</v>
      </c>
      <c r="F86" s="41">
        <f t="shared" si="6"/>
        <v>-0.1261000000000001</v>
      </c>
      <c r="G86" s="235">
        <f t="shared" si="12"/>
        <v>0</v>
      </c>
      <c r="H86" s="270"/>
      <c r="I86" s="41"/>
      <c r="J86" s="41"/>
      <c r="K86" s="271"/>
      <c r="L86" s="294">
        <f>SUM(G86:G88)</f>
        <v>298.26</v>
      </c>
      <c r="M86" s="227">
        <v>298.26</v>
      </c>
      <c r="N86" s="274"/>
      <c r="O86" s="237"/>
      <c r="P86" s="275"/>
      <c r="Q86" s="237"/>
      <c r="R86" s="242"/>
      <c r="S86" s="266"/>
      <c r="T86" s="266"/>
    </row>
    <row r="87" spans="1:21" ht="15.75">
      <c r="A87" s="706"/>
      <c r="B87" s="192"/>
      <c r="C87" s="48" t="s">
        <v>177</v>
      </c>
      <c r="D87" s="269">
        <v>0.46</v>
      </c>
      <c r="E87" s="41">
        <v>6.8945999999999996</v>
      </c>
      <c r="F87" s="41">
        <f t="shared" si="6"/>
        <v>6.8945999999999996</v>
      </c>
      <c r="G87" s="235">
        <f t="shared" si="12"/>
        <v>3.17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1" ht="16.5" thickBot="1">
      <c r="A88" s="706"/>
      <c r="B88" s="192"/>
      <c r="C88" s="99" t="s">
        <v>29</v>
      </c>
      <c r="D88" s="279">
        <v>42.8</v>
      </c>
      <c r="E88" s="56">
        <v>6.8945999999999996</v>
      </c>
      <c r="F88" s="57">
        <f t="shared" si="6"/>
        <v>6.8945999999999996</v>
      </c>
      <c r="G88" s="247">
        <f t="shared" si="12"/>
        <v>295.08999999999997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1" ht="16.5" thickTop="1">
      <c r="A89" s="320"/>
      <c r="B89" s="321"/>
      <c r="C89" s="322"/>
      <c r="D89" s="323"/>
      <c r="E89" s="163"/>
      <c r="F89" s="324"/>
      <c r="G89" s="325"/>
      <c r="H89" s="163"/>
      <c r="I89" s="163"/>
      <c r="J89" s="163"/>
      <c r="K89" s="163"/>
      <c r="L89" s="163"/>
      <c r="M89" s="326"/>
      <c r="N89" s="327"/>
      <c r="O89" s="328"/>
      <c r="P89" s="329"/>
      <c r="Q89" s="328"/>
      <c r="R89" s="330"/>
      <c r="S89" s="331"/>
      <c r="T89" s="266"/>
    </row>
    <row r="90" spans="1:21" ht="21.75" thickBot="1">
      <c r="A90" s="171" t="s">
        <v>60</v>
      </c>
      <c r="B90" s="2"/>
      <c r="C90" s="3"/>
      <c r="D90" s="2"/>
      <c r="E90" s="2"/>
      <c r="F90" s="2"/>
      <c r="G90" s="332"/>
      <c r="H90" s="332"/>
      <c r="I90" s="332"/>
      <c r="J90" s="2"/>
      <c r="K90" s="2"/>
      <c r="L90" s="2"/>
      <c r="M90" s="3"/>
      <c r="N90" s="2"/>
      <c r="O90" s="2"/>
      <c r="P90" s="2"/>
      <c r="Q90" s="2"/>
      <c r="R90" s="2"/>
      <c r="S90" s="2"/>
    </row>
    <row r="91" spans="1:21" ht="15" customHeight="1" thickTop="1">
      <c r="A91" s="1553" t="s">
        <v>1</v>
      </c>
      <c r="B91" s="1516" t="s">
        <v>2</v>
      </c>
      <c r="C91" s="1518" t="s">
        <v>3</v>
      </c>
      <c r="D91" s="1532" t="s">
        <v>4</v>
      </c>
      <c r="E91" s="1532"/>
      <c r="F91" s="1532"/>
      <c r="G91" s="1532"/>
      <c r="H91" s="1533" t="s">
        <v>5</v>
      </c>
      <c r="I91" s="1534"/>
      <c r="J91" s="1534"/>
      <c r="K91" s="1534"/>
      <c r="L91" s="1524" t="s">
        <v>6</v>
      </c>
      <c r="M91" s="1537" t="s">
        <v>7</v>
      </c>
      <c r="N91" s="1538" t="s">
        <v>8</v>
      </c>
      <c r="O91" s="1538"/>
      <c r="P91" s="1538"/>
      <c r="Q91" s="1539"/>
      <c r="R91" s="5"/>
      <c r="S91" s="5"/>
      <c r="T91" s="5" t="s">
        <v>61</v>
      </c>
      <c r="U91" t="s">
        <v>21</v>
      </c>
    </row>
    <row r="92" spans="1:21" ht="27" customHeight="1" thickBot="1">
      <c r="A92" s="1531"/>
      <c r="B92" s="1517"/>
      <c r="C92" s="1519" t="s">
        <v>10</v>
      </c>
      <c r="D92" s="333" t="s">
        <v>11</v>
      </c>
      <c r="E92" s="7" t="s">
        <v>12</v>
      </c>
      <c r="F92" s="7" t="s">
        <v>13</v>
      </c>
      <c r="G92" s="334" t="s">
        <v>14</v>
      </c>
      <c r="H92" s="335" t="s">
        <v>11</v>
      </c>
      <c r="I92" s="333" t="s">
        <v>15</v>
      </c>
      <c r="J92" s="336" t="s">
        <v>14</v>
      </c>
      <c r="K92" s="11" t="s">
        <v>16</v>
      </c>
      <c r="L92" s="1525"/>
      <c r="M92" s="1511"/>
      <c r="N92" s="337" t="s">
        <v>62</v>
      </c>
      <c r="O92" s="338" t="s">
        <v>44</v>
      </c>
      <c r="P92" s="13" t="s">
        <v>18</v>
      </c>
      <c r="Q92" s="14" t="s">
        <v>19</v>
      </c>
    </row>
    <row r="93" spans="1:21" ht="14.25" customHeight="1">
      <c r="A93" s="732" t="s">
        <v>63</v>
      </c>
      <c r="B93" s="18" t="s">
        <v>64</v>
      </c>
      <c r="C93" s="71"/>
      <c r="D93" s="340">
        <v>63</v>
      </c>
      <c r="E93" s="21">
        <v>36.214199999999998</v>
      </c>
      <c r="F93" s="21">
        <v>42.4328</v>
      </c>
      <c r="G93" s="185">
        <f>ROUND(D93*(E93+F93),2)</f>
        <v>4954.76</v>
      </c>
      <c r="H93" s="184">
        <v>66</v>
      </c>
      <c r="I93" s="23">
        <v>16.166</v>
      </c>
      <c r="J93" s="341">
        <f>+H93*I93</f>
        <v>1066.9560000000001</v>
      </c>
      <c r="K93" s="342"/>
      <c r="L93" s="343">
        <f>SUM(G93:G98,J93:J97)</f>
        <v>265129.04599999997</v>
      </c>
      <c r="M93" s="344">
        <v>265129.05</v>
      </c>
      <c r="N93" s="345"/>
      <c r="O93" s="346">
        <v>7157.88</v>
      </c>
      <c r="P93" s="347" t="s">
        <v>24</v>
      </c>
      <c r="Q93" s="348">
        <f t="shared" ref="Q93:Q99" si="13">C93+G93+J93-M93-N93-O93</f>
        <v>-266265.21399999998</v>
      </c>
      <c r="R93" s="349" t="s">
        <v>65</v>
      </c>
      <c r="S93" s="350" t="s">
        <v>20</v>
      </c>
      <c r="T93" s="351" t="s">
        <v>21</v>
      </c>
      <c r="U93" s="352">
        <f>+L93-M93+C93</f>
        <v>-4.0000000153668225E-3</v>
      </c>
    </row>
    <row r="94" spans="1:21" ht="14.25" customHeight="1">
      <c r="A94" s="733"/>
      <c r="B94" s="35"/>
      <c r="C94" s="84" t="s">
        <v>26</v>
      </c>
      <c r="D94" s="37"/>
      <c r="E94" s="38">
        <f>32.332-28.8628</f>
        <v>3.4692000000000007</v>
      </c>
      <c r="F94" s="38">
        <f>37.8898-33.8306</f>
        <v>4.0592000000000041</v>
      </c>
      <c r="G94" s="39">
        <f>ROUND(D94*(E94+F94),2)</f>
        <v>0</v>
      </c>
      <c r="H94" s="49"/>
      <c r="I94" s="271"/>
      <c r="J94" s="101"/>
      <c r="K94" s="354"/>
      <c r="L94" s="355"/>
      <c r="M94" s="356"/>
      <c r="N94" s="357"/>
      <c r="O94" s="358"/>
      <c r="P94" s="359"/>
      <c r="Q94" s="360"/>
      <c r="R94" s="349"/>
      <c r="S94" s="350"/>
      <c r="T94" s="351"/>
      <c r="U94" s="352"/>
    </row>
    <row r="95" spans="1:21">
      <c r="A95" s="733"/>
      <c r="B95" s="35"/>
      <c r="C95" s="48"/>
      <c r="D95" s="49"/>
      <c r="E95" s="41">
        <f>4.4128-4.4153</f>
        <v>-2.5000000000003908E-3</v>
      </c>
      <c r="F95" s="41">
        <f>+E95</f>
        <v>-2.5000000000003908E-3</v>
      </c>
      <c r="G95" s="50">
        <f>ROUND(D95*E95*70%+D95*F95*30%,2)</f>
        <v>0</v>
      </c>
      <c r="H95" s="49"/>
      <c r="I95" s="271">
        <v>0</v>
      </c>
      <c r="J95" s="41">
        <f>H95*I95</f>
        <v>0</v>
      </c>
      <c r="K95" s="354"/>
      <c r="L95" s="355"/>
      <c r="M95" s="356"/>
      <c r="N95" s="357"/>
      <c r="O95" s="358"/>
      <c r="P95" s="359"/>
      <c r="Q95" s="360"/>
      <c r="R95" s="349"/>
      <c r="S95" s="350"/>
      <c r="T95" s="351"/>
      <c r="U95" s="352"/>
    </row>
    <row r="96" spans="1:21">
      <c r="A96" s="733"/>
      <c r="B96" s="35"/>
      <c r="C96" s="48" t="s">
        <v>176</v>
      </c>
      <c r="D96" s="49">
        <v>0</v>
      </c>
      <c r="E96" s="41">
        <f>7.0426-6.9536</f>
        <v>8.9000000000000412E-2</v>
      </c>
      <c r="F96" s="38">
        <f>+E96</f>
        <v>8.9000000000000412E-2</v>
      </c>
      <c r="G96" s="50">
        <f>ROUND(+D96*E96,2)</f>
        <v>0</v>
      </c>
      <c r="H96" s="49"/>
      <c r="I96" s="271"/>
      <c r="J96" s="41"/>
      <c r="K96" s="354"/>
      <c r="L96" s="355"/>
      <c r="M96" s="356"/>
      <c r="N96" s="357"/>
      <c r="O96" s="358"/>
      <c r="P96" s="359"/>
      <c r="Q96" s="360"/>
      <c r="R96" s="349"/>
      <c r="S96" s="350"/>
      <c r="T96" s="351"/>
      <c r="U96" s="352"/>
    </row>
    <row r="97" spans="1:21">
      <c r="A97" s="733"/>
      <c r="B97" s="35"/>
      <c r="C97" s="48" t="s">
        <v>177</v>
      </c>
      <c r="D97" s="49">
        <v>88</v>
      </c>
      <c r="E97" s="41">
        <v>7.0378999999999996</v>
      </c>
      <c r="F97" s="41">
        <f>+E97</f>
        <v>7.0378999999999996</v>
      </c>
      <c r="G97" s="50">
        <f>ROUND(D97*E97,2)</f>
        <v>619.34</v>
      </c>
      <c r="H97" s="361"/>
      <c r="I97" s="362"/>
      <c r="J97" s="207"/>
      <c r="K97" s="363"/>
      <c r="L97" s="364"/>
      <c r="M97" s="365"/>
      <c r="N97" s="366"/>
      <c r="O97" s="367"/>
      <c r="P97" s="368"/>
      <c r="Q97" s="360"/>
      <c r="R97" s="349"/>
      <c r="S97" s="350"/>
      <c r="T97" s="351"/>
      <c r="U97" s="352"/>
    </row>
    <row r="98" spans="1:21" ht="15.75" thickBot="1">
      <c r="A98" s="734"/>
      <c r="B98" s="53" t="s">
        <v>66</v>
      </c>
      <c r="C98" s="99" t="s">
        <v>29</v>
      </c>
      <c r="D98" s="55">
        <v>36728</v>
      </c>
      <c r="E98" s="56">
        <v>7.0378999999999996</v>
      </c>
      <c r="F98" s="370">
        <f>+E98</f>
        <v>7.0378999999999996</v>
      </c>
      <c r="G98" s="58">
        <f>ROUND(D98*E98,2)</f>
        <v>258487.99</v>
      </c>
      <c r="H98" s="248"/>
      <c r="I98" s="203"/>
      <c r="J98" s="60"/>
      <c r="K98" s="203"/>
      <c r="L98" s="204"/>
      <c r="M98" s="371"/>
      <c r="N98" s="372"/>
      <c r="O98" s="373">
        <v>165882.5</v>
      </c>
      <c r="P98" s="374" t="s">
        <v>24</v>
      </c>
      <c r="Q98" s="373">
        <f>G98+J98-M98-N98-O98</f>
        <v>92605.489999999991</v>
      </c>
      <c r="R98" s="349" t="s">
        <v>65</v>
      </c>
      <c r="S98" s="375">
        <f>SUM(O93:O98)</f>
        <v>173040.38</v>
      </c>
      <c r="T98" s="375">
        <f>SUM(Q93:Q98)</f>
        <v>-173659.72399999999</v>
      </c>
    </row>
    <row r="99" spans="1:21" s="81" customFormat="1" ht="15" customHeight="1" thickBot="1">
      <c r="A99" s="376">
        <v>301</v>
      </c>
      <c r="B99" s="70" t="s">
        <v>67</v>
      </c>
      <c r="C99" s="377"/>
      <c r="D99" s="378">
        <v>540</v>
      </c>
      <c r="E99" s="21">
        <v>36.214199999999998</v>
      </c>
      <c r="F99" s="21">
        <v>42.4328</v>
      </c>
      <c r="G99" s="379">
        <f>ROUND(D99*(E99+F99),2)</f>
        <v>42469.38</v>
      </c>
      <c r="H99" s="380">
        <v>583</v>
      </c>
      <c r="I99" s="381">
        <v>16.166</v>
      </c>
      <c r="J99" s="381">
        <f>H99*I99</f>
        <v>9424.7780000000002</v>
      </c>
      <c r="K99" s="342" t="s">
        <v>180</v>
      </c>
      <c r="L99" s="382">
        <f>+SUM(G99:G108,J99:J107)</f>
        <v>185374.22999999998</v>
      </c>
      <c r="M99" s="26">
        <v>185374.23</v>
      </c>
      <c r="N99" s="383"/>
      <c r="O99" s="77"/>
      <c r="P99" s="77" t="s">
        <v>68</v>
      </c>
      <c r="Q99" s="384">
        <f t="shared" si="13"/>
        <v>-133480.07200000001</v>
      </c>
      <c r="R99" s="385" t="s">
        <v>69</v>
      </c>
      <c r="S99" s="386"/>
      <c r="T99" s="387"/>
      <c r="U99" s="388"/>
    </row>
    <row r="100" spans="1:21" s="81" customFormat="1" ht="12.75">
      <c r="A100" s="389"/>
      <c r="B100" s="83"/>
      <c r="C100" s="390" t="s">
        <v>26</v>
      </c>
      <c r="D100" s="37"/>
      <c r="E100" s="38">
        <f>32.332-28.8628</f>
        <v>3.4692000000000007</v>
      </c>
      <c r="F100" s="38">
        <v>0</v>
      </c>
      <c r="G100" s="39">
        <f>ROUND(D100*(E100+F100),2)</f>
        <v>0</v>
      </c>
      <c r="H100" s="391">
        <v>637</v>
      </c>
      <c r="I100" s="392">
        <v>16.166</v>
      </c>
      <c r="J100" s="381">
        <f>H100*I100</f>
        <v>10297.742</v>
      </c>
      <c r="K100" s="393" t="s">
        <v>181</v>
      </c>
      <c r="L100" s="394"/>
      <c r="M100" s="90"/>
      <c r="N100" s="395"/>
      <c r="O100" s="94"/>
      <c r="P100" s="94"/>
      <c r="Q100" s="396"/>
      <c r="R100" s="397"/>
      <c r="S100" s="398"/>
      <c r="T100" s="399"/>
    </row>
    <row r="101" spans="1:21" s="81" customFormat="1" ht="12.75">
      <c r="A101" s="389"/>
      <c r="B101" s="98" t="s">
        <v>32</v>
      </c>
      <c r="C101" s="99" t="s">
        <v>33</v>
      </c>
      <c r="D101" s="37">
        <v>91</v>
      </c>
      <c r="E101" s="101">
        <v>304.86</v>
      </c>
      <c r="F101" s="38">
        <v>42.4328</v>
      </c>
      <c r="G101" s="400">
        <f>ROUND(D101*(E101+F101),2)</f>
        <v>31603.64</v>
      </c>
      <c r="H101" s="401"/>
      <c r="I101" s="402"/>
      <c r="J101" s="402"/>
      <c r="K101" s="403"/>
      <c r="L101" s="404"/>
      <c r="M101" s="102"/>
      <c r="N101" s="405"/>
      <c r="O101" s="406"/>
      <c r="P101" s="406" t="s">
        <v>68</v>
      </c>
      <c r="Q101" s="407">
        <f>+G101+J101-M101-N101-O101</f>
        <v>31603.64</v>
      </c>
      <c r="R101" s="397" t="s">
        <v>69</v>
      </c>
      <c r="S101" s="398"/>
      <c r="T101" s="399"/>
    </row>
    <row r="102" spans="1:21" s="81" customFormat="1" ht="15" customHeight="1">
      <c r="A102" s="389"/>
      <c r="B102" s="98"/>
      <c r="C102" s="84"/>
      <c r="D102" s="37">
        <v>0</v>
      </c>
      <c r="E102" s="41">
        <f>304.86-291.8</f>
        <v>13.060000000000002</v>
      </c>
      <c r="F102" s="38">
        <v>0</v>
      </c>
      <c r="G102" s="400">
        <f>+D102*(E102+F102)</f>
        <v>0</v>
      </c>
      <c r="H102" s="401"/>
      <c r="I102" s="402"/>
      <c r="J102" s="402"/>
      <c r="K102" s="408"/>
      <c r="L102" s="404"/>
      <c r="M102" s="102"/>
      <c r="N102" s="405"/>
      <c r="O102" s="406"/>
      <c r="P102" s="406"/>
      <c r="Q102" s="407"/>
      <c r="R102" s="397"/>
      <c r="S102" s="398"/>
      <c r="T102" s="399"/>
    </row>
    <row r="103" spans="1:21" s="81" customFormat="1" ht="15" customHeight="1">
      <c r="A103" s="389"/>
      <c r="B103" s="83"/>
      <c r="C103" s="84"/>
      <c r="D103" s="37"/>
      <c r="E103" s="41"/>
      <c r="F103" s="38"/>
      <c r="G103" s="400"/>
      <c r="H103" s="401"/>
      <c r="I103" s="402"/>
      <c r="J103" s="402"/>
      <c r="K103" s="408"/>
      <c r="L103" s="404"/>
      <c r="M103" s="102"/>
      <c r="N103" s="405"/>
      <c r="O103" s="406"/>
      <c r="P103" s="406"/>
      <c r="Q103" s="407"/>
      <c r="R103" s="397"/>
      <c r="S103" s="398"/>
      <c r="T103" s="399"/>
    </row>
    <row r="104" spans="1:21" s="81" customFormat="1" ht="15" customHeight="1">
      <c r="A104" s="389"/>
      <c r="B104" s="83" t="s">
        <v>70</v>
      </c>
      <c r="C104" s="84"/>
      <c r="D104" s="37"/>
      <c r="E104" s="41"/>
      <c r="F104" s="38">
        <v>33.830599999999997</v>
      </c>
      <c r="G104" s="400"/>
      <c r="H104" s="401"/>
      <c r="I104" s="402"/>
      <c r="J104" s="402"/>
      <c r="K104" s="408"/>
      <c r="L104" s="404"/>
      <c r="M104" s="102"/>
      <c r="N104" s="405"/>
      <c r="O104" s="406"/>
      <c r="P104" s="406"/>
      <c r="Q104" s="407"/>
      <c r="R104" s="397"/>
      <c r="S104" s="398"/>
      <c r="T104" s="399"/>
    </row>
    <row r="105" spans="1:21" s="81" customFormat="1" ht="15" customHeight="1">
      <c r="A105" s="389"/>
      <c r="B105" s="83"/>
      <c r="C105" s="48"/>
      <c r="D105" s="37"/>
      <c r="E105" s="41">
        <f>4.4128-4.4153</f>
        <v>-2.5000000000003908E-3</v>
      </c>
      <c r="F105" s="38"/>
      <c r="G105" s="39">
        <f>ROUND(D105*(E105+F105),2)</f>
        <v>0</v>
      </c>
      <c r="H105" s="37"/>
      <c r="I105" s="409"/>
      <c r="J105" s="409"/>
      <c r="K105" s="408"/>
      <c r="L105" s="404"/>
      <c r="M105" s="102"/>
      <c r="N105" s="405"/>
      <c r="O105" s="406"/>
      <c r="P105" s="406"/>
      <c r="Q105" s="407"/>
      <c r="R105" s="397"/>
      <c r="S105" s="398"/>
      <c r="T105" s="399"/>
    </row>
    <row r="106" spans="1:21" s="81" customFormat="1" ht="15" customHeight="1">
      <c r="A106" s="389"/>
      <c r="B106" s="83"/>
      <c r="C106" s="48" t="s">
        <v>176</v>
      </c>
      <c r="D106" s="37">
        <v>15077</v>
      </c>
      <c r="E106" s="41">
        <f>7.0426-6.9536</f>
        <v>8.9000000000000412E-2</v>
      </c>
      <c r="F106" s="38">
        <f>+E106</f>
        <v>8.9000000000000412E-2</v>
      </c>
      <c r="G106" s="39">
        <f>ROUND(D106*E106,2)+0.01</f>
        <v>1341.86</v>
      </c>
      <c r="H106" s="37"/>
      <c r="I106" s="409"/>
      <c r="J106" s="409"/>
      <c r="K106" s="408"/>
      <c r="L106" s="404"/>
      <c r="M106" s="102"/>
      <c r="N106" s="405"/>
      <c r="O106" s="406"/>
      <c r="P106" s="406"/>
      <c r="Q106" s="407"/>
      <c r="R106" s="397"/>
      <c r="S106" s="398"/>
      <c r="T106" s="399"/>
    </row>
    <row r="107" spans="1:21" s="81" customFormat="1" ht="15" customHeight="1">
      <c r="A107" s="389"/>
      <c r="B107" s="83"/>
      <c r="C107" s="48" t="s">
        <v>177</v>
      </c>
      <c r="D107" s="37">
        <v>30</v>
      </c>
      <c r="E107" s="41">
        <v>7.0426000000000002</v>
      </c>
      <c r="F107" s="41">
        <f>+E107</f>
        <v>7.0426000000000002</v>
      </c>
      <c r="G107" s="39">
        <f>ROUND(D107*E107,2)-0.01</f>
        <v>211.27</v>
      </c>
      <c r="H107" s="37"/>
      <c r="I107" s="409"/>
      <c r="J107" s="409"/>
      <c r="K107" s="410"/>
      <c r="L107" s="404"/>
      <c r="M107" s="102"/>
      <c r="N107" s="405"/>
      <c r="O107" s="406"/>
      <c r="P107" s="406"/>
      <c r="Q107" s="407"/>
      <c r="R107" s="397"/>
      <c r="S107" s="398"/>
      <c r="T107" s="399"/>
    </row>
    <row r="108" spans="1:21" s="81" customFormat="1" ht="15.75" customHeight="1" thickBot="1">
      <c r="A108" s="411"/>
      <c r="B108" s="412"/>
      <c r="C108" s="99" t="s">
        <v>29</v>
      </c>
      <c r="D108" s="413">
        <v>12783</v>
      </c>
      <c r="E108" s="56">
        <v>7.0426000000000002</v>
      </c>
      <c r="F108" s="370">
        <f>+E108</f>
        <v>7.0426000000000002</v>
      </c>
      <c r="G108" s="414">
        <f>ROUND(D108*E108,2)</f>
        <v>90025.56</v>
      </c>
      <c r="H108" s="248"/>
      <c r="I108" s="60"/>
      <c r="J108" s="60"/>
      <c r="K108" s="203"/>
      <c r="L108" s="204"/>
      <c r="M108" s="371"/>
      <c r="N108" s="415"/>
      <c r="O108" s="416"/>
      <c r="P108" s="416" t="s">
        <v>68</v>
      </c>
      <c r="Q108" s="417">
        <f>+G108+J108-M108-N108-O108</f>
        <v>90025.56</v>
      </c>
      <c r="R108" s="418" t="s">
        <v>69</v>
      </c>
      <c r="S108" s="419">
        <f>SUM(O99:O108)</f>
        <v>0</v>
      </c>
      <c r="T108" s="419">
        <f>SUM(Q99:Q108)</f>
        <v>-11850.872000000018</v>
      </c>
    </row>
    <row r="109" spans="1:21" s="81" customFormat="1" ht="15.75" customHeight="1" thickBot="1">
      <c r="A109" s="376"/>
      <c r="B109" s="420" t="s">
        <v>72</v>
      </c>
      <c r="C109" s="377" t="s">
        <v>73</v>
      </c>
      <c r="D109" s="378">
        <v>144</v>
      </c>
      <c r="E109" s="21">
        <v>36.214199999999998</v>
      </c>
      <c r="F109" s="21">
        <v>42.4328</v>
      </c>
      <c r="G109" s="22">
        <f>+D109*(E109+F109)</f>
        <v>11325.167999999998</v>
      </c>
      <c r="H109" s="303">
        <v>148</v>
      </c>
      <c r="I109" s="381">
        <v>16.166</v>
      </c>
      <c r="J109" s="381">
        <f>H109*I109</f>
        <v>2392.5680000000002</v>
      </c>
      <c r="K109" s="342" t="s">
        <v>180</v>
      </c>
      <c r="L109" s="263">
        <f>SUM(G109:G113,J109:J113)</f>
        <v>250608.29800000001</v>
      </c>
      <c r="M109" s="26">
        <v>250608.3</v>
      </c>
      <c r="N109" s="421"/>
      <c r="O109" s="77"/>
      <c r="P109" s="77"/>
      <c r="Q109" s="384"/>
      <c r="R109" s="422"/>
      <c r="S109" s="399"/>
      <c r="T109" s="399"/>
    </row>
    <row r="110" spans="1:21" s="81" customFormat="1" ht="15.75" customHeight="1">
      <c r="A110" s="389"/>
      <c r="B110" s="83"/>
      <c r="C110" s="84" t="s">
        <v>26</v>
      </c>
      <c r="D110" s="37"/>
      <c r="E110" s="38">
        <f>32.332-28.8628</f>
        <v>3.4692000000000007</v>
      </c>
      <c r="F110" s="38">
        <f>37.8898-33.8306</f>
        <v>4.0592000000000041</v>
      </c>
      <c r="G110" s="39">
        <f>ROUND(D110*(E110+F110),2)</f>
        <v>0</v>
      </c>
      <c r="H110" s="270">
        <v>132</v>
      </c>
      <c r="I110" s="392">
        <v>16.166</v>
      </c>
      <c r="J110" s="381">
        <f>H110*I110</f>
        <v>2133.9120000000003</v>
      </c>
      <c r="K110" s="393" t="s">
        <v>181</v>
      </c>
      <c r="L110" s="272"/>
      <c r="M110" s="102"/>
      <c r="N110" s="423"/>
      <c r="O110" s="406"/>
      <c r="P110" s="406"/>
      <c r="Q110" s="424"/>
      <c r="R110" s="422"/>
      <c r="S110" s="399"/>
      <c r="T110" s="399"/>
    </row>
    <row r="111" spans="1:21" s="81" customFormat="1" ht="15.75" customHeight="1">
      <c r="A111" s="389"/>
      <c r="B111" s="83"/>
      <c r="C111" s="48" t="s">
        <v>170</v>
      </c>
      <c r="D111" s="37">
        <v>39154</v>
      </c>
      <c r="E111" s="41">
        <f>7.0426-6.9536</f>
        <v>8.9000000000000412E-2</v>
      </c>
      <c r="F111" s="38"/>
      <c r="G111" s="39">
        <f>ROUND(D111*(E111),2)-0.01</f>
        <v>3484.7</v>
      </c>
      <c r="H111" s="270"/>
      <c r="I111" s="41"/>
      <c r="J111" s="41"/>
      <c r="K111" s="271"/>
      <c r="L111" s="272"/>
      <c r="M111" s="102"/>
      <c r="N111" s="423"/>
      <c r="O111" s="406"/>
      <c r="P111" s="406"/>
      <c r="Q111" s="424"/>
      <c r="R111" s="422"/>
      <c r="S111" s="399"/>
      <c r="T111" s="399"/>
    </row>
    <row r="112" spans="1:21" s="81" customFormat="1" ht="15.75" customHeight="1">
      <c r="A112" s="389"/>
      <c r="B112" s="83"/>
      <c r="C112" s="48" t="s">
        <v>171</v>
      </c>
      <c r="D112" s="37">
        <v>79</v>
      </c>
      <c r="E112" s="41">
        <v>7.0426000000000002</v>
      </c>
      <c r="F112" s="38"/>
      <c r="G112" s="39">
        <f>ROUND(D112*(E112),2)</f>
        <v>556.37</v>
      </c>
      <c r="H112" s="270"/>
      <c r="I112" s="41"/>
      <c r="J112" s="41"/>
      <c r="K112" s="271"/>
      <c r="L112" s="272"/>
      <c r="M112" s="102"/>
      <c r="N112" s="423"/>
      <c r="O112" s="406"/>
      <c r="P112" s="406"/>
      <c r="Q112" s="425"/>
      <c r="R112" s="422"/>
      <c r="S112" s="399"/>
      <c r="T112" s="399"/>
    </row>
    <row r="113" spans="1:20" s="81" customFormat="1" ht="15.75" customHeight="1" thickBot="1">
      <c r="A113" s="411"/>
      <c r="B113" s="412"/>
      <c r="C113" s="99" t="s">
        <v>29</v>
      </c>
      <c r="D113" s="413">
        <v>32760</v>
      </c>
      <c r="E113" s="56">
        <v>7.0426000000000002</v>
      </c>
      <c r="F113" s="281"/>
      <c r="G113" s="414">
        <f>ROUND(D113*(E113),2)</f>
        <v>230715.58</v>
      </c>
      <c r="H113" s="280"/>
      <c r="I113" s="281"/>
      <c r="J113" s="281"/>
      <c r="K113" s="282"/>
      <c r="L113" s="204"/>
      <c r="M113" s="371"/>
      <c r="N113" s="426"/>
      <c r="O113" s="416"/>
      <c r="P113" s="416"/>
      <c r="Q113" s="417"/>
      <c r="R113" s="422"/>
      <c r="S113" s="399"/>
      <c r="T113" s="399"/>
    </row>
    <row r="114" spans="1:20" s="81" customFormat="1" ht="15.75" customHeight="1" thickBot="1">
      <c r="A114" s="376"/>
      <c r="B114" s="427" t="s">
        <v>74</v>
      </c>
      <c r="C114" s="377" t="s">
        <v>73</v>
      </c>
      <c r="D114" s="378">
        <v>12</v>
      </c>
      <c r="E114" s="21">
        <v>36.214199999999998</v>
      </c>
      <c r="F114" s="21">
        <v>42.4328</v>
      </c>
      <c r="G114" s="22">
        <f>ROUND(D114*(E114+F114),2)</f>
        <v>943.76</v>
      </c>
      <c r="H114" s="303">
        <v>18</v>
      </c>
      <c r="I114" s="381">
        <v>16.166</v>
      </c>
      <c r="J114" s="381">
        <f>H114*I114</f>
        <v>290.988</v>
      </c>
      <c r="K114" s="342" t="s">
        <v>180</v>
      </c>
      <c r="L114" s="263">
        <f>SUM(G114:G120,J114:J120)</f>
        <v>20933.564000000002</v>
      </c>
      <c r="M114" s="26">
        <v>20933.560000000001</v>
      </c>
      <c r="N114" s="421"/>
      <c r="O114" s="77"/>
      <c r="P114" s="77"/>
      <c r="Q114" s="384"/>
      <c r="R114" s="422"/>
      <c r="S114" s="399"/>
      <c r="T114" s="399"/>
    </row>
    <row r="115" spans="1:20" s="81" customFormat="1" ht="15.75" customHeight="1">
      <c r="A115" s="389"/>
      <c r="B115" s="98" t="s">
        <v>75</v>
      </c>
      <c r="C115" s="84" t="s">
        <v>26</v>
      </c>
      <c r="D115" s="37"/>
      <c r="E115" s="38">
        <f>32.332-28.8628</f>
        <v>3.4692000000000007</v>
      </c>
      <c r="F115" s="38">
        <f>37.8898-33.8306</f>
        <v>4.0592000000000041</v>
      </c>
      <c r="G115" s="39">
        <f>ROUND(D115*(E115+F115),2)</f>
        <v>0</v>
      </c>
      <c r="H115" s="270">
        <v>16</v>
      </c>
      <c r="I115" s="392">
        <v>16.166</v>
      </c>
      <c r="J115" s="381">
        <f>H115*I115</f>
        <v>258.65600000000001</v>
      </c>
      <c r="K115" s="393" t="s">
        <v>181</v>
      </c>
      <c r="L115" s="272"/>
      <c r="M115" s="102"/>
      <c r="N115" s="423"/>
      <c r="O115" s="406"/>
      <c r="P115" s="406"/>
      <c r="Q115" s="424"/>
      <c r="R115" s="422"/>
      <c r="S115" s="399"/>
      <c r="T115" s="399"/>
    </row>
    <row r="116" spans="1:20" s="81" customFormat="1" ht="15.75" customHeight="1">
      <c r="A116" s="389"/>
      <c r="B116" s="83"/>
      <c r="C116" s="99" t="s">
        <v>33</v>
      </c>
      <c r="D116" s="428">
        <v>7</v>
      </c>
      <c r="E116" s="101">
        <v>304.86</v>
      </c>
      <c r="F116" s="38">
        <v>42.43</v>
      </c>
      <c r="G116" s="39">
        <f>ROUND(D116*(E116+F116),2)</f>
        <v>2431.0300000000002</v>
      </c>
      <c r="H116" s="270"/>
      <c r="I116" s="41"/>
      <c r="J116" s="41"/>
      <c r="K116" s="271"/>
      <c r="L116" s="272"/>
      <c r="M116" s="102"/>
      <c r="N116" s="423"/>
      <c r="O116" s="406"/>
      <c r="P116" s="406"/>
      <c r="Q116" s="424"/>
      <c r="R116" s="422"/>
      <c r="S116" s="399"/>
      <c r="T116" s="399"/>
    </row>
    <row r="117" spans="1:20" s="81" customFormat="1" ht="15.75" customHeight="1">
      <c r="A117" s="389"/>
      <c r="B117" s="83"/>
      <c r="C117" s="48" t="s">
        <v>76</v>
      </c>
      <c r="D117" s="37">
        <v>0</v>
      </c>
      <c r="E117" s="41">
        <f>304.86-291.8</f>
        <v>13.060000000000002</v>
      </c>
      <c r="F117" s="38"/>
      <c r="G117" s="39">
        <f>ROUND(D117*(E117+F117),2)</f>
        <v>0</v>
      </c>
      <c r="H117" s="270"/>
      <c r="I117" s="41"/>
      <c r="J117" s="41"/>
      <c r="K117" s="271"/>
      <c r="L117" s="272"/>
      <c r="M117" s="102"/>
      <c r="N117" s="423"/>
      <c r="O117" s="406"/>
      <c r="P117" s="406"/>
      <c r="Q117" s="424"/>
      <c r="R117" s="422"/>
      <c r="S117" s="399"/>
      <c r="T117" s="399"/>
    </row>
    <row r="118" spans="1:20" s="81" customFormat="1" ht="15.75" customHeight="1">
      <c r="A118" s="389"/>
      <c r="B118" s="83"/>
      <c r="C118" s="48" t="s">
        <v>176</v>
      </c>
      <c r="D118" s="37">
        <v>2804.7</v>
      </c>
      <c r="E118" s="41">
        <f>7.0426-6.9536</f>
        <v>8.9000000000000412E-2</v>
      </c>
      <c r="F118" s="38"/>
      <c r="G118" s="39">
        <f>ROUND(D118*(E118+F118),2)+0.03</f>
        <v>249.65</v>
      </c>
      <c r="H118" s="270"/>
      <c r="I118" s="41"/>
      <c r="J118" s="41"/>
      <c r="K118" s="271"/>
      <c r="L118" s="272"/>
      <c r="M118" s="102"/>
      <c r="N118" s="423"/>
      <c r="O118" s="406"/>
      <c r="P118" s="406"/>
      <c r="Q118" s="424"/>
      <c r="R118" s="422"/>
      <c r="S118" s="399"/>
      <c r="T118" s="399"/>
    </row>
    <row r="119" spans="1:20" s="81" customFormat="1" ht="15.75" customHeight="1">
      <c r="A119" s="389"/>
      <c r="B119" s="83"/>
      <c r="C119" s="48" t="s">
        <v>177</v>
      </c>
      <c r="D119" s="37">
        <v>5.73</v>
      </c>
      <c r="E119" s="41">
        <v>7.0426000000000002</v>
      </c>
      <c r="F119" s="38"/>
      <c r="G119" s="39">
        <f>ROUND(D119*E119,2)</f>
        <v>40.35</v>
      </c>
      <c r="H119" s="270"/>
      <c r="I119" s="41"/>
      <c r="J119" s="41"/>
      <c r="K119" s="271"/>
      <c r="L119" s="272"/>
      <c r="M119" s="102"/>
      <c r="N119" s="423"/>
      <c r="O119" s="406"/>
      <c r="P119" s="406"/>
      <c r="Q119" s="425"/>
      <c r="R119" s="422"/>
      <c r="S119" s="399"/>
      <c r="T119" s="399"/>
    </row>
    <row r="120" spans="1:20" s="81" customFormat="1" ht="15" customHeight="1" thickBot="1">
      <c r="A120" s="411"/>
      <c r="B120" s="412"/>
      <c r="C120" s="99" t="s">
        <v>29</v>
      </c>
      <c r="D120" s="413">
        <v>2374</v>
      </c>
      <c r="E120" s="56">
        <v>7.0426000000000002</v>
      </c>
      <c r="F120" s="281"/>
      <c r="G120" s="414">
        <f t="shared" ref="G120:G127" si="14">ROUND(D120*(E120+F120),2)</f>
        <v>16719.13</v>
      </c>
      <c r="H120" s="280"/>
      <c r="I120" s="281"/>
      <c r="J120" s="281"/>
      <c r="K120" s="282"/>
      <c r="L120" s="204"/>
      <c r="M120" s="371"/>
      <c r="N120" s="426"/>
      <c r="O120" s="416"/>
      <c r="P120" s="416"/>
      <c r="Q120" s="417"/>
      <c r="R120" s="422"/>
      <c r="S120" s="399"/>
      <c r="T120" s="399"/>
    </row>
    <row r="121" spans="1:20" s="81" customFormat="1" ht="15" customHeight="1" thickBot="1">
      <c r="A121" s="376"/>
      <c r="B121" s="420" t="s">
        <v>77</v>
      </c>
      <c r="C121" s="377" t="s">
        <v>73</v>
      </c>
      <c r="D121" s="378">
        <v>3</v>
      </c>
      <c r="E121" s="21">
        <v>36.214199999999998</v>
      </c>
      <c r="F121" s="21">
        <v>42.4328</v>
      </c>
      <c r="G121" s="22">
        <f t="shared" si="14"/>
        <v>235.94</v>
      </c>
      <c r="H121" s="303">
        <v>11</v>
      </c>
      <c r="I121" s="381">
        <v>16.166</v>
      </c>
      <c r="J121" s="381">
        <f>H121*I121</f>
        <v>177.82599999999999</v>
      </c>
      <c r="K121" s="342" t="s">
        <v>180</v>
      </c>
      <c r="L121" s="382">
        <f>+SUM(G121:G127,J121:J127)</f>
        <v>4008.6020000000003</v>
      </c>
      <c r="M121" s="26">
        <v>4008.6</v>
      </c>
      <c r="N121" s="421"/>
      <c r="O121" s="77"/>
      <c r="P121" s="77"/>
      <c r="Q121" s="384"/>
      <c r="R121" s="422"/>
      <c r="S121" s="399"/>
      <c r="T121" s="399"/>
    </row>
    <row r="122" spans="1:20" s="81" customFormat="1" ht="15" customHeight="1">
      <c r="A122" s="389"/>
      <c r="B122" s="83"/>
      <c r="C122" s="84" t="s">
        <v>26</v>
      </c>
      <c r="D122" s="37"/>
      <c r="E122" s="38">
        <v>3.4692000000000007</v>
      </c>
      <c r="F122" s="38"/>
      <c r="G122" s="39">
        <f t="shared" si="14"/>
        <v>0</v>
      </c>
      <c r="H122" s="270">
        <v>1</v>
      </c>
      <c r="I122" s="392">
        <v>16.166</v>
      </c>
      <c r="J122" s="381">
        <f>H122*I122</f>
        <v>16.166</v>
      </c>
      <c r="K122" s="393" t="s">
        <v>181</v>
      </c>
      <c r="L122" s="429"/>
      <c r="M122" s="102"/>
      <c r="N122" s="430"/>
      <c r="O122" s="431"/>
      <c r="P122" s="431"/>
      <c r="Q122" s="424"/>
      <c r="R122" s="422"/>
      <c r="S122" s="399"/>
      <c r="T122" s="399"/>
    </row>
    <row r="123" spans="1:20" s="81" customFormat="1" ht="15" customHeight="1">
      <c r="A123" s="389"/>
      <c r="B123" s="98" t="s">
        <v>32</v>
      </c>
      <c r="C123" s="99" t="s">
        <v>33</v>
      </c>
      <c r="D123" s="37">
        <v>4</v>
      </c>
      <c r="E123" s="101">
        <v>304.86</v>
      </c>
      <c r="F123" s="38">
        <v>42.4328</v>
      </c>
      <c r="G123" s="39">
        <f t="shared" si="14"/>
        <v>1389.17</v>
      </c>
      <c r="H123" s="270"/>
      <c r="I123" s="41"/>
      <c r="J123" s="41"/>
      <c r="K123" s="271"/>
      <c r="L123" s="272"/>
      <c r="M123" s="102"/>
      <c r="N123" s="430"/>
      <c r="O123" s="431"/>
      <c r="P123" s="431"/>
      <c r="Q123" s="424"/>
      <c r="R123" s="422"/>
      <c r="S123" s="399"/>
      <c r="T123" s="399"/>
    </row>
    <row r="124" spans="1:20" s="81" customFormat="1" ht="15" customHeight="1">
      <c r="A124" s="389"/>
      <c r="B124" s="83"/>
      <c r="C124" s="48" t="s">
        <v>78</v>
      </c>
      <c r="D124" s="37">
        <v>0</v>
      </c>
      <c r="E124" s="41">
        <f>304.86-291.8</f>
        <v>13.060000000000002</v>
      </c>
      <c r="F124" s="38"/>
      <c r="G124" s="39">
        <f>ROUND(D124*(E124+F124),2)</f>
        <v>0</v>
      </c>
      <c r="H124" s="270"/>
      <c r="I124" s="41"/>
      <c r="J124" s="41"/>
      <c r="K124" s="271"/>
      <c r="L124" s="272"/>
      <c r="M124" s="102"/>
      <c r="N124" s="430"/>
      <c r="O124" s="431"/>
      <c r="P124" s="431"/>
      <c r="Q124" s="424"/>
      <c r="R124" s="422"/>
      <c r="S124" s="399"/>
      <c r="T124" s="399"/>
    </row>
    <row r="125" spans="1:20" s="81" customFormat="1" ht="15" customHeight="1">
      <c r="A125" s="389"/>
      <c r="B125" s="83"/>
      <c r="C125" s="48" t="s">
        <v>176</v>
      </c>
      <c r="D125" s="37">
        <v>331.8</v>
      </c>
      <c r="E125" s="41">
        <f>7.0426-6.9536</f>
        <v>8.9000000000000412E-2</v>
      </c>
      <c r="F125" s="38"/>
      <c r="G125" s="39">
        <f>ROUND(D125*(E125+F125),2)</f>
        <v>29.53</v>
      </c>
      <c r="H125" s="270"/>
      <c r="I125" s="41"/>
      <c r="J125" s="41"/>
      <c r="K125" s="271"/>
      <c r="L125" s="272"/>
      <c r="M125" s="102"/>
      <c r="N125" s="430"/>
      <c r="O125" s="431"/>
      <c r="P125" s="431"/>
      <c r="Q125" s="424"/>
      <c r="R125" s="422"/>
      <c r="S125" s="399"/>
      <c r="T125" s="399"/>
    </row>
    <row r="126" spans="1:20" s="81" customFormat="1" ht="15" customHeight="1">
      <c r="A126" s="389"/>
      <c r="B126" s="83"/>
      <c r="C126" s="48" t="s">
        <v>177</v>
      </c>
      <c r="D126" s="37">
        <v>0.7</v>
      </c>
      <c r="E126" s="41">
        <v>7.0426000000000002</v>
      </c>
      <c r="F126" s="38"/>
      <c r="G126" s="39">
        <f t="shared" si="14"/>
        <v>4.93</v>
      </c>
      <c r="H126" s="432"/>
      <c r="I126" s="207"/>
      <c r="J126" s="207"/>
      <c r="K126" s="362"/>
      <c r="L126" s="433"/>
      <c r="M126" s="63"/>
      <c r="N126" s="434"/>
      <c r="O126" s="435"/>
      <c r="P126" s="435"/>
      <c r="Q126" s="425"/>
      <c r="R126" s="422"/>
      <c r="S126" s="399"/>
      <c r="T126" s="399"/>
    </row>
    <row r="127" spans="1:20" s="81" customFormat="1" ht="15" customHeight="1" thickBot="1">
      <c r="A127" s="411"/>
      <c r="B127" s="412"/>
      <c r="C127" s="99" t="s">
        <v>29</v>
      </c>
      <c r="D127" s="413">
        <v>306</v>
      </c>
      <c r="E127" s="56">
        <v>7.0426000000000002</v>
      </c>
      <c r="F127" s="281"/>
      <c r="G127" s="414">
        <f t="shared" si="14"/>
        <v>2155.04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36"/>
      <c r="S127" s="399"/>
      <c r="T127" s="399"/>
    </row>
    <row r="128" spans="1:20" s="81" customFormat="1" ht="15" customHeight="1">
      <c r="A128" s="437"/>
      <c r="B128" s="438" t="s">
        <v>38</v>
      </c>
      <c r="C128" s="439"/>
      <c r="D128" s="378"/>
      <c r="E128" s="23"/>
      <c r="F128" s="23"/>
      <c r="G128" s="22"/>
      <c r="H128" s="303"/>
      <c r="I128" s="23"/>
      <c r="J128" s="23"/>
      <c r="K128" s="304"/>
      <c r="L128" s="382">
        <f>+SUM(G128:G131,J128:J131)</f>
        <v>2871.54</v>
      </c>
      <c r="M128" s="26">
        <v>2871.54</v>
      </c>
      <c r="N128" s="421"/>
      <c r="O128" s="77"/>
      <c r="P128" s="77"/>
      <c r="Q128" s="77">
        <f>+L128-M128</f>
        <v>0</v>
      </c>
      <c r="R128" s="440"/>
      <c r="S128" s="399"/>
      <c r="T128" s="399"/>
    </row>
    <row r="129" spans="1:20" s="81" customFormat="1" ht="15" customHeight="1">
      <c r="A129" s="441"/>
      <c r="B129" s="442"/>
      <c r="C129" s="48" t="s">
        <v>176</v>
      </c>
      <c r="D129" s="37">
        <v>533.29999999999995</v>
      </c>
      <c r="E129" s="41">
        <f>7.0426-6.9536</f>
        <v>8.9000000000000412E-2</v>
      </c>
      <c r="F129" s="41"/>
      <c r="G129" s="39">
        <f>ROUND(D129*E129,2)</f>
        <v>47.46</v>
      </c>
      <c r="H129" s="260"/>
      <c r="I129" s="261"/>
      <c r="J129" s="261"/>
      <c r="K129" s="262"/>
      <c r="L129" s="394"/>
      <c r="M129" s="90"/>
      <c r="N129" s="443"/>
      <c r="O129" s="94"/>
      <c r="P129" s="94"/>
      <c r="Q129" s="94"/>
      <c r="R129" s="422"/>
      <c r="S129" s="399"/>
      <c r="T129" s="399"/>
    </row>
    <row r="130" spans="1:20" s="81" customFormat="1">
      <c r="A130" s="441"/>
      <c r="B130" s="444"/>
      <c r="C130" s="48" t="s">
        <v>177</v>
      </c>
      <c r="D130" s="37">
        <v>1</v>
      </c>
      <c r="E130" s="41">
        <v>7.0426000000000002</v>
      </c>
      <c r="F130" s="41"/>
      <c r="G130" s="39">
        <f t="shared" ref="G130:G138" si="15">ROUND(D130*E130,2)</f>
        <v>7.04</v>
      </c>
      <c r="H130" s="432"/>
      <c r="I130" s="207"/>
      <c r="J130" s="207"/>
      <c r="K130" s="362"/>
      <c r="L130" s="433"/>
      <c r="M130" s="63"/>
      <c r="N130" s="423"/>
      <c r="O130" s="406"/>
      <c r="P130" s="406"/>
      <c r="Q130" s="406"/>
      <c r="R130" s="422"/>
      <c r="S130" s="399"/>
      <c r="T130" s="399"/>
    </row>
    <row r="131" spans="1:20" s="81" customFormat="1" ht="15" customHeight="1" thickBot="1">
      <c r="A131" s="445"/>
      <c r="B131" s="446"/>
      <c r="C131" s="99" t="s">
        <v>29</v>
      </c>
      <c r="D131" s="413">
        <v>400</v>
      </c>
      <c r="E131" s="56">
        <v>7.0426000000000002</v>
      </c>
      <c r="F131" s="281"/>
      <c r="G131" s="414">
        <f t="shared" si="15"/>
        <v>2817.04</v>
      </c>
      <c r="H131" s="280"/>
      <c r="I131" s="281"/>
      <c r="J131" s="281"/>
      <c r="K131" s="282"/>
      <c r="L131" s="204"/>
      <c r="M131" s="371"/>
      <c r="N131" s="434"/>
      <c r="O131" s="435"/>
      <c r="P131" s="435"/>
      <c r="Q131" s="435"/>
      <c r="R131" s="422"/>
      <c r="S131" s="399"/>
      <c r="T131" s="399"/>
    </row>
    <row r="132" spans="1:20" s="81" customFormat="1" ht="15" customHeight="1">
      <c r="A132" s="437"/>
      <c r="B132" s="438" t="s">
        <v>122</v>
      </c>
      <c r="C132" s="439"/>
      <c r="D132" s="378"/>
      <c r="E132" s="23"/>
      <c r="F132" s="23"/>
      <c r="G132" s="22"/>
      <c r="H132" s="303"/>
      <c r="I132" s="23"/>
      <c r="J132" s="23"/>
      <c r="K132" s="304"/>
      <c r="L132" s="382">
        <f>+SUM(G132:G135,J132:J135)</f>
        <v>1654.1799999999998</v>
      </c>
      <c r="M132" s="26">
        <v>1654.18</v>
      </c>
      <c r="N132" s="421"/>
      <c r="O132" s="77"/>
      <c r="P132" s="77"/>
      <c r="Q132" s="77"/>
      <c r="R132" s="440"/>
      <c r="S132" s="399"/>
      <c r="T132" s="399"/>
    </row>
    <row r="133" spans="1:20" s="81" customFormat="1" ht="15" customHeight="1" thickBot="1">
      <c r="A133" s="441"/>
      <c r="B133" s="442"/>
      <c r="C133" s="48" t="s">
        <v>176</v>
      </c>
      <c r="D133" s="37">
        <v>263.63</v>
      </c>
      <c r="E133" s="41">
        <f>7.0426-6.9536</f>
        <v>8.9000000000000412E-2</v>
      </c>
      <c r="F133" s="41"/>
      <c r="G133" s="414">
        <f>ROUND(D133*E133,2)+0.01</f>
        <v>23.470000000000002</v>
      </c>
      <c r="H133" s="260"/>
      <c r="I133" s="261"/>
      <c r="J133" s="261"/>
      <c r="K133" s="262"/>
      <c r="L133" s="394"/>
      <c r="M133" s="90"/>
      <c r="N133" s="443"/>
      <c r="O133" s="94"/>
      <c r="P133" s="94"/>
      <c r="Q133" s="94"/>
      <c r="R133" s="422"/>
      <c r="S133" s="399"/>
      <c r="T133" s="399"/>
    </row>
    <row r="134" spans="1:20" s="81" customFormat="1" ht="15" customHeight="1" thickBot="1">
      <c r="A134" s="441"/>
      <c r="B134" s="444"/>
      <c r="C134" s="48" t="s">
        <v>177</v>
      </c>
      <c r="D134" s="37">
        <v>0.55000000000000004</v>
      </c>
      <c r="E134" s="41">
        <v>7.0426000000000002</v>
      </c>
      <c r="F134" s="41"/>
      <c r="G134" s="414">
        <f t="shared" si="15"/>
        <v>3.87</v>
      </c>
      <c r="H134" s="432"/>
      <c r="I134" s="207"/>
      <c r="J134" s="207"/>
      <c r="K134" s="362"/>
      <c r="L134" s="433"/>
      <c r="M134" s="63"/>
      <c r="N134" s="423"/>
      <c r="O134" s="406"/>
      <c r="P134" s="406"/>
      <c r="Q134" s="406"/>
      <c r="R134" s="422"/>
      <c r="S134" s="399"/>
      <c r="T134" s="399"/>
    </row>
    <row r="135" spans="1:20" s="81" customFormat="1" ht="15" customHeight="1" thickBot="1">
      <c r="A135" s="445"/>
      <c r="B135" s="446"/>
      <c r="C135" s="99" t="s">
        <v>29</v>
      </c>
      <c r="D135" s="413">
        <v>231</v>
      </c>
      <c r="E135" s="56">
        <v>7.0426000000000002</v>
      </c>
      <c r="F135" s="281"/>
      <c r="G135" s="414">
        <f t="shared" si="15"/>
        <v>1626.84</v>
      </c>
      <c r="H135" s="280"/>
      <c r="I135" s="281"/>
      <c r="J135" s="281"/>
      <c r="K135" s="282"/>
      <c r="L135" s="204"/>
      <c r="M135" s="371"/>
      <c r="N135" s="434"/>
      <c r="O135" s="435"/>
      <c r="P135" s="435"/>
      <c r="Q135" s="435"/>
      <c r="R135" s="422"/>
      <c r="S135" s="399"/>
      <c r="T135" s="399"/>
    </row>
    <row r="136" spans="1:20" s="81" customFormat="1" ht="15" customHeight="1">
      <c r="A136" s="447"/>
      <c r="B136" s="438" t="s">
        <v>79</v>
      </c>
      <c r="C136" s="48" t="s">
        <v>176</v>
      </c>
      <c r="D136" s="448">
        <v>5022</v>
      </c>
      <c r="E136" s="41">
        <f>7.0426-6.9536</f>
        <v>8.9000000000000412E-2</v>
      </c>
      <c r="F136" s="261"/>
      <c r="G136" s="449">
        <f>ROUND(D136*E136,2)-0.01</f>
        <v>446.95</v>
      </c>
      <c r="H136" s="303"/>
      <c r="I136" s="23"/>
      <c r="J136" s="23"/>
      <c r="K136" s="304"/>
      <c r="L136" s="263">
        <f>SUM(G136:G138)</f>
        <v>30983.670000000002</v>
      </c>
      <c r="M136" s="26">
        <v>30983.67</v>
      </c>
      <c r="N136" s="421"/>
      <c r="O136" s="77"/>
      <c r="P136" s="77"/>
      <c r="Q136" s="384"/>
      <c r="R136" s="422"/>
      <c r="S136" s="399"/>
      <c r="T136" s="399"/>
    </row>
    <row r="137" spans="1:20" s="81" customFormat="1" ht="15" customHeight="1">
      <c r="A137" s="450"/>
      <c r="B137" s="442"/>
      <c r="C137" s="48" t="s">
        <v>177</v>
      </c>
      <c r="D137" s="448">
        <v>10</v>
      </c>
      <c r="E137" s="41">
        <v>7.0426000000000002</v>
      </c>
      <c r="F137" s="261"/>
      <c r="G137" s="449">
        <f t="shared" si="15"/>
        <v>70.430000000000007</v>
      </c>
      <c r="H137" s="260"/>
      <c r="I137" s="261"/>
      <c r="J137" s="261"/>
      <c r="K137" s="262"/>
      <c r="L137" s="286"/>
      <c r="M137" s="90"/>
      <c r="N137" s="423"/>
      <c r="O137" s="406"/>
      <c r="P137" s="406"/>
      <c r="Q137" s="407"/>
      <c r="R137" s="422"/>
      <c r="S137" s="399"/>
      <c r="T137" s="399"/>
    </row>
    <row r="138" spans="1:20" s="81" customFormat="1" ht="15" customHeight="1" thickBot="1">
      <c r="A138" s="451"/>
      <c r="B138" s="446"/>
      <c r="C138" s="99" t="s">
        <v>29</v>
      </c>
      <c r="D138" s="452">
        <v>4326</v>
      </c>
      <c r="E138" s="56">
        <v>7.0426000000000002</v>
      </c>
      <c r="F138" s="207"/>
      <c r="G138" s="453">
        <f t="shared" si="15"/>
        <v>30466.29</v>
      </c>
      <c r="H138" s="280"/>
      <c r="I138" s="281"/>
      <c r="J138" s="281"/>
      <c r="K138" s="282"/>
      <c r="L138" s="204"/>
      <c r="M138" s="371"/>
      <c r="N138" s="426"/>
      <c r="O138" s="416"/>
      <c r="P138" s="416"/>
      <c r="Q138" s="417"/>
      <c r="R138" s="422"/>
      <c r="S138" s="399"/>
      <c r="T138" s="399"/>
    </row>
    <row r="139" spans="1:20" s="81" customFormat="1" ht="15" customHeight="1" thickBot="1">
      <c r="A139" s="437"/>
      <c r="B139" s="438" t="s">
        <v>82</v>
      </c>
      <c r="C139" s="377" t="s">
        <v>73</v>
      </c>
      <c r="D139" s="378">
        <v>28</v>
      </c>
      <c r="E139" s="21">
        <v>36.214199999999998</v>
      </c>
      <c r="F139" s="21">
        <v>42.4328</v>
      </c>
      <c r="G139" s="22">
        <f>+D139*(E139+F139)</f>
        <v>2202.116</v>
      </c>
      <c r="H139" s="303">
        <v>28</v>
      </c>
      <c r="I139" s="381">
        <v>16.166</v>
      </c>
      <c r="J139" s="381">
        <f>H139*I139</f>
        <v>452.64800000000002</v>
      </c>
      <c r="K139" s="342" t="s">
        <v>180</v>
      </c>
      <c r="L139" s="263">
        <f>SUM(G139:G143,J139:J143)</f>
        <v>101221.74399999999</v>
      </c>
      <c r="M139" s="26">
        <v>101221.74</v>
      </c>
      <c r="N139" s="421"/>
      <c r="O139" s="77"/>
      <c r="P139" s="77"/>
      <c r="Q139" s="384"/>
      <c r="R139" s="422"/>
      <c r="S139" s="399"/>
      <c r="T139" s="399"/>
    </row>
    <row r="140" spans="1:20" s="81" customFormat="1" ht="15" customHeight="1">
      <c r="A140" s="441"/>
      <c r="B140" s="442"/>
      <c r="C140" s="36" t="s">
        <v>26</v>
      </c>
      <c r="D140" s="37"/>
      <c r="E140" s="38">
        <v>3.4692000000000007</v>
      </c>
      <c r="F140" s="38">
        <f>37.8898-33.8306</f>
        <v>4.0592000000000041</v>
      </c>
      <c r="G140" s="39">
        <f>ROUND(D140*(E140+F140),2)</f>
        <v>0</v>
      </c>
      <c r="H140" s="457">
        <v>25</v>
      </c>
      <c r="I140" s="392">
        <v>16.166</v>
      </c>
      <c r="J140" s="381">
        <f>H140*I140</f>
        <v>404.15000000000003</v>
      </c>
      <c r="K140" s="393" t="s">
        <v>181</v>
      </c>
      <c r="L140" s="459"/>
      <c r="M140" s="44"/>
      <c r="N140" s="430"/>
      <c r="O140" s="431"/>
      <c r="P140" s="431"/>
      <c r="Q140" s="424"/>
      <c r="R140" s="422"/>
      <c r="S140" s="399"/>
      <c r="T140" s="399"/>
    </row>
    <row r="141" spans="1:20" s="81" customFormat="1" ht="15" customHeight="1">
      <c r="A141" s="441"/>
      <c r="B141" s="442"/>
      <c r="C141" s="48" t="s">
        <v>176</v>
      </c>
      <c r="D141" s="37">
        <v>14357</v>
      </c>
      <c r="E141" s="41">
        <f>7.0426-6.9536</f>
        <v>8.9000000000000412E-2</v>
      </c>
      <c r="F141" s="38"/>
      <c r="G141" s="39">
        <f>ROUND(D141*(E141),2)+0.01</f>
        <v>1277.78</v>
      </c>
      <c r="H141" s="270"/>
      <c r="I141" s="41"/>
      <c r="J141" s="41"/>
      <c r="K141" s="271"/>
      <c r="L141" s="272"/>
      <c r="M141" s="102"/>
      <c r="N141" s="430"/>
      <c r="O141" s="431"/>
      <c r="P141" s="431"/>
      <c r="Q141" s="424"/>
      <c r="R141" s="422"/>
      <c r="S141" s="399"/>
      <c r="T141" s="399"/>
    </row>
    <row r="142" spans="1:20" s="81" customFormat="1" ht="15" customHeight="1">
      <c r="A142" s="441"/>
      <c r="B142" s="442"/>
      <c r="C142" s="48" t="s">
        <v>177</v>
      </c>
      <c r="D142" s="37">
        <v>33</v>
      </c>
      <c r="E142" s="41">
        <v>7.0426000000000002</v>
      </c>
      <c r="F142" s="38"/>
      <c r="G142" s="39">
        <f>ROUND(D142*(E142),2)</f>
        <v>232.41</v>
      </c>
      <c r="H142" s="270"/>
      <c r="I142" s="41"/>
      <c r="J142" s="41"/>
      <c r="K142" s="271"/>
      <c r="L142" s="272"/>
      <c r="M142" s="102"/>
      <c r="N142" s="434"/>
      <c r="O142" s="435"/>
      <c r="P142" s="435"/>
      <c r="Q142" s="425"/>
      <c r="R142" s="422"/>
      <c r="S142" s="399"/>
      <c r="T142" s="399"/>
    </row>
    <row r="143" spans="1:20" s="81" customFormat="1" ht="15" customHeight="1" thickBot="1">
      <c r="A143" s="460"/>
      <c r="B143" s="461"/>
      <c r="C143" s="99" t="s">
        <v>29</v>
      </c>
      <c r="D143" s="37">
        <v>13724</v>
      </c>
      <c r="E143" s="56">
        <v>7.0426000000000002</v>
      </c>
      <c r="F143" s="311"/>
      <c r="G143" s="110">
        <f>ROUND(D143*(E143),2)</f>
        <v>96652.64</v>
      </c>
      <c r="H143" s="310"/>
      <c r="I143" s="311"/>
      <c r="J143" s="311"/>
      <c r="K143" s="312"/>
      <c r="L143" s="313"/>
      <c r="M143" s="115"/>
      <c r="N143" s="463"/>
      <c r="O143" s="464"/>
      <c r="P143" s="464"/>
      <c r="Q143" s="465"/>
      <c r="R143" s="466"/>
      <c r="S143" s="467"/>
      <c r="T143" s="399"/>
    </row>
    <row r="144" spans="1:20" s="81" customFormat="1" ht="15" customHeight="1" thickTop="1" thickBot="1">
      <c r="A144" s="437"/>
      <c r="B144" s="438" t="s">
        <v>83</v>
      </c>
      <c r="C144" s="377" t="s">
        <v>73</v>
      </c>
      <c r="D144" s="378">
        <v>1</v>
      </c>
      <c r="E144" s="21">
        <v>36.214199999999998</v>
      </c>
      <c r="F144" s="21">
        <v>42.4328</v>
      </c>
      <c r="G144" s="22">
        <f>+D144*(E144+F144)</f>
        <v>78.646999999999991</v>
      </c>
      <c r="H144" s="303">
        <v>1</v>
      </c>
      <c r="I144" s="381">
        <v>16.166</v>
      </c>
      <c r="J144" s="381">
        <f>H144*I144</f>
        <v>16.166</v>
      </c>
      <c r="K144" s="342" t="s">
        <v>180</v>
      </c>
      <c r="L144" s="263">
        <f>SUM(G144:G148,J144:J148)</f>
        <v>554.04900000000009</v>
      </c>
      <c r="M144" s="26">
        <v>554.04999999999995</v>
      </c>
      <c r="N144" s="421"/>
      <c r="O144" s="77"/>
      <c r="P144" s="77"/>
      <c r="Q144" s="384"/>
      <c r="R144" s="422"/>
      <c r="S144" s="399"/>
      <c r="T144" s="399"/>
    </row>
    <row r="145" spans="1:20" s="81" customFormat="1" ht="15" customHeight="1">
      <c r="A145" s="441"/>
      <c r="B145" s="442"/>
      <c r="C145" s="36" t="s">
        <v>26</v>
      </c>
      <c r="D145" s="37"/>
      <c r="E145" s="38">
        <v>3.4692000000000007</v>
      </c>
      <c r="F145" s="38">
        <f>37.8898-33.8306</f>
        <v>4.0592000000000041</v>
      </c>
      <c r="G145" s="39">
        <f>ROUND(D145*(E145+F145),2)</f>
        <v>0</v>
      </c>
      <c r="H145" s="457">
        <v>1</v>
      </c>
      <c r="I145" s="392">
        <v>16.166</v>
      </c>
      <c r="J145" s="381">
        <f>H145*I145</f>
        <v>16.166</v>
      </c>
      <c r="K145" s="393" t="s">
        <v>181</v>
      </c>
      <c r="L145" s="459"/>
      <c r="M145" s="44"/>
      <c r="N145" s="430"/>
      <c r="O145" s="431"/>
      <c r="P145" s="431"/>
      <c r="Q145" s="424"/>
      <c r="R145" s="422"/>
      <c r="S145" s="399"/>
      <c r="T145" s="399"/>
    </row>
    <row r="146" spans="1:20" s="81" customFormat="1" ht="15" customHeight="1">
      <c r="A146" s="441"/>
      <c r="B146" s="442"/>
      <c r="C146" s="48" t="s">
        <v>176</v>
      </c>
      <c r="D146" s="37">
        <v>64.2</v>
      </c>
      <c r="E146" s="41">
        <f>7.0426-6.9536</f>
        <v>8.9000000000000412E-2</v>
      </c>
      <c r="F146" s="38"/>
      <c r="G146" s="39">
        <f>ROUND(D146*(E146),2)+0.02</f>
        <v>5.7299999999999995</v>
      </c>
      <c r="H146" s="270"/>
      <c r="I146" s="41"/>
      <c r="J146" s="41"/>
      <c r="K146" s="271"/>
      <c r="L146" s="272"/>
      <c r="M146" s="102"/>
      <c r="N146" s="430"/>
      <c r="O146" s="431"/>
      <c r="P146" s="431"/>
      <c r="Q146" s="424"/>
      <c r="R146" s="422"/>
      <c r="S146" s="399"/>
      <c r="T146" s="399"/>
    </row>
    <row r="147" spans="1:20" s="81" customFormat="1" ht="15" customHeight="1">
      <c r="A147" s="441"/>
      <c r="B147" s="442"/>
      <c r="C147" s="48" t="s">
        <v>177</v>
      </c>
      <c r="D147" s="37">
        <v>0.1</v>
      </c>
      <c r="E147" s="41">
        <v>7.0426000000000002</v>
      </c>
      <c r="F147" s="38"/>
      <c r="G147" s="39">
        <f>ROUND(D147*(E147),2)</f>
        <v>0.7</v>
      </c>
      <c r="H147" s="270"/>
      <c r="I147" s="41"/>
      <c r="J147" s="41"/>
      <c r="K147" s="271"/>
      <c r="L147" s="272"/>
      <c r="M147" s="102"/>
      <c r="N147" s="434"/>
      <c r="O147" s="435"/>
      <c r="P147" s="435"/>
      <c r="Q147" s="425"/>
      <c r="R147" s="422"/>
      <c r="S147" s="399"/>
      <c r="T147" s="399"/>
    </row>
    <row r="148" spans="1:20" s="81" customFormat="1" ht="15.75" customHeight="1" thickBot="1">
      <c r="A148" s="460"/>
      <c r="B148" s="461"/>
      <c r="C148" s="99" t="s">
        <v>29</v>
      </c>
      <c r="D148" s="462">
        <v>62</v>
      </c>
      <c r="E148" s="56">
        <v>7.0426000000000002</v>
      </c>
      <c r="F148" s="311"/>
      <c r="G148" s="110">
        <f>ROUND(D148*(E148),2)</f>
        <v>436.64</v>
      </c>
      <c r="H148" s="310"/>
      <c r="I148" s="311"/>
      <c r="J148" s="311"/>
      <c r="K148" s="312"/>
      <c r="L148" s="313"/>
      <c r="M148" s="115"/>
      <c r="N148" s="463"/>
      <c r="O148" s="464"/>
      <c r="P148" s="464"/>
      <c r="Q148" s="465"/>
      <c r="R148" s="422"/>
      <c r="S148" s="399"/>
      <c r="T148" s="399"/>
    </row>
    <row r="149" spans="1:20" s="81" customFormat="1" ht="15.75" customHeight="1" thickTop="1">
      <c r="A149" s="447"/>
      <c r="B149" s="438" t="s">
        <v>126</v>
      </c>
      <c r="C149" s="48" t="s">
        <v>176</v>
      </c>
      <c r="D149" s="448">
        <v>94.2</v>
      </c>
      <c r="E149" s="41">
        <f>7.0426-6.9536</f>
        <v>8.9000000000000412E-2</v>
      </c>
      <c r="F149" s="261"/>
      <c r="G149" s="449">
        <f>ROUND(D149*E149,2)</f>
        <v>8.3800000000000008</v>
      </c>
      <c r="H149" s="303"/>
      <c r="I149" s="23"/>
      <c r="J149" s="23"/>
      <c r="K149" s="304"/>
      <c r="L149" s="263">
        <f>SUM(G149:G151)</f>
        <v>650.66999999999996</v>
      </c>
      <c r="M149" s="26">
        <v>650.66999999999996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450"/>
      <c r="B150" s="442"/>
      <c r="C150" s="48" t="s">
        <v>177</v>
      </c>
      <c r="D150" s="448">
        <v>0.2</v>
      </c>
      <c r="E150" s="41">
        <v>7.0426000000000002</v>
      </c>
      <c r="F150" s="261"/>
      <c r="G150" s="449">
        <f t="shared" ref="G150:G151" si="16">ROUND(D150*E150,2)</f>
        <v>1.41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697"/>
      <c r="B151" s="698"/>
      <c r="C151" s="99" t="s">
        <v>29</v>
      </c>
      <c r="D151" s="596">
        <v>91</v>
      </c>
      <c r="E151" s="56">
        <v>7.0426000000000002</v>
      </c>
      <c r="F151" s="41"/>
      <c r="G151" s="39">
        <f t="shared" si="16"/>
        <v>640.88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468"/>
      <c r="B152" s="699" t="s">
        <v>133</v>
      </c>
      <c r="C152" s="48" t="s">
        <v>176</v>
      </c>
      <c r="D152" s="471">
        <v>531.29999999999995</v>
      </c>
      <c r="E152" s="41">
        <f>7.0426-6.9536</f>
        <v>8.9000000000000412E-2</v>
      </c>
      <c r="F152" s="473"/>
      <c r="G152" s="449">
        <f>ROUND(D152*E152,2)</f>
        <v>47.29</v>
      </c>
      <c r="H152" s="303"/>
      <c r="I152" s="23"/>
      <c r="J152" s="23"/>
      <c r="K152" s="304"/>
      <c r="L152" s="263">
        <f>SUM(G152:G154)</f>
        <v>3443.2299999999996</v>
      </c>
      <c r="M152" s="26">
        <v>3443.23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468"/>
      <c r="B153" s="469"/>
      <c r="C153" s="48" t="s">
        <v>177</v>
      </c>
      <c r="D153" s="471">
        <v>1.2</v>
      </c>
      <c r="E153" s="41">
        <v>7.0426000000000002</v>
      </c>
      <c r="F153" s="473"/>
      <c r="G153" s="449">
        <f>ROUND(D153*E153,2)</f>
        <v>8.4499999999999993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701"/>
      <c r="B154" s="702"/>
      <c r="C154" s="99" t="s">
        <v>29</v>
      </c>
      <c r="D154" s="703">
        <v>481</v>
      </c>
      <c r="E154" s="56">
        <v>7.0426000000000002</v>
      </c>
      <c r="F154" s="704"/>
      <c r="G154" s="39">
        <f t="shared" ref="G154" si="17">ROUND(D154*E154,2)</f>
        <v>3387.49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468"/>
      <c r="B155" s="699" t="s">
        <v>134</v>
      </c>
      <c r="C155" s="48" t="s">
        <v>176</v>
      </c>
      <c r="D155" s="471">
        <v>698.7</v>
      </c>
      <c r="E155" s="41">
        <f>7.0426-6.9536</f>
        <v>8.9000000000000412E-2</v>
      </c>
      <c r="F155" s="473"/>
      <c r="G155" s="449">
        <f>ROUND(D155*E155,2)</f>
        <v>62.18</v>
      </c>
      <c r="H155" s="303"/>
      <c r="I155" s="23"/>
      <c r="J155" s="23"/>
      <c r="K155" s="304"/>
      <c r="L155" s="263">
        <f>SUM(G155:G157)</f>
        <v>4756.78</v>
      </c>
      <c r="M155" s="26">
        <v>4756.78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177</v>
      </c>
      <c r="D156" s="471">
        <v>1.6</v>
      </c>
      <c r="E156" s="41">
        <v>7.0426000000000002</v>
      </c>
      <c r="F156" s="473"/>
      <c r="G156" s="449">
        <f t="shared" ref="G156:G157" si="18">ROUND(D156*E156,2)</f>
        <v>11.27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701"/>
      <c r="B157" s="702"/>
      <c r="C157" s="99" t="s">
        <v>29</v>
      </c>
      <c r="D157" s="703">
        <v>665</v>
      </c>
      <c r="E157" s="56">
        <v>7.0426000000000002</v>
      </c>
      <c r="F157" s="704"/>
      <c r="G157" s="39">
        <f t="shared" si="18"/>
        <v>4683.33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468"/>
      <c r="B158" s="699" t="s">
        <v>140</v>
      </c>
      <c r="C158" s="48" t="s">
        <v>176</v>
      </c>
      <c r="D158" s="471">
        <v>864.1</v>
      </c>
      <c r="E158" s="41">
        <f>7.0426-6.9536</f>
        <v>8.9000000000000412E-2</v>
      </c>
      <c r="F158" s="473"/>
      <c r="G158" s="449">
        <f>ROUND(D158*E158,2)</f>
        <v>76.900000000000006</v>
      </c>
      <c r="H158" s="303"/>
      <c r="I158" s="23"/>
      <c r="J158" s="23"/>
      <c r="K158" s="304"/>
      <c r="L158" s="263">
        <f>SUM(G158:G160)</f>
        <v>5343.36</v>
      </c>
      <c r="M158" s="26">
        <v>5343.36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177</v>
      </c>
      <c r="D159" s="471">
        <v>1.8</v>
      </c>
      <c r="E159" s="41">
        <v>7.0426000000000002</v>
      </c>
      <c r="F159" s="473"/>
      <c r="G159" s="449">
        <f>ROUND(D159*E159,2)</f>
        <v>12.68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701"/>
      <c r="B160" s="702"/>
      <c r="C160" s="99" t="s">
        <v>29</v>
      </c>
      <c r="D160" s="703">
        <v>746</v>
      </c>
      <c r="E160" s="56">
        <v>7.0426000000000002</v>
      </c>
      <c r="F160" s="704"/>
      <c r="G160" s="39">
        <f t="shared" ref="G160" si="19">ROUND(D160*E160,2)</f>
        <v>5253.78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746"/>
      <c r="B161" s="699" t="s">
        <v>141</v>
      </c>
      <c r="C161" s="48" t="s">
        <v>176</v>
      </c>
      <c r="D161" s="471">
        <v>1537.7</v>
      </c>
      <c r="E161" s="41">
        <f>7.0426-6.9536</f>
        <v>8.9000000000000412E-2</v>
      </c>
      <c r="F161" s="473"/>
      <c r="G161" s="449">
        <f>ROUND(D161*E161,2)</f>
        <v>136.86000000000001</v>
      </c>
      <c r="H161" s="303"/>
      <c r="I161" s="23"/>
      <c r="J161" s="23"/>
      <c r="K161" s="304"/>
      <c r="L161" s="263">
        <f>SUM(G161:G163)</f>
        <v>8022.46</v>
      </c>
      <c r="M161" s="26">
        <v>8022.46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468"/>
      <c r="B162" s="469"/>
      <c r="C162" s="48" t="s">
        <v>177</v>
      </c>
      <c r="D162" s="471">
        <v>2.7</v>
      </c>
      <c r="E162" s="41">
        <v>7.0426000000000002</v>
      </c>
      <c r="F162" s="473"/>
      <c r="G162" s="449">
        <f>ROUND(D162*E162,2)</f>
        <v>19.02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701"/>
      <c r="B163" s="702"/>
      <c r="C163" s="99" t="s">
        <v>29</v>
      </c>
      <c r="D163" s="703">
        <v>1117</v>
      </c>
      <c r="E163" s="56">
        <v>7.0426000000000002</v>
      </c>
      <c r="F163" s="704"/>
      <c r="G163" s="39">
        <f t="shared" ref="G163" si="20">ROUND(D163*E163,2)</f>
        <v>7866.58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468"/>
      <c r="B164" s="699" t="s">
        <v>147</v>
      </c>
      <c r="C164" s="48" t="s">
        <v>176</v>
      </c>
      <c r="D164" s="471">
        <v>141.30000000000001</v>
      </c>
      <c r="E164" s="41">
        <f>7.0426-6.9536</f>
        <v>8.9000000000000412E-2</v>
      </c>
      <c r="F164" s="473"/>
      <c r="G164" s="449">
        <f>ROUND(D164*E164,2)</f>
        <v>12.58</v>
      </c>
      <c r="H164" s="303"/>
      <c r="I164" s="23"/>
      <c r="J164" s="23"/>
      <c r="K164" s="304"/>
      <c r="L164" s="263">
        <f>SUM(G164:G166)</f>
        <v>986.57</v>
      </c>
      <c r="M164" s="26">
        <v>986.57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177</v>
      </c>
      <c r="D165" s="471">
        <v>0.3</v>
      </c>
      <c r="E165" s="41">
        <v>7.0426000000000002</v>
      </c>
      <c r="F165" s="473"/>
      <c r="G165" s="449">
        <f>ROUND(D165*E165,2)</f>
        <v>2.11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701"/>
      <c r="B166" s="702"/>
      <c r="C166" s="99" t="s">
        <v>29</v>
      </c>
      <c r="D166" s="703">
        <v>138</v>
      </c>
      <c r="E166" s="56">
        <v>7.0426000000000002</v>
      </c>
      <c r="F166" s="704"/>
      <c r="G166" s="39">
        <f t="shared" ref="G166" si="21">ROUND(D166*E166,2)</f>
        <v>971.88</v>
      </c>
      <c r="H166" s="280"/>
      <c r="I166" s="281"/>
      <c r="J166" s="281"/>
      <c r="K166" s="282"/>
      <c r="L166" s="204"/>
      <c r="M166" s="371"/>
      <c r="N166" s="426"/>
      <c r="O166" s="416"/>
      <c r="P166" s="416"/>
      <c r="Q166" s="417"/>
      <c r="R166" s="422"/>
      <c r="S166" s="399"/>
      <c r="T166" s="399"/>
    </row>
    <row r="167" spans="1:20" s="81" customFormat="1" ht="15.75" customHeight="1">
      <c r="A167" s="468"/>
      <c r="B167" s="699" t="s">
        <v>154</v>
      </c>
      <c r="C167" s="48" t="s">
        <v>176</v>
      </c>
      <c r="D167" s="471">
        <v>291.7</v>
      </c>
      <c r="E167" s="41">
        <f>7.0426-6.9536</f>
        <v>8.9000000000000412E-2</v>
      </c>
      <c r="F167" s="473"/>
      <c r="G167" s="449">
        <f>ROUND(D167*E167,2)</f>
        <v>25.96</v>
      </c>
      <c r="H167" s="303"/>
      <c r="I167" s="23"/>
      <c r="J167" s="23"/>
      <c r="K167" s="304"/>
      <c r="L167" s="263">
        <f>SUM(G167:G169)</f>
        <v>2299.31</v>
      </c>
      <c r="M167" s="26">
        <v>2299.31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.75" customHeight="1">
      <c r="A168" s="468"/>
      <c r="B168" s="469"/>
      <c r="C168" s="48" t="s">
        <v>177</v>
      </c>
      <c r="D168" s="471">
        <v>0.8</v>
      </c>
      <c r="E168" s="41">
        <v>7.0426000000000002</v>
      </c>
      <c r="F168" s="473"/>
      <c r="G168" s="449">
        <f>ROUND(D168*E168,2)</f>
        <v>5.63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0" s="81" customFormat="1" ht="15.75" customHeight="1" thickBot="1">
      <c r="A169" s="701"/>
      <c r="B169" s="702"/>
      <c r="C169" s="99" t="s">
        <v>29</v>
      </c>
      <c r="D169" s="703">
        <v>322</v>
      </c>
      <c r="E169" s="56">
        <v>7.0426000000000002</v>
      </c>
      <c r="F169" s="704"/>
      <c r="G169" s="39">
        <f t="shared" ref="G169" si="22">ROUND(D169*E169,2)</f>
        <v>2267.7199999999998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customHeight="1">
      <c r="A170" s="686"/>
      <c r="B170" s="699" t="s">
        <v>155</v>
      </c>
      <c r="C170" s="48" t="s">
        <v>176</v>
      </c>
      <c r="D170" s="471">
        <v>0</v>
      </c>
      <c r="E170" s="41">
        <f>7.0426-6.9536</f>
        <v>8.9000000000000412E-2</v>
      </c>
      <c r="F170" s="473"/>
      <c r="G170" s="449">
        <f>ROUND(D170*E170,2)</f>
        <v>0</v>
      </c>
      <c r="H170" s="303"/>
      <c r="I170" s="23"/>
      <c r="J170" s="23"/>
      <c r="K170" s="304"/>
      <c r="L170" s="263">
        <f>SUM(G170:G172)</f>
        <v>0</v>
      </c>
      <c r="M170" s="26"/>
      <c r="N170" s="421"/>
      <c r="O170" s="77"/>
      <c r="P170" s="77"/>
      <c r="Q170" s="384"/>
      <c r="R170" s="422"/>
      <c r="S170" s="399"/>
      <c r="T170" s="399"/>
    </row>
    <row r="171" spans="1:20" s="81" customFormat="1" ht="15.75" customHeight="1">
      <c r="A171" s="686"/>
      <c r="B171" s="469"/>
      <c r="C171" s="48" t="s">
        <v>177</v>
      </c>
      <c r="D171" s="471">
        <v>0</v>
      </c>
      <c r="E171" s="41">
        <v>7.0426000000000002</v>
      </c>
      <c r="F171" s="473"/>
      <c r="G171" s="449">
        <f>ROUND(D171*E171,2)</f>
        <v>0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834"/>
      <c r="B172" s="702"/>
      <c r="C172" s="99" t="s">
        <v>29</v>
      </c>
      <c r="D172" s="703">
        <v>0</v>
      </c>
      <c r="E172" s="56">
        <v>7.0426000000000002</v>
      </c>
      <c r="F172" s="704"/>
      <c r="G172" s="39">
        <f t="shared" ref="G172" si="23">ROUND(D172*E172,2)</f>
        <v>0</v>
      </c>
      <c r="H172" s="280"/>
      <c r="I172" s="281"/>
      <c r="J172" s="281"/>
      <c r="K172" s="282"/>
      <c r="L172" s="204"/>
      <c r="M172" s="371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468"/>
      <c r="B173" s="699" t="s">
        <v>160</v>
      </c>
      <c r="C173" s="48" t="s">
        <v>176</v>
      </c>
      <c r="D173" s="471">
        <v>32.08</v>
      </c>
      <c r="E173" s="41">
        <f>7.0426-6.9536</f>
        <v>8.9000000000000412E-2</v>
      </c>
      <c r="F173" s="473"/>
      <c r="G173" s="449">
        <f>ROUND(D173*E173,2)-0.01</f>
        <v>2.85</v>
      </c>
      <c r="H173" s="303"/>
      <c r="I173" s="23"/>
      <c r="J173" s="23"/>
      <c r="K173" s="304"/>
      <c r="L173" s="263">
        <f>SUM(G173:G175)</f>
        <v>207.59</v>
      </c>
      <c r="M173" s="26">
        <v>207.59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468"/>
      <c r="B174" s="469"/>
      <c r="C174" s="48" t="s">
        <v>177</v>
      </c>
      <c r="D174" s="471">
        <v>7.0000000000000007E-2</v>
      </c>
      <c r="E174" s="41">
        <v>7.0426000000000002</v>
      </c>
      <c r="F174" s="473"/>
      <c r="G174" s="449">
        <f>ROUND(D174*E174,2)+0.01</f>
        <v>0.5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701"/>
      <c r="B175" s="702"/>
      <c r="C175" s="99" t="s">
        <v>29</v>
      </c>
      <c r="D175" s="703">
        <v>29</v>
      </c>
      <c r="E175" s="56">
        <v>7.0426000000000002</v>
      </c>
      <c r="F175" s="704"/>
      <c r="G175" s="39">
        <f t="shared" ref="G175" si="24">ROUND(D175*E175,2)</f>
        <v>204.24</v>
      </c>
      <c r="H175" s="280"/>
      <c r="I175" s="281"/>
      <c r="J175" s="281"/>
      <c r="K175" s="282"/>
      <c r="L175" s="204"/>
      <c r="M175" s="371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468"/>
      <c r="B176" s="699" t="s">
        <v>161</v>
      </c>
      <c r="C176" s="48" t="s">
        <v>176</v>
      </c>
      <c r="D176" s="471">
        <v>627.5</v>
      </c>
      <c r="E176" s="41">
        <f>7.0426-6.9536</f>
        <v>8.9000000000000412E-2</v>
      </c>
      <c r="F176" s="473"/>
      <c r="G176" s="449">
        <f>ROUND(D176*E176,2)</f>
        <v>55.85</v>
      </c>
      <c r="H176" s="303"/>
      <c r="I176" s="23"/>
      <c r="J176" s="23"/>
      <c r="K176" s="304"/>
      <c r="L176" s="263">
        <f>SUM(G176:G178)</f>
        <v>6317.43</v>
      </c>
      <c r="M176" s="26">
        <v>6317.43</v>
      </c>
      <c r="N176" s="421"/>
      <c r="O176" s="77"/>
      <c r="P176" s="77"/>
      <c r="Q176" s="384"/>
      <c r="R176" s="422"/>
      <c r="S176" s="399"/>
      <c r="T176" s="399"/>
    </row>
    <row r="177" spans="1:20" s="81" customFormat="1" ht="15.75" customHeight="1">
      <c r="A177" s="468"/>
      <c r="B177" s="469"/>
      <c r="C177" s="48" t="s">
        <v>177</v>
      </c>
      <c r="D177" s="471">
        <v>2.1</v>
      </c>
      <c r="E177" s="41">
        <v>7.0426000000000002</v>
      </c>
      <c r="F177" s="473"/>
      <c r="G177" s="449">
        <f>ROUND(D177*E177,2)</f>
        <v>14.79</v>
      </c>
      <c r="H177" s="260"/>
      <c r="I177" s="261"/>
      <c r="J177" s="261"/>
      <c r="K177" s="262"/>
      <c r="L177" s="286"/>
      <c r="M177" s="90"/>
      <c r="N177" s="423"/>
      <c r="O177" s="406"/>
      <c r="P177" s="406"/>
      <c r="Q177" s="407"/>
      <c r="R177" s="422"/>
      <c r="S177" s="399"/>
      <c r="T177" s="399"/>
    </row>
    <row r="178" spans="1:20" s="81" customFormat="1" ht="15.75" customHeight="1" thickBot="1">
      <c r="A178" s="701"/>
      <c r="B178" s="702"/>
      <c r="C178" s="99" t="s">
        <v>29</v>
      </c>
      <c r="D178" s="703">
        <v>887</v>
      </c>
      <c r="E178" s="56">
        <v>7.0426000000000002</v>
      </c>
      <c r="F178" s="704"/>
      <c r="G178" s="39">
        <f t="shared" ref="G178" si="25">ROUND(D178*E178,2)</f>
        <v>6246.79</v>
      </c>
      <c r="H178" s="280"/>
      <c r="I178" s="281"/>
      <c r="J178" s="281"/>
      <c r="K178" s="282"/>
      <c r="L178" s="204"/>
      <c r="M178" s="371"/>
      <c r="N178" s="426"/>
      <c r="O178" s="416"/>
      <c r="P178" s="416"/>
      <c r="Q178" s="417"/>
      <c r="R178" s="422"/>
      <c r="S178" s="399"/>
      <c r="T178" s="399"/>
    </row>
    <row r="179" spans="1:20" s="81" customFormat="1" ht="15.75" customHeight="1">
      <c r="A179" s="468"/>
      <c r="B179" s="699" t="s">
        <v>162</v>
      </c>
      <c r="C179" s="48" t="s">
        <v>176</v>
      </c>
      <c r="D179" s="471">
        <v>2693.4</v>
      </c>
      <c r="E179" s="41">
        <f>7.0426-6.9536</f>
        <v>8.9000000000000412E-2</v>
      </c>
      <c r="F179" s="473"/>
      <c r="G179" s="449">
        <f>ROUND(D179*E179,2)</f>
        <v>239.71</v>
      </c>
      <c r="H179" s="303"/>
      <c r="I179" s="23"/>
      <c r="J179" s="23"/>
      <c r="K179" s="304"/>
      <c r="L179" s="263">
        <f>SUM(G179:G181)</f>
        <v>11648.02</v>
      </c>
      <c r="M179" s="26">
        <v>11648.02</v>
      </c>
      <c r="N179" s="421"/>
      <c r="O179" s="77"/>
      <c r="P179" s="77"/>
      <c r="Q179" s="384"/>
      <c r="R179" s="422"/>
      <c r="S179" s="399"/>
      <c r="T179" s="399"/>
    </row>
    <row r="180" spans="1:20" s="81" customFormat="1" ht="15.75" customHeight="1">
      <c r="A180" s="468"/>
      <c r="B180" s="469"/>
      <c r="C180" s="48" t="s">
        <v>177</v>
      </c>
      <c r="D180" s="471">
        <v>3.9</v>
      </c>
      <c r="E180" s="41">
        <v>7.0426000000000002</v>
      </c>
      <c r="F180" s="473"/>
      <c r="G180" s="449">
        <f>ROUND(D180*E180,2)</f>
        <v>27.47</v>
      </c>
      <c r="H180" s="260"/>
      <c r="I180" s="261"/>
      <c r="J180" s="261"/>
      <c r="K180" s="262"/>
      <c r="L180" s="286"/>
      <c r="M180" s="90"/>
      <c r="N180" s="423"/>
      <c r="O180" s="406"/>
      <c r="P180" s="406"/>
      <c r="Q180" s="407"/>
      <c r="R180" s="422"/>
      <c r="S180" s="399"/>
      <c r="T180" s="399"/>
    </row>
    <row r="181" spans="1:20" s="81" customFormat="1" ht="15.75" customHeight="1" thickBot="1">
      <c r="A181" s="701"/>
      <c r="B181" s="702"/>
      <c r="C181" s="99" t="s">
        <v>29</v>
      </c>
      <c r="D181" s="703">
        <v>1616</v>
      </c>
      <c r="E181" s="56">
        <v>7.0426000000000002</v>
      </c>
      <c r="F181" s="704"/>
      <c r="G181" s="39">
        <f t="shared" ref="G181" si="26">ROUND(D181*E181,2)</f>
        <v>11380.84</v>
      </c>
      <c r="H181" s="280"/>
      <c r="I181" s="281"/>
      <c r="J181" s="281"/>
      <c r="K181" s="282"/>
      <c r="L181" s="204"/>
      <c r="M181" s="371"/>
      <c r="N181" s="426"/>
      <c r="O181" s="416"/>
      <c r="P181" s="416"/>
      <c r="Q181" s="417"/>
      <c r="R181" s="422"/>
      <c r="S181" s="399"/>
      <c r="T181" s="399"/>
    </row>
    <row r="182" spans="1:20" s="81" customFormat="1" ht="15.75" customHeight="1">
      <c r="A182" s="468"/>
      <c r="B182" s="699" t="s">
        <v>167</v>
      </c>
      <c r="C182" s="48" t="s">
        <v>176</v>
      </c>
      <c r="D182" s="471">
        <v>63.2</v>
      </c>
      <c r="E182" s="41">
        <f>7.0426-6.9536</f>
        <v>8.9000000000000412E-2</v>
      </c>
      <c r="F182" s="473"/>
      <c r="G182" s="449">
        <f>ROUND(D182*E182,2)</f>
        <v>5.62</v>
      </c>
      <c r="H182" s="303"/>
      <c r="I182" s="23"/>
      <c r="J182" s="23"/>
      <c r="K182" s="304"/>
      <c r="L182" s="263">
        <f>SUM(G182:G184)</f>
        <v>386.62</v>
      </c>
      <c r="M182" s="26">
        <v>386.62</v>
      </c>
      <c r="N182" s="421"/>
      <c r="O182" s="77"/>
      <c r="P182" s="77"/>
      <c r="Q182" s="384"/>
      <c r="R182" s="422"/>
      <c r="S182" s="399"/>
      <c r="T182" s="399"/>
    </row>
    <row r="183" spans="1:20" s="81" customFormat="1" ht="15.75" customHeight="1">
      <c r="A183" s="468"/>
      <c r="B183" s="469"/>
      <c r="C183" s="48" t="s">
        <v>177</v>
      </c>
      <c r="D183" s="471">
        <v>0.1</v>
      </c>
      <c r="E183" s="41">
        <v>7.0426000000000002</v>
      </c>
      <c r="F183" s="473"/>
      <c r="G183" s="449">
        <f>ROUND(D183*E183,2)</f>
        <v>0.7</v>
      </c>
      <c r="H183" s="260"/>
      <c r="I183" s="261"/>
      <c r="J183" s="261"/>
      <c r="K183" s="262"/>
      <c r="L183" s="286"/>
      <c r="M183" s="90"/>
      <c r="N183" s="423"/>
      <c r="O183" s="406"/>
      <c r="P183" s="406"/>
      <c r="Q183" s="407"/>
      <c r="R183" s="422"/>
      <c r="S183" s="399"/>
      <c r="T183" s="399"/>
    </row>
    <row r="184" spans="1:20" s="81" customFormat="1" ht="15.75" customHeight="1" thickBot="1">
      <c r="A184" s="701"/>
      <c r="B184" s="702"/>
      <c r="C184" s="99" t="s">
        <v>29</v>
      </c>
      <c r="D184" s="703">
        <v>54</v>
      </c>
      <c r="E184" s="56">
        <v>7.0426000000000002</v>
      </c>
      <c r="F184" s="704"/>
      <c r="G184" s="39">
        <f t="shared" ref="G184" si="27">ROUND(D184*E184,2)</f>
        <v>380.3</v>
      </c>
      <c r="H184" s="280"/>
      <c r="I184" s="281"/>
      <c r="J184" s="281"/>
      <c r="K184" s="282"/>
      <c r="L184" s="204"/>
      <c r="M184" s="371"/>
      <c r="N184" s="426"/>
      <c r="O184" s="416"/>
      <c r="P184" s="416"/>
      <c r="Q184" s="417"/>
      <c r="R184" s="422"/>
      <c r="S184" s="399"/>
      <c r="T184" s="399"/>
    </row>
    <row r="185" spans="1:20" s="81" customFormat="1" ht="15.75" customHeight="1">
      <c r="A185" s="468"/>
      <c r="B185" s="699" t="s">
        <v>168</v>
      </c>
      <c r="C185" s="48" t="s">
        <v>176</v>
      </c>
      <c r="D185" s="471">
        <v>131.30000000000001</v>
      </c>
      <c r="E185" s="41">
        <f>7.0426-6.9536</f>
        <v>8.9000000000000412E-2</v>
      </c>
      <c r="F185" s="473"/>
      <c r="G185" s="449">
        <f>ROUND(D185*E185,2)-0.01</f>
        <v>11.68</v>
      </c>
      <c r="H185" s="303"/>
      <c r="I185" s="23"/>
      <c r="J185" s="23"/>
      <c r="K185" s="304"/>
      <c r="L185" s="263">
        <f>SUM(G185:G187)</f>
        <v>1063.8499999999999</v>
      </c>
      <c r="M185" s="26">
        <v>1063.8499999999999</v>
      </c>
      <c r="N185" s="421"/>
      <c r="O185" s="77"/>
      <c r="P185" s="77"/>
      <c r="Q185" s="384"/>
      <c r="R185" s="422"/>
      <c r="S185" s="399"/>
      <c r="T185" s="399"/>
    </row>
    <row r="186" spans="1:20" s="81" customFormat="1" ht="15.75" customHeight="1">
      <c r="A186" s="468"/>
      <c r="B186" s="469"/>
      <c r="C186" s="48" t="s">
        <v>177</v>
      </c>
      <c r="D186" s="471">
        <v>0.4</v>
      </c>
      <c r="E186" s="41">
        <v>7.0426000000000002</v>
      </c>
      <c r="F186" s="473"/>
      <c r="G186" s="449">
        <f>ROUND(D186*E186,2)</f>
        <v>2.82</v>
      </c>
      <c r="H186" s="260"/>
      <c r="I186" s="261"/>
      <c r="J186" s="261"/>
      <c r="K186" s="262"/>
      <c r="L186" s="286"/>
      <c r="M186" s="90"/>
      <c r="N186" s="423"/>
      <c r="O186" s="406"/>
      <c r="P186" s="406"/>
      <c r="Q186" s="407"/>
      <c r="R186" s="422"/>
      <c r="S186" s="399"/>
      <c r="T186" s="399"/>
    </row>
    <row r="187" spans="1:20" s="81" customFormat="1" ht="15.75" customHeight="1" thickBot="1">
      <c r="A187" s="701"/>
      <c r="B187" s="702"/>
      <c r="C187" s="99" t="s">
        <v>29</v>
      </c>
      <c r="D187" s="703">
        <v>149</v>
      </c>
      <c r="E187" s="56">
        <v>7.0426000000000002</v>
      </c>
      <c r="F187" s="704"/>
      <c r="G187" s="39">
        <f t="shared" ref="G187" si="28">ROUND(D187*E187,2)</f>
        <v>1049.3499999999999</v>
      </c>
      <c r="H187" s="280"/>
      <c r="I187" s="281"/>
      <c r="J187" s="281"/>
      <c r="K187" s="282"/>
      <c r="L187" s="204"/>
      <c r="M187" s="371"/>
      <c r="N187" s="426"/>
      <c r="O187" s="416"/>
      <c r="P187" s="416"/>
      <c r="Q187" s="417"/>
      <c r="R187" s="422"/>
      <c r="S187" s="399"/>
      <c r="T187" s="399"/>
    </row>
    <row r="188" spans="1:20" s="81" customFormat="1" ht="15.75" customHeight="1">
      <c r="A188" s="468"/>
      <c r="B188" s="699" t="s">
        <v>175</v>
      </c>
      <c r="C188" s="48" t="s">
        <v>176</v>
      </c>
      <c r="D188" s="471">
        <v>98.2</v>
      </c>
      <c r="E188" s="41">
        <f>7.0426-6.9536</f>
        <v>8.9000000000000412E-2</v>
      </c>
      <c r="F188" s="473"/>
      <c r="G188" s="449">
        <f>ROUND(D188*E188,2)</f>
        <v>8.74</v>
      </c>
      <c r="H188" s="303"/>
      <c r="I188" s="23"/>
      <c r="J188" s="23"/>
      <c r="K188" s="304"/>
      <c r="L188" s="263">
        <f>SUM(G188:G190)</f>
        <v>3213.83</v>
      </c>
      <c r="M188" s="26">
        <v>3213.83</v>
      </c>
      <c r="N188" s="421"/>
      <c r="O188" s="77"/>
      <c r="P188" s="77"/>
      <c r="Q188" s="384"/>
      <c r="R188" s="422"/>
      <c r="S188" s="399"/>
      <c r="T188" s="399"/>
    </row>
    <row r="189" spans="1:20" s="81" customFormat="1" ht="15.75" customHeight="1">
      <c r="A189" s="468"/>
      <c r="B189" s="469"/>
      <c r="C189" s="48" t="s">
        <v>177</v>
      </c>
      <c r="D189" s="471">
        <v>1.1000000000000001</v>
      </c>
      <c r="E189" s="41">
        <v>7.0426000000000002</v>
      </c>
      <c r="F189" s="473"/>
      <c r="G189" s="449">
        <f>ROUND(D189*E189,2)</f>
        <v>7.75</v>
      </c>
      <c r="H189" s="260"/>
      <c r="I189" s="261"/>
      <c r="J189" s="261"/>
      <c r="K189" s="262"/>
      <c r="L189" s="286"/>
      <c r="M189" s="90"/>
      <c r="N189" s="423"/>
      <c r="O189" s="406"/>
      <c r="P189" s="406"/>
      <c r="Q189" s="407"/>
      <c r="R189" s="422"/>
      <c r="S189" s="399"/>
      <c r="T189" s="399"/>
    </row>
    <row r="190" spans="1:20" s="81" customFormat="1" ht="15.75" customHeight="1" thickBot="1">
      <c r="A190" s="701"/>
      <c r="B190" s="702"/>
      <c r="C190" s="99" t="s">
        <v>29</v>
      </c>
      <c r="D190" s="703">
        <v>454</v>
      </c>
      <c r="E190" s="56">
        <v>7.0426000000000002</v>
      </c>
      <c r="F190" s="704"/>
      <c r="G190" s="39">
        <f t="shared" ref="G190" si="29">ROUND(D190*E190,2)</f>
        <v>3197.34</v>
      </c>
      <c r="H190" s="280"/>
      <c r="I190" s="281"/>
      <c r="J190" s="281"/>
      <c r="K190" s="282"/>
      <c r="L190" s="204"/>
      <c r="M190" s="371"/>
      <c r="N190" s="426"/>
      <c r="O190" s="416"/>
      <c r="P190" s="416"/>
      <c r="Q190" s="417"/>
      <c r="R190" s="422"/>
      <c r="S190" s="399"/>
      <c r="T190" s="399"/>
    </row>
    <row r="191" spans="1:20" s="81" customFormat="1" ht="15.75" customHeight="1" thickBot="1">
      <c r="A191" s="437"/>
      <c r="B191" s="438" t="s">
        <v>182</v>
      </c>
      <c r="C191" s="377" t="s">
        <v>73</v>
      </c>
      <c r="D191" s="378">
        <v>10</v>
      </c>
      <c r="E191" s="21">
        <v>36.214199999999998</v>
      </c>
      <c r="F191" s="21">
        <v>42.4328</v>
      </c>
      <c r="G191" s="22">
        <f>+D191*(E191+F191)</f>
        <v>786.46999999999991</v>
      </c>
      <c r="H191" s="303"/>
      <c r="I191" s="381"/>
      <c r="J191" s="381"/>
      <c r="K191" s="342"/>
      <c r="L191" s="263">
        <f>SUM(G191:G195,J191:J195)</f>
        <v>3264.0599999999995</v>
      </c>
      <c r="M191" s="26">
        <v>3264.06</v>
      </c>
      <c r="N191" s="421"/>
      <c r="O191" s="77"/>
      <c r="P191" s="77"/>
      <c r="Q191" s="384"/>
      <c r="R191" s="422"/>
      <c r="S191" s="399"/>
      <c r="T191" s="399"/>
    </row>
    <row r="192" spans="1:20" s="81" customFormat="1" ht="15.75" customHeight="1">
      <c r="A192" s="441"/>
      <c r="B192" s="442"/>
      <c r="C192" s="36" t="s">
        <v>26</v>
      </c>
      <c r="D192" s="37"/>
      <c r="E192" s="38">
        <v>3.4692000000000007</v>
      </c>
      <c r="F192" s="38">
        <f>37.8898-33.8306</f>
        <v>4.0592000000000041</v>
      </c>
      <c r="G192" s="39">
        <f>ROUND(D192*(E192+F192),2)</f>
        <v>0</v>
      </c>
      <c r="H192" s="457"/>
      <c r="I192" s="392"/>
      <c r="J192" s="381"/>
      <c r="K192" s="393"/>
      <c r="L192" s="459"/>
      <c r="M192" s="44"/>
      <c r="N192" s="430"/>
      <c r="O192" s="431"/>
      <c r="P192" s="431"/>
      <c r="Q192" s="424"/>
      <c r="R192" s="422"/>
      <c r="S192" s="399"/>
      <c r="T192" s="399"/>
    </row>
    <row r="193" spans="1:21" s="81" customFormat="1" ht="15.75" customHeight="1">
      <c r="A193" s="441"/>
      <c r="B193" s="442"/>
      <c r="C193" s="48" t="s">
        <v>176</v>
      </c>
      <c r="D193" s="37">
        <v>0</v>
      </c>
      <c r="E193" s="41">
        <f>7.0426-6.9536</f>
        <v>8.9000000000000412E-2</v>
      </c>
      <c r="F193" s="38"/>
      <c r="G193" s="39">
        <f>ROUND(D193*(E193),2)+0.01</f>
        <v>0.01</v>
      </c>
      <c r="H193" s="270"/>
      <c r="I193" s="41"/>
      <c r="J193" s="41"/>
      <c r="K193" s="271"/>
      <c r="L193" s="272"/>
      <c r="M193" s="102"/>
      <c r="N193" s="430"/>
      <c r="O193" s="431"/>
      <c r="P193" s="431"/>
      <c r="Q193" s="424"/>
      <c r="R193" s="422"/>
      <c r="S193" s="399"/>
      <c r="T193" s="399"/>
    </row>
    <row r="194" spans="1:21" s="81" customFormat="1" ht="15.75" customHeight="1">
      <c r="A194" s="441"/>
      <c r="B194" s="442"/>
      <c r="C194" s="48" t="s">
        <v>177</v>
      </c>
      <c r="D194" s="37">
        <v>0.8</v>
      </c>
      <c r="E194" s="41">
        <v>7.0426000000000002</v>
      </c>
      <c r="F194" s="38"/>
      <c r="G194" s="39">
        <f>ROUND(D194*(E194),2)</f>
        <v>5.63</v>
      </c>
      <c r="H194" s="270"/>
      <c r="I194" s="41"/>
      <c r="J194" s="41"/>
      <c r="K194" s="271"/>
      <c r="L194" s="272"/>
      <c r="M194" s="102"/>
      <c r="N194" s="434"/>
      <c r="O194" s="435"/>
      <c r="P194" s="435"/>
      <c r="Q194" s="425"/>
      <c r="R194" s="422"/>
      <c r="S194" s="399"/>
      <c r="T194" s="399"/>
    </row>
    <row r="195" spans="1:21" s="81" customFormat="1" ht="15.75" customHeight="1" thickBot="1">
      <c r="A195" s="460"/>
      <c r="B195" s="461"/>
      <c r="C195" s="99" t="s">
        <v>29</v>
      </c>
      <c r="D195" s="462">
        <v>351</v>
      </c>
      <c r="E195" s="56">
        <v>7.0426000000000002</v>
      </c>
      <c r="F195" s="311"/>
      <c r="G195" s="110">
        <f>ROUND(D195*(E195),2)</f>
        <v>2471.9499999999998</v>
      </c>
      <c r="H195" s="310"/>
      <c r="I195" s="311"/>
      <c r="J195" s="311"/>
      <c r="K195" s="312"/>
      <c r="L195" s="313"/>
      <c r="M195" s="115"/>
      <c r="N195" s="463"/>
      <c r="O195" s="464"/>
      <c r="P195" s="464"/>
      <c r="Q195" s="465"/>
      <c r="R195" s="422"/>
      <c r="S195" s="399"/>
      <c r="T195" s="399"/>
    </row>
    <row r="196" spans="1:21" s="81" customFormat="1" ht="15.75" customHeight="1" thickTop="1" thickBot="1">
      <c r="A196" s="686"/>
      <c r="B196" s="469"/>
      <c r="C196" s="470"/>
      <c r="D196" s="471"/>
      <c r="E196" s="472"/>
      <c r="F196" s="473"/>
      <c r="G196" s="474"/>
      <c r="H196" s="473"/>
      <c r="I196" s="473"/>
      <c r="J196" s="473"/>
      <c r="K196" s="473"/>
      <c r="L196" s="473"/>
      <c r="M196" s="475"/>
      <c r="N196" s="399"/>
      <c r="O196" s="399"/>
      <c r="P196" s="399"/>
      <c r="Q196" s="399"/>
      <c r="R196" s="422"/>
      <c r="S196" s="399"/>
      <c r="T196" s="399"/>
    </row>
    <row r="197" spans="1:21" s="81" customFormat="1" ht="15" customHeight="1" thickTop="1">
      <c r="A197" s="476"/>
      <c r="B197" s="158"/>
      <c r="C197" s="322"/>
      <c r="D197" s="477"/>
      <c r="E197" s="163"/>
      <c r="F197" s="163"/>
      <c r="G197" s="478"/>
      <c r="H197" s="163"/>
      <c r="I197" s="163"/>
      <c r="J197" s="163"/>
      <c r="K197" s="163"/>
      <c r="L197" s="163"/>
      <c r="M197" s="164"/>
      <c r="N197" s="479"/>
      <c r="O197" s="479"/>
      <c r="P197" s="479"/>
      <c r="Q197" s="479"/>
      <c r="R197" s="480"/>
      <c r="S197" s="479"/>
      <c r="T197" s="399"/>
    </row>
    <row r="198" spans="1:21" ht="21.75" thickBot="1">
      <c r="A198" s="171" t="s">
        <v>84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  <c r="N198" s="2"/>
      <c r="O198" s="2"/>
      <c r="P198" s="2"/>
      <c r="Q198" s="2"/>
      <c r="R198" s="2"/>
      <c r="S198" s="2"/>
      <c r="T198" s="2"/>
    </row>
    <row r="199" spans="1:21" ht="15.75" customHeight="1" thickTop="1" thickBot="1">
      <c r="A199" s="1540" t="s">
        <v>1</v>
      </c>
      <c r="B199" s="1542" t="s">
        <v>2</v>
      </c>
      <c r="C199" s="1544" t="s">
        <v>3</v>
      </c>
      <c r="D199" s="1546" t="s">
        <v>4</v>
      </c>
      <c r="E199" s="1546"/>
      <c r="F199" s="1546"/>
      <c r="G199" s="1546"/>
      <c r="H199" s="1547" t="s">
        <v>5</v>
      </c>
      <c r="I199" s="1548"/>
      <c r="J199" s="1548"/>
      <c r="K199" s="1549"/>
      <c r="L199" s="1524" t="s">
        <v>6</v>
      </c>
      <c r="M199" s="1511" t="s">
        <v>7</v>
      </c>
      <c r="N199" s="1551" t="s">
        <v>8</v>
      </c>
      <c r="O199" s="1551"/>
      <c r="P199" s="1551"/>
      <c r="Q199" s="1552" t="s">
        <v>18</v>
      </c>
      <c r="R199" s="481" t="s">
        <v>85</v>
      </c>
      <c r="S199" s="482" t="s">
        <v>20</v>
      </c>
      <c r="T199" s="482" t="s">
        <v>21</v>
      </c>
    </row>
    <row r="200" spans="1:21" ht="40.5" customHeight="1" thickTop="1" thickBot="1">
      <c r="A200" s="1541"/>
      <c r="B200" s="1543"/>
      <c r="C200" s="1545" t="s">
        <v>10</v>
      </c>
      <c r="D200" s="483" t="s">
        <v>11</v>
      </c>
      <c r="E200" s="484" t="s">
        <v>12</v>
      </c>
      <c r="F200" s="484" t="s">
        <v>13</v>
      </c>
      <c r="G200" s="485" t="s">
        <v>14</v>
      </c>
      <c r="H200" s="483" t="s">
        <v>11</v>
      </c>
      <c r="I200" s="486" t="s">
        <v>15</v>
      </c>
      <c r="J200" s="485"/>
      <c r="K200" s="487" t="s">
        <v>16</v>
      </c>
      <c r="L200" s="1525"/>
      <c r="M200" s="1550"/>
      <c r="N200" s="488" t="s">
        <v>14</v>
      </c>
      <c r="O200" s="485"/>
      <c r="P200" s="489" t="s">
        <v>18</v>
      </c>
      <c r="Q200" s="490" t="s">
        <v>19</v>
      </c>
      <c r="R200" s="491"/>
      <c r="S200" s="492"/>
      <c r="T200" s="492"/>
    </row>
    <row r="201" spans="1:21">
      <c r="A201" s="493">
        <v>501</v>
      </c>
      <c r="B201" s="494" t="s">
        <v>86</v>
      </c>
      <c r="C201" s="71"/>
      <c r="D201" s="495">
        <v>38</v>
      </c>
      <c r="E201" s="21">
        <v>36.214199999999998</v>
      </c>
      <c r="F201" s="21">
        <v>42.4328</v>
      </c>
      <c r="G201" s="185">
        <f>ROUND(D201*(E201+F201),2)</f>
        <v>2988.59</v>
      </c>
      <c r="H201" s="496"/>
      <c r="I201" s="73">
        <v>0.85</v>
      </c>
      <c r="J201" s="73">
        <f>+H201*I201</f>
        <v>0</v>
      </c>
      <c r="K201" s="497"/>
      <c r="L201" s="498">
        <f>+SUM(G201:G208,C208)</f>
        <v>57033.075599999996</v>
      </c>
      <c r="M201" s="26">
        <v>57033.08</v>
      </c>
      <c r="N201" s="499"/>
      <c r="O201" s="500"/>
      <c r="P201" s="501" t="s">
        <v>87</v>
      </c>
      <c r="Q201" s="304">
        <f t="shared" ref="Q201:Q219" si="30">C201+G201+J201-M201-N201-O201</f>
        <v>-54044.490000000005</v>
      </c>
      <c r="R201" s="502" t="s">
        <v>88</v>
      </c>
      <c r="S201" s="503"/>
      <c r="T201" s="504"/>
      <c r="U201" s="33"/>
    </row>
    <row r="202" spans="1:21" ht="15.75" thickBot="1">
      <c r="A202" s="505"/>
      <c r="B202" s="506"/>
      <c r="C202" s="507"/>
      <c r="D202" s="508"/>
      <c r="E202" s="38">
        <f>32.332-28.8628</f>
        <v>3.4692000000000007</v>
      </c>
      <c r="F202" s="38">
        <f>37.8898-33.8306</f>
        <v>4.0592000000000041</v>
      </c>
      <c r="G202" s="50">
        <f>ROUND(D202*(E202+F202),2)</f>
        <v>0</v>
      </c>
      <c r="H202" s="448"/>
      <c r="I202" s="509"/>
      <c r="J202" s="409"/>
      <c r="K202" s="510"/>
      <c r="L202" s="511"/>
      <c r="M202" s="512"/>
      <c r="N202" s="513"/>
      <c r="O202" s="514"/>
      <c r="P202" s="515"/>
      <c r="Q202" s="262"/>
      <c r="R202" s="502"/>
      <c r="S202" s="503"/>
      <c r="T202" s="504"/>
      <c r="U202" s="33"/>
    </row>
    <row r="203" spans="1:21">
      <c r="A203" s="505"/>
      <c r="B203" s="516" t="s">
        <v>89</v>
      </c>
      <c r="C203" s="512" t="s">
        <v>90</v>
      </c>
      <c r="D203" s="508">
        <v>2</v>
      </c>
      <c r="E203" s="101">
        <v>304.86</v>
      </c>
      <c r="F203" s="21">
        <v>42.4328</v>
      </c>
      <c r="G203" s="50">
        <f>D203*(E203+F203)</f>
        <v>694.5856</v>
      </c>
      <c r="H203" s="270"/>
      <c r="I203" s="41">
        <v>128.56</v>
      </c>
      <c r="J203" s="409">
        <f>+H203*I203</f>
        <v>0</v>
      </c>
      <c r="K203" s="510"/>
      <c r="L203" s="517"/>
      <c r="M203" s="99"/>
      <c r="N203" s="518"/>
      <c r="O203" s="519"/>
      <c r="P203" s="515" t="s">
        <v>87</v>
      </c>
      <c r="Q203" s="271">
        <f>+G203+J203-M203-N203-O203</f>
        <v>694.5856</v>
      </c>
      <c r="R203" s="502" t="s">
        <v>88</v>
      </c>
      <c r="S203" s="503"/>
      <c r="T203" s="504"/>
    </row>
    <row r="204" spans="1:21">
      <c r="A204" s="505"/>
      <c r="B204" s="506" t="s">
        <v>91</v>
      </c>
      <c r="C204" s="507"/>
      <c r="D204" s="508">
        <v>0</v>
      </c>
      <c r="E204" s="41">
        <f>304.86-291.8</f>
        <v>13.060000000000002</v>
      </c>
      <c r="F204" s="38"/>
      <c r="G204" s="50">
        <f>ROUND(D204*(E204+F204),2)</f>
        <v>0</v>
      </c>
      <c r="H204" s="432"/>
      <c r="I204" s="362"/>
      <c r="J204" s="409"/>
      <c r="K204" s="510"/>
      <c r="L204" s="517"/>
      <c r="M204" s="520"/>
      <c r="N204" s="521"/>
      <c r="O204" s="522"/>
      <c r="P204" s="523"/>
      <c r="Q204" s="362"/>
      <c r="R204" s="502"/>
      <c r="S204" s="503"/>
      <c r="T204" s="504"/>
    </row>
    <row r="205" spans="1:21">
      <c r="A205" s="505"/>
      <c r="B205" s="506" t="s">
        <v>91</v>
      </c>
      <c r="C205" s="507"/>
      <c r="D205" s="508"/>
      <c r="E205" s="38"/>
      <c r="F205" s="41"/>
      <c r="G205" s="50">
        <f>D205*(E205+F205)</f>
        <v>0</v>
      </c>
      <c r="H205" s="432"/>
      <c r="I205" s="362"/>
      <c r="J205" s="409"/>
      <c r="K205" s="510"/>
      <c r="L205" s="517"/>
      <c r="M205" s="520"/>
      <c r="N205" s="521"/>
      <c r="O205" s="522"/>
      <c r="P205" s="523"/>
      <c r="Q205" s="362"/>
      <c r="R205" s="502"/>
      <c r="S205" s="503"/>
      <c r="T205" s="504"/>
    </row>
    <row r="206" spans="1:21">
      <c r="A206" s="505"/>
      <c r="B206" s="506" t="s">
        <v>92</v>
      </c>
      <c r="C206" s="48" t="s">
        <v>176</v>
      </c>
      <c r="D206" s="508">
        <v>7276</v>
      </c>
      <c r="E206" s="41">
        <f>6.8946-7.0207</f>
        <v>-0.1261000000000001</v>
      </c>
      <c r="F206" s="41">
        <f>+E206</f>
        <v>-0.1261000000000001</v>
      </c>
      <c r="G206" s="39">
        <f>ROUNDDOWN(D206*E206,2)</f>
        <v>-917.5</v>
      </c>
      <c r="H206" s="432"/>
      <c r="I206" s="362"/>
      <c r="J206" s="41"/>
      <c r="K206" s="510"/>
      <c r="L206" s="517"/>
      <c r="M206" s="520"/>
      <c r="N206" s="521"/>
      <c r="O206" s="522"/>
      <c r="P206" s="523"/>
      <c r="Q206" s="362"/>
      <c r="R206" s="502"/>
      <c r="S206" s="503"/>
      <c r="T206" s="504"/>
    </row>
    <row r="207" spans="1:21">
      <c r="A207" s="505"/>
      <c r="B207" s="506"/>
      <c r="C207" s="48" t="s">
        <v>177</v>
      </c>
      <c r="D207" s="508">
        <v>334</v>
      </c>
      <c r="E207" s="41">
        <v>6.8945999999999996</v>
      </c>
      <c r="F207" s="41">
        <f>+E207</f>
        <v>6.8945999999999996</v>
      </c>
      <c r="G207" s="39">
        <f>ROUND(D207*E207,2)</f>
        <v>2302.8000000000002</v>
      </c>
      <c r="H207" s="432"/>
      <c r="I207" s="362"/>
      <c r="J207" s="207"/>
      <c r="K207" s="524"/>
      <c r="L207" s="517"/>
      <c r="M207" s="520"/>
      <c r="N207" s="521"/>
      <c r="O207" s="522"/>
      <c r="P207" s="523"/>
      <c r="Q207" s="362"/>
      <c r="R207" s="502"/>
      <c r="S207" s="503"/>
      <c r="T207" s="504"/>
    </row>
    <row r="208" spans="1:21" ht="15.75" thickBot="1">
      <c r="A208" s="525"/>
      <c r="B208" s="526"/>
      <c r="C208" s="99" t="s">
        <v>29</v>
      </c>
      <c r="D208" s="55">
        <v>7537</v>
      </c>
      <c r="E208" s="56">
        <v>6.8945999999999996</v>
      </c>
      <c r="F208" s="57">
        <f>+E208</f>
        <v>6.8945999999999996</v>
      </c>
      <c r="G208" s="58">
        <f>ROUND(D208*E208,2)</f>
        <v>51964.6</v>
      </c>
      <c r="H208" s="248"/>
      <c r="I208" s="203"/>
      <c r="J208" s="60"/>
      <c r="K208" s="61"/>
      <c r="L208" s="249"/>
      <c r="M208" s="54"/>
      <c r="N208" s="527"/>
      <c r="O208" s="528"/>
      <c r="P208" s="529" t="s">
        <v>87</v>
      </c>
      <c r="Q208" s="282">
        <f>+G208+J208-M208-N208-O208</f>
        <v>51964.6</v>
      </c>
      <c r="R208" s="530" t="s">
        <v>88</v>
      </c>
      <c r="S208" s="531">
        <f>SUM(N201:N208)+O201:O208</f>
        <v>0</v>
      </c>
      <c r="T208" s="531">
        <f>SUM(Q201:Q208)</f>
        <v>-1385.3044000000082</v>
      </c>
      <c r="U208" s="33"/>
    </row>
    <row r="209" spans="1:21" ht="15.75" thickTop="1">
      <c r="A209" s="339" t="s">
        <v>93</v>
      </c>
      <c r="B209" s="532" t="s">
        <v>94</v>
      </c>
      <c r="C209" s="71">
        <f>+[1]дек!U51</f>
        <v>-6.0000000303261913E-4</v>
      </c>
      <c r="D209" s="213">
        <v>45</v>
      </c>
      <c r="E209" s="21">
        <v>36.214199999999998</v>
      </c>
      <c r="F209" s="21">
        <v>42.4328</v>
      </c>
      <c r="G209" s="214">
        <f>ROUND(D209*(E209+F209),2)</f>
        <v>3539.12</v>
      </c>
      <c r="H209" s="496"/>
      <c r="I209" s="73">
        <v>0.85</v>
      </c>
      <c r="J209" s="73">
        <f>H209*I209</f>
        <v>0</v>
      </c>
      <c r="K209" s="497"/>
      <c r="L209" s="533">
        <f>+SUM(G209:G216,)+J209+J211</f>
        <v>51447.869999999995</v>
      </c>
      <c r="M209" s="26">
        <v>51447.87</v>
      </c>
      <c r="N209" s="534"/>
      <c r="O209" s="535"/>
      <c r="P209" s="536" t="s">
        <v>87</v>
      </c>
      <c r="Q209" s="537">
        <f t="shared" si="30"/>
        <v>-47908.750600000007</v>
      </c>
      <c r="R209" s="538" t="s">
        <v>95</v>
      </c>
      <c r="S209" s="539"/>
      <c r="T209" s="540"/>
      <c r="U209" s="33"/>
    </row>
    <row r="210" spans="1:21" ht="15.75" thickBot="1">
      <c r="A210" s="353"/>
      <c r="B210" s="541"/>
      <c r="C210" s="542" t="s">
        <v>96</v>
      </c>
      <c r="D210" s="234"/>
      <c r="E210" s="38">
        <f>32.332-28.8628</f>
        <v>3.4692000000000007</v>
      </c>
      <c r="F210" s="38">
        <f>37.8898-33.8306</f>
        <v>4.0592000000000041</v>
      </c>
      <c r="G210" s="235">
        <f>ROUND(D210*(E210+F210),2)</f>
        <v>0</v>
      </c>
      <c r="H210" s="448"/>
      <c r="I210" s="509"/>
      <c r="J210" s="509"/>
      <c r="K210" s="543"/>
      <c r="L210" s="544"/>
      <c r="M210" s="545"/>
      <c r="N210" s="546"/>
      <c r="O210" s="547"/>
      <c r="P210" s="548"/>
      <c r="Q210" s="549"/>
      <c r="R210" s="550"/>
      <c r="S210" s="551"/>
      <c r="T210" s="552"/>
      <c r="U210" s="33"/>
    </row>
    <row r="211" spans="1:21">
      <c r="A211" s="353"/>
      <c r="B211" s="516" t="s">
        <v>32</v>
      </c>
      <c r="C211" s="99" t="s">
        <v>90</v>
      </c>
      <c r="D211" s="234">
        <v>16</v>
      </c>
      <c r="E211" s="101">
        <v>304.86</v>
      </c>
      <c r="F211" s="21">
        <v>42.4328</v>
      </c>
      <c r="G211" s="235">
        <f>ROUND(D211*(E211+F211),2)</f>
        <v>5556.68</v>
      </c>
      <c r="H211" s="270"/>
      <c r="I211" s="41">
        <v>128.56</v>
      </c>
      <c r="J211" s="41">
        <f>ROUND(H211*I211,2)</f>
        <v>0</v>
      </c>
      <c r="K211" s="510"/>
      <c r="L211" s="553"/>
      <c r="M211" s="554"/>
      <c r="N211" s="555"/>
      <c r="O211" s="556"/>
      <c r="P211" s="557" t="s">
        <v>87</v>
      </c>
      <c r="Q211" s="558">
        <f>+G211+J211-M211-N211-O211</f>
        <v>5556.68</v>
      </c>
      <c r="R211" s="550" t="s">
        <v>95</v>
      </c>
      <c r="S211" s="551"/>
      <c r="T211" s="552"/>
    </row>
    <row r="212" spans="1:21">
      <c r="A212" s="353"/>
      <c r="B212" s="541"/>
      <c r="C212" s="84" t="s">
        <v>97</v>
      </c>
      <c r="D212" s="234"/>
      <c r="E212" s="41">
        <f>304.86-291.8</f>
        <v>13.060000000000002</v>
      </c>
      <c r="F212" s="38"/>
      <c r="G212" s="50">
        <f>ROUND(D212*E212,2)</f>
        <v>0</v>
      </c>
      <c r="H212" s="432"/>
      <c r="I212" s="362"/>
      <c r="J212" s="41"/>
      <c r="K212" s="510"/>
      <c r="L212" s="559"/>
      <c r="M212" s="560"/>
      <c r="N212" s="561"/>
      <c r="O212" s="562"/>
      <c r="P212" s="563"/>
      <c r="Q212" s="564"/>
      <c r="R212" s="550"/>
      <c r="S212" s="551"/>
      <c r="T212" s="552"/>
    </row>
    <row r="213" spans="1:21">
      <c r="A213" s="353"/>
      <c r="B213" s="541"/>
      <c r="C213" s="84" t="s">
        <v>97</v>
      </c>
      <c r="D213" s="234"/>
      <c r="E213" s="38"/>
      <c r="F213" s="240"/>
      <c r="G213" s="50">
        <f>D213*(E213+F213)</f>
        <v>0</v>
      </c>
      <c r="H213" s="432"/>
      <c r="I213" s="362"/>
      <c r="J213" s="41"/>
      <c r="K213" s="510"/>
      <c r="L213" s="559"/>
      <c r="M213" s="560"/>
      <c r="N213" s="561"/>
      <c r="O213" s="562"/>
      <c r="P213" s="563"/>
      <c r="Q213" s="564"/>
      <c r="R213" s="550"/>
      <c r="S213" s="551"/>
      <c r="T213" s="552"/>
    </row>
    <row r="214" spans="1:21">
      <c r="A214" s="353"/>
      <c r="B214" s="541"/>
      <c r="C214" s="48" t="s">
        <v>176</v>
      </c>
      <c r="D214" s="37">
        <v>6682</v>
      </c>
      <c r="E214" s="41">
        <f>6.8946-7.0207</f>
        <v>-0.1261000000000001</v>
      </c>
      <c r="F214" s="41">
        <f>+E214</f>
        <v>-0.1261000000000001</v>
      </c>
      <c r="G214" s="235">
        <f>ROUND(D214*E214,2)</f>
        <v>-842.6</v>
      </c>
      <c r="H214" s="565"/>
      <c r="I214" s="564"/>
      <c r="J214" s="566"/>
      <c r="K214" s="567"/>
      <c r="L214" s="559"/>
      <c r="M214" s="560"/>
      <c r="N214" s="561"/>
      <c r="O214" s="562"/>
      <c r="P214" s="563"/>
      <c r="Q214" s="564"/>
      <c r="R214" s="550"/>
      <c r="S214" s="551"/>
      <c r="T214" s="552"/>
      <c r="U214" s="352"/>
    </row>
    <row r="215" spans="1:21">
      <c r="A215" s="353"/>
      <c r="B215" s="541"/>
      <c r="C215" s="48" t="s">
        <v>177</v>
      </c>
      <c r="D215" s="37">
        <v>266</v>
      </c>
      <c r="E215" s="41">
        <v>6.8945999999999996</v>
      </c>
      <c r="F215" s="41">
        <f>+E215</f>
        <v>6.8945999999999996</v>
      </c>
      <c r="G215" s="235">
        <f>ROUND(D215*E215,2)</f>
        <v>1833.96</v>
      </c>
      <c r="H215" s="565"/>
      <c r="I215" s="564"/>
      <c r="J215" s="566"/>
      <c r="K215" s="567"/>
      <c r="L215" s="559"/>
      <c r="M215" s="560"/>
      <c r="N215" s="561"/>
      <c r="O215" s="562"/>
      <c r="P215" s="563"/>
      <c r="Q215" s="564"/>
      <c r="R215" s="550"/>
      <c r="S215" s="551"/>
      <c r="T215" s="552"/>
      <c r="U215" s="33"/>
    </row>
    <row r="216" spans="1:21" ht="15.75" thickBot="1">
      <c r="A216" s="369"/>
      <c r="B216" s="568"/>
      <c r="C216" s="99" t="s">
        <v>29</v>
      </c>
      <c r="D216" s="246">
        <v>5999</v>
      </c>
      <c r="E216" s="56">
        <v>6.8945999999999996</v>
      </c>
      <c r="F216" s="57">
        <f>+E216</f>
        <v>6.8945999999999996</v>
      </c>
      <c r="G216" s="247">
        <f>ROUND(D216*E216,2)</f>
        <v>41360.71</v>
      </c>
      <c r="H216" s="248"/>
      <c r="I216" s="203"/>
      <c r="J216" s="60"/>
      <c r="K216" s="61"/>
      <c r="L216" s="204"/>
      <c r="M216" s="560"/>
      <c r="N216" s="561"/>
      <c r="O216" s="528"/>
      <c r="P216" s="529" t="s">
        <v>87</v>
      </c>
      <c r="Q216" s="564">
        <f>+G216+J216-M216-N216-O216</f>
        <v>41360.71</v>
      </c>
      <c r="R216" s="550" t="s">
        <v>95</v>
      </c>
      <c r="S216" s="569">
        <f>SUM(N209:N216)+O209:O216</f>
        <v>0</v>
      </c>
      <c r="T216" s="570">
        <f>SUM(Q211:Q216)</f>
        <v>46917.39</v>
      </c>
    </row>
    <row r="217" spans="1:21" ht="15.75" hidden="1" outlineLevel="1" thickBot="1">
      <c r="A217" s="571"/>
      <c r="B217" s="572" t="s">
        <v>98</v>
      </c>
      <c r="C217" s="573" t="s">
        <v>99</v>
      </c>
      <c r="D217" s="574"/>
      <c r="E217" s="575">
        <f>3.193-2.9732</f>
        <v>0.21980000000000022</v>
      </c>
      <c r="F217" s="575">
        <f>3.193-2.9732</f>
        <v>0.21980000000000022</v>
      </c>
      <c r="G217" s="576">
        <f>D217*E217*70%+D217*F217*30%</f>
        <v>0</v>
      </c>
      <c r="H217" s="577"/>
      <c r="I217" s="578"/>
      <c r="J217" s="579"/>
      <c r="K217" s="579"/>
      <c r="L217" s="580"/>
      <c r="M217" s="581"/>
      <c r="N217" s="582"/>
      <c r="O217" s="535"/>
      <c r="P217" s="536"/>
      <c r="Q217" s="583"/>
      <c r="R217" s="584"/>
      <c r="S217" s="569"/>
      <c r="T217" s="585"/>
    </row>
    <row r="218" spans="1:21" s="81" customFormat="1" ht="16.5" hidden="1" customHeight="1" outlineLevel="1" thickBot="1">
      <c r="A218" s="586" t="s">
        <v>100</v>
      </c>
      <c r="B218" s="587" t="s">
        <v>98</v>
      </c>
      <c r="C218" s="588">
        <f>+[1]авг!C52</f>
        <v>0</v>
      </c>
      <c r="D218" s="589"/>
      <c r="E218" s="575">
        <v>3.1930000000000001</v>
      </c>
      <c r="F218" s="575">
        <f>+E218</f>
        <v>3.1930000000000001</v>
      </c>
      <c r="G218" s="576">
        <f>D218*E218*70%+D218*F218*30%</f>
        <v>0</v>
      </c>
      <c r="H218" s="579"/>
      <c r="I218" s="579"/>
      <c r="J218" s="579"/>
      <c r="K218" s="579"/>
      <c r="L218" s="579">
        <f>+C218+G218+G217</f>
        <v>0</v>
      </c>
      <c r="M218" s="590"/>
      <c r="N218" s="500"/>
      <c r="O218" s="528"/>
      <c r="P218" s="529" t="s">
        <v>87</v>
      </c>
      <c r="Q218" s="591">
        <f t="shared" si="30"/>
        <v>0</v>
      </c>
      <c r="R218" s="592" t="s">
        <v>101</v>
      </c>
      <c r="S218" s="77">
        <f>SUM(N218:N218)+SUM(O218:O218)</f>
        <v>0</v>
      </c>
      <c r="T218" s="593">
        <f>SUM(Q218:Q218)</f>
        <v>0</v>
      </c>
    </row>
    <row r="219" spans="1:21" ht="15.75" collapsed="1" thickTop="1">
      <c r="A219" s="505">
        <v>115</v>
      </c>
      <c r="B219" s="494" t="s">
        <v>102</v>
      </c>
      <c r="C219" s="71">
        <f>+[1]дек!U57</f>
        <v>0</v>
      </c>
      <c r="D219" s="495">
        <v>16</v>
      </c>
      <c r="E219" s="21">
        <v>36.214199999999998</v>
      </c>
      <c r="F219" s="21">
        <v>42.4328</v>
      </c>
      <c r="G219" s="185">
        <f>ROUND(D219*(E219+F219),2)</f>
        <v>1258.3499999999999</v>
      </c>
      <c r="H219" s="496"/>
      <c r="I219" s="73">
        <v>0.85</v>
      </c>
      <c r="J219" s="73">
        <f>+H219*I219</f>
        <v>0</v>
      </c>
      <c r="K219" s="497"/>
      <c r="L219" s="498">
        <f>SUM(G219:G225)+SUM(J219:J224)</f>
        <v>27265.170000000002</v>
      </c>
      <c r="M219" s="26">
        <v>27265.17</v>
      </c>
      <c r="N219" s="594"/>
      <c r="O219" s="535"/>
      <c r="P219" s="536" t="s">
        <v>87</v>
      </c>
      <c r="Q219" s="595">
        <f t="shared" si="30"/>
        <v>-26006.82</v>
      </c>
      <c r="R219" s="502" t="s">
        <v>88</v>
      </c>
      <c r="S219" s="503"/>
      <c r="T219" s="504"/>
      <c r="U219" s="33">
        <f>+M219-L219</f>
        <v>0</v>
      </c>
    </row>
    <row r="220" spans="1:21" ht="15.75" thickBot="1">
      <c r="A220" s="505"/>
      <c r="B220" s="506"/>
      <c r="C220" s="542"/>
      <c r="D220" s="508"/>
      <c r="E220" s="38">
        <f>32.332-28.8628</f>
        <v>3.4692000000000007</v>
      </c>
      <c r="F220" s="38">
        <f>37.8898-33.8306</f>
        <v>4.0592000000000041</v>
      </c>
      <c r="G220" s="50">
        <f>ROUND(D220*(E220+F220),2)</f>
        <v>0</v>
      </c>
      <c r="H220" s="596"/>
      <c r="I220" s="409"/>
      <c r="J220" s="509"/>
      <c r="K220" s="543"/>
      <c r="L220" s="511"/>
      <c r="M220" s="99"/>
      <c r="N220" s="513"/>
      <c r="O220" s="514"/>
      <c r="P220" s="515"/>
      <c r="Q220" s="262"/>
      <c r="R220" s="502"/>
      <c r="S220" s="503"/>
      <c r="T220" s="504"/>
    </row>
    <row r="221" spans="1:21">
      <c r="A221" s="505"/>
      <c r="B221" s="516" t="s">
        <v>103</v>
      </c>
      <c r="C221" s="99" t="s">
        <v>90</v>
      </c>
      <c r="D221" s="508">
        <v>12</v>
      </c>
      <c r="E221" s="101">
        <v>304.86</v>
      </c>
      <c r="F221" s="21">
        <v>42.4328</v>
      </c>
      <c r="G221" s="50">
        <f>ROUND(D221*(E221+F221),2)</f>
        <v>4167.51</v>
      </c>
      <c r="H221" s="270"/>
      <c r="I221" s="41">
        <v>128.56</v>
      </c>
      <c r="J221" s="409">
        <f>+H221*I221</f>
        <v>0</v>
      </c>
      <c r="K221" s="510"/>
      <c r="L221" s="597"/>
      <c r="M221" s="99"/>
      <c r="N221" s="518"/>
      <c r="O221" s="519"/>
      <c r="P221" s="515" t="s">
        <v>87</v>
      </c>
      <c r="Q221" s="271">
        <f>+G221+J221-M221-N221-O221</f>
        <v>4167.51</v>
      </c>
      <c r="R221" s="502" t="s">
        <v>88</v>
      </c>
      <c r="S221" s="503"/>
      <c r="T221" s="504"/>
    </row>
    <row r="222" spans="1:21">
      <c r="A222" s="505"/>
      <c r="B222" s="506"/>
      <c r="C222" s="390" t="s">
        <v>97</v>
      </c>
      <c r="D222" s="508">
        <v>0</v>
      </c>
      <c r="E222" s="41">
        <f>304.86-291.8</f>
        <v>13.060000000000002</v>
      </c>
      <c r="F222" s="38"/>
      <c r="G222" s="50">
        <f>D222*(E222+F222)</f>
        <v>0</v>
      </c>
      <c r="H222" s="432"/>
      <c r="I222" s="362"/>
      <c r="J222" s="41"/>
      <c r="K222" s="510"/>
      <c r="L222" s="597"/>
      <c r="M222" s="99"/>
      <c r="N222" s="521"/>
      <c r="O222" s="522"/>
      <c r="P222" s="523"/>
      <c r="Q222" s="362"/>
      <c r="R222" s="502"/>
      <c r="S222" s="503"/>
      <c r="T222" s="504"/>
    </row>
    <row r="223" spans="1:21">
      <c r="A223" s="505"/>
      <c r="B223" s="506"/>
      <c r="C223" s="48" t="s">
        <v>176</v>
      </c>
      <c r="D223" s="37">
        <v>3248</v>
      </c>
      <c r="E223" s="41">
        <f>6.8946-7.0207</f>
        <v>-0.1261000000000001</v>
      </c>
      <c r="F223" s="297">
        <f t="shared" ref="F223:F225" si="31">+E223</f>
        <v>-0.1261000000000001</v>
      </c>
      <c r="G223" s="39">
        <f>ROUND(D223*(E223+F223)/2,2)+0.01</f>
        <v>-409.56</v>
      </c>
      <c r="H223" s="432"/>
      <c r="I223" s="362"/>
      <c r="J223" s="41"/>
      <c r="K223" s="510"/>
      <c r="L223" s="597"/>
      <c r="M223" s="99"/>
      <c r="N223" s="521"/>
      <c r="O223" s="522"/>
      <c r="P223" s="523"/>
      <c r="Q223" s="362"/>
      <c r="R223" s="502"/>
      <c r="S223" s="503"/>
      <c r="T223" s="504"/>
    </row>
    <row r="224" spans="1:21">
      <c r="A224" s="505"/>
      <c r="B224" s="506"/>
      <c r="C224" s="48" t="s">
        <v>177</v>
      </c>
      <c r="D224" s="37">
        <v>137</v>
      </c>
      <c r="E224" s="41">
        <v>6.8945999999999996</v>
      </c>
      <c r="F224" s="298">
        <f t="shared" si="31"/>
        <v>6.8945999999999996</v>
      </c>
      <c r="G224" s="39">
        <f>ROUND(D224*E224,2)</f>
        <v>944.56</v>
      </c>
      <c r="H224" s="432"/>
      <c r="I224" s="362"/>
      <c r="J224" s="41"/>
      <c r="K224" s="510"/>
      <c r="L224" s="597"/>
      <c r="M224" s="99"/>
      <c r="N224" s="521"/>
      <c r="O224" s="522"/>
      <c r="P224" s="523"/>
      <c r="Q224" s="362"/>
      <c r="R224" s="502"/>
      <c r="S224" s="503"/>
      <c r="T224" s="504"/>
    </row>
    <row r="225" spans="1:21" ht="15.75" thickBot="1">
      <c r="A225" s="505"/>
      <c r="B225" s="526"/>
      <c r="C225" s="99" t="s">
        <v>29</v>
      </c>
      <c r="D225" s="55">
        <v>3090</v>
      </c>
      <c r="E225" s="56">
        <v>6.8945999999999996</v>
      </c>
      <c r="F225" s="57">
        <f t="shared" si="31"/>
        <v>6.8945999999999996</v>
      </c>
      <c r="G225" s="414">
        <f>ROUND(D225*E225,2)</f>
        <v>21304.31</v>
      </c>
      <c r="H225" s="248"/>
      <c r="I225" s="203"/>
      <c r="J225" s="60"/>
      <c r="K225" s="61"/>
      <c r="L225" s="249"/>
      <c r="M225" s="54"/>
      <c r="N225" s="527"/>
      <c r="O225" s="528"/>
      <c r="P225" s="529" t="s">
        <v>87</v>
      </c>
      <c r="Q225" s="58">
        <f>+G225+J225-M225-N225-O225</f>
        <v>21304.31</v>
      </c>
      <c r="R225" s="502" t="s">
        <v>88</v>
      </c>
      <c r="S225" s="598">
        <f>SUM(N219:N225)+O219:O225</f>
        <v>0</v>
      </c>
      <c r="T225" s="598">
        <f>SUM(Q219:Q225)</f>
        <v>-534.99999999999636</v>
      </c>
    </row>
    <row r="226" spans="1:21">
      <c r="A226" s="645"/>
      <c r="B226" s="494" t="s">
        <v>104</v>
      </c>
      <c r="C226" s="71">
        <f>+[1]дек!U66</f>
        <v>0</v>
      </c>
      <c r="D226" s="495">
        <v>30</v>
      </c>
      <c r="E226" s="21">
        <v>36.214199999999998</v>
      </c>
      <c r="F226" s="21">
        <v>42.4328</v>
      </c>
      <c r="G226" s="185">
        <f>ROUND(D226*(E226+F226),2)</f>
        <v>2359.41</v>
      </c>
      <c r="H226" s="496"/>
      <c r="I226" s="73">
        <v>0.85</v>
      </c>
      <c r="J226" s="73">
        <f>+H226*I226</f>
        <v>0</v>
      </c>
      <c r="K226" s="497"/>
      <c r="L226" s="439">
        <f>SUM(G226:G233)+SUM(J226:J232)</f>
        <v>20277.169999999998</v>
      </c>
      <c r="M226" s="26">
        <v>20277.169999999998</v>
      </c>
      <c r="N226" s="499"/>
      <c r="O226" s="500"/>
      <c r="P226" s="501" t="s">
        <v>87</v>
      </c>
      <c r="Q226" s="185">
        <f t="shared" ref="Q226" si="32">C226+G226+J226-M226-N226-O226</f>
        <v>-17917.759999999998</v>
      </c>
      <c r="R226" s="502" t="s">
        <v>88</v>
      </c>
      <c r="S226" s="503"/>
      <c r="T226" s="504"/>
    </row>
    <row r="227" spans="1:21" ht="15.75" thickBot="1">
      <c r="A227" s="645"/>
      <c r="B227" s="506"/>
      <c r="C227" s="599" t="s">
        <v>96</v>
      </c>
      <c r="D227" s="234"/>
      <c r="E227" s="38">
        <f>32.332-28.8628</f>
        <v>3.4692000000000007</v>
      </c>
      <c r="F227" s="38">
        <f>37.8898-33.8306</f>
        <v>4.0592000000000041</v>
      </c>
      <c r="G227" s="235">
        <f>ROUND(D227*(E227+F227),2)</f>
        <v>0</v>
      </c>
      <c r="H227" s="448"/>
      <c r="I227" s="509"/>
      <c r="J227" s="409"/>
      <c r="K227" s="510"/>
      <c r="L227" s="48"/>
      <c r="M227" s="512"/>
      <c r="N227" s="513"/>
      <c r="O227" s="514"/>
      <c r="P227" s="515"/>
      <c r="Q227" s="262"/>
      <c r="R227" s="502"/>
      <c r="S227" s="503"/>
      <c r="T227" s="504"/>
    </row>
    <row r="228" spans="1:21">
      <c r="A228" s="645"/>
      <c r="B228" s="516" t="s">
        <v>89</v>
      </c>
      <c r="C228" s="512" t="s">
        <v>90</v>
      </c>
      <c r="D228" s="508">
        <v>5</v>
      </c>
      <c r="E228" s="101">
        <v>304.86</v>
      </c>
      <c r="F228" s="21">
        <v>42.4328</v>
      </c>
      <c r="G228" s="50">
        <f>ROUND(D228*(E228+F228),2)</f>
        <v>1736.46</v>
      </c>
      <c r="H228" s="270"/>
      <c r="I228" s="41">
        <v>128.56</v>
      </c>
      <c r="J228" s="409">
        <f>ROUND(H228*I228,2)</f>
        <v>0</v>
      </c>
      <c r="K228" s="510"/>
      <c r="L228" s="600"/>
      <c r="M228" s="99"/>
      <c r="N228" s="518"/>
      <c r="O228" s="519"/>
      <c r="P228" s="515" t="s">
        <v>87</v>
      </c>
      <c r="Q228" s="271">
        <f>+G228+J228-M228-N228-O228</f>
        <v>1736.46</v>
      </c>
      <c r="R228" s="502" t="s">
        <v>88</v>
      </c>
      <c r="S228" s="503"/>
      <c r="T228" s="504"/>
    </row>
    <row r="229" spans="1:21">
      <c r="A229" s="645"/>
      <c r="B229" s="541"/>
      <c r="C229" s="84" t="s">
        <v>97</v>
      </c>
      <c r="D229" s="508"/>
      <c r="E229" s="41">
        <f>304.86-291.8</f>
        <v>13.060000000000002</v>
      </c>
      <c r="F229" s="38"/>
      <c r="G229" s="50">
        <f>ROUND(D229*(E229+F229),2)</f>
        <v>0</v>
      </c>
      <c r="H229" s="432"/>
      <c r="I229" s="362"/>
      <c r="J229" s="41"/>
      <c r="K229" s="510"/>
      <c r="L229" s="600"/>
      <c r="M229" s="520"/>
      <c r="N229" s="521"/>
      <c r="O229" s="522"/>
      <c r="P229" s="523"/>
      <c r="Q229" s="362"/>
      <c r="R229" s="502"/>
      <c r="S229" s="503"/>
      <c r="T229" s="504"/>
    </row>
    <row r="230" spans="1:21">
      <c r="A230" s="645"/>
      <c r="B230" s="541"/>
      <c r="C230" s="84" t="s">
        <v>97</v>
      </c>
      <c r="D230" s="508"/>
      <c r="E230" s="41"/>
      <c r="F230" s="41"/>
      <c r="G230" s="50">
        <f>D230*(E230+F230)</f>
        <v>0</v>
      </c>
      <c r="H230" s="432"/>
      <c r="I230" s="362"/>
      <c r="J230" s="41"/>
      <c r="K230" s="510"/>
      <c r="L230" s="600"/>
      <c r="M230" s="520"/>
      <c r="N230" s="521"/>
      <c r="O230" s="522"/>
      <c r="P230" s="523"/>
      <c r="Q230" s="362"/>
      <c r="R230" s="502"/>
      <c r="S230" s="503"/>
      <c r="T230" s="504"/>
    </row>
    <row r="231" spans="1:21">
      <c r="A231" s="645"/>
      <c r="B231" s="506"/>
      <c r="C231" s="48" t="s">
        <v>176</v>
      </c>
      <c r="D231" s="37">
        <v>2627</v>
      </c>
      <c r="E231" s="41">
        <f>6.8946-7.0207</f>
        <v>-0.1261000000000001</v>
      </c>
      <c r="F231" s="297">
        <f t="shared" ref="F231:F233" si="33">+E231</f>
        <v>-0.1261000000000001</v>
      </c>
      <c r="G231" s="39">
        <f>ROUND(D231*(E231),2)-0.01</f>
        <v>-331.27</v>
      </c>
      <c r="H231" s="432"/>
      <c r="I231" s="362"/>
      <c r="J231" s="41"/>
      <c r="K231" s="510"/>
      <c r="L231" s="600"/>
      <c r="M231" s="520"/>
      <c r="N231" s="521"/>
      <c r="O231" s="522"/>
      <c r="P231" s="523"/>
      <c r="Q231" s="362"/>
      <c r="R231" s="502"/>
      <c r="S231" s="503"/>
      <c r="T231" s="504"/>
    </row>
    <row r="232" spans="1:21">
      <c r="A232" s="645"/>
      <c r="B232" s="506"/>
      <c r="C232" s="48" t="s">
        <v>177</v>
      </c>
      <c r="D232" s="37">
        <v>102</v>
      </c>
      <c r="E232" s="41">
        <v>6.8945999999999996</v>
      </c>
      <c r="F232" s="298">
        <f t="shared" si="33"/>
        <v>6.8945999999999996</v>
      </c>
      <c r="G232" s="39">
        <f>ROUND(D232*(E232),2)</f>
        <v>703.25</v>
      </c>
      <c r="H232" s="432"/>
      <c r="I232" s="362"/>
      <c r="J232" s="41"/>
      <c r="K232" s="510"/>
      <c r="L232" s="600"/>
      <c r="M232" s="520"/>
      <c r="N232" s="521"/>
      <c r="O232" s="522"/>
      <c r="P232" s="523"/>
      <c r="Q232" s="362"/>
      <c r="R232" s="502"/>
      <c r="S232" s="503"/>
      <c r="T232" s="504"/>
      <c r="U232" s="33"/>
    </row>
    <row r="233" spans="1:21" ht="15.75" thickBot="1">
      <c r="A233" s="645"/>
      <c r="B233" s="526"/>
      <c r="C233" s="99" t="s">
        <v>29</v>
      </c>
      <c r="D233" s="55">
        <v>2293</v>
      </c>
      <c r="E233" s="56">
        <v>6.8945999999999996</v>
      </c>
      <c r="F233" s="57">
        <f t="shared" si="33"/>
        <v>6.8945999999999996</v>
      </c>
      <c r="G233" s="414">
        <f>ROUND(D233*(E233),2)</f>
        <v>15809.32</v>
      </c>
      <c r="H233" s="248"/>
      <c r="I233" s="203"/>
      <c r="J233" s="60"/>
      <c r="K233" s="61"/>
      <c r="L233" s="204"/>
      <c r="M233" s="54"/>
      <c r="N233" s="527"/>
      <c r="O233" s="528"/>
      <c r="P233" s="529" t="s">
        <v>87</v>
      </c>
      <c r="Q233" s="362">
        <f>+G233+J233-M233-N233-O233</f>
        <v>15809.32</v>
      </c>
      <c r="R233" s="502" t="s">
        <v>88</v>
      </c>
      <c r="S233" s="598">
        <f>SUM(N226:N233)+O226:O233</f>
        <v>0</v>
      </c>
      <c r="T233" s="598">
        <f>SUM(Q226:Q233)</f>
        <v>-371.97999999999956</v>
      </c>
    </row>
    <row r="234" spans="1:21" ht="15.75" thickTop="1">
      <c r="A234" s="493">
        <v>115</v>
      </c>
      <c r="B234" s="494" t="s">
        <v>105</v>
      </c>
      <c r="C234" s="71">
        <f>+[1]дек!U72</f>
        <v>0</v>
      </c>
      <c r="D234" s="495">
        <v>10</v>
      </c>
      <c r="E234" s="21">
        <v>36.214199999999998</v>
      </c>
      <c r="F234" s="21">
        <v>42.4328</v>
      </c>
      <c r="G234" s="185">
        <f>ROUND(D234*(E234+F234),2)</f>
        <v>786.47</v>
      </c>
      <c r="H234" s="496"/>
      <c r="I234" s="73">
        <v>0.85</v>
      </c>
      <c r="J234" s="73">
        <f>+H234*I234</f>
        <v>0</v>
      </c>
      <c r="K234" s="601"/>
      <c r="L234" s="498">
        <f>SUM(G234:G241)+SUM(J234:J240)</f>
        <v>24906.36</v>
      </c>
      <c r="M234" s="26">
        <v>24906.36</v>
      </c>
      <c r="N234" s="499"/>
      <c r="O234" s="500"/>
      <c r="P234" s="501" t="s">
        <v>87</v>
      </c>
      <c r="Q234" s="595">
        <f t="shared" ref="Q234" si="34">C234+G234+J234-M234-N234-O234</f>
        <v>-24119.89</v>
      </c>
    </row>
    <row r="235" spans="1:21" ht="15.75" thickBot="1">
      <c r="A235" s="505"/>
      <c r="B235" s="506"/>
      <c r="C235" s="507" t="s">
        <v>96</v>
      </c>
      <c r="D235" s="234"/>
      <c r="E235" s="38">
        <f>32.332-28.8628</f>
        <v>3.4692000000000007</v>
      </c>
      <c r="F235" s="38">
        <f>37.8898-33.8306</f>
        <v>4.0592000000000041</v>
      </c>
      <c r="G235" s="235">
        <f>ROUND(D235*(E235+F235),2)</f>
        <v>0</v>
      </c>
      <c r="H235" s="448"/>
      <c r="I235" s="509"/>
      <c r="J235" s="199"/>
      <c r="K235" s="517"/>
      <c r="L235" s="511"/>
      <c r="M235" s="512"/>
      <c r="N235" s="513"/>
      <c r="O235" s="514"/>
      <c r="P235" s="515"/>
      <c r="Q235" s="262"/>
      <c r="U235" s="33"/>
    </row>
    <row r="236" spans="1:21">
      <c r="A236" s="505"/>
      <c r="B236" s="516" t="s">
        <v>89</v>
      </c>
      <c r="C236" s="512" t="s">
        <v>90</v>
      </c>
      <c r="D236" s="508">
        <v>2</v>
      </c>
      <c r="E236" s="101">
        <v>304.86</v>
      </c>
      <c r="F236" s="21">
        <v>42.4328</v>
      </c>
      <c r="G236" s="50">
        <f>ROUND(D236*(E236+F236),2)</f>
        <v>694.59</v>
      </c>
      <c r="H236" s="270"/>
      <c r="I236" s="41">
        <v>128.56</v>
      </c>
      <c r="J236" s="207">
        <f>+H236*I236</f>
        <v>0</v>
      </c>
      <c r="K236" s="517"/>
      <c r="L236" s="517"/>
      <c r="M236" s="99"/>
      <c r="N236" s="518"/>
      <c r="O236" s="519"/>
      <c r="P236" s="515" t="s">
        <v>87</v>
      </c>
      <c r="Q236" s="271">
        <f>+G236+J236-M236-N236-O236</f>
        <v>694.59</v>
      </c>
    </row>
    <row r="237" spans="1:21">
      <c r="A237" s="505"/>
      <c r="B237" s="541"/>
      <c r="C237" s="84" t="s">
        <v>97</v>
      </c>
      <c r="D237" s="508">
        <v>0</v>
      </c>
      <c r="E237" s="41">
        <f>304.86-291.8</f>
        <v>13.060000000000002</v>
      </c>
      <c r="F237" s="38"/>
      <c r="G237" s="50">
        <f>ROUND(D237*(E237+F237),2)</f>
        <v>0</v>
      </c>
      <c r="H237" s="432"/>
      <c r="I237" s="362"/>
      <c r="J237" s="207"/>
      <c r="K237" s="517"/>
      <c r="L237" s="517"/>
      <c r="M237" s="520"/>
      <c r="N237" s="521"/>
      <c r="O237" s="522"/>
      <c r="P237" s="523"/>
      <c r="Q237" s="362"/>
    </row>
    <row r="238" spans="1:21">
      <c r="A238" s="505"/>
      <c r="B238" s="541"/>
      <c r="C238" s="84"/>
      <c r="D238" s="508"/>
      <c r="E238" s="41"/>
      <c r="F238" s="41"/>
      <c r="G238" s="50"/>
      <c r="H238" s="432"/>
      <c r="I238" s="362"/>
      <c r="J238" s="207"/>
      <c r="K238" s="517"/>
      <c r="L238" s="517"/>
      <c r="M238" s="520"/>
      <c r="N238" s="521"/>
      <c r="O238" s="522"/>
      <c r="P238" s="523"/>
      <c r="Q238" s="362"/>
    </row>
    <row r="239" spans="1:21">
      <c r="A239" s="505"/>
      <c r="B239" s="506"/>
      <c r="C239" s="48" t="s">
        <v>176</v>
      </c>
      <c r="D239" s="37">
        <v>4121</v>
      </c>
      <c r="E239" s="41">
        <f>6.8946-7.0207</f>
        <v>-0.1261000000000001</v>
      </c>
      <c r="F239" s="41">
        <f t="shared" ref="F239:F244" si="35">+E239</f>
        <v>-0.1261000000000001</v>
      </c>
      <c r="G239" s="39">
        <f>ROUND(D239*E239,2)+0.01</f>
        <v>-519.65</v>
      </c>
      <c r="H239" s="432"/>
      <c r="I239" s="362"/>
      <c r="J239" s="207"/>
      <c r="K239" s="517"/>
      <c r="L239" s="517"/>
      <c r="M239" s="520"/>
      <c r="N239" s="521"/>
      <c r="O239" s="522"/>
      <c r="P239" s="523"/>
      <c r="Q239" s="362"/>
    </row>
    <row r="240" spans="1:21">
      <c r="A240" s="505"/>
      <c r="B240" s="506"/>
      <c r="C240" s="48" t="s">
        <v>177</v>
      </c>
      <c r="D240" s="37">
        <v>147</v>
      </c>
      <c r="E240" s="41">
        <v>6.8945999999999996</v>
      </c>
      <c r="F240" s="41">
        <f t="shared" si="35"/>
        <v>6.8945999999999996</v>
      </c>
      <c r="G240" s="39">
        <f>ROUND(D240*E240,2)</f>
        <v>1013.51</v>
      </c>
      <c r="H240" s="432"/>
      <c r="I240" s="362"/>
      <c r="J240" s="207"/>
      <c r="K240" s="517"/>
      <c r="L240" s="517"/>
      <c r="M240" s="520"/>
      <c r="N240" s="521"/>
      <c r="O240" s="522"/>
      <c r="P240" s="523"/>
      <c r="Q240" s="362"/>
      <c r="U240" s="33"/>
    </row>
    <row r="241" spans="1:17" ht="15.75" thickBot="1">
      <c r="A241" s="525"/>
      <c r="B241" s="526"/>
      <c r="C241" s="99" t="s">
        <v>29</v>
      </c>
      <c r="D241" s="55">
        <v>3326</v>
      </c>
      <c r="E241" s="56">
        <v>6.8945999999999996</v>
      </c>
      <c r="F241" s="281">
        <f t="shared" si="35"/>
        <v>6.8945999999999996</v>
      </c>
      <c r="G241" s="58">
        <f>ROUND(D241*E241,2)</f>
        <v>22931.439999999999</v>
      </c>
      <c r="H241" s="248"/>
      <c r="I241" s="203"/>
      <c r="J241" s="60"/>
      <c r="K241" s="61"/>
      <c r="L241" s="249"/>
      <c r="M241" s="54"/>
      <c r="N241" s="521"/>
      <c r="O241" s="528"/>
      <c r="P241" s="529" t="s">
        <v>87</v>
      </c>
      <c r="Q241" s="362">
        <f>+G241+J241-M241-N241-O241</f>
        <v>22931.439999999999</v>
      </c>
    </row>
    <row r="242" spans="1:17">
      <c r="A242" s="493">
        <v>301</v>
      </c>
      <c r="B242" s="602" t="s">
        <v>106</v>
      </c>
      <c r="C242" s="48" t="s">
        <v>176</v>
      </c>
      <c r="D242" s="184">
        <v>902.28</v>
      </c>
      <c r="E242" s="41">
        <f>6.8946-7.0207</f>
        <v>-0.1261000000000001</v>
      </c>
      <c r="F242" s="23">
        <f t="shared" si="35"/>
        <v>-0.1261000000000001</v>
      </c>
      <c r="G242" s="185">
        <f>ROUND(D242*(E242),2)</f>
        <v>-113.78</v>
      </c>
      <c r="H242" s="23"/>
      <c r="I242" s="23"/>
      <c r="J242" s="23"/>
      <c r="K242" s="23"/>
      <c r="L242" s="603">
        <f>SUM(G242:G244)</f>
        <v>6193.47</v>
      </c>
      <c r="M242" s="187">
        <v>6193.47</v>
      </c>
      <c r="N242" s="604"/>
      <c r="O242" s="500"/>
      <c r="P242" s="501"/>
      <c r="Q242" s="605"/>
    </row>
    <row r="243" spans="1:17">
      <c r="A243" s="505"/>
      <c r="B243" s="506"/>
      <c r="C243" s="48" t="s">
        <v>177</v>
      </c>
      <c r="D243" s="49">
        <v>38.81</v>
      </c>
      <c r="E243" s="41">
        <v>6.8945999999999996</v>
      </c>
      <c r="F243" s="41">
        <f t="shared" si="35"/>
        <v>6.8945999999999996</v>
      </c>
      <c r="G243" s="50">
        <f>ROUND(D243*(E243),2)</f>
        <v>267.58</v>
      </c>
      <c r="H243" s="41"/>
      <c r="I243" s="41"/>
      <c r="J243" s="41"/>
      <c r="K243" s="41"/>
      <c r="L243" s="606"/>
      <c r="M243" s="606"/>
      <c r="N243" s="607"/>
      <c r="O243" s="608"/>
      <c r="P243" s="609"/>
      <c r="Q243" s="610"/>
    </row>
    <row r="244" spans="1:17" ht="15.75" thickBot="1">
      <c r="A244" s="611"/>
      <c r="B244" s="612"/>
      <c r="C244" s="99" t="s">
        <v>29</v>
      </c>
      <c r="D244" s="613">
        <v>876</v>
      </c>
      <c r="E244" s="56">
        <v>6.8945999999999996</v>
      </c>
      <c r="F244" s="281">
        <f t="shared" si="35"/>
        <v>6.8945999999999996</v>
      </c>
      <c r="G244" s="58">
        <f>ROUND(D244*(E244),2)</f>
        <v>6039.67</v>
      </c>
      <c r="H244" s="57"/>
      <c r="I244" s="57"/>
      <c r="J244" s="57"/>
      <c r="K244" s="57"/>
      <c r="L244" s="614"/>
      <c r="M244" s="606"/>
      <c r="N244" s="615"/>
      <c r="O244" s="615"/>
      <c r="P244" s="615"/>
      <c r="Q244" s="616"/>
    </row>
    <row r="245" spans="1:17">
      <c r="A245" s="617"/>
      <c r="B245" s="602" t="s">
        <v>107</v>
      </c>
      <c r="C245" s="618" t="s">
        <v>73</v>
      </c>
      <c r="D245" s="619">
        <v>5</v>
      </c>
      <c r="E245" s="21">
        <v>36.214199999999998</v>
      </c>
      <c r="F245" s="21">
        <v>42.4328</v>
      </c>
      <c r="G245" s="185">
        <f>ROUND(D245*(E245+F245),2)</f>
        <v>393.24</v>
      </c>
      <c r="H245" s="620"/>
      <c r="I245" s="620"/>
      <c r="J245" s="620"/>
      <c r="K245" s="620"/>
      <c r="L245" s="603">
        <f>SUM(G245:G249,J245:J249)</f>
        <v>6246.4000000000005</v>
      </c>
      <c r="M245" s="187">
        <v>6246.4</v>
      </c>
      <c r="N245" s="621"/>
      <c r="O245" s="621"/>
      <c r="P245" s="621"/>
      <c r="Q245" s="622"/>
    </row>
    <row r="246" spans="1:17">
      <c r="A246" s="611"/>
      <c r="B246" s="612"/>
      <c r="C246" s="542" t="s">
        <v>96</v>
      </c>
      <c r="D246" s="234"/>
      <c r="E246" s="38">
        <f>32.332-28.8628</f>
        <v>3.4692000000000007</v>
      </c>
      <c r="F246" s="38">
        <f>37.8898-33.8306</f>
        <v>4.0592000000000041</v>
      </c>
      <c r="G246" s="235">
        <f>ROUND(D246*(E246+F246),2)</f>
        <v>0</v>
      </c>
      <c r="H246" s="298"/>
      <c r="I246" s="298"/>
      <c r="J246" s="298"/>
      <c r="K246" s="298"/>
      <c r="L246" s="606"/>
      <c r="M246" s="606"/>
      <c r="N246" s="615"/>
      <c r="O246" s="615"/>
      <c r="P246" s="615"/>
      <c r="Q246" s="616"/>
    </row>
    <row r="247" spans="1:17">
      <c r="A247" s="611"/>
      <c r="B247" s="612"/>
      <c r="C247" s="48" t="s">
        <v>176</v>
      </c>
      <c r="D247" s="623">
        <v>987</v>
      </c>
      <c r="E247" s="41">
        <f>6.8946-7.0207</f>
        <v>-0.1261000000000001</v>
      </c>
      <c r="F247" s="41">
        <f>+E247</f>
        <v>-0.1261000000000001</v>
      </c>
      <c r="G247" s="50">
        <f>ROUND(D247*(E247),2)</f>
        <v>-124.46</v>
      </c>
      <c r="H247" s="298"/>
      <c r="I247" s="298"/>
      <c r="J247" s="298"/>
      <c r="K247" s="298"/>
      <c r="L247" s="614"/>
      <c r="M247" s="606"/>
      <c r="N247" s="615"/>
      <c r="O247" s="615"/>
      <c r="P247" s="615"/>
      <c r="Q247" s="616"/>
    </row>
    <row r="248" spans="1:17">
      <c r="A248" s="611"/>
      <c r="B248" s="612"/>
      <c r="C248" s="48" t="s">
        <v>177</v>
      </c>
      <c r="D248" s="623">
        <v>37</v>
      </c>
      <c r="E248" s="41">
        <v>6.8945999999999996</v>
      </c>
      <c r="F248" s="41">
        <f>+E248</f>
        <v>6.8945999999999996</v>
      </c>
      <c r="G248" s="39">
        <f>ROUND(D248*(E248),2)</f>
        <v>255.1</v>
      </c>
      <c r="H248" s="298"/>
      <c r="I248" s="298"/>
      <c r="J248" s="298"/>
      <c r="K248" s="298"/>
      <c r="L248" s="614"/>
      <c r="M248" s="273"/>
      <c r="N248" s="615"/>
      <c r="O248" s="615"/>
      <c r="P248" s="615"/>
      <c r="Q248" s="616"/>
    </row>
    <row r="249" spans="1:17" ht="15.75" thickBot="1">
      <c r="A249" s="624"/>
      <c r="B249" s="526"/>
      <c r="C249" s="99" t="s">
        <v>29</v>
      </c>
      <c r="D249" s="625">
        <v>830</v>
      </c>
      <c r="E249" s="56">
        <v>6.8945999999999996</v>
      </c>
      <c r="F249" s="281">
        <f>+E249</f>
        <v>6.8945999999999996</v>
      </c>
      <c r="G249" s="414">
        <f>ROUND(D249*(E249),2)</f>
        <v>5722.52</v>
      </c>
      <c r="H249" s="41"/>
      <c r="I249" s="41"/>
      <c r="J249" s="41"/>
      <c r="K249" s="41"/>
      <c r="L249" s="606"/>
      <c r="M249" s="606"/>
      <c r="N249" s="626"/>
      <c r="O249" s="626"/>
      <c r="P249" s="626"/>
      <c r="Q249" s="627"/>
    </row>
    <row r="250" spans="1:17" ht="15.75" thickTop="1">
      <c r="A250" s="493"/>
      <c r="B250" s="494" t="s">
        <v>108</v>
      </c>
      <c r="C250" s="71">
        <f>+[1]дек!U87</f>
        <v>0</v>
      </c>
      <c r="D250" s="495">
        <v>6</v>
      </c>
      <c r="E250" s="21">
        <v>36.214199999999998</v>
      </c>
      <c r="F250" s="21">
        <v>42.4328</v>
      </c>
      <c r="G250" s="185">
        <f>ROUND(D250*(E250+F250),2)</f>
        <v>471.88</v>
      </c>
      <c r="H250" s="496"/>
      <c r="I250" s="73">
        <v>0.85</v>
      </c>
      <c r="J250" s="73">
        <f>+H250*I250</f>
        <v>0</v>
      </c>
      <c r="K250" s="628"/>
      <c r="L250" s="629">
        <f>SUM(G250:G256)+SUM(J250:J255)</f>
        <v>3468.98</v>
      </c>
      <c r="M250" s="630">
        <v>3468.98</v>
      </c>
      <c r="N250" s="594"/>
      <c r="O250" s="631"/>
      <c r="P250" s="515" t="s">
        <v>87</v>
      </c>
      <c r="Q250" s="595">
        <f t="shared" ref="Q250:Q252" si="36">C250+G250+J250-M250-N250-O250</f>
        <v>-2997.1</v>
      </c>
    </row>
    <row r="251" spans="1:17" ht="15.75" thickBot="1">
      <c r="A251" s="505"/>
      <c r="B251" s="506"/>
      <c r="C251" s="542" t="s">
        <v>96</v>
      </c>
      <c r="D251" s="234"/>
      <c r="E251" s="38">
        <f>32.332-28.8628</f>
        <v>3.4692000000000007</v>
      </c>
      <c r="F251" s="38">
        <f>37.8898-33.8306</f>
        <v>4.0592000000000041</v>
      </c>
      <c r="G251" s="235">
        <f>ROUND(D251*(E251+F251),2)</f>
        <v>0</v>
      </c>
      <c r="H251" s="448"/>
      <c r="I251" s="509"/>
      <c r="J251" s="409"/>
      <c r="K251" s="510"/>
      <c r="L251" s="632"/>
      <c r="M251" s="512"/>
      <c r="N251" s="513"/>
      <c r="O251" s="514"/>
      <c r="P251" s="515"/>
      <c r="Q251" s="262"/>
    </row>
    <row r="252" spans="1:17">
      <c r="A252" s="505"/>
      <c r="B252" s="516" t="s">
        <v>109</v>
      </c>
      <c r="C252" s="633"/>
      <c r="D252" s="508"/>
      <c r="E252" s="101">
        <v>304.86</v>
      </c>
      <c r="F252" s="21">
        <v>42.4328</v>
      </c>
      <c r="G252" s="50">
        <f>D252*(E252+F252)</f>
        <v>0</v>
      </c>
      <c r="H252" s="270"/>
      <c r="I252" s="41">
        <v>128.56</v>
      </c>
      <c r="J252" s="409">
        <f>ROUND(H252*I252,2)</f>
        <v>0</v>
      </c>
      <c r="K252" s="510"/>
      <c r="L252" s="597"/>
      <c r="M252" s="99"/>
      <c r="N252" s="518"/>
      <c r="O252" s="519"/>
      <c r="P252" s="515" t="s">
        <v>87</v>
      </c>
      <c r="Q252" s="271">
        <f t="shared" si="36"/>
        <v>0</v>
      </c>
    </row>
    <row r="253" spans="1:17">
      <c r="A253" s="505"/>
      <c r="B253" s="541"/>
      <c r="C253" s="84" t="s">
        <v>97</v>
      </c>
      <c r="D253" s="508"/>
      <c r="E253" s="41">
        <f>304.86-291.8</f>
        <v>13.060000000000002</v>
      </c>
      <c r="F253" s="41"/>
      <c r="G253" s="50">
        <f>D253*(E253+F253)</f>
        <v>0</v>
      </c>
      <c r="H253" s="432"/>
      <c r="I253" s="362"/>
      <c r="J253" s="207"/>
      <c r="K253" s="510"/>
      <c r="L253" s="597"/>
      <c r="M253" s="520"/>
      <c r="N253" s="521"/>
      <c r="O253" s="522"/>
      <c r="P253" s="523"/>
      <c r="Q253" s="362"/>
    </row>
    <row r="254" spans="1:17">
      <c r="A254" s="505"/>
      <c r="B254" s="506"/>
      <c r="C254" s="48" t="s">
        <v>176</v>
      </c>
      <c r="D254" s="37">
        <v>399</v>
      </c>
      <c r="E254" s="41">
        <f>6.8946-7.0207</f>
        <v>-0.1261000000000001</v>
      </c>
      <c r="F254" s="41">
        <f>+E254</f>
        <v>-0.1261000000000001</v>
      </c>
      <c r="G254" s="39">
        <f>ROUND(D254*(E254),2)-0.01</f>
        <v>-50.32</v>
      </c>
      <c r="H254" s="432"/>
      <c r="I254" s="362"/>
      <c r="J254" s="207"/>
      <c r="K254" s="510"/>
      <c r="L254" s="597"/>
      <c r="M254" s="520"/>
      <c r="N254" s="521"/>
      <c r="O254" s="522"/>
      <c r="P254" s="523"/>
      <c r="Q254" s="362"/>
    </row>
    <row r="255" spans="1:17">
      <c r="A255" s="505"/>
      <c r="B255" s="506"/>
      <c r="C255" s="48" t="s">
        <v>177</v>
      </c>
      <c r="D255" s="37">
        <v>19</v>
      </c>
      <c r="E255" s="41">
        <v>6.8945999999999996</v>
      </c>
      <c r="F255" s="41">
        <f>+E255</f>
        <v>6.8945999999999996</v>
      </c>
      <c r="G255" s="39">
        <f t="shared" ref="G255:G260" si="37">ROUND(D255*(E255),2)</f>
        <v>131</v>
      </c>
      <c r="H255" s="432"/>
      <c r="I255" s="362"/>
      <c r="J255" s="207"/>
      <c r="K255" s="510"/>
      <c r="L255" s="597"/>
      <c r="M255" s="520"/>
      <c r="N255" s="521"/>
      <c r="O255" s="522"/>
      <c r="P255" s="523"/>
      <c r="Q255" s="362"/>
    </row>
    <row r="256" spans="1:17" ht="15.75" thickBot="1">
      <c r="A256" s="525"/>
      <c r="B256" s="526"/>
      <c r="C256" s="99" t="s">
        <v>29</v>
      </c>
      <c r="D256" s="55">
        <v>423</v>
      </c>
      <c r="E256" s="56">
        <v>6.8945999999999996</v>
      </c>
      <c r="F256" s="281">
        <f>+E256</f>
        <v>6.8945999999999996</v>
      </c>
      <c r="G256" s="414">
        <f t="shared" si="37"/>
        <v>2916.42</v>
      </c>
      <c r="H256" s="248"/>
      <c r="I256" s="203"/>
      <c r="J256" s="60"/>
      <c r="K256" s="61"/>
      <c r="L256" s="249"/>
      <c r="M256" s="54"/>
      <c r="N256" s="527"/>
      <c r="O256" s="528"/>
      <c r="P256" s="529" t="s">
        <v>87</v>
      </c>
      <c r="Q256" s="282">
        <f>+G256+J256-M256-N256-O256</f>
        <v>2916.42</v>
      </c>
    </row>
    <row r="257" spans="1:17">
      <c r="A257" s="493"/>
      <c r="B257" s="602" t="s">
        <v>110</v>
      </c>
      <c r="C257" s="48" t="s">
        <v>176</v>
      </c>
      <c r="D257" s="184">
        <v>311</v>
      </c>
      <c r="E257" s="41">
        <f>6.8946-7.0207</f>
        <v>-0.1261000000000001</v>
      </c>
      <c r="F257" s="23">
        <f t="shared" ref="F257:F259" si="38">+E257</f>
        <v>-0.1261000000000001</v>
      </c>
      <c r="G257" s="185">
        <f>ROUND(D257*(E257),2)</f>
        <v>-39.22</v>
      </c>
      <c r="H257" s="620"/>
      <c r="I257" s="620"/>
      <c r="J257" s="620"/>
      <c r="K257" s="634"/>
      <c r="L257" s="603">
        <f>SUM(G257:G260)</f>
        <v>2180.84</v>
      </c>
      <c r="M257" s="187">
        <v>2180.84</v>
      </c>
      <c r="N257" s="604"/>
      <c r="O257" s="635"/>
      <c r="P257" s="636"/>
      <c r="Q257" s="605"/>
    </row>
    <row r="258" spans="1:17">
      <c r="A258" s="505"/>
      <c r="B258" s="506" t="s">
        <v>169</v>
      </c>
      <c r="C258" s="48" t="s">
        <v>177</v>
      </c>
      <c r="D258" s="49">
        <v>14</v>
      </c>
      <c r="E258" s="41">
        <v>6.8945999999999996</v>
      </c>
      <c r="F258" s="41">
        <f t="shared" si="38"/>
        <v>6.8945999999999996</v>
      </c>
      <c r="G258" s="50">
        <f>ROUND(D258*(E258),2)</f>
        <v>96.52</v>
      </c>
      <c r="H258" s="296"/>
      <c r="I258" s="298"/>
      <c r="J258" s="298"/>
      <c r="K258" s="637"/>
      <c r="L258" s="606"/>
      <c r="M258" s="606"/>
      <c r="N258" s="607"/>
      <c r="O258" s="608"/>
      <c r="P258" s="609"/>
      <c r="Q258" s="610"/>
    </row>
    <row r="259" spans="1:17" ht="15.75" thickBot="1">
      <c r="A259" s="611"/>
      <c r="B259" s="506"/>
      <c r="C259" s="99" t="s">
        <v>29</v>
      </c>
      <c r="D259" s="296">
        <v>308</v>
      </c>
      <c r="E259" s="56">
        <v>6.8945999999999996</v>
      </c>
      <c r="F259" s="41">
        <f t="shared" si="38"/>
        <v>6.8945999999999996</v>
      </c>
      <c r="G259" s="50">
        <f t="shared" si="37"/>
        <v>2123.54</v>
      </c>
      <c r="H259" s="296"/>
      <c r="I259" s="298"/>
      <c r="J259" s="298"/>
      <c r="K259" s="637"/>
      <c r="L259" s="614"/>
      <c r="M259" s="606"/>
      <c r="N259" s="615"/>
      <c r="O259" s="615"/>
      <c r="P259" s="615"/>
      <c r="Q259" s="616"/>
    </row>
    <row r="260" spans="1:17" ht="15.75" thickBot="1">
      <c r="A260" s="638"/>
      <c r="B260" s="639" t="s">
        <v>111</v>
      </c>
      <c r="C260" s="640"/>
      <c r="D260" s="641"/>
      <c r="E260" s="311"/>
      <c r="F260" s="109"/>
      <c r="G260" s="642">
        <f t="shared" si="37"/>
        <v>0</v>
      </c>
      <c r="H260" s="643"/>
      <c r="I260" s="109"/>
      <c r="J260" s="109"/>
      <c r="K260" s="644"/>
      <c r="L260" s="640"/>
      <c r="M260" s="640"/>
      <c r="N260" s="2"/>
      <c r="O260" s="2"/>
      <c r="P260" s="2"/>
      <c r="Q260" s="2"/>
    </row>
    <row r="261" spans="1:17" ht="15.75" thickTop="1">
      <c r="A261" s="645"/>
      <c r="B261" s="602" t="s">
        <v>112</v>
      </c>
      <c r="C261" s="48" t="s">
        <v>170</v>
      </c>
      <c r="D261" s="184">
        <v>749</v>
      </c>
      <c r="E261" s="41">
        <f>6.8946-7.0207</f>
        <v>-0.1261000000000001</v>
      </c>
      <c r="F261" s="23">
        <f t="shared" ref="F261:F265" si="39">+E261</f>
        <v>-0.1261000000000001</v>
      </c>
      <c r="G261" s="185">
        <f>ROUND(D261*(E261),2)</f>
        <v>-94.45</v>
      </c>
      <c r="H261" s="620"/>
      <c r="I261" s="620"/>
      <c r="J261" s="620"/>
      <c r="K261" s="634"/>
      <c r="L261" s="603">
        <f>SUM(G261:G264)</f>
        <v>5055.8200000000006</v>
      </c>
      <c r="M261" s="187">
        <v>5055.82</v>
      </c>
      <c r="N261" s="604"/>
      <c r="O261" s="635"/>
      <c r="P261" s="636"/>
      <c r="Q261" s="605"/>
    </row>
    <row r="262" spans="1:17">
      <c r="A262" s="645"/>
      <c r="B262" s="506"/>
      <c r="C262" s="48" t="s">
        <v>171</v>
      </c>
      <c r="D262" s="49">
        <v>32</v>
      </c>
      <c r="E262" s="41">
        <v>6.8945999999999996</v>
      </c>
      <c r="F262" s="41">
        <f t="shared" si="39"/>
        <v>6.8945999999999996</v>
      </c>
      <c r="G262" s="50">
        <f t="shared" ref="G262:G263" si="40">ROUND(D262*(E262),2)</f>
        <v>220.63</v>
      </c>
      <c r="H262" s="296"/>
      <c r="I262" s="298"/>
      <c r="J262" s="298"/>
      <c r="K262" s="637"/>
      <c r="L262" s="606"/>
      <c r="M262" s="606"/>
      <c r="N262" s="607"/>
      <c r="O262" s="608"/>
      <c r="P262" s="609"/>
      <c r="Q262" s="610"/>
    </row>
    <row r="263" spans="1:17" ht="15.75" thickBot="1">
      <c r="A263" s="645"/>
      <c r="B263" s="506"/>
      <c r="C263" s="99" t="s">
        <v>29</v>
      </c>
      <c r="D263" s="296">
        <v>715</v>
      </c>
      <c r="E263" s="56">
        <v>6.8945999999999996</v>
      </c>
      <c r="F263" s="41">
        <f t="shared" si="39"/>
        <v>6.8945999999999996</v>
      </c>
      <c r="G263" s="50">
        <f t="shared" si="40"/>
        <v>4929.6400000000003</v>
      </c>
      <c r="H263" s="296"/>
      <c r="I263" s="298"/>
      <c r="J263" s="298"/>
      <c r="K263" s="637"/>
      <c r="L263" s="614"/>
      <c r="M263" s="606"/>
      <c r="N263" s="615"/>
      <c r="O263" s="615"/>
      <c r="P263" s="615"/>
      <c r="Q263" s="616"/>
    </row>
    <row r="264" spans="1:17" ht="15.75" thickBot="1">
      <c r="A264" s="645"/>
      <c r="B264" s="639"/>
      <c r="C264" s="646"/>
      <c r="D264" s="647"/>
      <c r="E264" s="648"/>
      <c r="F264" s="646"/>
      <c r="G264" s="648"/>
      <c r="H264" s="646"/>
      <c r="I264" s="646"/>
      <c r="J264" s="646"/>
      <c r="K264" s="646"/>
      <c r="L264" s="646"/>
      <c r="M264" s="646"/>
      <c r="N264" s="615"/>
      <c r="O264" s="615"/>
      <c r="P264" s="615"/>
      <c r="Q264" s="615"/>
    </row>
    <row r="265" spans="1:17" ht="15.75" thickTop="1">
      <c r="A265" s="645"/>
      <c r="B265" s="602" t="s">
        <v>127</v>
      </c>
      <c r="C265" s="48" t="s">
        <v>176</v>
      </c>
      <c r="D265" s="184">
        <v>561.79999999999995</v>
      </c>
      <c r="E265" s="41">
        <f>6.8946-7.0207</f>
        <v>-0.1261000000000001</v>
      </c>
      <c r="F265" s="23">
        <f t="shared" si="39"/>
        <v>-0.1261000000000001</v>
      </c>
      <c r="G265" s="185">
        <f>ROUND(D265*(E265),2)</f>
        <v>-70.84</v>
      </c>
      <c r="H265" s="620"/>
      <c r="I265" s="620"/>
      <c r="J265" s="620"/>
      <c r="K265" s="634"/>
      <c r="L265" s="603">
        <f>SUM(G265:G268)</f>
        <v>4270.6899999999996</v>
      </c>
      <c r="M265" s="187">
        <v>4270.6899999999996</v>
      </c>
      <c r="N265" s="604"/>
      <c r="O265" s="635"/>
      <c r="P265" s="636"/>
      <c r="Q265" s="605"/>
    </row>
    <row r="266" spans="1:17">
      <c r="A266" s="645"/>
      <c r="B266" s="506"/>
      <c r="C266" s="48" t="s">
        <v>177</v>
      </c>
      <c r="D266" s="49">
        <v>26.7</v>
      </c>
      <c r="E266" s="41">
        <v>6.8945999999999996</v>
      </c>
      <c r="F266" s="41">
        <f>+E266</f>
        <v>6.8945999999999996</v>
      </c>
      <c r="G266" s="50">
        <f>ROUND(D266*(E266),2)</f>
        <v>184.09</v>
      </c>
      <c r="H266" s="296"/>
      <c r="I266" s="298"/>
      <c r="J266" s="298"/>
      <c r="K266" s="637"/>
      <c r="L266" s="606"/>
      <c r="M266" s="606"/>
      <c r="N266" s="607"/>
      <c r="O266" s="608"/>
      <c r="P266" s="609"/>
      <c r="Q266" s="610"/>
    </row>
    <row r="267" spans="1:17" ht="15.75" thickBot="1">
      <c r="A267" s="645"/>
      <c r="B267" s="506"/>
      <c r="C267" s="99" t="s">
        <v>29</v>
      </c>
      <c r="D267" s="296">
        <v>603</v>
      </c>
      <c r="E267" s="56">
        <v>6.8945999999999996</v>
      </c>
      <c r="F267" s="41">
        <f t="shared" ref="F267" si="41">+E267</f>
        <v>6.8945999999999996</v>
      </c>
      <c r="G267" s="50">
        <f t="shared" ref="G267" si="42">ROUND(D267*(E267),2)</f>
        <v>4157.4399999999996</v>
      </c>
      <c r="H267" s="296"/>
      <c r="I267" s="298"/>
      <c r="J267" s="298"/>
      <c r="K267" s="637"/>
      <c r="L267" s="614"/>
      <c r="M267" s="606"/>
      <c r="N267" s="615"/>
      <c r="O267" s="615"/>
      <c r="P267" s="615"/>
      <c r="Q267" s="616"/>
    </row>
    <row r="268" spans="1:17" ht="15.75" thickBot="1">
      <c r="A268" s="645"/>
      <c r="B268" s="639"/>
      <c r="C268" s="646"/>
      <c r="D268" s="647"/>
      <c r="E268" s="648"/>
      <c r="F268" s="646"/>
      <c r="G268" s="648"/>
      <c r="H268" s="646"/>
      <c r="I268" s="646"/>
      <c r="J268" s="646"/>
      <c r="K268" s="646"/>
      <c r="L268" s="646"/>
      <c r="M268" s="646"/>
      <c r="N268" s="615"/>
      <c r="O268" s="615"/>
      <c r="P268" s="615"/>
      <c r="Q268" s="615"/>
    </row>
    <row r="269" spans="1:17" ht="15.75" thickTop="1">
      <c r="A269" s="705"/>
      <c r="B269" s="602" t="s">
        <v>128</v>
      </c>
      <c r="C269" s="48" t="s">
        <v>176</v>
      </c>
      <c r="D269" s="184"/>
      <c r="E269" s="41">
        <f>6.8946-7.0207</f>
        <v>-0.1261000000000001</v>
      </c>
      <c r="F269" s="23">
        <f t="shared" ref="F269" si="43">+E269</f>
        <v>-0.1261000000000001</v>
      </c>
      <c r="G269" s="185">
        <f>ROUND(D269*(E269),2)</f>
        <v>0</v>
      </c>
      <c r="H269" s="620"/>
      <c r="I269" s="620"/>
      <c r="J269" s="620"/>
      <c r="K269" s="634"/>
      <c r="L269" s="603"/>
      <c r="M269" s="187"/>
      <c r="N269" s="604"/>
      <c r="O269" s="635"/>
      <c r="P269" s="636"/>
      <c r="Q269" s="605"/>
    </row>
    <row r="270" spans="1:17">
      <c r="A270" s="705"/>
      <c r="B270" s="506"/>
      <c r="C270" s="48" t="s">
        <v>177</v>
      </c>
      <c r="D270" s="49"/>
      <c r="E270" s="41">
        <v>6.8945999999999996</v>
      </c>
      <c r="F270" s="41">
        <f>+E270</f>
        <v>6.8945999999999996</v>
      </c>
      <c r="G270" s="50">
        <f>ROUND(D270*(E270),2)</f>
        <v>0</v>
      </c>
      <c r="H270" s="296"/>
      <c r="I270" s="298"/>
      <c r="J270" s="298"/>
      <c r="K270" s="637"/>
      <c r="L270" s="606"/>
      <c r="M270" s="606"/>
      <c r="N270" s="607"/>
      <c r="O270" s="608"/>
      <c r="P270" s="609"/>
      <c r="Q270" s="610"/>
    </row>
    <row r="271" spans="1:17" ht="15.75" thickBot="1">
      <c r="A271" s="705"/>
      <c r="B271" s="506"/>
      <c r="C271" s="99" t="s">
        <v>29</v>
      </c>
      <c r="D271" s="296"/>
      <c r="E271" s="56">
        <v>6.8945999999999996</v>
      </c>
      <c r="F271" s="41">
        <f t="shared" ref="F271" si="44">+E271</f>
        <v>6.8945999999999996</v>
      </c>
      <c r="G271" s="50">
        <f t="shared" ref="G271" si="45">ROUND(D271*(E271),2)</f>
        <v>0</v>
      </c>
      <c r="H271" s="296"/>
      <c r="I271" s="298"/>
      <c r="J271" s="298"/>
      <c r="K271" s="637"/>
      <c r="L271" s="614"/>
      <c r="M271" s="606"/>
      <c r="N271" s="615"/>
      <c r="O271" s="615"/>
      <c r="P271" s="615"/>
      <c r="Q271" s="616"/>
    </row>
    <row r="272" spans="1:17" ht="15.75" thickBot="1">
      <c r="A272" s="705"/>
      <c r="B272" s="639"/>
      <c r="C272" s="646"/>
      <c r="D272" s="647"/>
      <c r="E272" s="648"/>
      <c r="F272" s="646"/>
      <c r="G272" s="648"/>
      <c r="H272" s="646"/>
      <c r="I272" s="646"/>
      <c r="J272" s="646"/>
      <c r="K272" s="646"/>
      <c r="L272" s="646"/>
      <c r="M272" s="646"/>
      <c r="N272" s="615"/>
      <c r="O272" s="615"/>
      <c r="P272" s="615"/>
      <c r="Q272" s="615"/>
    </row>
    <row r="273" spans="1:20" ht="15.75" thickTop="1">
      <c r="A273" s="645"/>
      <c r="B273" s="602" t="s">
        <v>163</v>
      </c>
      <c r="C273" s="48" t="s">
        <v>176</v>
      </c>
      <c r="D273" s="184">
        <v>484</v>
      </c>
      <c r="E273" s="41">
        <f>6.8946-7.0207</f>
        <v>-0.1261000000000001</v>
      </c>
      <c r="F273" s="23">
        <f t="shared" ref="F273" si="46">+E273</f>
        <v>-0.1261000000000001</v>
      </c>
      <c r="G273" s="185">
        <f>ROUND(D273*(E273),2)-0.01</f>
        <v>-61.04</v>
      </c>
      <c r="H273" s="620"/>
      <c r="I273" s="620"/>
      <c r="J273" s="620"/>
      <c r="K273" s="634"/>
      <c r="L273" s="603">
        <f>SUM(G273:G275)</f>
        <v>3234.58</v>
      </c>
      <c r="M273" s="187">
        <v>3234.58</v>
      </c>
      <c r="N273" s="604"/>
      <c r="O273" s="635"/>
      <c r="P273" s="636"/>
      <c r="Q273" s="605"/>
    </row>
    <row r="274" spans="1:20">
      <c r="A274" s="645"/>
      <c r="B274" s="506"/>
      <c r="C274" s="48" t="s">
        <v>177</v>
      </c>
      <c r="D274" s="49">
        <v>20</v>
      </c>
      <c r="E274" s="41">
        <v>6.8945999999999996</v>
      </c>
      <c r="F274" s="41">
        <f>+E274</f>
        <v>6.8945999999999996</v>
      </c>
      <c r="G274" s="50">
        <f>ROUND(D274*(E274),2)</f>
        <v>137.88999999999999</v>
      </c>
      <c r="H274" s="296"/>
      <c r="I274" s="298"/>
      <c r="J274" s="298"/>
      <c r="K274" s="637"/>
      <c r="L274" s="606"/>
      <c r="M274" s="606"/>
      <c r="N274" s="607"/>
      <c r="O274" s="608"/>
      <c r="P274" s="609"/>
      <c r="Q274" s="610"/>
    </row>
    <row r="275" spans="1:20" ht="15.75" thickBot="1">
      <c r="A275" s="645"/>
      <c r="B275" s="506"/>
      <c r="C275" s="99" t="s">
        <v>29</v>
      </c>
      <c r="D275" s="296">
        <v>458</v>
      </c>
      <c r="E275" s="56">
        <v>6.8945999999999996</v>
      </c>
      <c r="F275" s="41">
        <f t="shared" ref="F275:F276" si="47">+E275</f>
        <v>6.8945999999999996</v>
      </c>
      <c r="G275" s="50">
        <f t="shared" ref="G275" si="48">ROUND(D275*(E275),2)</f>
        <v>3157.73</v>
      </c>
      <c r="H275" s="296"/>
      <c r="I275" s="298"/>
      <c r="J275" s="298"/>
      <c r="K275" s="637"/>
      <c r="L275" s="614"/>
      <c r="M275" s="606"/>
      <c r="N275" s="615"/>
      <c r="O275" s="615"/>
      <c r="P275" s="615"/>
      <c r="Q275" s="616"/>
    </row>
    <row r="276" spans="1:20">
      <c r="A276" s="645"/>
      <c r="B276" s="602" t="s">
        <v>183</v>
      </c>
      <c r="C276" s="48" t="s">
        <v>176</v>
      </c>
      <c r="D276" s="184">
        <v>0</v>
      </c>
      <c r="E276" s="41">
        <f>6.8946-7.0207</f>
        <v>-0.1261000000000001</v>
      </c>
      <c r="F276" s="23">
        <f t="shared" si="47"/>
        <v>-0.1261000000000001</v>
      </c>
      <c r="G276" s="185">
        <f>ROUND(D276*(E276),2)+0.01</f>
        <v>0.01</v>
      </c>
      <c r="H276" s="620"/>
      <c r="I276" s="620"/>
      <c r="J276" s="620"/>
      <c r="K276" s="634"/>
      <c r="L276" s="603">
        <f>SUM(G276:G278)</f>
        <v>2661.32</v>
      </c>
      <c r="M276" s="187">
        <v>2661.32</v>
      </c>
      <c r="N276" s="604"/>
      <c r="O276" s="635"/>
      <c r="P276" s="636"/>
      <c r="Q276" s="605"/>
    </row>
    <row r="277" spans="1:20">
      <c r="A277" s="645"/>
      <c r="B277" s="506"/>
      <c r="C277" s="48" t="s">
        <v>177</v>
      </c>
      <c r="D277" s="49">
        <v>16</v>
      </c>
      <c r="E277" s="41">
        <v>6.8945999999999996</v>
      </c>
      <c r="F277" s="41">
        <f>+E277</f>
        <v>6.8945999999999996</v>
      </c>
      <c r="G277" s="50">
        <f>ROUND(D277*(E277),2)</f>
        <v>110.31</v>
      </c>
      <c r="H277" s="296"/>
      <c r="I277" s="298"/>
      <c r="J277" s="298"/>
      <c r="K277" s="637"/>
      <c r="L277" s="606"/>
      <c r="M277" s="606"/>
      <c r="N277" s="607"/>
      <c r="O277" s="608"/>
      <c r="P277" s="609"/>
      <c r="Q277" s="610"/>
    </row>
    <row r="278" spans="1:20" ht="15.75" thickBot="1">
      <c r="A278" s="645"/>
      <c r="B278" s="506"/>
      <c r="C278" s="99" t="s">
        <v>29</v>
      </c>
      <c r="D278" s="296">
        <v>370</v>
      </c>
      <c r="E278" s="56">
        <v>6.8945999999999996</v>
      </c>
      <c r="F278" s="41">
        <f t="shared" ref="F278:F279" si="49">+E278</f>
        <v>6.8945999999999996</v>
      </c>
      <c r="G278" s="50">
        <f t="shared" ref="G278" si="50">ROUND(D278*(E278),2)</f>
        <v>2551</v>
      </c>
      <c r="H278" s="296"/>
      <c r="I278" s="298"/>
      <c r="J278" s="298"/>
      <c r="K278" s="637"/>
      <c r="L278" s="614"/>
      <c r="M278" s="606"/>
      <c r="N278" s="615"/>
      <c r="O278" s="615"/>
      <c r="P278" s="615"/>
      <c r="Q278" s="616"/>
    </row>
    <row r="279" spans="1:20">
      <c r="A279" s="645"/>
      <c r="B279" s="602" t="s">
        <v>184</v>
      </c>
      <c r="C279" s="48" t="s">
        <v>176</v>
      </c>
      <c r="D279" s="184">
        <v>0</v>
      </c>
      <c r="E279" s="41">
        <f>6.8946-7.0207</f>
        <v>-0.1261000000000001</v>
      </c>
      <c r="F279" s="23">
        <f t="shared" si="49"/>
        <v>-0.1261000000000001</v>
      </c>
      <c r="G279" s="185">
        <f>ROUND(D279*(E279),2)</f>
        <v>0</v>
      </c>
      <c r="H279" s="620"/>
      <c r="I279" s="620"/>
      <c r="J279" s="620"/>
      <c r="K279" s="634"/>
      <c r="L279" s="603">
        <f>SUM(G279:G281)</f>
        <v>7.17</v>
      </c>
      <c r="M279" s="187"/>
      <c r="N279" s="615"/>
      <c r="O279" s="615" t="s">
        <v>185</v>
      </c>
      <c r="P279" s="615"/>
      <c r="Q279" s="615"/>
    </row>
    <row r="280" spans="1:20">
      <c r="A280" s="645"/>
      <c r="B280" s="506"/>
      <c r="C280" s="48" t="s">
        <v>177</v>
      </c>
      <c r="D280" s="49">
        <v>0.04</v>
      </c>
      <c r="E280" s="41">
        <v>6.8945999999999996</v>
      </c>
      <c r="F280" s="41">
        <f>+E280</f>
        <v>6.8945999999999996</v>
      </c>
      <c r="G280" s="50">
        <f>ROUND(D280*(E280),2)</f>
        <v>0.28000000000000003</v>
      </c>
      <c r="H280" s="296"/>
      <c r="I280" s="298"/>
      <c r="J280" s="298"/>
      <c r="K280" s="637"/>
      <c r="L280" s="606"/>
      <c r="M280" s="606"/>
      <c r="N280" s="615"/>
      <c r="O280" s="615"/>
      <c r="P280" s="615"/>
      <c r="Q280" s="615"/>
    </row>
    <row r="281" spans="1:20" ht="15.75" thickBot="1">
      <c r="A281" s="645"/>
      <c r="B281" s="506"/>
      <c r="C281" s="99" t="s">
        <v>29</v>
      </c>
      <c r="D281" s="296">
        <v>1</v>
      </c>
      <c r="E281" s="56">
        <v>6.8945999999999996</v>
      </c>
      <c r="F281" s="41">
        <f t="shared" ref="F281:F282" si="51">+E281</f>
        <v>6.8945999999999996</v>
      </c>
      <c r="G281" s="50">
        <f t="shared" ref="G281" si="52">ROUND(D281*(E281),2)</f>
        <v>6.89</v>
      </c>
      <c r="H281" s="296"/>
      <c r="I281" s="298"/>
      <c r="J281" s="298"/>
      <c r="K281" s="637"/>
      <c r="L281" s="614"/>
      <c r="M281" s="606"/>
      <c r="N281" s="615"/>
      <c r="O281" s="615"/>
      <c r="P281" s="615"/>
      <c r="Q281" s="615"/>
    </row>
    <row r="282" spans="1:20">
      <c r="A282" s="645"/>
      <c r="B282" s="602" t="s">
        <v>186</v>
      </c>
      <c r="C282" s="48" t="s">
        <v>176</v>
      </c>
      <c r="D282" s="184">
        <v>0</v>
      </c>
      <c r="E282" s="41">
        <f>6.8946-7.0207</f>
        <v>-0.1261000000000001</v>
      </c>
      <c r="F282" s="23">
        <f t="shared" si="51"/>
        <v>-0.1261000000000001</v>
      </c>
      <c r="G282" s="185">
        <f>ROUND(D282*(E282),2)</f>
        <v>0</v>
      </c>
      <c r="H282" s="620"/>
      <c r="I282" s="620"/>
      <c r="J282" s="620"/>
      <c r="K282" s="634"/>
      <c r="L282" s="603">
        <f>SUM(G282:G284)</f>
        <v>1337.5500000000002</v>
      </c>
      <c r="M282" s="187">
        <v>1337.55</v>
      </c>
      <c r="N282" s="615"/>
      <c r="O282" s="615"/>
      <c r="P282" s="615"/>
      <c r="Q282" s="615"/>
    </row>
    <row r="283" spans="1:20">
      <c r="A283" s="645"/>
      <c r="B283" s="506"/>
      <c r="C283" s="48" t="s">
        <v>177</v>
      </c>
      <c r="D283" s="49">
        <v>8</v>
      </c>
      <c r="E283" s="41">
        <v>6.8945999999999996</v>
      </c>
      <c r="F283" s="41">
        <f>+E283</f>
        <v>6.8945999999999996</v>
      </c>
      <c r="G283" s="50">
        <f>ROUND(D283*(E283),2)-0.01</f>
        <v>55.15</v>
      </c>
      <c r="H283" s="296"/>
      <c r="I283" s="298"/>
      <c r="J283" s="298"/>
      <c r="K283" s="637"/>
      <c r="L283" s="606"/>
      <c r="M283" s="606"/>
      <c r="N283" s="615"/>
      <c r="O283" s="615"/>
      <c r="P283" s="615"/>
      <c r="Q283" s="615"/>
    </row>
    <row r="284" spans="1:20" ht="15.75" thickBot="1">
      <c r="A284" s="645"/>
      <c r="B284" s="506"/>
      <c r="C284" s="99" t="s">
        <v>29</v>
      </c>
      <c r="D284" s="296">
        <v>186</v>
      </c>
      <c r="E284" s="56">
        <v>6.8945999999999996</v>
      </c>
      <c r="F284" s="41">
        <f t="shared" ref="F284" si="53">+E284</f>
        <v>6.8945999999999996</v>
      </c>
      <c r="G284" s="50">
        <f t="shared" ref="G284" si="54">ROUND(D284*(E284),2)</f>
        <v>1282.4000000000001</v>
      </c>
      <c r="H284" s="296"/>
      <c r="I284" s="298"/>
      <c r="J284" s="298"/>
      <c r="K284" s="637"/>
      <c r="L284" s="614"/>
      <c r="M284" s="606"/>
      <c r="N284" s="615"/>
      <c r="O284" s="615"/>
      <c r="P284" s="615"/>
      <c r="Q284" s="615"/>
    </row>
    <row r="285" spans="1:20">
      <c r="A285" s="705"/>
      <c r="B285" s="615"/>
      <c r="C285" s="615"/>
      <c r="D285" s="696"/>
      <c r="E285" s="473"/>
      <c r="F285" s="615"/>
      <c r="G285" s="473"/>
      <c r="H285" s="615"/>
      <c r="I285" s="615"/>
      <c r="J285" s="615"/>
      <c r="K285" s="615"/>
      <c r="L285" s="615"/>
      <c r="M285" s="615"/>
      <c r="N285" s="615"/>
      <c r="O285" s="615"/>
      <c r="P285" s="615"/>
      <c r="Q285" s="615"/>
    </row>
    <row r="286" spans="1:20" ht="15.75" thickBot="1">
      <c r="A286" s="705"/>
      <c r="B286" s="615"/>
      <c r="C286" s="615"/>
      <c r="D286" s="696"/>
      <c r="E286" s="473"/>
      <c r="F286" s="615"/>
      <c r="G286" s="473"/>
      <c r="H286" s="615"/>
      <c r="I286" s="615"/>
      <c r="J286" s="615"/>
      <c r="K286" s="615"/>
      <c r="L286" s="615"/>
      <c r="M286" s="615"/>
      <c r="N286" s="615"/>
      <c r="O286" s="615"/>
      <c r="P286" s="615"/>
      <c r="Q286" s="615"/>
    </row>
    <row r="287" spans="1:20" s="81" customFormat="1" ht="15" customHeight="1" thickTop="1">
      <c r="A287" s="476"/>
      <c r="B287" s="158"/>
      <c r="C287" s="322"/>
      <c r="D287" s="477"/>
      <c r="E287" s="163"/>
      <c r="F287" s="163"/>
      <c r="G287" s="478"/>
      <c r="H287" s="163"/>
      <c r="I287" s="163"/>
      <c r="J287" s="163"/>
      <c r="K287" s="163"/>
      <c r="L287" s="163"/>
      <c r="M287" s="164"/>
      <c r="N287" s="479"/>
      <c r="O287" s="479"/>
      <c r="P287" s="479"/>
      <c r="Q287" s="479"/>
      <c r="R287" s="422"/>
      <c r="S287"/>
      <c r="T287" s="399"/>
    </row>
    <row r="288" spans="1:20" ht="21.75" thickBot="1">
      <c r="A288" s="171" t="s">
        <v>113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  <c r="N288" s="2"/>
      <c r="O288" s="2"/>
      <c r="P288" s="2"/>
      <c r="Q288" s="2"/>
    </row>
    <row r="289" spans="1:20" ht="15.75" customHeight="1" thickTop="1" thickBot="1">
      <c r="A289" s="1555" t="s">
        <v>1</v>
      </c>
      <c r="B289" s="1543" t="s">
        <v>2</v>
      </c>
      <c r="C289" s="1545" t="s">
        <v>3</v>
      </c>
      <c r="D289" s="1546" t="s">
        <v>4</v>
      </c>
      <c r="E289" s="1546"/>
      <c r="F289" s="1546"/>
      <c r="G289" s="1546"/>
      <c r="H289" s="1547"/>
      <c r="I289" s="1548"/>
      <c r="J289" s="1548"/>
      <c r="K289" s="1549"/>
      <c r="L289" s="1524" t="s">
        <v>6</v>
      </c>
      <c r="M289" s="1511" t="s">
        <v>7</v>
      </c>
      <c r="N289" s="1551" t="s">
        <v>8</v>
      </c>
      <c r="O289" s="1551"/>
      <c r="P289" s="1551"/>
      <c r="Q289" s="1552"/>
      <c r="R289" s="481"/>
      <c r="S289" s="482" t="s">
        <v>20</v>
      </c>
      <c r="T289" s="482" t="s">
        <v>21</v>
      </c>
    </row>
    <row r="290" spans="1:20" ht="26.25" thickBot="1">
      <c r="A290" s="1556"/>
      <c r="B290" s="1557"/>
      <c r="C290" s="1558" t="s">
        <v>10</v>
      </c>
      <c r="D290" s="483" t="s">
        <v>11</v>
      </c>
      <c r="E290" s="649" t="s">
        <v>12</v>
      </c>
      <c r="F290" s="649" t="s">
        <v>13</v>
      </c>
      <c r="G290" s="650" t="s">
        <v>14</v>
      </c>
      <c r="H290" s="651" t="s">
        <v>11</v>
      </c>
      <c r="I290" s="652" t="s">
        <v>15</v>
      </c>
      <c r="J290" s="653"/>
      <c r="K290" s="654" t="s">
        <v>16</v>
      </c>
      <c r="L290" s="1525"/>
      <c r="M290" s="1554"/>
      <c r="N290" s="655"/>
      <c r="O290" s="653"/>
      <c r="P290" s="656" t="s">
        <v>18</v>
      </c>
      <c r="Q290" s="657" t="s">
        <v>19</v>
      </c>
      <c r="R290" s="491"/>
      <c r="S290" s="492"/>
      <c r="T290" s="492"/>
    </row>
    <row r="291" spans="1:20" ht="15.75">
      <c r="A291" s="658"/>
      <c r="B291" s="659" t="s">
        <v>55</v>
      </c>
      <c r="C291" s="48" t="s">
        <v>176</v>
      </c>
      <c r="D291" s="259">
        <v>2141.8000000000002</v>
      </c>
      <c r="E291" s="41">
        <f>6.8946-7.0207</f>
        <v>-0.1261000000000001</v>
      </c>
      <c r="F291" s="620">
        <f t="shared" ref="F291:F292" si="55">+E291</f>
        <v>-0.1261000000000001</v>
      </c>
      <c r="G291" s="214">
        <f>ROUND(D291*E291,2)+0.01</f>
        <v>-270.07</v>
      </c>
      <c r="H291" s="303"/>
      <c r="I291" s="23"/>
      <c r="J291" s="23"/>
      <c r="K291" s="23"/>
      <c r="L291" s="603">
        <f>SUM(G291:G293)</f>
        <v>16359.699999999999</v>
      </c>
      <c r="M291" s="187">
        <v>16359.7</v>
      </c>
      <c r="N291" s="660"/>
      <c r="O291" s="217"/>
      <c r="P291" s="661"/>
      <c r="Q291" s="219"/>
    </row>
    <row r="292" spans="1:20" ht="15.75">
      <c r="A292" s="662"/>
      <c r="B292" s="35"/>
      <c r="C292" s="48" t="s">
        <v>177</v>
      </c>
      <c r="D292" s="269">
        <v>80.709999999999994</v>
      </c>
      <c r="E292" s="41">
        <v>6.8945999999999996</v>
      </c>
      <c r="F292" s="298">
        <f t="shared" si="55"/>
        <v>6.8945999999999996</v>
      </c>
      <c r="G292" s="235">
        <f>ROUND(D292*E292,2)</f>
        <v>556.46</v>
      </c>
      <c r="H292" s="270"/>
      <c r="I292" s="41"/>
      <c r="J292" s="41"/>
      <c r="K292" s="41"/>
      <c r="L292" s="606"/>
      <c r="M292" s="606"/>
      <c r="N292" s="663"/>
      <c r="O292" s="237"/>
      <c r="P292" s="275"/>
      <c r="Q292" s="238"/>
    </row>
    <row r="293" spans="1:20" ht="15.75" thickBot="1">
      <c r="A293" s="664"/>
      <c r="B293" s="665"/>
      <c r="C293" s="99" t="s">
        <v>29</v>
      </c>
      <c r="D293" s="613">
        <v>2331.29</v>
      </c>
      <c r="E293" s="56">
        <v>6.8945999999999996</v>
      </c>
      <c r="F293" s="57"/>
      <c r="G293" s="247">
        <f>ROUND(D293*E293,2)</f>
        <v>16073.31</v>
      </c>
      <c r="H293" s="613"/>
      <c r="I293" s="57"/>
      <c r="J293" s="57"/>
      <c r="K293" s="57"/>
      <c r="L293" s="614"/>
      <c r="M293" s="606"/>
      <c r="N293" s="57"/>
      <c r="O293" s="57"/>
      <c r="P293" s="57"/>
      <c r="Q293" s="666"/>
    </row>
    <row r="294" spans="1:20">
      <c r="A294" s="667"/>
      <c r="B294" s="659" t="s">
        <v>116</v>
      </c>
      <c r="C294" s="668" t="s">
        <v>73</v>
      </c>
      <c r="D294" s="669">
        <v>8</v>
      </c>
      <c r="E294" s="21">
        <v>36.214199999999998</v>
      </c>
      <c r="F294" s="21">
        <v>42.4328</v>
      </c>
      <c r="G294" s="214">
        <f>+D294*(E294+F294)</f>
        <v>629.17599999999993</v>
      </c>
      <c r="H294" s="687"/>
      <c r="I294" s="688">
        <v>35.612400000000001</v>
      </c>
      <c r="J294" s="670">
        <f>ROUND(H294*I294,2)</f>
        <v>0</v>
      </c>
      <c r="K294" s="689"/>
      <c r="L294" s="603">
        <f>SUM(G294:G300)+SUM(J294:J298)</f>
        <v>14437.425999999999</v>
      </c>
      <c r="M294" s="187">
        <v>14437.43</v>
      </c>
      <c r="N294" s="670"/>
      <c r="O294" s="670"/>
      <c r="P294" s="670"/>
      <c r="Q294" s="670"/>
    </row>
    <row r="295" spans="1:20">
      <c r="A295" s="671"/>
      <c r="B295" s="672"/>
      <c r="C295" s="48"/>
      <c r="D295" s="673"/>
      <c r="E295" s="41"/>
      <c r="F295" s="298"/>
      <c r="G295" s="235">
        <f>+D295*E295</f>
        <v>0</v>
      </c>
      <c r="H295" s="687"/>
      <c r="I295" s="688">
        <v>147.77000000000001</v>
      </c>
      <c r="J295" s="670">
        <f>ROUND(H295*I295,2)</f>
        <v>0</v>
      </c>
      <c r="K295" s="689"/>
      <c r="L295" s="606"/>
      <c r="M295" s="606"/>
      <c r="N295" s="298"/>
      <c r="O295" s="298"/>
      <c r="P295" s="298"/>
      <c r="Q295" s="298"/>
    </row>
    <row r="296" spans="1:20">
      <c r="A296" s="671"/>
      <c r="B296" s="442"/>
      <c r="C296" s="48"/>
      <c r="D296" s="673"/>
      <c r="E296" s="41"/>
      <c r="F296" s="298"/>
      <c r="G296" s="235">
        <f>ROUND(D296*E296,2)</f>
        <v>0</v>
      </c>
      <c r="H296" s="687"/>
      <c r="I296" s="688">
        <v>16.350000000000001</v>
      </c>
      <c r="J296" s="670">
        <f>ROUND(H296*I296,2)</f>
        <v>0</v>
      </c>
      <c r="K296" s="689">
        <v>42917</v>
      </c>
      <c r="L296" s="614">
        <f>SUM(G296:G297)</f>
        <v>0</v>
      </c>
      <c r="M296" s="606"/>
      <c r="N296" s="298"/>
      <c r="O296" s="298"/>
      <c r="P296" s="298"/>
      <c r="Q296" s="298"/>
    </row>
    <row r="297" spans="1:20">
      <c r="A297" s="671"/>
      <c r="B297" s="35"/>
      <c r="C297" s="606"/>
      <c r="D297" s="673"/>
      <c r="E297" s="41"/>
      <c r="F297" s="298"/>
      <c r="G297" s="235">
        <f>ROUND(D297*E297,2)</f>
        <v>0</v>
      </c>
      <c r="H297" s="270"/>
      <c r="I297" s="41">
        <v>16.968399999999999</v>
      </c>
      <c r="J297" s="670">
        <f>ROUND(H297*I297,2)</f>
        <v>0</v>
      </c>
      <c r="K297" s="689">
        <v>42917</v>
      </c>
      <c r="L297" s="614"/>
      <c r="M297" s="273"/>
      <c r="N297" s="298"/>
      <c r="O297" s="298"/>
      <c r="P297" s="298"/>
      <c r="Q297" s="298"/>
    </row>
    <row r="298" spans="1:20" ht="15.75">
      <c r="A298" s="674"/>
      <c r="B298" s="672"/>
      <c r="C298" s="48" t="s">
        <v>176</v>
      </c>
      <c r="D298" s="269">
        <v>1680.6</v>
      </c>
      <c r="E298" s="41">
        <f>6.8946-7.0207</f>
        <v>-0.1261000000000001</v>
      </c>
      <c r="F298" s="298">
        <f t="shared" ref="F298:F299" si="56">+E298</f>
        <v>-0.1261000000000001</v>
      </c>
      <c r="G298" s="235">
        <f>ROUND(D298*E298,2)</f>
        <v>-211.92</v>
      </c>
      <c r="H298" s="270"/>
      <c r="I298" s="41">
        <v>16.97</v>
      </c>
      <c r="J298" s="670">
        <f>ROUND(H298*I298,2)</f>
        <v>0</v>
      </c>
      <c r="K298" s="850">
        <v>42948</v>
      </c>
      <c r="L298" s="606"/>
      <c r="M298" s="606"/>
      <c r="N298" s="663"/>
      <c r="O298" s="237"/>
      <c r="P298" s="275"/>
      <c r="Q298" s="237"/>
    </row>
    <row r="299" spans="1:20" ht="15.75">
      <c r="A299" s="674"/>
      <c r="B299" s="35"/>
      <c r="C299" s="48" t="s">
        <v>177</v>
      </c>
      <c r="D299" s="269">
        <v>68</v>
      </c>
      <c r="E299" s="41">
        <v>6.8945999999999996</v>
      </c>
      <c r="F299" s="298">
        <f t="shared" si="56"/>
        <v>6.8945999999999996</v>
      </c>
      <c r="G299" s="235">
        <f>ROUND(D299*E299,2)</f>
        <v>468.83</v>
      </c>
      <c r="H299" s="270"/>
      <c r="I299" s="41"/>
      <c r="J299" s="41"/>
      <c r="K299" s="41"/>
      <c r="L299" s="614"/>
      <c r="M299" s="606"/>
      <c r="N299" s="663"/>
      <c r="O299" s="237"/>
      <c r="P299" s="275"/>
      <c r="Q299" s="237"/>
    </row>
    <row r="300" spans="1:20" ht="15.75" thickBot="1">
      <c r="A300" s="675"/>
      <c r="B300" s="676"/>
      <c r="C300" s="107" t="s">
        <v>29</v>
      </c>
      <c r="D300" s="643">
        <v>1965.5</v>
      </c>
      <c r="E300" s="56">
        <v>6.8945999999999996</v>
      </c>
      <c r="F300" s="109"/>
      <c r="G300" s="309">
        <f t="shared" ref="G300:G310" si="57">ROUND(D300*E300,2)</f>
        <v>13551.34</v>
      </c>
      <c r="H300" s="643"/>
      <c r="I300" s="109"/>
      <c r="J300" s="109"/>
      <c r="K300" s="109"/>
      <c r="L300" s="677"/>
      <c r="M300" s="314"/>
      <c r="N300" s="109"/>
      <c r="O300" s="109"/>
      <c r="P300" s="109"/>
      <c r="Q300" s="109"/>
      <c r="R300" s="2"/>
    </row>
    <row r="301" spans="1:20" ht="16.5" thickTop="1">
      <c r="A301" s="658"/>
      <c r="B301" s="659" t="s">
        <v>117</v>
      </c>
      <c r="C301" s="48" t="s">
        <v>176</v>
      </c>
      <c r="D301" s="259">
        <v>399.4</v>
      </c>
      <c r="E301" s="41">
        <f>6.8946-7.0207</f>
        <v>-0.1261000000000001</v>
      </c>
      <c r="F301" s="691">
        <f>+E301</f>
        <v>-0.1261000000000001</v>
      </c>
      <c r="G301" s="214">
        <f>ROUND(D301*E301,2)</f>
        <v>-50.36</v>
      </c>
      <c r="H301" s="303"/>
      <c r="I301" s="23"/>
      <c r="J301" s="23"/>
      <c r="K301" s="23"/>
      <c r="L301" s="603">
        <f>SUM(G301:G303)</f>
        <v>3128.05</v>
      </c>
      <c r="M301" s="187">
        <v>3128.05</v>
      </c>
      <c r="N301" s="660"/>
      <c r="O301" s="217"/>
      <c r="P301" s="661"/>
      <c r="Q301" s="219"/>
      <c r="R301" s="324"/>
    </row>
    <row r="302" spans="1:20" ht="15.75">
      <c r="A302" s="662"/>
      <c r="B302" s="35"/>
      <c r="C302" s="48" t="s">
        <v>177</v>
      </c>
      <c r="D302" s="773">
        <v>15.4</v>
      </c>
      <c r="E302" s="41">
        <v>6.8945999999999996</v>
      </c>
      <c r="F302" s="774">
        <f t="shared" ref="F302" si="58">+E302</f>
        <v>6.8945999999999996</v>
      </c>
      <c r="G302" s="775">
        <f t="shared" si="57"/>
        <v>106.18</v>
      </c>
      <c r="H302" s="432"/>
      <c r="I302" s="207"/>
      <c r="J302" s="207"/>
      <c r="K302" s="207"/>
      <c r="L302" s="776"/>
      <c r="M302" s="776"/>
      <c r="N302" s="777"/>
      <c r="O302" s="778"/>
      <c r="P302" s="779"/>
      <c r="Q302" s="780"/>
    </row>
    <row r="303" spans="1:20" ht="15.75" thickBot="1">
      <c r="A303" s="781"/>
      <c r="B303" s="782"/>
      <c r="C303" s="54" t="s">
        <v>29</v>
      </c>
      <c r="D303" s="613">
        <v>445.6</v>
      </c>
      <c r="E303" s="56">
        <v>6.8945999999999996</v>
      </c>
      <c r="F303" s="57"/>
      <c r="G303" s="247">
        <f t="shared" si="57"/>
        <v>3072.23</v>
      </c>
      <c r="H303" s="613"/>
      <c r="I303" s="57"/>
      <c r="J303" s="57"/>
      <c r="K303" s="57"/>
      <c r="L303" s="783"/>
      <c r="M303" s="784"/>
      <c r="N303" s="57"/>
      <c r="O303" s="57"/>
      <c r="P303" s="57"/>
      <c r="Q303" s="666"/>
    </row>
    <row r="304" spans="1:20" ht="15.75">
      <c r="A304" s="662"/>
      <c r="B304" s="785" t="s">
        <v>142</v>
      </c>
      <c r="C304" s="786" t="s">
        <v>73</v>
      </c>
      <c r="D304" s="787">
        <v>3</v>
      </c>
      <c r="E304" s="21">
        <v>36.214199999999998</v>
      </c>
      <c r="F304" s="21">
        <v>42.4328</v>
      </c>
      <c r="G304" s="214">
        <f>+D304*(E304+F304)</f>
        <v>235.94099999999997</v>
      </c>
      <c r="H304" s="687"/>
      <c r="I304" s="688">
        <v>16.354800000000001</v>
      </c>
      <c r="J304" s="670">
        <f>ROUND(H304*I304,2)</f>
        <v>0</v>
      </c>
      <c r="K304" s="689">
        <v>42917</v>
      </c>
      <c r="L304" s="603">
        <f>SUM(G304:G307,J304:J307)</f>
        <v>18988.920999999998</v>
      </c>
      <c r="M304" s="187">
        <v>18988.919999999998</v>
      </c>
      <c r="N304" s="788"/>
      <c r="O304" s="789"/>
      <c r="P304" s="790"/>
      <c r="Q304" s="791"/>
    </row>
    <row r="305" spans="1:17" ht="15.75">
      <c r="A305" s="792"/>
      <c r="B305" s="793"/>
      <c r="C305" s="48" t="s">
        <v>176</v>
      </c>
      <c r="D305" s="269">
        <v>2550.5</v>
      </c>
      <c r="E305" s="41">
        <f>6.8946-7.0207</f>
        <v>-0.1261000000000001</v>
      </c>
      <c r="F305" s="297">
        <f>+E305</f>
        <v>-0.1261000000000001</v>
      </c>
      <c r="G305" s="235">
        <f t="shared" si="57"/>
        <v>-321.62</v>
      </c>
      <c r="H305" s="270"/>
      <c r="I305" s="41">
        <v>16.968399999999999</v>
      </c>
      <c r="J305" s="670">
        <f>ROUND(H305*I305,2)</f>
        <v>0</v>
      </c>
      <c r="K305" s="689">
        <v>42917</v>
      </c>
      <c r="L305" s="614"/>
      <c r="M305" s="273"/>
      <c r="N305" s="663"/>
      <c r="O305" s="237"/>
      <c r="P305" s="275"/>
      <c r="Q305" s="238"/>
    </row>
    <row r="306" spans="1:17" ht="15.75">
      <c r="A306" s="794"/>
      <c r="B306" s="767"/>
      <c r="C306" s="48" t="s">
        <v>177</v>
      </c>
      <c r="D306" s="269">
        <v>92.52</v>
      </c>
      <c r="E306" s="41">
        <v>6.8945999999999996</v>
      </c>
      <c r="F306" s="298">
        <f t="shared" ref="F306" si="59">+E306</f>
        <v>6.8945999999999996</v>
      </c>
      <c r="G306" s="235">
        <f t="shared" si="57"/>
        <v>637.89</v>
      </c>
      <c r="H306" s="270"/>
      <c r="I306" s="41">
        <v>16.97</v>
      </c>
      <c r="J306" s="670">
        <f>ROUND(H306*I306,2)</f>
        <v>0</v>
      </c>
      <c r="K306" s="850">
        <v>42948</v>
      </c>
      <c r="L306" s="606"/>
      <c r="M306" s="606"/>
      <c r="N306" s="663"/>
      <c r="O306" s="237"/>
      <c r="P306" s="275"/>
      <c r="Q306" s="238"/>
    </row>
    <row r="307" spans="1:17" ht="15.75" thickBot="1">
      <c r="A307" s="664"/>
      <c r="B307" s="665"/>
      <c r="C307" s="512" t="s">
        <v>29</v>
      </c>
      <c r="D307" s="795">
        <v>2674.08</v>
      </c>
      <c r="E307" s="56">
        <v>6.8945999999999996</v>
      </c>
      <c r="F307" s="797"/>
      <c r="G307" s="798">
        <f t="shared" si="57"/>
        <v>18436.71</v>
      </c>
      <c r="H307" s="795"/>
      <c r="I307" s="797"/>
      <c r="J307" s="797"/>
      <c r="K307" s="797"/>
      <c r="L307" s="799"/>
      <c r="M307" s="292"/>
      <c r="N307" s="797"/>
      <c r="O307" s="797"/>
      <c r="P307" s="797"/>
      <c r="Q307" s="800"/>
    </row>
    <row r="308" spans="1:17" ht="15.75">
      <c r="A308" s="658"/>
      <c r="B308" s="659" t="s">
        <v>148</v>
      </c>
      <c r="C308" s="48" t="s">
        <v>176</v>
      </c>
      <c r="D308" s="259">
        <v>217.8</v>
      </c>
      <c r="E308" s="41">
        <f>6.8946-7.0207</f>
        <v>-0.1261000000000001</v>
      </c>
      <c r="F308" s="691">
        <f>+E308</f>
        <v>-0.1261000000000001</v>
      </c>
      <c r="G308" s="214">
        <f>ROUND(D308*E308,2)-0.01</f>
        <v>-27.470000000000002</v>
      </c>
      <c r="H308" s="303"/>
      <c r="I308" s="23"/>
      <c r="J308" s="23"/>
      <c r="K308" s="23"/>
      <c r="L308" s="603">
        <f>SUM(G308:G310)</f>
        <v>1696.18</v>
      </c>
      <c r="M308" s="187">
        <v>1696.18</v>
      </c>
      <c r="N308" s="660"/>
      <c r="O308" s="217"/>
      <c r="P308" s="661"/>
      <c r="Q308" s="219"/>
    </row>
    <row r="309" spans="1:17" ht="15.75">
      <c r="A309" s="662"/>
      <c r="B309" s="35"/>
      <c r="C309" s="48" t="s">
        <v>177</v>
      </c>
      <c r="D309" s="269">
        <v>8.4</v>
      </c>
      <c r="E309" s="41">
        <v>6.8945999999999996</v>
      </c>
      <c r="F309" s="298">
        <f t="shared" ref="F309" si="60">+E309</f>
        <v>6.8945999999999996</v>
      </c>
      <c r="G309" s="235">
        <f t="shared" si="57"/>
        <v>57.91</v>
      </c>
      <c r="H309" s="270"/>
      <c r="I309" s="41"/>
      <c r="J309" s="41"/>
      <c r="K309" s="41"/>
      <c r="L309" s="606"/>
      <c r="M309" s="606"/>
      <c r="N309" s="663"/>
      <c r="O309" s="237"/>
      <c r="P309" s="275"/>
      <c r="Q309" s="238"/>
    </row>
    <row r="310" spans="1:17" ht="15.75" thickBot="1">
      <c r="A310" s="664"/>
      <c r="B310" s="665"/>
      <c r="C310" s="99" t="s">
        <v>29</v>
      </c>
      <c r="D310" s="613">
        <v>241.6</v>
      </c>
      <c r="E310" s="56">
        <v>6.8945999999999996</v>
      </c>
      <c r="F310" s="57"/>
      <c r="G310" s="247">
        <f t="shared" si="57"/>
        <v>1665.74</v>
      </c>
      <c r="H310" s="613"/>
      <c r="I310" s="57"/>
      <c r="J310" s="57"/>
      <c r="K310" s="57"/>
      <c r="L310" s="614"/>
      <c r="M310" s="606"/>
      <c r="N310" s="57"/>
      <c r="O310" s="57"/>
      <c r="P310" s="57"/>
      <c r="Q310" s="666"/>
    </row>
  </sheetData>
  <mergeCells count="40">
    <mergeCell ref="M289:M290"/>
    <mergeCell ref="N289:Q289"/>
    <mergeCell ref="A289:A290"/>
    <mergeCell ref="B289:B290"/>
    <mergeCell ref="C289:C290"/>
    <mergeCell ref="D289:G289"/>
    <mergeCell ref="H289:K289"/>
    <mergeCell ref="L289:L290"/>
    <mergeCell ref="M91:M92"/>
    <mergeCell ref="N91:Q91"/>
    <mergeCell ref="A199:A200"/>
    <mergeCell ref="B199:B200"/>
    <mergeCell ref="C199:C200"/>
    <mergeCell ref="D199:G199"/>
    <mergeCell ref="H199:K199"/>
    <mergeCell ref="L199:L200"/>
    <mergeCell ref="M199:M200"/>
    <mergeCell ref="N199:Q199"/>
    <mergeCell ref="A91:A92"/>
    <mergeCell ref="B91:B92"/>
    <mergeCell ref="C91:C92"/>
    <mergeCell ref="D91:G91"/>
    <mergeCell ref="H91:K91"/>
    <mergeCell ref="L91:L92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311"/>
  <sheetViews>
    <sheetView workbookViewId="0">
      <selection activeCell="D93" sqref="D93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22</v>
      </c>
      <c r="B4" s="18" t="s">
        <v>23</v>
      </c>
      <c r="C4" s="19"/>
      <c r="D4" s="20">
        <v>52</v>
      </c>
      <c r="E4" s="21">
        <v>36.214199999999998</v>
      </c>
      <c r="F4" s="21">
        <v>42.4328</v>
      </c>
      <c r="G4" s="22">
        <f>ROUND(D4*(E4+F4),2)</f>
        <v>4089.64</v>
      </c>
      <c r="H4" s="20"/>
      <c r="I4" s="23">
        <v>4.5999999999999996</v>
      </c>
      <c r="J4" s="23">
        <f>ROUND(H4*I4,2)</f>
        <v>0</v>
      </c>
      <c r="K4" s="24"/>
      <c r="L4" s="25">
        <f>SUM(G4:G8,J4:J7)</f>
        <v>120099.81</v>
      </c>
      <c r="M4" s="26">
        <v>120099.81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>
        <v>125.33</v>
      </c>
      <c r="J5" s="41">
        <f>ROUND(H5*I5,2)</f>
        <v>0</v>
      </c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115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116010.17</v>
      </c>
      <c r="S6" s="31"/>
      <c r="T6" s="32"/>
    </row>
    <row r="7" spans="1:22">
      <c r="A7" s="34"/>
      <c r="B7" s="35"/>
      <c r="C7" s="48" t="s">
        <v>114</v>
      </c>
      <c r="D7" s="49">
        <v>519.4</v>
      </c>
      <c r="E7" s="41">
        <v>6.5049999999999999</v>
      </c>
      <c r="F7" s="41">
        <f>+E7</f>
        <v>6.5049999999999999</v>
      </c>
      <c r="G7" s="50">
        <f>ROUND(D7*E7,2)</f>
        <v>3378.7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116010.17</v>
      </c>
    </row>
    <row r="8" spans="1:22" ht="15.75" thickBot="1">
      <c r="A8" s="52"/>
      <c r="B8" s="53"/>
      <c r="C8" s="99" t="s">
        <v>29</v>
      </c>
      <c r="D8" s="55">
        <v>17314.599999999999</v>
      </c>
      <c r="E8" s="56">
        <v>6.5049999999999999</v>
      </c>
      <c r="F8" s="57">
        <f>+E8</f>
        <v>6.5049999999999999</v>
      </c>
      <c r="G8" s="58">
        <f>ROUND(D8*E8,2)</f>
        <v>112631.47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112631.47</v>
      </c>
      <c r="R8" s="66" t="s">
        <v>25</v>
      </c>
      <c r="S8" s="67">
        <f>SUM(O4:O8)</f>
        <v>0</v>
      </c>
      <c r="T8" s="68">
        <f>SUM(Q4:Q8)</f>
        <v>112631.47</v>
      </c>
    </row>
    <row r="9" spans="1:22" s="81" customFormat="1">
      <c r="A9" s="69" t="s">
        <v>30</v>
      </c>
      <c r="B9" s="70" t="s">
        <v>31</v>
      </c>
      <c r="C9" s="71">
        <v>0</v>
      </c>
      <c r="D9" s="72">
        <v>55</v>
      </c>
      <c r="E9" s="21">
        <v>36.214199999999998</v>
      </c>
      <c r="F9" s="21">
        <v>42.4328</v>
      </c>
      <c r="G9" s="22">
        <f>ROUND(D9*(E9+F9),2)</f>
        <v>4325.59</v>
      </c>
      <c r="H9" s="72"/>
      <c r="I9" s="21">
        <v>4.5999999999999996</v>
      </c>
      <c r="J9" s="73">
        <f>+H9*I9</f>
        <v>0</v>
      </c>
      <c r="K9" s="24"/>
      <c r="L9" s="74">
        <f>SUM(G9:G16,J9:J15)</f>
        <v>46867.23</v>
      </c>
      <c r="M9" s="26">
        <v>46867.23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0</v>
      </c>
    </row>
    <row r="10" spans="1:22" s="81" customFormat="1">
      <c r="A10" s="82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2" s="81" customFormat="1">
      <c r="A11" s="82"/>
      <c r="B11" s="98" t="s">
        <v>32</v>
      </c>
      <c r="C11" s="99" t="s">
        <v>33</v>
      </c>
      <c r="D11" s="100">
        <v>37</v>
      </c>
      <c r="E11" s="101">
        <v>304.86</v>
      </c>
      <c r="F11" s="38">
        <v>37.889800000000001</v>
      </c>
      <c r="G11" s="39">
        <f>ROUND(D11*(E11+F11),2)</f>
        <v>12681.74</v>
      </c>
      <c r="H11" s="100"/>
      <c r="I11" s="38">
        <v>125.33</v>
      </c>
      <c r="J11" s="87">
        <f>ROUND(H11*I11,2)</f>
        <v>0</v>
      </c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2" s="81" customFormat="1">
      <c r="A12" s="82"/>
      <c r="B12" s="83" t="s">
        <v>34</v>
      </c>
      <c r="C12" s="84"/>
      <c r="D12" s="49"/>
      <c r="E12" s="41"/>
      <c r="F12" s="38"/>
      <c r="G12" s="50">
        <f>+D12*(E12+F12)</f>
        <v>0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2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2" s="81" customFormat="1">
      <c r="A14" s="82"/>
      <c r="B14" s="83"/>
      <c r="C14" s="48" t="s">
        <v>115</v>
      </c>
      <c r="D14" s="49">
        <v>4875</v>
      </c>
      <c r="E14" s="41">
        <f>6.8021-6.8946</f>
        <v>-9.2499999999999361E-2</v>
      </c>
      <c r="F14" s="41">
        <f>+E14</f>
        <v>-9.2499999999999361E-2</v>
      </c>
      <c r="G14" s="50">
        <f>ROUND(D14*E14*70%+D14*F14*30%,2)</f>
        <v>-450.94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2" s="81" customFormat="1">
      <c r="A15" s="82"/>
      <c r="B15" s="83"/>
      <c r="C15" s="48" t="s">
        <v>114</v>
      </c>
      <c r="D15" s="49">
        <v>129.80000000000001</v>
      </c>
      <c r="E15" s="41">
        <v>6.8021000000000003</v>
      </c>
      <c r="F15" s="41">
        <f>+E15</f>
        <v>6.8021000000000003</v>
      </c>
      <c r="G15" s="50">
        <f>ROUND(D15*E15*70%+D15*F15*30%,2)</f>
        <v>882.91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2" s="81" customFormat="1" ht="15.75" thickBot="1">
      <c r="A16" s="105"/>
      <c r="B16" s="106"/>
      <c r="C16" s="99" t="s">
        <v>29</v>
      </c>
      <c r="D16" s="108">
        <v>4326.3</v>
      </c>
      <c r="E16" s="56">
        <v>6.8021000000000003</v>
      </c>
      <c r="F16" s="109">
        <f>+E16</f>
        <v>6.8021000000000003</v>
      </c>
      <c r="G16" s="110">
        <f>ROUND(D16*E16*70%+D16*F16*30%,2)</f>
        <v>29427.93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/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1345.49</v>
      </c>
      <c r="M23" s="26">
        <v>1345.49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115</v>
      </c>
      <c r="D24" s="37">
        <v>227.6</v>
      </c>
      <c r="E24" s="41">
        <f>6.8021-6.8946</f>
        <v>-9.2499999999999361E-2</v>
      </c>
      <c r="F24" s="38"/>
      <c r="G24" s="39">
        <f>ROUND(D24*(E24+F24),2)</f>
        <v>-21.05</v>
      </c>
      <c r="H24" s="40"/>
      <c r="I24" s="41"/>
      <c r="J24" s="41">
        <f>ROUND(H24*I24,2)</f>
        <v>0</v>
      </c>
      <c r="K24" s="42"/>
      <c r="L24" s="43"/>
      <c r="M24" s="44"/>
      <c r="N24" s="45"/>
      <c r="O24" s="46"/>
      <c r="P24" s="47"/>
      <c r="Q24" s="46"/>
      <c r="R24" s="815" t="s">
        <v>172</v>
      </c>
      <c r="S24" s="31"/>
      <c r="T24" s="32"/>
      <c r="U24"/>
    </row>
    <row r="25" spans="1:21" s="140" customFormat="1">
      <c r="A25" s="34"/>
      <c r="B25" s="35"/>
      <c r="C25" s="48" t="s">
        <v>114</v>
      </c>
      <c r="D25" s="49">
        <v>5.9</v>
      </c>
      <c r="E25" s="41">
        <v>6.8021000000000003</v>
      </c>
      <c r="F25" s="41">
        <f>+E25</f>
        <v>6.8021000000000003</v>
      </c>
      <c r="G25" s="50">
        <f>ROUND(D25*E25,2)</f>
        <v>40.130000000000003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766"/>
      <c r="B26" s="767"/>
      <c r="C26" s="99" t="s">
        <v>29</v>
      </c>
      <c r="D26" s="49">
        <v>195</v>
      </c>
      <c r="E26" s="56">
        <v>6.8021000000000003</v>
      </c>
      <c r="F26" s="41">
        <f>+E26</f>
        <v>6.8021000000000003</v>
      </c>
      <c r="G26" s="50">
        <f>ROUND(D26*E26,2)</f>
        <v>1326.41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v>0</v>
      </c>
      <c r="D30" s="184">
        <v>36.72</v>
      </c>
      <c r="E30" s="21">
        <v>36.214199999999998</v>
      </c>
      <c r="F30" s="21">
        <v>42.4328</v>
      </c>
      <c r="G30" s="185">
        <f>ROUND(D30*(E30+F30),2)</f>
        <v>2887.92</v>
      </c>
      <c r="H30" s="184">
        <v>0</v>
      </c>
      <c r="I30">
        <v>22.478999999999999</v>
      </c>
      <c r="J30" s="23">
        <f>H30*I30</f>
        <v>0</v>
      </c>
      <c r="K30" s="679">
        <v>42705</v>
      </c>
      <c r="L30" s="25">
        <f>SUM(G30:G34)+J30+J32</f>
        <v>144371.67000000001</v>
      </c>
      <c r="M30" s="187">
        <v>144371.67000000001</v>
      </c>
      <c r="N30" s="188"/>
      <c r="O30" s="23">
        <v>3998.87</v>
      </c>
      <c r="P30" s="189" t="s">
        <v>47</v>
      </c>
      <c r="Q30" s="23">
        <f t="shared" ref="Q30:Q35" si="0">C30+G30+J30-M30-N30-O30</f>
        <v>-145482.62</v>
      </c>
      <c r="R30" s="190" t="s">
        <v>48</v>
      </c>
      <c r="S30" s="176"/>
      <c r="U30" s="33">
        <f>+C30+L30-M30</f>
        <v>0</v>
      </c>
    </row>
    <row r="31" spans="1:21">
      <c r="A31" s="191"/>
      <c r="B31" s="192"/>
      <c r="C31" s="36" t="s">
        <v>26</v>
      </c>
      <c r="D31" s="37"/>
      <c r="E31" s="38">
        <f>32.332-28.8628</f>
        <v>3.4692000000000007</v>
      </c>
      <c r="F31" s="38">
        <f>37.8898-33.8306</f>
        <v>4.0592000000000041</v>
      </c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115</v>
      </c>
      <c r="D32" s="49"/>
      <c r="E32" s="41">
        <f>6.8021-6.8946</f>
        <v>-9.2499999999999361E-2</v>
      </c>
      <c r="F32" s="41">
        <f>+E32</f>
        <v>-9.2499999999999361E-2</v>
      </c>
      <c r="G32" s="50">
        <f>ROUND(D32*F32,2)</f>
        <v>0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114</v>
      </c>
      <c r="D33" s="49">
        <v>230</v>
      </c>
      <c r="E33" s="41">
        <v>6.5049999999999999</v>
      </c>
      <c r="F33" s="41">
        <f>+E33</f>
        <v>6.5049999999999999</v>
      </c>
      <c r="G33" s="50">
        <f>ROUND(D33*E33,2)</f>
        <v>1496.15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21520</v>
      </c>
      <c r="E34" s="56">
        <v>6.5049999999999999</v>
      </c>
      <c r="F34" s="57">
        <f>+E34</f>
        <v>6.5049999999999999</v>
      </c>
      <c r="G34" s="58">
        <f>ROUND(D34*E34,2)</f>
        <v>139987.6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71277.590000000011</v>
      </c>
      <c r="R34" s="209" t="s">
        <v>50</v>
      </c>
      <c r="S34" s="210">
        <f>SUM(O30:O34)</f>
        <v>72708.87999999999</v>
      </c>
      <c r="T34" s="210">
        <f>SUM(Q30:Q34)</f>
        <v>-74205.029999999984</v>
      </c>
    </row>
    <row r="35" spans="1:21">
      <c r="A35" s="211" t="s">
        <v>51</v>
      </c>
      <c r="B35" s="212" t="s">
        <v>52</v>
      </c>
      <c r="C35" s="71">
        <v>0</v>
      </c>
      <c r="D35" s="213">
        <v>80.97</v>
      </c>
      <c r="E35" s="21">
        <v>36.214199999999998</v>
      </c>
      <c r="F35" s="21">
        <v>42.4328</v>
      </c>
      <c r="G35" s="214">
        <f>ROUND(D35*(E35+F35),2)</f>
        <v>6368.05</v>
      </c>
      <c r="H35" s="213">
        <v>0</v>
      </c>
      <c r="I35">
        <v>22.478999999999999</v>
      </c>
      <c r="J35" s="215">
        <f t="shared" ref="J35" si="1">H35*I35</f>
        <v>0</v>
      </c>
      <c r="K35" s="679">
        <v>42705</v>
      </c>
      <c r="L35" s="216">
        <f>SUM(G35:G42)+SUM(J35:J42)</f>
        <v>50952.11</v>
      </c>
      <c r="M35" s="187">
        <v>50952.11</v>
      </c>
      <c r="N35" s="188"/>
      <c r="O35" s="217">
        <v>4253.6899999999996</v>
      </c>
      <c r="P35" s="218" t="s">
        <v>47</v>
      </c>
      <c r="Q35" s="219">
        <f t="shared" si="0"/>
        <v>-48837.75</v>
      </c>
      <c r="R35" s="220" t="s">
        <v>53</v>
      </c>
      <c r="S35" s="221"/>
      <c r="T35" s="222"/>
      <c r="U35" s="33">
        <f>+C35+L35-M35</f>
        <v>0</v>
      </c>
    </row>
    <row r="36" spans="1:21" ht="15.75" thickBot="1">
      <c r="A36" s="223"/>
      <c r="B36" s="224"/>
      <c r="C36" s="84" t="s">
        <v>26</v>
      </c>
      <c r="D36" s="37"/>
      <c r="E36" s="38">
        <f>32.332-28.8628</f>
        <v>3.4692000000000007</v>
      </c>
      <c r="F36" s="38">
        <f>37.8898-33.8306</f>
        <v>4.0592000000000041</v>
      </c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>
        <v>50.71</v>
      </c>
      <c r="E37" s="101">
        <v>160.6</v>
      </c>
      <c r="F37" s="21">
        <v>42.4328</v>
      </c>
      <c r="G37" s="235">
        <f>ROUND(D37*(E37+F37),2)</f>
        <v>10295.790000000001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4839.1900000000005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/>
      <c r="E38" s="240"/>
      <c r="F38" s="240"/>
      <c r="G38" s="235">
        <f>+ROUND(D38*E38,2)</f>
        <v>0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/>
      <c r="E39" s="240"/>
      <c r="F39" s="41">
        <f>33.8306-30.208</f>
        <v>3.6225999999999985</v>
      </c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115</v>
      </c>
      <c r="D40" s="49">
        <v>5225.8</v>
      </c>
      <c r="E40" s="41">
        <f>6.8021-6.8946</f>
        <v>-9.2499999999999361E-2</v>
      </c>
      <c r="F40" s="41">
        <f t="shared" ref="F40:F48" si="2">+E40</f>
        <v>-9.2499999999999361E-2</v>
      </c>
      <c r="G40" s="50">
        <f>ROUND(D40*E40,2)+0.01</f>
        <v>-483.38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114</v>
      </c>
      <c r="D41" s="49">
        <v>54.1</v>
      </c>
      <c r="E41" s="41">
        <v>6.8021000000000003</v>
      </c>
      <c r="F41" s="41">
        <f t="shared" si="2"/>
        <v>6.8021000000000003</v>
      </c>
      <c r="G41" s="50">
        <f>ROUND(D41*E41,2)</f>
        <v>367.99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5057.8</v>
      </c>
      <c r="E42" s="56">
        <v>6.8021000000000003</v>
      </c>
      <c r="F42" s="57">
        <f t="shared" si="2"/>
        <v>6.8021000000000003</v>
      </c>
      <c r="G42" s="247">
        <f>ROUND(D42*E42*70%+D42*F42*30%,2)</f>
        <v>34403.660000000003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18625.760000000002</v>
      </c>
      <c r="R42" s="255" t="s">
        <v>54</v>
      </c>
      <c r="S42" s="256">
        <f>SUM(O35:O42)</f>
        <v>25488.190000000002</v>
      </c>
      <c r="T42" s="256">
        <f>SUM(Q35:Q42)</f>
        <v>-25372.799999999996</v>
      </c>
    </row>
    <row r="43" spans="1:21" ht="15.75">
      <c r="A43" s="257"/>
      <c r="B43" s="258" t="s">
        <v>55</v>
      </c>
      <c r="C43" s="48" t="s">
        <v>115</v>
      </c>
      <c r="D43" s="259">
        <v>1964.07</v>
      </c>
      <c r="E43" s="41">
        <f>6.8021-6.8946</f>
        <v>-9.2499999999999361E-2</v>
      </c>
      <c r="F43" s="41">
        <f t="shared" si="2"/>
        <v>-9.2499999999999361E-2</v>
      </c>
      <c r="G43" s="214">
        <f>ROUND(D43*E43,2)+0.01</f>
        <v>-181.67000000000002</v>
      </c>
      <c r="H43" s="260"/>
      <c r="I43" s="261"/>
      <c r="J43" s="261"/>
      <c r="K43" s="262"/>
      <c r="L43" s="263">
        <f>SUM(G43:G45)</f>
        <v>15299.36</v>
      </c>
      <c r="M43" s="187">
        <v>15299.36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114</v>
      </c>
      <c r="D44" s="269">
        <v>24.09</v>
      </c>
      <c r="E44" s="41">
        <v>6.8021000000000003</v>
      </c>
      <c r="F44" s="41">
        <f t="shared" si="2"/>
        <v>6.8021000000000003</v>
      </c>
      <c r="G44" s="235">
        <f>ROUND(D44*E44,2)</f>
        <v>163.86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2251.83</v>
      </c>
      <c r="E45" s="56">
        <v>6.8021000000000003</v>
      </c>
      <c r="F45" s="57">
        <f t="shared" si="2"/>
        <v>6.8021000000000003</v>
      </c>
      <c r="G45" s="247">
        <f t="shared" ref="G45:G48" si="3">ROUND(D45*E45,2)</f>
        <v>15317.17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115</v>
      </c>
      <c r="D46" s="259">
        <v>349.2</v>
      </c>
      <c r="E46" s="41">
        <f>6.8021-6.8946</f>
        <v>-9.2499999999999361E-2</v>
      </c>
      <c r="F46" s="41">
        <f t="shared" si="2"/>
        <v>-9.2499999999999361E-2</v>
      </c>
      <c r="G46" s="214">
        <f>ROUND(D46*E46,2)</f>
        <v>-32.299999999999997</v>
      </c>
      <c r="H46" s="260"/>
      <c r="I46" s="261"/>
      <c r="J46" s="261"/>
      <c r="K46" s="262"/>
      <c r="L46" s="286">
        <f>SUM(G46:G48)</f>
        <v>2400.13</v>
      </c>
      <c r="M46" s="227">
        <v>2400.13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114</v>
      </c>
      <c r="D47" s="269">
        <v>3.8</v>
      </c>
      <c r="E47" s="41">
        <v>6.8021000000000003</v>
      </c>
      <c r="F47" s="41">
        <f t="shared" si="2"/>
        <v>6.8021000000000003</v>
      </c>
      <c r="G47" s="235">
        <f>ROUND(D47*E47,2)</f>
        <v>25.85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353.8</v>
      </c>
      <c r="E48" s="56">
        <v>6.8021000000000003</v>
      </c>
      <c r="F48" s="57">
        <f t="shared" si="2"/>
        <v>6.8021000000000003</v>
      </c>
      <c r="G48" s="247">
        <f t="shared" si="3"/>
        <v>2406.58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6.5" hidden="1" outlineLevel="1" thickBot="1">
      <c r="A49" s="808"/>
      <c r="B49" s="291" t="s">
        <v>57</v>
      </c>
      <c r="C49" s="292"/>
      <c r="D49" s="259"/>
      <c r="E49" s="21">
        <v>36.214199999999998</v>
      </c>
      <c r="F49" s="21">
        <v>42.4328</v>
      </c>
      <c r="G49" s="214">
        <f>ROUND(D49*(E49+F49),2)</f>
        <v>0</v>
      </c>
      <c r="H49" s="213">
        <v>0</v>
      </c>
      <c r="I49">
        <v>22.478999999999999</v>
      </c>
      <c r="J49" s="215">
        <f t="shared" ref="J49" si="4">H49*I49</f>
        <v>0</v>
      </c>
      <c r="K49" s="679">
        <v>42705</v>
      </c>
      <c r="L49" s="294">
        <f>SUM(G49:G53)+J49+J51</f>
        <v>0</v>
      </c>
      <c r="M49" s="227"/>
      <c r="N49" s="264"/>
      <c r="O49" s="229"/>
      <c r="P49" s="265"/>
      <c r="Q49" s="229"/>
      <c r="R49" s="242"/>
      <c r="S49" s="266"/>
      <c r="T49" s="266"/>
    </row>
    <row r="50" spans="1:20" ht="16.5" hidden="1" outlineLevel="1" thickBot="1">
      <c r="A50" s="80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 ht="15.75" hidden="1" outlineLevel="1" thickBot="1">
      <c r="A51" s="809"/>
      <c r="B51" s="268"/>
      <c r="C51" s="48" t="s">
        <v>170</v>
      </c>
      <c r="D51" s="296"/>
      <c r="E51" s="41">
        <f>7.0207-6.6426</f>
        <v>0.37809999999999988</v>
      </c>
      <c r="F51" s="41">
        <f>+E51</f>
        <v>0.37809999999999988</v>
      </c>
      <c r="G51" s="235">
        <f>ROUND(D51*E51,2)</f>
        <v>0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hidden="1" outlineLevel="1" thickBot="1">
      <c r="A52" s="809"/>
      <c r="B52" s="268"/>
      <c r="C52" s="48" t="s">
        <v>171</v>
      </c>
      <c r="D52" s="269"/>
      <c r="E52" s="41">
        <v>7.0206999999999997</v>
      </c>
      <c r="F52" s="41">
        <f>+E52</f>
        <v>7.0206999999999997</v>
      </c>
      <c r="G52" s="235">
        <f>ROUND(D52*E52,2)</f>
        <v>0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hidden="1" outlineLevel="1" thickBot="1">
      <c r="A53" s="802"/>
      <c r="B53" s="277"/>
      <c r="C53" s="99" t="s">
        <v>29</v>
      </c>
      <c r="D53" s="279"/>
      <c r="E53" s="56">
        <v>7.0206999999999997</v>
      </c>
      <c r="F53" s="57">
        <f>+E53</f>
        <v>7.0206999999999997</v>
      </c>
      <c r="G53" s="247">
        <f>ROUND(D53*E53,2)</f>
        <v>0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 collapsed="1">
      <c r="A54" s="299"/>
      <c r="B54" s="258" t="s">
        <v>58</v>
      </c>
      <c r="C54" s="48" t="s">
        <v>59</v>
      </c>
      <c r="D54" s="822">
        <v>0.39</v>
      </c>
      <c r="E54" s="21">
        <v>36.214199999999998</v>
      </c>
      <c r="F54" s="21">
        <v>42.4328</v>
      </c>
      <c r="G54" s="214">
        <f>ROUND(D54*(E54+F54),2)</f>
        <v>30.67</v>
      </c>
      <c r="H54" s="213">
        <v>0</v>
      </c>
      <c r="I54">
        <v>22.478999999999999</v>
      </c>
      <c r="J54" s="215">
        <f t="shared" ref="J54" si="5">H54*I54</f>
        <v>0</v>
      </c>
      <c r="K54" s="679">
        <v>42705</v>
      </c>
      <c r="L54" s="294">
        <f>SUM(G54:G58)+J54</f>
        <v>1388.33</v>
      </c>
      <c r="M54" s="227">
        <v>1388.33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/>
      <c r="E55" s="38">
        <f>32.332-28.8628</f>
        <v>3.4692000000000007</v>
      </c>
      <c r="F55" s="38">
        <f>37.8898-33.8306</f>
        <v>4.0592000000000041</v>
      </c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115</v>
      </c>
      <c r="D56" s="296">
        <v>199</v>
      </c>
      <c r="E56" s="41">
        <f>6.8021-6.8946</f>
        <v>-9.2499999999999361E-2</v>
      </c>
      <c r="F56" s="41">
        <f t="shared" ref="F56:F88" si="6">+E56</f>
        <v>-9.2499999999999361E-2</v>
      </c>
      <c r="G56" s="235">
        <f>ROUND(D56*E56,2)+0.01</f>
        <v>-18.399999999999999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114</v>
      </c>
      <c r="D57" s="269">
        <v>2.1</v>
      </c>
      <c r="E57" s="41">
        <v>6.8021000000000003</v>
      </c>
      <c r="F57" s="41">
        <f t="shared" si="6"/>
        <v>6.8021000000000003</v>
      </c>
      <c r="G57" s="235">
        <f t="shared" ref="G57:G64" si="7">ROUND(D57*E57,2)</f>
        <v>14.28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200.2</v>
      </c>
      <c r="E58" s="56">
        <v>6.8021000000000003</v>
      </c>
      <c r="F58" s="57">
        <f t="shared" si="6"/>
        <v>6.8021000000000003</v>
      </c>
      <c r="G58" s="247">
        <f t="shared" si="7"/>
        <v>1361.78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115</v>
      </c>
      <c r="D59" s="296">
        <v>186.68</v>
      </c>
      <c r="E59" s="41">
        <f>6.8021-6.8946</f>
        <v>-9.2499999999999361E-2</v>
      </c>
      <c r="F59" s="41">
        <f t="shared" si="6"/>
        <v>-9.2499999999999361E-2</v>
      </c>
      <c r="G59" s="235">
        <f>ROUND(D59*E59,2)</f>
        <v>-17.27</v>
      </c>
      <c r="H59" s="270"/>
      <c r="I59" s="41"/>
      <c r="J59" s="41"/>
      <c r="K59" s="271"/>
      <c r="L59" s="294">
        <f>SUM(G59:G61)</f>
        <v>1283.43</v>
      </c>
      <c r="M59" s="227">
        <v>1283.43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114</v>
      </c>
      <c r="D60" s="269">
        <v>2.02</v>
      </c>
      <c r="E60" s="41">
        <v>6.8021000000000003</v>
      </c>
      <c r="F60" s="41">
        <f t="shared" si="6"/>
        <v>6.8021000000000003</v>
      </c>
      <c r="G60" s="235">
        <f t="shared" si="7"/>
        <v>13.74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189.2</v>
      </c>
      <c r="E61" s="56">
        <v>6.8021000000000003</v>
      </c>
      <c r="F61" s="57">
        <f t="shared" si="6"/>
        <v>6.8021000000000003</v>
      </c>
      <c r="G61" s="247">
        <f t="shared" si="7"/>
        <v>1286.96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176</v>
      </c>
      <c r="D62" s="296">
        <v>261.57</v>
      </c>
      <c r="E62" s="41">
        <f>6.8021-6.8946</f>
        <v>-9.2499999999999361E-2</v>
      </c>
      <c r="F62" s="41">
        <f t="shared" si="6"/>
        <v>-9.2499999999999361E-2</v>
      </c>
      <c r="G62" s="235">
        <f>ROUND(D62*E62,2)</f>
        <v>-24.2</v>
      </c>
      <c r="H62" s="270"/>
      <c r="I62" s="41"/>
      <c r="J62" s="41"/>
      <c r="K62" s="271"/>
      <c r="L62" s="294">
        <f>SUM(G62:G64)</f>
        <v>1694.56</v>
      </c>
      <c r="M62" s="227">
        <v>1694.56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177</v>
      </c>
      <c r="D63" s="269">
        <v>2.68</v>
      </c>
      <c r="E63" s="41">
        <v>6.8021000000000003</v>
      </c>
      <c r="F63" s="41">
        <f t="shared" si="6"/>
        <v>6.8021000000000003</v>
      </c>
      <c r="G63" s="235">
        <f t="shared" si="7"/>
        <v>18.23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250</v>
      </c>
      <c r="E64" s="56">
        <v>6.8021000000000003</v>
      </c>
      <c r="F64" s="57">
        <f t="shared" si="6"/>
        <v>6.8021000000000003</v>
      </c>
      <c r="G64" s="247">
        <f t="shared" si="7"/>
        <v>1700.53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0" hidden="1" outlineLevel="1">
      <c r="A65" s="801"/>
      <c r="B65" s="192" t="s">
        <v>145</v>
      </c>
      <c r="C65" s="48" t="s">
        <v>170</v>
      </c>
      <c r="D65" s="296"/>
      <c r="E65" s="41">
        <f>7.0207-6.6426</f>
        <v>0.37809999999999988</v>
      </c>
      <c r="F65" s="41">
        <f t="shared" si="6"/>
        <v>0.37809999999999988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0" ht="15.75" hidden="1" outlineLevel="1">
      <c r="A66" s="801"/>
      <c r="B66" s="192"/>
      <c r="C66" s="48" t="s">
        <v>171</v>
      </c>
      <c r="D66" s="269"/>
      <c r="E66" s="41">
        <v>7.0206999999999997</v>
      </c>
      <c r="F66" s="41">
        <f t="shared" si="6"/>
        <v>7.0206999999999997</v>
      </c>
      <c r="G66" s="235">
        <f t="shared" ref="G66:G67" si="8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6.5" hidden="1" outlineLevel="1" thickBot="1">
      <c r="A67" s="802"/>
      <c r="B67" s="277"/>
      <c r="C67" s="99" t="s">
        <v>29</v>
      </c>
      <c r="D67" s="279"/>
      <c r="E67" s="56">
        <v>7.0206999999999997</v>
      </c>
      <c r="F67" s="57">
        <f t="shared" si="6"/>
        <v>7.0206999999999997</v>
      </c>
      <c r="G67" s="247">
        <f t="shared" si="8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0" collapsed="1">
      <c r="A68" s="706"/>
      <c r="B68" s="192" t="s">
        <v>152</v>
      </c>
      <c r="C68" s="48" t="s">
        <v>176</v>
      </c>
      <c r="D68" s="296">
        <v>361.43</v>
      </c>
      <c r="E68" s="41">
        <f>6.8021-6.8946</f>
        <v>-9.2499999999999361E-2</v>
      </c>
      <c r="F68" s="41">
        <f t="shared" si="6"/>
        <v>-9.2499999999999361E-2</v>
      </c>
      <c r="G68" s="235">
        <f>ROUND(D68*E68,2)-0.01</f>
        <v>-33.44</v>
      </c>
      <c r="H68" s="270"/>
      <c r="I68" s="41"/>
      <c r="J68" s="41"/>
      <c r="K68" s="271"/>
      <c r="L68" s="294">
        <f>SUM(G68:G70)</f>
        <v>2181.67</v>
      </c>
      <c r="M68" s="227">
        <v>2181.67</v>
      </c>
      <c r="N68" s="274"/>
      <c r="O68" s="237"/>
      <c r="P68" s="275"/>
      <c r="Q68" s="237"/>
      <c r="R68" s="242"/>
      <c r="S68" s="266"/>
      <c r="T68" s="266"/>
    </row>
    <row r="69" spans="1:20" ht="15.75">
      <c r="A69" s="706"/>
      <c r="B69" s="192"/>
      <c r="C69" s="48" t="s">
        <v>177</v>
      </c>
      <c r="D69" s="269">
        <v>3.45</v>
      </c>
      <c r="E69" s="41">
        <v>6.8021000000000003</v>
      </c>
      <c r="F69" s="41">
        <f t="shared" si="6"/>
        <v>6.8021000000000003</v>
      </c>
      <c r="G69" s="235">
        <f t="shared" ref="G69:G70" si="9">ROUND(D69*E69,2)</f>
        <v>23.47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03"/>
      <c r="B70" s="804"/>
      <c r="C70" s="54" t="s">
        <v>29</v>
      </c>
      <c r="D70" s="279">
        <v>322.2</v>
      </c>
      <c r="E70" s="56">
        <v>6.8021000000000003</v>
      </c>
      <c r="F70" s="57">
        <f t="shared" si="6"/>
        <v>6.8021000000000003</v>
      </c>
      <c r="G70" s="247">
        <f t="shared" si="9"/>
        <v>2191.64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>
      <c r="A71" s="706"/>
      <c r="B71" s="192" t="s">
        <v>159</v>
      </c>
      <c r="C71" s="48" t="s">
        <v>115</v>
      </c>
      <c r="D71" s="296">
        <v>139.38</v>
      </c>
      <c r="E71" s="41">
        <f>6.8021-6.8946</f>
        <v>-9.2499999999999361E-2</v>
      </c>
      <c r="F71" s="41">
        <f t="shared" si="6"/>
        <v>-9.2499999999999361E-2</v>
      </c>
      <c r="G71" s="235">
        <f>ROUND(D71*E71,2)-0.01</f>
        <v>-12.9</v>
      </c>
      <c r="H71" s="270"/>
      <c r="I71" s="41"/>
      <c r="J71" s="41"/>
      <c r="K71" s="271"/>
      <c r="L71" s="294">
        <f>SUM(G71:G73)</f>
        <v>867.08999999999992</v>
      </c>
      <c r="M71" s="227">
        <v>867.09</v>
      </c>
      <c r="N71" s="274"/>
      <c r="O71" s="237"/>
      <c r="P71" s="275"/>
      <c r="Q71" s="237"/>
      <c r="R71" s="242"/>
      <c r="S71" s="266"/>
      <c r="T71" s="266"/>
    </row>
    <row r="72" spans="1:20" ht="15.75">
      <c r="A72" s="706"/>
      <c r="B72" s="192"/>
      <c r="C72" s="48" t="s">
        <v>114</v>
      </c>
      <c r="D72" s="269">
        <v>1.37</v>
      </c>
      <c r="E72" s="41">
        <v>6.8021000000000003</v>
      </c>
      <c r="F72" s="41">
        <f t="shared" si="6"/>
        <v>6.8021000000000003</v>
      </c>
      <c r="G72" s="235">
        <f t="shared" ref="G72:G73" si="10">ROUND(D72*E72,2)</f>
        <v>9.32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0" ht="16.5" thickBot="1">
      <c r="A73" s="855"/>
      <c r="B73" s="856"/>
      <c r="C73" s="99" t="s">
        <v>29</v>
      </c>
      <c r="D73" s="279">
        <v>128</v>
      </c>
      <c r="E73" s="56">
        <v>6.8021000000000003</v>
      </c>
      <c r="F73" s="57">
        <f t="shared" si="6"/>
        <v>6.8021000000000003</v>
      </c>
      <c r="G73" s="247">
        <f t="shared" si="10"/>
        <v>870.67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0">
      <c r="A74" s="706"/>
      <c r="B74" s="192" t="s">
        <v>166</v>
      </c>
      <c r="C74" s="48" t="s">
        <v>115</v>
      </c>
      <c r="D74" s="296">
        <v>134.12</v>
      </c>
      <c r="E74" s="41">
        <f>6.8021-6.8946</f>
        <v>-9.2499999999999361E-2</v>
      </c>
      <c r="F74" s="41">
        <f t="shared" si="6"/>
        <v>-9.2499999999999361E-2</v>
      </c>
      <c r="G74" s="235">
        <f>ROUND(D74*E74,2)</f>
        <v>-12.41</v>
      </c>
      <c r="H74" s="270"/>
      <c r="I74" s="41"/>
      <c r="J74" s="41"/>
      <c r="K74" s="271"/>
      <c r="L74" s="294">
        <f>SUM(G74:G76)</f>
        <v>893.69999999999993</v>
      </c>
      <c r="M74" s="227">
        <v>893.7</v>
      </c>
      <c r="N74" s="274"/>
      <c r="O74" s="237"/>
      <c r="P74" s="275"/>
      <c r="Q74" s="237"/>
      <c r="R74" s="242"/>
      <c r="S74" s="266"/>
      <c r="T74" s="266"/>
    </row>
    <row r="75" spans="1:20" ht="15.75">
      <c r="A75" s="706"/>
      <c r="B75" s="192"/>
      <c r="C75" s="48" t="s">
        <v>114</v>
      </c>
      <c r="D75" s="269">
        <v>1.41</v>
      </c>
      <c r="E75" s="41">
        <v>6.8021000000000003</v>
      </c>
      <c r="F75" s="41">
        <f t="shared" si="6"/>
        <v>6.8021000000000003</v>
      </c>
      <c r="G75" s="235">
        <f t="shared" ref="G75:G76" si="11">ROUND(D75*E75,2)</f>
        <v>9.59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0" ht="16.5" thickBot="1">
      <c r="A76" s="855"/>
      <c r="B76" s="857"/>
      <c r="C76" s="99" t="s">
        <v>29</v>
      </c>
      <c r="D76" s="279">
        <v>131.80000000000001</v>
      </c>
      <c r="E76" s="56">
        <v>6.8021000000000003</v>
      </c>
      <c r="F76" s="57">
        <f t="shared" si="6"/>
        <v>6.8021000000000003</v>
      </c>
      <c r="G76" s="247">
        <f t="shared" si="11"/>
        <v>896.52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0">
      <c r="A77" s="706"/>
      <c r="B77" s="192" t="s">
        <v>173</v>
      </c>
      <c r="C77" s="48" t="s">
        <v>176</v>
      </c>
      <c r="D77" s="296">
        <v>581.46</v>
      </c>
      <c r="E77" s="41">
        <f>6.8021-6.8946</f>
        <v>-9.2499999999999361E-2</v>
      </c>
      <c r="F77" s="41">
        <f t="shared" si="6"/>
        <v>-9.2499999999999361E-2</v>
      </c>
      <c r="G77" s="235">
        <f>ROUND(D77*E77,2)+0.01</f>
        <v>-53.78</v>
      </c>
      <c r="H77" s="270"/>
      <c r="I77" s="41"/>
      <c r="J77" s="41"/>
      <c r="K77" s="271"/>
      <c r="L77" s="294">
        <f>SUM(G77:G79)</f>
        <v>3439.37</v>
      </c>
      <c r="M77" s="227">
        <v>3439.37</v>
      </c>
      <c r="N77" s="274"/>
      <c r="O77" s="237"/>
      <c r="P77" s="275"/>
      <c r="Q77" s="237"/>
      <c r="R77" s="242"/>
      <c r="S77" s="266"/>
      <c r="T77" s="266"/>
    </row>
    <row r="78" spans="1:20" ht="15.75">
      <c r="A78" s="706"/>
      <c r="B78" s="192"/>
      <c r="C78" s="48" t="s">
        <v>177</v>
      </c>
      <c r="D78" s="269">
        <v>5.44</v>
      </c>
      <c r="E78" s="41">
        <v>6.8021000000000003</v>
      </c>
      <c r="F78" s="41">
        <f t="shared" si="6"/>
        <v>6.8021000000000003</v>
      </c>
      <c r="G78" s="235">
        <f>ROUND(D78*E78,2)</f>
        <v>37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55"/>
      <c r="B79" s="857"/>
      <c r="C79" s="99" t="s">
        <v>29</v>
      </c>
      <c r="D79" s="279">
        <v>508.1</v>
      </c>
      <c r="E79" s="56">
        <v>6.8021000000000003</v>
      </c>
      <c r="F79" s="57">
        <f t="shared" si="6"/>
        <v>6.8021000000000003</v>
      </c>
      <c r="G79" s="247">
        <f>ROUND(D79*E79,2)</f>
        <v>3456.15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>
      <c r="A80" s="706"/>
      <c r="B80" s="192" t="s">
        <v>174</v>
      </c>
      <c r="C80" s="48" t="s">
        <v>115</v>
      </c>
      <c r="D80" s="296">
        <v>281.38</v>
      </c>
      <c r="E80" s="41">
        <f>6.8021-6.8946</f>
        <v>-9.2499999999999361E-2</v>
      </c>
      <c r="F80" s="41">
        <f t="shared" si="6"/>
        <v>-9.2499999999999361E-2</v>
      </c>
      <c r="G80" s="235">
        <f>ROUND(D80*E80,2)</f>
        <v>-26.03</v>
      </c>
      <c r="H80" s="270"/>
      <c r="I80" s="41"/>
      <c r="J80" s="41"/>
      <c r="K80" s="271"/>
      <c r="L80" s="294">
        <f>SUM(G80:G82)</f>
        <v>2087.3199999999997</v>
      </c>
      <c r="M80" s="227">
        <v>2087.3200000000002</v>
      </c>
      <c r="N80" s="274"/>
      <c r="O80" s="237"/>
      <c r="P80" s="275"/>
      <c r="Q80" s="237"/>
      <c r="R80" s="242"/>
      <c r="S80" s="266"/>
      <c r="T80" s="266"/>
    </row>
    <row r="81" spans="1:21" ht="15.75">
      <c r="A81" s="706"/>
      <c r="B81" s="192"/>
      <c r="C81" s="48" t="s">
        <v>114</v>
      </c>
      <c r="D81" s="269">
        <v>3.29</v>
      </c>
      <c r="E81" s="41">
        <v>6.8021000000000003</v>
      </c>
      <c r="F81" s="41">
        <f t="shared" si="6"/>
        <v>6.8021000000000003</v>
      </c>
      <c r="G81" s="235">
        <f t="shared" ref="G81:G88" si="12">ROUND(D81*E81,2)</f>
        <v>22.38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1" ht="16.5" thickBot="1">
      <c r="A82" s="706"/>
      <c r="B82" s="192"/>
      <c r="C82" s="99" t="s">
        <v>29</v>
      </c>
      <c r="D82" s="279">
        <v>307.39999999999998</v>
      </c>
      <c r="E82" s="56">
        <v>6.8021000000000003</v>
      </c>
      <c r="F82" s="57">
        <f t="shared" si="6"/>
        <v>6.8021000000000003</v>
      </c>
      <c r="G82" s="247">
        <f t="shared" si="12"/>
        <v>2090.9699999999998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1">
      <c r="A83" s="706"/>
      <c r="B83" s="192" t="s">
        <v>178</v>
      </c>
      <c r="C83" s="48" t="s">
        <v>115</v>
      </c>
      <c r="D83" s="296">
        <v>153.47999999999999</v>
      </c>
      <c r="E83" s="41">
        <f>6.8021-6.8946</f>
        <v>-9.2499999999999361E-2</v>
      </c>
      <c r="F83" s="41">
        <f t="shared" si="6"/>
        <v>-9.2499999999999361E-2</v>
      </c>
      <c r="G83" s="235">
        <f>ROUND(D83*E83,2)+0.01</f>
        <v>-14.19</v>
      </c>
      <c r="H83" s="270"/>
      <c r="I83" s="41"/>
      <c r="J83" s="41"/>
      <c r="K83" s="271"/>
      <c r="L83" s="294">
        <f>SUM(G83:G85)</f>
        <v>1185.6299999999999</v>
      </c>
      <c r="M83" s="227">
        <v>1185.6300000000001</v>
      </c>
      <c r="N83" s="274"/>
      <c r="O83" s="237"/>
      <c r="P83" s="275"/>
      <c r="Q83" s="237"/>
      <c r="R83" s="242"/>
      <c r="S83" s="266"/>
      <c r="T83" s="266"/>
    </row>
    <row r="84" spans="1:21" ht="15.75">
      <c r="A84" s="706"/>
      <c r="B84" s="192"/>
      <c r="C84" s="48" t="s">
        <v>114</v>
      </c>
      <c r="D84" s="269">
        <v>1.87</v>
      </c>
      <c r="E84" s="41">
        <v>6.8021000000000003</v>
      </c>
      <c r="F84" s="41">
        <f t="shared" si="6"/>
        <v>6.8021000000000003</v>
      </c>
      <c r="G84" s="235">
        <f t="shared" si="12"/>
        <v>12.72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1" ht="16.5" thickBot="1">
      <c r="A85" s="706"/>
      <c r="B85" s="192"/>
      <c r="C85" s="99" t="s">
        <v>29</v>
      </c>
      <c r="D85" s="279">
        <v>174.52</v>
      </c>
      <c r="E85" s="56">
        <v>6.8021000000000003</v>
      </c>
      <c r="F85" s="57">
        <f t="shared" si="6"/>
        <v>6.8021000000000003</v>
      </c>
      <c r="G85" s="247">
        <f t="shared" si="12"/>
        <v>1187.0999999999999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1">
      <c r="A86" s="706"/>
      <c r="B86" s="192" t="s">
        <v>179</v>
      </c>
      <c r="C86" s="48" t="s">
        <v>115</v>
      </c>
      <c r="D86" s="296">
        <v>43.26</v>
      </c>
      <c r="E86" s="41">
        <f>6.8021-6.8946</f>
        <v>-9.2499999999999361E-2</v>
      </c>
      <c r="F86" s="41">
        <f t="shared" si="6"/>
        <v>-9.2499999999999361E-2</v>
      </c>
      <c r="G86" s="235">
        <f t="shared" si="12"/>
        <v>-4</v>
      </c>
      <c r="H86" s="270"/>
      <c r="I86" s="41"/>
      <c r="J86" s="41"/>
      <c r="K86" s="271"/>
      <c r="L86" s="294">
        <f>SUM(G86:G88)</f>
        <v>145.85</v>
      </c>
      <c r="M86" s="227">
        <v>145.85</v>
      </c>
      <c r="N86" s="274"/>
      <c r="O86" s="237"/>
      <c r="P86" s="275"/>
      <c r="Q86" s="237"/>
      <c r="R86" s="242"/>
      <c r="S86" s="266"/>
      <c r="T86" s="266"/>
    </row>
    <row r="87" spans="1:21" ht="15.75">
      <c r="A87" s="706"/>
      <c r="B87" s="192"/>
      <c r="C87" s="48" t="s">
        <v>114</v>
      </c>
      <c r="D87" s="269">
        <v>0.23</v>
      </c>
      <c r="E87" s="41">
        <v>6.8021000000000003</v>
      </c>
      <c r="F87" s="41">
        <f t="shared" si="6"/>
        <v>6.8021000000000003</v>
      </c>
      <c r="G87" s="235">
        <f t="shared" si="12"/>
        <v>1.56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1" ht="16.5" thickBot="1">
      <c r="A88" s="706"/>
      <c r="B88" s="192"/>
      <c r="C88" s="99" t="s">
        <v>29</v>
      </c>
      <c r="D88" s="279">
        <v>21.8</v>
      </c>
      <c r="E88" s="56">
        <v>6.8021000000000003</v>
      </c>
      <c r="F88" s="57">
        <f t="shared" si="6"/>
        <v>6.8021000000000003</v>
      </c>
      <c r="G88" s="247">
        <f t="shared" si="12"/>
        <v>148.29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1" ht="16.5" thickTop="1">
      <c r="A89" s="320"/>
      <c r="B89" s="321"/>
      <c r="C89" s="322"/>
      <c r="D89" s="323"/>
      <c r="E89" s="163"/>
      <c r="F89" s="324"/>
      <c r="G89" s="325"/>
      <c r="H89" s="163"/>
      <c r="I89" s="163"/>
      <c r="J89" s="163"/>
      <c r="K89" s="163"/>
      <c r="L89" s="163"/>
      <c r="M89" s="326"/>
      <c r="N89" s="327"/>
      <c r="O89" s="328"/>
      <c r="P89" s="329"/>
      <c r="Q89" s="328"/>
      <c r="R89" s="330"/>
      <c r="S89" s="331"/>
      <c r="T89" s="266"/>
    </row>
    <row r="90" spans="1:21" ht="21.75" thickBot="1">
      <c r="A90" s="171" t="s">
        <v>60</v>
      </c>
      <c r="B90" s="2"/>
      <c r="C90" s="3"/>
      <c r="D90" s="2"/>
      <c r="E90" s="2"/>
      <c r="F90" s="2"/>
      <c r="G90" s="332"/>
      <c r="H90" s="332"/>
      <c r="I90" s="332"/>
      <c r="J90" s="2"/>
      <c r="K90" s="2"/>
      <c r="L90" s="2"/>
      <c r="M90" s="3"/>
      <c r="N90" s="2"/>
      <c r="O90" s="2"/>
      <c r="P90" s="2"/>
      <c r="Q90" s="2"/>
      <c r="R90" s="2"/>
      <c r="S90" s="2"/>
    </row>
    <row r="91" spans="1:21" ht="15" customHeight="1" thickTop="1">
      <c r="A91" s="1553" t="s">
        <v>1</v>
      </c>
      <c r="B91" s="1516" t="s">
        <v>2</v>
      </c>
      <c r="C91" s="1518" t="s">
        <v>3</v>
      </c>
      <c r="D91" s="1532" t="s">
        <v>4</v>
      </c>
      <c r="E91" s="1532"/>
      <c r="F91" s="1532"/>
      <c r="G91" s="1532"/>
      <c r="H91" s="1533" t="s">
        <v>5</v>
      </c>
      <c r="I91" s="1534"/>
      <c r="J91" s="1534"/>
      <c r="K91" s="1534"/>
      <c r="L91" s="1524" t="s">
        <v>6</v>
      </c>
      <c r="M91" s="1537" t="s">
        <v>7</v>
      </c>
      <c r="N91" s="1538" t="s">
        <v>8</v>
      </c>
      <c r="O91" s="1538"/>
      <c r="P91" s="1538"/>
      <c r="Q91" s="1539"/>
      <c r="R91" s="5"/>
      <c r="S91" s="5"/>
      <c r="T91" s="5" t="s">
        <v>61</v>
      </c>
      <c r="U91" t="s">
        <v>21</v>
      </c>
    </row>
    <row r="92" spans="1:21" ht="27" customHeight="1" thickBot="1">
      <c r="A92" s="1531"/>
      <c r="B92" s="1517"/>
      <c r="C92" s="1519" t="s">
        <v>10</v>
      </c>
      <c r="D92" s="333" t="s">
        <v>11</v>
      </c>
      <c r="E92" s="7" t="s">
        <v>12</v>
      </c>
      <c r="F92" s="7" t="s">
        <v>13</v>
      </c>
      <c r="G92" s="334" t="s">
        <v>14</v>
      </c>
      <c r="H92" s="335" t="s">
        <v>11</v>
      </c>
      <c r="I92" s="333" t="s">
        <v>15</v>
      </c>
      <c r="J92" s="336" t="s">
        <v>14</v>
      </c>
      <c r="K92" s="11" t="s">
        <v>16</v>
      </c>
      <c r="L92" s="1525"/>
      <c r="M92" s="1511"/>
      <c r="N92" s="337" t="s">
        <v>62</v>
      </c>
      <c r="O92" s="338" t="s">
        <v>44</v>
      </c>
      <c r="P92" s="13" t="s">
        <v>18</v>
      </c>
      <c r="Q92" s="14" t="s">
        <v>19</v>
      </c>
    </row>
    <row r="93" spans="1:21" ht="14.25" customHeight="1">
      <c r="A93" s="339" t="s">
        <v>63</v>
      </c>
      <c r="B93" s="18" t="s">
        <v>64</v>
      </c>
      <c r="C93" s="71"/>
      <c r="D93" s="340">
        <v>59</v>
      </c>
      <c r="E93" s="21">
        <v>36.214199999999998</v>
      </c>
      <c r="F93" s="21">
        <v>42.4328</v>
      </c>
      <c r="G93" s="185">
        <f>ROUND(D93*(E93+F93),2)</f>
        <v>4640.17</v>
      </c>
      <c r="H93" s="184"/>
      <c r="I93" s="23"/>
      <c r="J93" s="341"/>
      <c r="K93" s="342"/>
      <c r="L93" s="343">
        <f>SUM(G93:G98,J93:J97)</f>
        <v>251960.52</v>
      </c>
      <c r="M93" s="344">
        <v>251960.52</v>
      </c>
      <c r="N93" s="345"/>
      <c r="O93" s="346">
        <v>7157.88</v>
      </c>
      <c r="P93" s="347" t="s">
        <v>24</v>
      </c>
      <c r="Q93" s="348">
        <f t="shared" ref="Q93:Q99" si="13">C93+G93+J93-M93-N93-O93</f>
        <v>-254478.22999999998</v>
      </c>
      <c r="R93" s="349" t="s">
        <v>65</v>
      </c>
      <c r="S93" s="350" t="s">
        <v>20</v>
      </c>
      <c r="T93" s="351" t="s">
        <v>21</v>
      </c>
      <c r="U93" s="352">
        <f>+L93-M93+C93</f>
        <v>0</v>
      </c>
    </row>
    <row r="94" spans="1:21" ht="14.25" customHeight="1">
      <c r="A94" s="353"/>
      <c r="B94" s="35"/>
      <c r="C94" s="84" t="s">
        <v>26</v>
      </c>
      <c r="D94" s="37"/>
      <c r="E94" s="38">
        <f>32.332-28.8628</f>
        <v>3.4692000000000007</v>
      </c>
      <c r="F94" s="38">
        <f>37.8898-33.8306</f>
        <v>4.0592000000000041</v>
      </c>
      <c r="G94" s="39">
        <f>ROUND(D94*(E94+F94),2)</f>
        <v>0</v>
      </c>
      <c r="H94" s="49"/>
      <c r="I94" s="271"/>
      <c r="J94" s="101"/>
      <c r="K94" s="354"/>
      <c r="L94" s="355"/>
      <c r="M94" s="356"/>
      <c r="N94" s="357"/>
      <c r="O94" s="358"/>
      <c r="P94" s="359"/>
      <c r="Q94" s="360"/>
      <c r="R94" s="349"/>
      <c r="S94" s="350"/>
      <c r="T94" s="351"/>
      <c r="U94" s="352"/>
    </row>
    <row r="95" spans="1:21">
      <c r="A95" s="353"/>
      <c r="B95" s="35"/>
      <c r="C95" s="48"/>
      <c r="D95" s="49"/>
      <c r="E95" s="41">
        <f>4.4128-4.4153</f>
        <v>-2.5000000000003908E-3</v>
      </c>
      <c r="F95" s="41">
        <f>+E95</f>
        <v>-2.5000000000003908E-3</v>
      </c>
      <c r="G95" s="50">
        <f>ROUND(D95*E95*70%+D95*F95*30%,2)</f>
        <v>0</v>
      </c>
      <c r="H95" s="49"/>
      <c r="I95" s="271"/>
      <c r="J95" s="41"/>
      <c r="K95" s="354"/>
      <c r="L95" s="355"/>
      <c r="M95" s="356"/>
      <c r="N95" s="357"/>
      <c r="O95" s="358"/>
      <c r="P95" s="359"/>
      <c r="Q95" s="360"/>
      <c r="R95" s="349"/>
      <c r="S95" s="350"/>
      <c r="T95" s="351"/>
      <c r="U95" s="352"/>
    </row>
    <row r="96" spans="1:21">
      <c r="A96" s="353"/>
      <c r="B96" s="35"/>
      <c r="C96" s="48" t="s">
        <v>115</v>
      </c>
      <c r="D96" s="49">
        <v>0</v>
      </c>
      <c r="E96" s="41">
        <f>7.0379-7.0426</f>
        <v>-4.7000000000005926E-3</v>
      </c>
      <c r="F96" s="38">
        <f>+E96</f>
        <v>-4.7000000000005926E-3</v>
      </c>
      <c r="G96" s="50">
        <f>ROUND(+D96*E96,2)</f>
        <v>0</v>
      </c>
      <c r="H96" s="49"/>
      <c r="I96" s="271"/>
      <c r="J96" s="41"/>
      <c r="K96" s="354"/>
      <c r="L96" s="355"/>
      <c r="M96" s="356"/>
      <c r="N96" s="357"/>
      <c r="O96" s="358"/>
      <c r="P96" s="359"/>
      <c r="Q96" s="360"/>
      <c r="R96" s="349"/>
      <c r="S96" s="350"/>
      <c r="T96" s="351"/>
      <c r="U96" s="352"/>
    </row>
    <row r="97" spans="1:21">
      <c r="A97" s="353"/>
      <c r="B97" s="35"/>
      <c r="C97" s="48" t="s">
        <v>114</v>
      </c>
      <c r="D97" s="49">
        <v>88</v>
      </c>
      <c r="E97" s="41">
        <v>6.7431999999999999</v>
      </c>
      <c r="F97" s="41">
        <f>+E97</f>
        <v>6.7431999999999999</v>
      </c>
      <c r="G97" s="50">
        <f>ROUND(D97*E97,2)+0.01</f>
        <v>593.41</v>
      </c>
      <c r="H97" s="361"/>
      <c r="I97" s="362"/>
      <c r="J97" s="207"/>
      <c r="K97" s="363"/>
      <c r="L97" s="364"/>
      <c r="M97" s="365"/>
      <c r="N97" s="366"/>
      <c r="O97" s="367"/>
      <c r="P97" s="368"/>
      <c r="Q97" s="360"/>
      <c r="R97" s="349"/>
      <c r="S97" s="350"/>
      <c r="T97" s="351"/>
      <c r="U97" s="352"/>
    </row>
    <row r="98" spans="1:21" ht="15.75" thickBot="1">
      <c r="A98" s="369"/>
      <c r="B98" s="53" t="s">
        <v>66</v>
      </c>
      <c r="C98" s="99" t="s">
        <v>29</v>
      </c>
      <c r="D98" s="55">
        <v>36589</v>
      </c>
      <c r="E98" s="56">
        <v>6.7431999999999999</v>
      </c>
      <c r="F98" s="370">
        <f>+E98</f>
        <v>6.7431999999999999</v>
      </c>
      <c r="G98" s="58">
        <f>ROUND(D98*E98,2)</f>
        <v>246726.94</v>
      </c>
      <c r="H98" s="248"/>
      <c r="I98" s="203"/>
      <c r="J98" s="60"/>
      <c r="K98" s="203"/>
      <c r="L98" s="204"/>
      <c r="M98" s="371"/>
      <c r="N98" s="372"/>
      <c r="O98" s="373">
        <v>165882.5</v>
      </c>
      <c r="P98" s="374" t="s">
        <v>24</v>
      </c>
      <c r="Q98" s="373">
        <f>G98+J98-M98-N98-O98</f>
        <v>80844.44</v>
      </c>
      <c r="R98" s="349" t="s">
        <v>65</v>
      </c>
      <c r="S98" s="375">
        <f>SUM(O93:O98)</f>
        <v>173040.38</v>
      </c>
      <c r="T98" s="375">
        <f>SUM(Q93:Q98)</f>
        <v>-173633.78999999998</v>
      </c>
    </row>
    <row r="99" spans="1:21" s="81" customFormat="1" ht="15" customHeight="1" thickBot="1">
      <c r="A99" s="376">
        <v>301</v>
      </c>
      <c r="B99" s="70" t="s">
        <v>67</v>
      </c>
      <c r="C99" s="377"/>
      <c r="D99" s="378">
        <v>496</v>
      </c>
      <c r="E99" s="21">
        <v>36.214199999999998</v>
      </c>
      <c r="F99" s="21">
        <v>42.4328</v>
      </c>
      <c r="G99" s="379">
        <f>ROUND(D99*(E99+F99),2)</f>
        <v>39008.910000000003</v>
      </c>
      <c r="H99" s="380">
        <v>748</v>
      </c>
      <c r="I99" s="381">
        <v>16.166</v>
      </c>
      <c r="J99" s="381">
        <f>H99*I99</f>
        <v>12092.168</v>
      </c>
      <c r="K99" s="342" t="s">
        <v>187</v>
      </c>
      <c r="L99" s="382">
        <f>+SUM(G99:G108,J99:J107)</f>
        <v>167806.07800000001</v>
      </c>
      <c r="M99" s="26">
        <v>167806.07999999999</v>
      </c>
      <c r="N99" s="383"/>
      <c r="O99" s="77"/>
      <c r="P99" s="77" t="s">
        <v>68</v>
      </c>
      <c r="Q99" s="384">
        <f t="shared" si="13"/>
        <v>-116705.00199999998</v>
      </c>
      <c r="R99" s="385" t="s">
        <v>69</v>
      </c>
      <c r="S99" s="386"/>
      <c r="T99" s="387"/>
      <c r="U99" s="388"/>
    </row>
    <row r="100" spans="1:21" s="81" customFormat="1" ht="12.75">
      <c r="A100" s="389"/>
      <c r="B100" s="83"/>
      <c r="C100" s="390" t="s">
        <v>26</v>
      </c>
      <c r="D100" s="37"/>
      <c r="E100" s="38">
        <f>32.332-28.8628</f>
        <v>3.4692000000000007</v>
      </c>
      <c r="F100" s="38">
        <v>0</v>
      </c>
      <c r="G100" s="39">
        <f>ROUND(D100*(E100+F100),2)</f>
        <v>0</v>
      </c>
      <c r="H100" s="391"/>
      <c r="I100" s="392"/>
      <c r="J100" s="381"/>
      <c r="K100" s="393"/>
      <c r="L100" s="394"/>
      <c r="M100" s="90"/>
      <c r="N100" s="395"/>
      <c r="O100" s="94"/>
      <c r="P100" s="94"/>
      <c r="Q100" s="396"/>
      <c r="R100" s="397"/>
      <c r="S100" s="398"/>
      <c r="T100" s="399"/>
    </row>
    <row r="101" spans="1:21" s="81" customFormat="1" ht="12.75">
      <c r="A101" s="389"/>
      <c r="B101" s="98" t="s">
        <v>32</v>
      </c>
      <c r="C101" s="99" t="s">
        <v>33</v>
      </c>
      <c r="D101" s="37">
        <v>98</v>
      </c>
      <c r="E101" s="101">
        <v>304.86</v>
      </c>
      <c r="F101" s="38">
        <v>42.4328</v>
      </c>
      <c r="G101" s="400">
        <f>ROUND(D101*(E101+F101),2)</f>
        <v>34034.69</v>
      </c>
      <c r="H101" s="401"/>
      <c r="I101" s="402"/>
      <c r="J101" s="402"/>
      <c r="K101" s="403"/>
      <c r="L101" s="404"/>
      <c r="M101" s="102"/>
      <c r="N101" s="405"/>
      <c r="O101" s="406"/>
      <c r="P101" s="406" t="s">
        <v>68</v>
      </c>
      <c r="Q101" s="407">
        <f>+G101+J101-M101-N101-O101</f>
        <v>34034.69</v>
      </c>
      <c r="R101" s="397" t="s">
        <v>69</v>
      </c>
      <c r="S101" s="398"/>
      <c r="T101" s="399"/>
    </row>
    <row r="102" spans="1:21" s="81" customFormat="1" ht="15" customHeight="1">
      <c r="A102" s="389"/>
      <c r="B102" s="98"/>
      <c r="C102" s="84"/>
      <c r="D102" s="37">
        <v>0</v>
      </c>
      <c r="E102" s="41">
        <f>304.86-291.8</f>
        <v>13.060000000000002</v>
      </c>
      <c r="F102" s="38">
        <v>0</v>
      </c>
      <c r="G102" s="400">
        <f>+D102*(E102+F102)</f>
        <v>0</v>
      </c>
      <c r="H102" s="401"/>
      <c r="I102" s="402"/>
      <c r="J102" s="402"/>
      <c r="K102" s="408"/>
      <c r="L102" s="404"/>
      <c r="M102" s="102"/>
      <c r="N102" s="405"/>
      <c r="O102" s="406"/>
      <c r="P102" s="406"/>
      <c r="Q102" s="407"/>
      <c r="R102" s="397"/>
      <c r="S102" s="398"/>
      <c r="T102" s="399"/>
    </row>
    <row r="103" spans="1:21" s="81" customFormat="1" ht="15" customHeight="1">
      <c r="A103" s="389"/>
      <c r="B103" s="83"/>
      <c r="C103" s="84"/>
      <c r="D103" s="37"/>
      <c r="E103" s="41"/>
      <c r="F103" s="38"/>
      <c r="G103" s="400"/>
      <c r="H103" s="401"/>
      <c r="I103" s="402"/>
      <c r="J103" s="402"/>
      <c r="K103" s="408"/>
      <c r="L103" s="404"/>
      <c r="M103" s="102"/>
      <c r="N103" s="405"/>
      <c r="O103" s="406"/>
      <c r="P103" s="406"/>
      <c r="Q103" s="407"/>
      <c r="R103" s="397"/>
      <c r="S103" s="398"/>
      <c r="T103" s="399"/>
    </row>
    <row r="104" spans="1:21" s="81" customFormat="1" ht="15" customHeight="1">
      <c r="A104" s="389"/>
      <c r="B104" s="83" t="s">
        <v>70</v>
      </c>
      <c r="C104" s="84"/>
      <c r="D104" s="37"/>
      <c r="E104" s="41"/>
      <c r="F104" s="38">
        <v>33.830599999999997</v>
      </c>
      <c r="G104" s="400"/>
      <c r="H104" s="401"/>
      <c r="I104" s="402"/>
      <c r="J104" s="402"/>
      <c r="K104" s="408"/>
      <c r="L104" s="404"/>
      <c r="M104" s="102"/>
      <c r="N104" s="405"/>
      <c r="O104" s="406"/>
      <c r="P104" s="406"/>
      <c r="Q104" s="407"/>
      <c r="R104" s="397"/>
      <c r="S104" s="398"/>
      <c r="T104" s="399"/>
    </row>
    <row r="105" spans="1:21" s="81" customFormat="1" ht="15" customHeight="1">
      <c r="A105" s="389"/>
      <c r="B105" s="83"/>
      <c r="C105" s="48"/>
      <c r="D105" s="37"/>
      <c r="E105" s="41">
        <f>4.4128-4.4153</f>
        <v>-2.5000000000003908E-3</v>
      </c>
      <c r="F105" s="38"/>
      <c r="G105" s="39">
        <f>ROUND(D105*(E105+F105),2)</f>
        <v>0</v>
      </c>
      <c r="H105" s="37"/>
      <c r="I105" s="409"/>
      <c r="J105" s="409"/>
      <c r="K105" s="408"/>
      <c r="L105" s="404"/>
      <c r="M105" s="102"/>
      <c r="N105" s="405"/>
      <c r="O105" s="406"/>
      <c r="P105" s="406"/>
      <c r="Q105" s="407"/>
      <c r="R105" s="397"/>
      <c r="S105" s="398"/>
      <c r="T105" s="399"/>
    </row>
    <row r="106" spans="1:21" s="81" customFormat="1" ht="15" customHeight="1">
      <c r="A106" s="389"/>
      <c r="B106" s="83"/>
      <c r="C106" s="48" t="s">
        <v>115</v>
      </c>
      <c r="D106" s="37">
        <v>12813</v>
      </c>
      <c r="E106" s="41">
        <f>7.0379-7.0426</f>
        <v>-4.7000000000005926E-3</v>
      </c>
      <c r="F106" s="38">
        <f>+E106</f>
        <v>-4.7000000000005926E-3</v>
      </c>
      <c r="G106" s="39">
        <f>ROUND(D106*E106,2)+0.01</f>
        <v>-60.21</v>
      </c>
      <c r="H106" s="37"/>
      <c r="I106" s="409"/>
      <c r="J106" s="409"/>
      <c r="K106" s="408"/>
      <c r="L106" s="404"/>
      <c r="M106" s="102"/>
      <c r="N106" s="405"/>
      <c r="O106" s="406"/>
      <c r="P106" s="406"/>
      <c r="Q106" s="407"/>
      <c r="R106" s="397"/>
      <c r="S106" s="398"/>
      <c r="T106" s="399"/>
    </row>
    <row r="107" spans="1:21" s="81" customFormat="1" ht="15" customHeight="1">
      <c r="A107" s="389"/>
      <c r="B107" s="83"/>
      <c r="C107" s="48" t="s">
        <v>114</v>
      </c>
      <c r="D107" s="37">
        <v>28</v>
      </c>
      <c r="E107" s="41">
        <v>7.0378999999999996</v>
      </c>
      <c r="F107" s="41">
        <f>+E107</f>
        <v>7.0378999999999996</v>
      </c>
      <c r="G107" s="39">
        <f>ROUND(D107*E107,2)+0.01</f>
        <v>197.07</v>
      </c>
      <c r="H107" s="37"/>
      <c r="I107" s="409"/>
      <c r="J107" s="409"/>
      <c r="K107" s="410"/>
      <c r="L107" s="404"/>
      <c r="M107" s="102"/>
      <c r="N107" s="405"/>
      <c r="O107" s="406"/>
      <c r="P107" s="406"/>
      <c r="Q107" s="407"/>
      <c r="R107" s="397"/>
      <c r="S107" s="398"/>
      <c r="T107" s="399"/>
    </row>
    <row r="108" spans="1:21" s="81" customFormat="1" ht="15.75" customHeight="1" thickBot="1">
      <c r="A108" s="411"/>
      <c r="B108" s="412"/>
      <c r="C108" s="99" t="s">
        <v>29</v>
      </c>
      <c r="D108" s="413">
        <v>11727</v>
      </c>
      <c r="E108" s="56">
        <v>7.0378999999999996</v>
      </c>
      <c r="F108" s="370">
        <f>+E108</f>
        <v>7.0378999999999996</v>
      </c>
      <c r="G108" s="414">
        <f>ROUND(D108*E108,2)</f>
        <v>82533.45</v>
      </c>
      <c r="H108" s="248"/>
      <c r="I108" s="60"/>
      <c r="J108" s="60"/>
      <c r="K108" s="203"/>
      <c r="L108" s="204"/>
      <c r="M108" s="371"/>
      <c r="N108" s="415"/>
      <c r="O108" s="416"/>
      <c r="P108" s="416" t="s">
        <v>68</v>
      </c>
      <c r="Q108" s="417">
        <f>+G108+J108-M108-N108-O108</f>
        <v>82533.45</v>
      </c>
      <c r="R108" s="418" t="s">
        <v>69</v>
      </c>
      <c r="S108" s="419">
        <f>SUM(O99:O108)</f>
        <v>0</v>
      </c>
      <c r="T108" s="419">
        <f>SUM(Q99:Q108)</f>
        <v>-136.86199999997916</v>
      </c>
    </row>
    <row r="109" spans="1:21" s="81" customFormat="1" ht="15.75" customHeight="1" thickBot="1">
      <c r="A109" s="376"/>
      <c r="B109" s="420" t="s">
        <v>72</v>
      </c>
      <c r="C109" s="377" t="s">
        <v>73</v>
      </c>
      <c r="D109" s="378">
        <v>144</v>
      </c>
      <c r="E109" s="21">
        <v>36.214199999999998</v>
      </c>
      <c r="F109" s="21">
        <v>42.4328</v>
      </c>
      <c r="G109" s="22">
        <f>+D109*(E109+F109)</f>
        <v>11325.167999999998</v>
      </c>
      <c r="H109" s="303">
        <v>186</v>
      </c>
      <c r="I109" s="381">
        <v>16.166</v>
      </c>
      <c r="J109" s="381">
        <f>H109*I109</f>
        <v>3006.8760000000002</v>
      </c>
      <c r="K109" s="342" t="s">
        <v>187</v>
      </c>
      <c r="L109" s="263">
        <f>SUM(G109:G113,J109:J113)</f>
        <v>246139.86399999997</v>
      </c>
      <c r="M109" s="26">
        <v>246139.86</v>
      </c>
      <c r="N109" s="421"/>
      <c r="O109" s="77"/>
      <c r="P109" s="77"/>
      <c r="Q109" s="384"/>
      <c r="R109" s="422"/>
      <c r="S109" s="399"/>
      <c r="T109" s="399"/>
    </row>
    <row r="110" spans="1:21" s="81" customFormat="1" ht="15.75" customHeight="1">
      <c r="A110" s="389"/>
      <c r="B110" s="83"/>
      <c r="C110" s="84" t="s">
        <v>26</v>
      </c>
      <c r="D110" s="37"/>
      <c r="E110" s="38">
        <f>32.332-28.8628</f>
        <v>3.4692000000000007</v>
      </c>
      <c r="F110" s="38">
        <f>37.8898-33.8306</f>
        <v>4.0592000000000041</v>
      </c>
      <c r="G110" s="39">
        <f>ROUND(D110*(E110+F110),2)</f>
        <v>0</v>
      </c>
      <c r="H110" s="270"/>
      <c r="I110" s="392"/>
      <c r="J110" s="381"/>
      <c r="K110" s="393"/>
      <c r="L110" s="272"/>
      <c r="M110" s="102"/>
      <c r="N110" s="423"/>
      <c r="O110" s="406"/>
      <c r="P110" s="406"/>
      <c r="Q110" s="424"/>
      <c r="R110" s="422"/>
      <c r="S110" s="399"/>
      <c r="T110" s="399"/>
    </row>
    <row r="111" spans="1:21" s="81" customFormat="1" ht="15.75" customHeight="1">
      <c r="A111" s="389"/>
      <c r="B111" s="83"/>
      <c r="C111" s="48" t="s">
        <v>115</v>
      </c>
      <c r="D111" s="37">
        <v>32839</v>
      </c>
      <c r="E111" s="41">
        <f>7.0379-7.0426</f>
        <v>-4.7000000000005926E-3</v>
      </c>
      <c r="F111" s="38"/>
      <c r="G111" s="39">
        <f>ROUND(D111*(E111),2)+0.02</f>
        <v>-154.32</v>
      </c>
      <c r="H111" s="270"/>
      <c r="I111" s="41"/>
      <c r="J111" s="41"/>
      <c r="K111" s="271"/>
      <c r="L111" s="272"/>
      <c r="M111" s="102"/>
      <c r="N111" s="423"/>
      <c r="O111" s="406"/>
      <c r="P111" s="406"/>
      <c r="Q111" s="424"/>
      <c r="R111" s="422"/>
      <c r="S111" s="399"/>
      <c r="T111" s="399"/>
    </row>
    <row r="112" spans="1:21" s="81" customFormat="1" ht="15.75" customHeight="1">
      <c r="A112" s="389"/>
      <c r="B112" s="83"/>
      <c r="C112" s="48" t="s">
        <v>114</v>
      </c>
      <c r="D112" s="37">
        <v>79</v>
      </c>
      <c r="E112" s="41">
        <v>7.0378999999999996</v>
      </c>
      <c r="F112" s="38"/>
      <c r="G112" s="39">
        <f>ROUND(D112*(E112),2)</f>
        <v>555.99</v>
      </c>
      <c r="H112" s="270"/>
      <c r="I112" s="41"/>
      <c r="J112" s="41"/>
      <c r="K112" s="271"/>
      <c r="L112" s="272"/>
      <c r="M112" s="102"/>
      <c r="N112" s="423"/>
      <c r="O112" s="406"/>
      <c r="P112" s="406"/>
      <c r="Q112" s="425"/>
      <c r="R112" s="422"/>
      <c r="S112" s="399"/>
      <c r="T112" s="399"/>
    </row>
    <row r="113" spans="1:20" s="81" customFormat="1" ht="15.75" customHeight="1" thickBot="1">
      <c r="A113" s="411"/>
      <c r="B113" s="412"/>
      <c r="C113" s="99" t="s">
        <v>29</v>
      </c>
      <c r="D113" s="413">
        <v>32880</v>
      </c>
      <c r="E113" s="56">
        <v>7.0378999999999996</v>
      </c>
      <c r="F113" s="281"/>
      <c r="G113" s="414">
        <f>ROUND(D113*(E113),2)</f>
        <v>231406.15</v>
      </c>
      <c r="H113" s="280"/>
      <c r="I113" s="281"/>
      <c r="J113" s="281"/>
      <c r="K113" s="282"/>
      <c r="L113" s="204"/>
      <c r="M113" s="371"/>
      <c r="N113" s="426"/>
      <c r="O113" s="416"/>
      <c r="P113" s="416"/>
      <c r="Q113" s="417"/>
      <c r="R113" s="422"/>
      <c r="S113" s="399"/>
      <c r="T113" s="399"/>
    </row>
    <row r="114" spans="1:20" s="81" customFormat="1" ht="15.75" customHeight="1" thickBot="1">
      <c r="A114" s="376"/>
      <c r="B114" s="427" t="s">
        <v>74</v>
      </c>
      <c r="C114" s="377" t="s">
        <v>73</v>
      </c>
      <c r="D114" s="378">
        <v>12</v>
      </c>
      <c r="E114" s="21">
        <v>36.214199999999998</v>
      </c>
      <c r="F114" s="21">
        <v>42.4328</v>
      </c>
      <c r="G114" s="22">
        <f>ROUND(D114*(E114+F114),2)</f>
        <v>943.76</v>
      </c>
      <c r="H114" s="303">
        <v>24</v>
      </c>
      <c r="I114" s="381">
        <v>16.166</v>
      </c>
      <c r="J114" s="381">
        <f>H114*I114</f>
        <v>387.98400000000004</v>
      </c>
      <c r="K114" s="342" t="s">
        <v>187</v>
      </c>
      <c r="L114" s="263">
        <f>SUM(G114:G120,J114:J120)</f>
        <v>20900.534000000003</v>
      </c>
      <c r="M114" s="26">
        <v>20900.53</v>
      </c>
      <c r="N114" s="421"/>
      <c r="O114" s="77"/>
      <c r="P114" s="77"/>
      <c r="Q114" s="384"/>
      <c r="R114" s="422"/>
      <c r="S114" s="399"/>
      <c r="T114" s="399"/>
    </row>
    <row r="115" spans="1:20" s="81" customFormat="1" ht="15.75" customHeight="1">
      <c r="A115" s="389"/>
      <c r="B115" s="98" t="s">
        <v>75</v>
      </c>
      <c r="C115" s="84" t="s">
        <v>26</v>
      </c>
      <c r="D115" s="37"/>
      <c r="E115" s="38">
        <f>32.332-28.8628</f>
        <v>3.4692000000000007</v>
      </c>
      <c r="F115" s="38">
        <f>37.8898-33.8306</f>
        <v>4.0592000000000041</v>
      </c>
      <c r="G115" s="39">
        <f>ROUND(D115*(E115+F115),2)</f>
        <v>0</v>
      </c>
      <c r="H115" s="270"/>
      <c r="I115" s="392"/>
      <c r="J115" s="381"/>
      <c r="K115" s="393"/>
      <c r="L115" s="272"/>
      <c r="M115" s="102"/>
      <c r="N115" s="423"/>
      <c r="O115" s="406"/>
      <c r="P115" s="406"/>
      <c r="Q115" s="424"/>
      <c r="R115" s="422"/>
      <c r="S115" s="399"/>
      <c r="T115" s="399"/>
    </row>
    <row r="116" spans="1:20" s="81" customFormat="1" ht="15.75" customHeight="1">
      <c r="A116" s="389"/>
      <c r="B116" s="83"/>
      <c r="C116" s="99" t="s">
        <v>33</v>
      </c>
      <c r="D116" s="428">
        <v>6</v>
      </c>
      <c r="E116" s="101">
        <v>304.86</v>
      </c>
      <c r="F116" s="38">
        <v>42.43</v>
      </c>
      <c r="G116" s="39">
        <f>ROUND(D116*(E116+F116),2)</f>
        <v>2083.7399999999998</v>
      </c>
      <c r="H116" s="270"/>
      <c r="I116" s="41"/>
      <c r="J116" s="41"/>
      <c r="K116" s="271"/>
      <c r="L116" s="272"/>
      <c r="M116" s="102"/>
      <c r="N116" s="423"/>
      <c r="O116" s="406"/>
      <c r="P116" s="406"/>
      <c r="Q116" s="424"/>
      <c r="R116" s="422"/>
      <c r="S116" s="399"/>
      <c r="T116" s="399"/>
    </row>
    <row r="117" spans="1:20" s="81" customFormat="1" ht="15.75" customHeight="1">
      <c r="A117" s="389"/>
      <c r="B117" s="83"/>
      <c r="C117" s="48" t="s">
        <v>76</v>
      </c>
      <c r="D117" s="37">
        <v>0</v>
      </c>
      <c r="E117" s="41">
        <f>304.86-291.8</f>
        <v>13.060000000000002</v>
      </c>
      <c r="F117" s="38"/>
      <c r="G117" s="39">
        <f>ROUND(D117*(E117+F117),2)</f>
        <v>0</v>
      </c>
      <c r="H117" s="270"/>
      <c r="I117" s="41"/>
      <c r="J117" s="41"/>
      <c r="K117" s="271"/>
      <c r="L117" s="272"/>
      <c r="M117" s="102"/>
      <c r="N117" s="423"/>
      <c r="O117" s="406"/>
      <c r="P117" s="406"/>
      <c r="Q117" s="424"/>
      <c r="R117" s="422"/>
      <c r="S117" s="399"/>
      <c r="T117" s="399"/>
    </row>
    <row r="118" spans="1:20" s="81" customFormat="1" ht="15.75" customHeight="1">
      <c r="A118" s="389"/>
      <c r="B118" s="83"/>
      <c r="C118" s="48" t="s">
        <v>115</v>
      </c>
      <c r="D118" s="37">
        <v>2379.73</v>
      </c>
      <c r="E118" s="41">
        <f>7.0379-7.0426</f>
        <v>-4.7000000000005926E-3</v>
      </c>
      <c r="F118" s="38"/>
      <c r="G118" s="39">
        <f>ROUND(D118*(E118+F118),2)+0.01</f>
        <v>-11.17</v>
      </c>
      <c r="H118" s="270"/>
      <c r="I118" s="41"/>
      <c r="J118" s="41"/>
      <c r="K118" s="271"/>
      <c r="L118" s="272"/>
      <c r="M118" s="102"/>
      <c r="N118" s="423"/>
      <c r="O118" s="406"/>
      <c r="P118" s="406"/>
      <c r="Q118" s="424"/>
      <c r="R118" s="422"/>
      <c r="S118" s="399"/>
      <c r="T118" s="399"/>
    </row>
    <row r="119" spans="1:20" s="81" customFormat="1" ht="15.75" customHeight="1">
      <c r="A119" s="389"/>
      <c r="B119" s="83"/>
      <c r="C119" s="48" t="s">
        <v>114</v>
      </c>
      <c r="D119" s="37">
        <v>6</v>
      </c>
      <c r="E119" s="41">
        <v>7.0378999999999996</v>
      </c>
      <c r="F119" s="38"/>
      <c r="G119" s="39">
        <f>ROUND(D119*E119,2)</f>
        <v>42.23</v>
      </c>
      <c r="H119" s="270"/>
      <c r="I119" s="41"/>
      <c r="J119" s="41"/>
      <c r="K119" s="271"/>
      <c r="L119" s="272"/>
      <c r="M119" s="102"/>
      <c r="N119" s="423"/>
      <c r="O119" s="406"/>
      <c r="P119" s="406"/>
      <c r="Q119" s="425"/>
      <c r="R119" s="422"/>
      <c r="S119" s="399"/>
      <c r="T119" s="399"/>
    </row>
    <row r="120" spans="1:20" s="81" customFormat="1" ht="15" customHeight="1" thickBot="1">
      <c r="A120" s="411"/>
      <c r="B120" s="412"/>
      <c r="C120" s="99" t="s">
        <v>29</v>
      </c>
      <c r="D120" s="413">
        <v>2480</v>
      </c>
      <c r="E120" s="56">
        <v>7.0378999999999996</v>
      </c>
      <c r="F120" s="281"/>
      <c r="G120" s="414">
        <f t="shared" ref="G120:G127" si="14">ROUND(D120*(E120+F120),2)</f>
        <v>17453.990000000002</v>
      </c>
      <c r="H120" s="280"/>
      <c r="I120" s="281"/>
      <c r="J120" s="281"/>
      <c r="K120" s="282"/>
      <c r="L120" s="204"/>
      <c r="M120" s="371"/>
      <c r="N120" s="426"/>
      <c r="O120" s="416"/>
      <c r="P120" s="416"/>
      <c r="Q120" s="417"/>
      <c r="R120" s="422"/>
      <c r="S120" s="399"/>
      <c r="T120" s="399"/>
    </row>
    <row r="121" spans="1:20" s="81" customFormat="1" ht="15" customHeight="1" thickBot="1">
      <c r="A121" s="376"/>
      <c r="B121" s="420" t="s">
        <v>77</v>
      </c>
      <c r="C121" s="377" t="s">
        <v>73</v>
      </c>
      <c r="D121" s="378">
        <v>4</v>
      </c>
      <c r="E121" s="21">
        <v>36.214199999999998</v>
      </c>
      <c r="F121" s="21">
        <v>42.4328</v>
      </c>
      <c r="G121" s="22">
        <f t="shared" si="14"/>
        <v>314.58999999999997</v>
      </c>
      <c r="H121" s="303">
        <v>6</v>
      </c>
      <c r="I121" s="381">
        <v>16.166</v>
      </c>
      <c r="J121" s="381">
        <f>H121*I121</f>
        <v>96.996000000000009</v>
      </c>
      <c r="K121" s="342" t="s">
        <v>187</v>
      </c>
      <c r="L121" s="382">
        <f>+SUM(G121:G127,J121:J127)</f>
        <v>4007.8160000000003</v>
      </c>
      <c r="M121" s="26">
        <v>4007.82</v>
      </c>
      <c r="N121" s="421"/>
      <c r="O121" s="77"/>
      <c r="P121" s="77"/>
      <c r="Q121" s="384"/>
      <c r="R121" s="422"/>
      <c r="S121" s="399"/>
      <c r="T121" s="399"/>
    </row>
    <row r="122" spans="1:20" s="81" customFormat="1" ht="15" customHeight="1">
      <c r="A122" s="389"/>
      <c r="B122" s="83"/>
      <c r="C122" s="84" t="s">
        <v>26</v>
      </c>
      <c r="D122" s="37"/>
      <c r="E122" s="38">
        <v>3.4692000000000007</v>
      </c>
      <c r="F122" s="38"/>
      <c r="G122" s="39">
        <f t="shared" si="14"/>
        <v>0</v>
      </c>
      <c r="H122" s="270"/>
      <c r="I122" s="392"/>
      <c r="J122" s="381"/>
      <c r="K122" s="393"/>
      <c r="L122" s="429"/>
      <c r="M122" s="102"/>
      <c r="N122" s="430"/>
      <c r="O122" s="431"/>
      <c r="P122" s="431"/>
      <c r="Q122" s="424"/>
      <c r="R122" s="422"/>
      <c r="S122" s="399"/>
      <c r="T122" s="399"/>
    </row>
    <row r="123" spans="1:20" s="81" customFormat="1" ht="15" customHeight="1">
      <c r="A123" s="389"/>
      <c r="B123" s="98" t="s">
        <v>32</v>
      </c>
      <c r="C123" s="99" t="s">
        <v>33</v>
      </c>
      <c r="D123" s="37">
        <v>4</v>
      </c>
      <c r="E123" s="101">
        <v>304.86</v>
      </c>
      <c r="F123" s="38">
        <v>42.4328</v>
      </c>
      <c r="G123" s="39">
        <f t="shared" si="14"/>
        <v>1389.17</v>
      </c>
      <c r="H123" s="270"/>
      <c r="I123" s="41"/>
      <c r="J123" s="41"/>
      <c r="K123" s="271"/>
      <c r="L123" s="272"/>
      <c r="M123" s="102"/>
      <c r="N123" s="430"/>
      <c r="O123" s="431"/>
      <c r="P123" s="431"/>
      <c r="Q123" s="424"/>
      <c r="R123" s="422"/>
      <c r="S123" s="399"/>
      <c r="T123" s="399"/>
    </row>
    <row r="124" spans="1:20" s="81" customFormat="1" ht="15" customHeight="1">
      <c r="A124" s="389"/>
      <c r="B124" s="83"/>
      <c r="C124" s="48" t="s">
        <v>78</v>
      </c>
      <c r="D124" s="37">
        <v>0</v>
      </c>
      <c r="E124" s="41"/>
      <c r="F124" s="38"/>
      <c r="G124" s="39">
        <f>ROUND(D124*(E124+F124),2)</f>
        <v>0</v>
      </c>
      <c r="H124" s="270"/>
      <c r="I124" s="41"/>
      <c r="J124" s="41"/>
      <c r="K124" s="271"/>
      <c r="L124" s="272"/>
      <c r="M124" s="102"/>
      <c r="N124" s="430"/>
      <c r="O124" s="431"/>
      <c r="P124" s="431"/>
      <c r="Q124" s="424"/>
      <c r="R124" s="422"/>
      <c r="S124" s="399"/>
      <c r="T124" s="399"/>
    </row>
    <row r="125" spans="1:20" s="81" customFormat="1" ht="15" customHeight="1">
      <c r="A125" s="389"/>
      <c r="B125" s="83"/>
      <c r="C125" s="48" t="s">
        <v>115</v>
      </c>
      <c r="D125" s="37">
        <v>306.7</v>
      </c>
      <c r="E125" s="41">
        <f>7.0379-7.0426</f>
        <v>-4.7000000000005926E-3</v>
      </c>
      <c r="F125" s="38"/>
      <c r="G125" s="39">
        <f>ROUND(D125*(E125+F125),2)+0.01</f>
        <v>-1.43</v>
      </c>
      <c r="H125" s="270"/>
      <c r="I125" s="41"/>
      <c r="J125" s="41"/>
      <c r="K125" s="271"/>
      <c r="L125" s="272"/>
      <c r="M125" s="102"/>
      <c r="N125" s="430"/>
      <c r="O125" s="431"/>
      <c r="P125" s="431"/>
      <c r="Q125" s="424"/>
      <c r="R125" s="422"/>
      <c r="S125" s="399"/>
      <c r="T125" s="399"/>
    </row>
    <row r="126" spans="1:20" s="81" customFormat="1" ht="15" customHeight="1">
      <c r="A126" s="389"/>
      <c r="B126" s="83"/>
      <c r="C126" s="48" t="s">
        <v>114</v>
      </c>
      <c r="D126" s="37">
        <v>0.8</v>
      </c>
      <c r="E126" s="41">
        <v>7.0378999999999996</v>
      </c>
      <c r="F126" s="38"/>
      <c r="G126" s="39">
        <f t="shared" si="14"/>
        <v>5.63</v>
      </c>
      <c r="H126" s="432"/>
      <c r="I126" s="207"/>
      <c r="J126" s="207"/>
      <c r="K126" s="362"/>
      <c r="L126" s="433"/>
      <c r="M126" s="63"/>
      <c r="N126" s="434"/>
      <c r="O126" s="435"/>
      <c r="P126" s="435"/>
      <c r="Q126" s="425"/>
      <c r="R126" s="422"/>
      <c r="S126" s="399"/>
      <c r="T126" s="399"/>
    </row>
    <row r="127" spans="1:20" s="81" customFormat="1" ht="15" customHeight="1" thickBot="1">
      <c r="A127" s="411"/>
      <c r="B127" s="412"/>
      <c r="C127" s="99" t="s">
        <v>29</v>
      </c>
      <c r="D127" s="413">
        <v>313</v>
      </c>
      <c r="E127" s="56">
        <v>7.0378999999999996</v>
      </c>
      <c r="F127" s="281"/>
      <c r="G127" s="414">
        <f t="shared" si="14"/>
        <v>2202.86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36"/>
      <c r="S127" s="399"/>
      <c r="T127" s="399"/>
    </row>
    <row r="128" spans="1:20" s="81" customFormat="1" ht="15" customHeight="1">
      <c r="A128" s="437"/>
      <c r="B128" s="438" t="s">
        <v>38</v>
      </c>
      <c r="C128" s="439"/>
      <c r="D128" s="378"/>
      <c r="E128" s="23"/>
      <c r="F128" s="23"/>
      <c r="G128" s="22"/>
      <c r="H128" s="303"/>
      <c r="I128" s="23"/>
      <c r="J128" s="23"/>
      <c r="K128" s="304"/>
      <c r="L128" s="382">
        <f>+SUM(G128:G131,J128:J131)</f>
        <v>3920.34</v>
      </c>
      <c r="M128" s="26">
        <v>3920.34</v>
      </c>
      <c r="N128" s="421"/>
      <c r="O128" s="77"/>
      <c r="P128" s="77"/>
      <c r="Q128" s="77">
        <f>+L128-M128</f>
        <v>0</v>
      </c>
      <c r="R128" s="440"/>
      <c r="S128" s="399"/>
      <c r="T128" s="399"/>
    </row>
    <row r="129" spans="1:20" s="81" customFormat="1" ht="15" customHeight="1">
      <c r="A129" s="441"/>
      <c r="B129" s="442"/>
      <c r="C129" s="48" t="s">
        <v>115</v>
      </c>
      <c r="D129" s="37">
        <v>401</v>
      </c>
      <c r="E129" s="41">
        <f>7.0379-7.0426</f>
        <v>-4.7000000000005926E-3</v>
      </c>
      <c r="F129" s="41"/>
      <c r="G129" s="39">
        <f>ROUND(D129*E129,2)</f>
        <v>-1.88</v>
      </c>
      <c r="H129" s="260"/>
      <c r="I129" s="261"/>
      <c r="J129" s="261"/>
      <c r="K129" s="262"/>
      <c r="L129" s="394"/>
      <c r="M129" s="90"/>
      <c r="N129" s="443"/>
      <c r="O129" s="94"/>
      <c r="P129" s="94"/>
      <c r="Q129" s="94"/>
      <c r="R129" s="422"/>
      <c r="S129" s="399"/>
      <c r="T129" s="399"/>
    </row>
    <row r="130" spans="1:20" s="81" customFormat="1">
      <c r="A130" s="441"/>
      <c r="B130" s="444"/>
      <c r="C130" s="48" t="s">
        <v>114</v>
      </c>
      <c r="D130" s="37">
        <v>1.3</v>
      </c>
      <c r="E130" s="41">
        <v>7.0378999999999996</v>
      </c>
      <c r="F130" s="41"/>
      <c r="G130" s="39">
        <f t="shared" ref="G130:G138" si="15">ROUND(D130*E130,2)</f>
        <v>9.15</v>
      </c>
      <c r="H130" s="432"/>
      <c r="I130" s="207"/>
      <c r="J130" s="207"/>
      <c r="K130" s="362"/>
      <c r="L130" s="433"/>
      <c r="M130" s="63"/>
      <c r="N130" s="423"/>
      <c r="O130" s="406"/>
      <c r="P130" s="406"/>
      <c r="Q130" s="406"/>
      <c r="R130" s="422"/>
      <c r="S130" s="399"/>
      <c r="T130" s="399"/>
    </row>
    <row r="131" spans="1:20" s="81" customFormat="1" ht="15" customHeight="1" thickBot="1">
      <c r="A131" s="445"/>
      <c r="B131" s="446"/>
      <c r="C131" s="99" t="s">
        <v>29</v>
      </c>
      <c r="D131" s="413">
        <v>556</v>
      </c>
      <c r="E131" s="56">
        <v>7.0378999999999996</v>
      </c>
      <c r="F131" s="281"/>
      <c r="G131" s="414">
        <f t="shared" si="15"/>
        <v>3913.07</v>
      </c>
      <c r="H131" s="280"/>
      <c r="I131" s="281"/>
      <c r="J131" s="281"/>
      <c r="K131" s="282"/>
      <c r="L131" s="204"/>
      <c r="M131" s="371"/>
      <c r="N131" s="434"/>
      <c r="O131" s="435"/>
      <c r="P131" s="435"/>
      <c r="Q131" s="435"/>
      <c r="R131" s="422"/>
      <c r="S131" s="399"/>
      <c r="T131" s="399"/>
    </row>
    <row r="132" spans="1:20" s="81" customFormat="1" ht="15" customHeight="1">
      <c r="A132" s="437"/>
      <c r="B132" s="438" t="s">
        <v>122</v>
      </c>
      <c r="C132" s="439"/>
      <c r="D132" s="378"/>
      <c r="E132" s="23"/>
      <c r="F132" s="23"/>
      <c r="G132" s="22"/>
      <c r="H132" s="303"/>
      <c r="I132" s="23"/>
      <c r="J132" s="23"/>
      <c r="K132" s="304"/>
      <c r="L132" s="382">
        <f>+SUM(G132:G135,J132:J135)</f>
        <v>1508.61</v>
      </c>
      <c r="M132" s="26">
        <v>1508.61</v>
      </c>
      <c r="N132" s="421"/>
      <c r="O132" s="77"/>
      <c r="P132" s="77"/>
      <c r="Q132" s="77"/>
      <c r="R132" s="440"/>
      <c r="S132" s="399"/>
      <c r="T132" s="399"/>
    </row>
    <row r="133" spans="1:20" s="81" customFormat="1" ht="15" customHeight="1" thickBot="1">
      <c r="A133" s="441"/>
      <c r="B133" s="442"/>
      <c r="C133" s="48" t="s">
        <v>115</v>
      </c>
      <c r="D133" s="37">
        <v>231.55</v>
      </c>
      <c r="E133" s="41">
        <f>7.0379-7.0426</f>
        <v>-4.7000000000005926E-3</v>
      </c>
      <c r="F133" s="41"/>
      <c r="G133" s="414">
        <f>ROUND(D133*E133,2)</f>
        <v>-1.0900000000000001</v>
      </c>
      <c r="H133" s="260"/>
      <c r="I133" s="261"/>
      <c r="J133" s="261"/>
      <c r="K133" s="262"/>
      <c r="L133" s="394"/>
      <c r="M133" s="90"/>
      <c r="N133" s="443"/>
      <c r="O133" s="94"/>
      <c r="P133" s="94"/>
      <c r="Q133" s="94"/>
      <c r="R133" s="422"/>
      <c r="S133" s="399"/>
      <c r="T133" s="399"/>
    </row>
    <row r="134" spans="1:20" s="81" customFormat="1" ht="15" customHeight="1" thickBot="1">
      <c r="A134" s="441"/>
      <c r="B134" s="444"/>
      <c r="C134" s="48" t="s">
        <v>114</v>
      </c>
      <c r="D134" s="37">
        <v>0.51</v>
      </c>
      <c r="E134" s="41">
        <v>7.0378999999999996</v>
      </c>
      <c r="F134" s="41"/>
      <c r="G134" s="414">
        <f t="shared" si="15"/>
        <v>3.59</v>
      </c>
      <c r="H134" s="432"/>
      <c r="I134" s="207"/>
      <c r="J134" s="207"/>
      <c r="K134" s="362"/>
      <c r="L134" s="433"/>
      <c r="M134" s="63"/>
      <c r="N134" s="423"/>
      <c r="O134" s="406"/>
      <c r="P134" s="406"/>
      <c r="Q134" s="406"/>
      <c r="R134" s="422"/>
      <c r="S134" s="399"/>
      <c r="T134" s="399"/>
    </row>
    <row r="135" spans="1:20" s="81" customFormat="1" ht="15" customHeight="1" thickBot="1">
      <c r="A135" s="445"/>
      <c r="B135" s="446"/>
      <c r="C135" s="99" t="s">
        <v>29</v>
      </c>
      <c r="D135" s="413">
        <v>214</v>
      </c>
      <c r="E135" s="56">
        <v>7.0378999999999996</v>
      </c>
      <c r="F135" s="281"/>
      <c r="G135" s="414">
        <f t="shared" si="15"/>
        <v>1506.11</v>
      </c>
      <c r="H135" s="280"/>
      <c r="I135" s="281"/>
      <c r="J135" s="281"/>
      <c r="K135" s="282"/>
      <c r="L135" s="204"/>
      <c r="M135" s="371"/>
      <c r="N135" s="434"/>
      <c r="O135" s="435"/>
      <c r="P135" s="435"/>
      <c r="Q135" s="435"/>
      <c r="R135" s="422"/>
      <c r="S135" s="399"/>
      <c r="T135" s="399"/>
    </row>
    <row r="136" spans="1:20" s="81" customFormat="1" ht="15" customHeight="1">
      <c r="A136" s="447"/>
      <c r="B136" s="438" t="s">
        <v>79</v>
      </c>
      <c r="C136" s="48" t="s">
        <v>115</v>
      </c>
      <c r="D136" s="448">
        <v>4336</v>
      </c>
      <c r="E136" s="41">
        <f>7.0379-7.0426</f>
        <v>-4.7000000000005926E-3</v>
      </c>
      <c r="F136" s="261"/>
      <c r="G136" s="449">
        <f>ROUND(D136*E136,2)</f>
        <v>-20.38</v>
      </c>
      <c r="H136" s="303"/>
      <c r="I136" s="23"/>
      <c r="J136" s="23"/>
      <c r="K136" s="304"/>
      <c r="L136" s="263">
        <f>SUM(G136:G138)</f>
        <v>28314.21</v>
      </c>
      <c r="M136" s="26">
        <v>28314.21</v>
      </c>
      <c r="N136" s="421"/>
      <c r="O136" s="77"/>
      <c r="P136" s="77"/>
      <c r="Q136" s="384"/>
      <c r="R136" s="422"/>
      <c r="S136" s="399"/>
      <c r="T136" s="399"/>
    </row>
    <row r="137" spans="1:20" s="81" customFormat="1" ht="15" customHeight="1">
      <c r="A137" s="450"/>
      <c r="B137" s="442"/>
      <c r="C137" s="48" t="s">
        <v>114</v>
      </c>
      <c r="D137" s="448">
        <v>10</v>
      </c>
      <c r="E137" s="41">
        <v>7.0378999999999996</v>
      </c>
      <c r="F137" s="261"/>
      <c r="G137" s="449">
        <f t="shared" si="15"/>
        <v>70.38</v>
      </c>
      <c r="H137" s="260"/>
      <c r="I137" s="261"/>
      <c r="J137" s="261"/>
      <c r="K137" s="262"/>
      <c r="L137" s="286"/>
      <c r="M137" s="90"/>
      <c r="N137" s="423"/>
      <c r="O137" s="406"/>
      <c r="P137" s="406"/>
      <c r="Q137" s="407"/>
      <c r="R137" s="422"/>
      <c r="S137" s="399"/>
      <c r="T137" s="399"/>
    </row>
    <row r="138" spans="1:20" s="81" customFormat="1" ht="15" customHeight="1" thickBot="1">
      <c r="A138" s="451"/>
      <c r="B138" s="446"/>
      <c r="C138" s="99" t="s">
        <v>29</v>
      </c>
      <c r="D138" s="452">
        <v>4016</v>
      </c>
      <c r="E138" s="56">
        <v>7.0378999999999996</v>
      </c>
      <c r="F138" s="207"/>
      <c r="G138" s="453">
        <f t="shared" si="15"/>
        <v>28264.21</v>
      </c>
      <c r="H138" s="280"/>
      <c r="I138" s="281"/>
      <c r="J138" s="281"/>
      <c r="K138" s="282"/>
      <c r="L138" s="204"/>
      <c r="M138" s="371"/>
      <c r="N138" s="426"/>
      <c r="O138" s="416"/>
      <c r="P138" s="416"/>
      <c r="Q138" s="417"/>
      <c r="R138" s="422"/>
      <c r="S138" s="399"/>
      <c r="T138" s="399"/>
    </row>
    <row r="139" spans="1:20" s="81" customFormat="1" ht="15" customHeight="1" thickBot="1">
      <c r="A139" s="437"/>
      <c r="B139" s="438" t="s">
        <v>82</v>
      </c>
      <c r="C139" s="377" t="s">
        <v>73</v>
      </c>
      <c r="D139" s="378">
        <v>30</v>
      </c>
      <c r="E139" s="21">
        <v>36.214199999999998</v>
      </c>
      <c r="F139" s="21">
        <v>42.4328</v>
      </c>
      <c r="G139" s="22">
        <f>+D139*(E139+F139)</f>
        <v>2359.41</v>
      </c>
      <c r="H139" s="303">
        <v>29</v>
      </c>
      <c r="I139" s="381">
        <v>16.166</v>
      </c>
      <c r="J139" s="381">
        <f>H139*I139</f>
        <v>468.81400000000002</v>
      </c>
      <c r="K139" s="342" t="s">
        <v>187</v>
      </c>
      <c r="L139" s="263">
        <f>SUM(G139:G143,J139:J143)</f>
        <v>98563.453999999998</v>
      </c>
      <c r="M139" s="26">
        <v>98563.45</v>
      </c>
      <c r="N139" s="421"/>
      <c r="O139" s="77"/>
      <c r="P139" s="77"/>
      <c r="Q139" s="384"/>
      <c r="R139" s="422"/>
      <c r="S139" s="399"/>
      <c r="T139" s="399"/>
    </row>
    <row r="140" spans="1:20" s="81" customFormat="1" ht="15" customHeight="1">
      <c r="A140" s="441"/>
      <c r="B140" s="442"/>
      <c r="C140" s="36" t="s">
        <v>26</v>
      </c>
      <c r="D140" s="37"/>
      <c r="E140" s="38">
        <v>3.4692000000000007</v>
      </c>
      <c r="F140" s="38">
        <f>37.8898-33.8306</f>
        <v>4.0592000000000041</v>
      </c>
      <c r="G140" s="39">
        <f>ROUND(D140*(E140+F140),2)</f>
        <v>0</v>
      </c>
      <c r="H140" s="457"/>
      <c r="I140" s="392"/>
      <c r="J140" s="381"/>
      <c r="K140" s="393"/>
      <c r="L140" s="459"/>
      <c r="M140" s="44"/>
      <c r="N140" s="430"/>
      <c r="O140" s="431"/>
      <c r="P140" s="431"/>
      <c r="Q140" s="424"/>
      <c r="R140" s="422"/>
      <c r="S140" s="399"/>
      <c r="T140" s="399"/>
    </row>
    <row r="141" spans="1:20" s="81" customFormat="1" ht="15" customHeight="1">
      <c r="A141" s="441"/>
      <c r="B141" s="442"/>
      <c r="C141" s="48" t="s">
        <v>115</v>
      </c>
      <c r="D141" s="37">
        <v>13757</v>
      </c>
      <c r="E141" s="41">
        <f>7.0379-7.0426</f>
        <v>-4.7000000000005926E-3</v>
      </c>
      <c r="F141" s="38"/>
      <c r="G141" s="39">
        <f>ROUND(D141*(E141),2)</f>
        <v>-64.66</v>
      </c>
      <c r="H141" s="270"/>
      <c r="I141" s="41"/>
      <c r="J141" s="41"/>
      <c r="K141" s="271"/>
      <c r="L141" s="272"/>
      <c r="M141" s="102"/>
      <c r="N141" s="430"/>
      <c r="O141" s="431"/>
      <c r="P141" s="431"/>
      <c r="Q141" s="424"/>
      <c r="R141" s="422"/>
      <c r="S141" s="399"/>
      <c r="T141" s="399"/>
    </row>
    <row r="142" spans="1:20" s="81" customFormat="1" ht="15" customHeight="1">
      <c r="A142" s="441"/>
      <c r="B142" s="442"/>
      <c r="C142" s="48" t="s">
        <v>114</v>
      </c>
      <c r="D142" s="37">
        <v>33</v>
      </c>
      <c r="E142" s="41">
        <v>7.0378999999999996</v>
      </c>
      <c r="F142" s="38"/>
      <c r="G142" s="39">
        <f>ROUND(D142*(E142),2)</f>
        <v>232.25</v>
      </c>
      <c r="H142" s="270"/>
      <c r="I142" s="41"/>
      <c r="J142" s="41"/>
      <c r="K142" s="271"/>
      <c r="L142" s="272"/>
      <c r="M142" s="102"/>
      <c r="N142" s="434"/>
      <c r="O142" s="435"/>
      <c r="P142" s="435"/>
      <c r="Q142" s="425"/>
      <c r="R142" s="422"/>
      <c r="S142" s="399"/>
      <c r="T142" s="399"/>
    </row>
    <row r="143" spans="1:20" s="81" customFormat="1" ht="15" customHeight="1" thickBot="1">
      <c r="A143" s="460"/>
      <c r="B143" s="461"/>
      <c r="C143" s="99" t="s">
        <v>29</v>
      </c>
      <c r="D143" s="37">
        <v>13579</v>
      </c>
      <c r="E143" s="56">
        <v>7.0378999999999996</v>
      </c>
      <c r="F143" s="311"/>
      <c r="G143" s="110">
        <f>ROUND(D143*(E143),2)</f>
        <v>95567.64</v>
      </c>
      <c r="H143" s="310"/>
      <c r="I143" s="311"/>
      <c r="J143" s="311"/>
      <c r="K143" s="312"/>
      <c r="L143" s="313"/>
      <c r="M143" s="115"/>
      <c r="N143" s="463"/>
      <c r="O143" s="464"/>
      <c r="P143" s="464"/>
      <c r="Q143" s="465"/>
      <c r="R143" s="466"/>
      <c r="S143" s="467"/>
      <c r="T143" s="399"/>
    </row>
    <row r="144" spans="1:20" s="81" customFormat="1" ht="15" customHeight="1" thickTop="1" thickBot="1">
      <c r="A144" s="437"/>
      <c r="B144" s="438" t="s">
        <v>83</v>
      </c>
      <c r="C144" s="377" t="s">
        <v>73</v>
      </c>
      <c r="D144" s="378">
        <v>0</v>
      </c>
      <c r="E144" s="21">
        <v>36.214199999999998</v>
      </c>
      <c r="F144" s="21">
        <v>42.4328</v>
      </c>
      <c r="G144" s="22">
        <f>+D144*(E144+F144)</f>
        <v>0</v>
      </c>
      <c r="H144" s="303">
        <v>1</v>
      </c>
      <c r="I144" s="381">
        <v>16.166</v>
      </c>
      <c r="J144" s="381">
        <f>H144*I144</f>
        <v>16.166</v>
      </c>
      <c r="K144" s="342" t="s">
        <v>187</v>
      </c>
      <c r="L144" s="263">
        <f>SUM(G144:G148,J144:J148)</f>
        <v>445.88600000000002</v>
      </c>
      <c r="M144" s="26">
        <v>445.89</v>
      </c>
      <c r="N144" s="421"/>
      <c r="O144" s="77"/>
      <c r="P144" s="77"/>
      <c r="Q144" s="384"/>
      <c r="R144" s="422"/>
      <c r="S144" s="399"/>
      <c r="T144" s="399"/>
    </row>
    <row r="145" spans="1:20" s="81" customFormat="1" ht="15" customHeight="1">
      <c r="A145" s="441"/>
      <c r="B145" s="442"/>
      <c r="C145" s="36" t="s">
        <v>26</v>
      </c>
      <c r="D145" s="37"/>
      <c r="E145" s="38">
        <v>3.4692000000000007</v>
      </c>
      <c r="F145" s="38">
        <f>37.8898-33.8306</f>
        <v>4.0592000000000041</v>
      </c>
      <c r="G145" s="39">
        <f>ROUND(D145*(E145+F145),2)</f>
        <v>0</v>
      </c>
      <c r="H145" s="457"/>
      <c r="I145" s="392"/>
      <c r="J145" s="381"/>
      <c r="K145" s="393"/>
      <c r="L145" s="459"/>
      <c r="M145" s="44"/>
      <c r="N145" s="430"/>
      <c r="O145" s="431"/>
      <c r="P145" s="431"/>
      <c r="Q145" s="424"/>
      <c r="R145" s="422"/>
      <c r="S145" s="399"/>
      <c r="T145" s="399"/>
    </row>
    <row r="146" spans="1:20" s="81" customFormat="1" ht="15" customHeight="1">
      <c r="A146" s="441"/>
      <c r="B146" s="442"/>
      <c r="C146" s="48" t="s">
        <v>115</v>
      </c>
      <c r="D146" s="37">
        <v>62.1</v>
      </c>
      <c r="E146" s="41">
        <f>7.0379-7.0426</f>
        <v>-4.7000000000005926E-3</v>
      </c>
      <c r="F146" s="38"/>
      <c r="G146" s="39">
        <f>ROUND(D146*(E146),2)</f>
        <v>-0.28999999999999998</v>
      </c>
      <c r="H146" s="270"/>
      <c r="I146" s="41"/>
      <c r="J146" s="41"/>
      <c r="K146" s="271"/>
      <c r="L146" s="272"/>
      <c r="M146" s="102"/>
      <c r="N146" s="430"/>
      <c r="O146" s="431"/>
      <c r="P146" s="431"/>
      <c r="Q146" s="424"/>
      <c r="R146" s="422"/>
      <c r="S146" s="399"/>
      <c r="T146" s="399"/>
    </row>
    <row r="147" spans="1:20" s="81" customFormat="1" ht="15" customHeight="1">
      <c r="A147" s="441"/>
      <c r="B147" s="442"/>
      <c r="C147" s="48" t="s">
        <v>114</v>
      </c>
      <c r="D147" s="37">
        <v>0.1</v>
      </c>
      <c r="E147" s="41">
        <v>7.0378999999999996</v>
      </c>
      <c r="F147" s="38"/>
      <c r="G147" s="39">
        <f>ROUND(D147*(E147),2)</f>
        <v>0.7</v>
      </c>
      <c r="H147" s="270"/>
      <c r="I147" s="41"/>
      <c r="J147" s="41"/>
      <c r="K147" s="271"/>
      <c r="L147" s="272"/>
      <c r="M147" s="102"/>
      <c r="N147" s="434"/>
      <c r="O147" s="435"/>
      <c r="P147" s="435"/>
      <c r="Q147" s="425"/>
      <c r="R147" s="422"/>
      <c r="S147" s="399"/>
      <c r="T147" s="399"/>
    </row>
    <row r="148" spans="1:20" s="81" customFormat="1" ht="15.75" customHeight="1" thickBot="1">
      <c r="A148" s="460"/>
      <c r="B148" s="461"/>
      <c r="C148" s="99" t="s">
        <v>29</v>
      </c>
      <c r="D148" s="462">
        <v>61</v>
      </c>
      <c r="E148" s="56">
        <v>7.0378999999999996</v>
      </c>
      <c r="F148" s="311"/>
      <c r="G148" s="110">
        <f>ROUND(D148*(E148),2)</f>
        <v>429.31</v>
      </c>
      <c r="H148" s="310"/>
      <c r="I148" s="311"/>
      <c r="J148" s="311"/>
      <c r="K148" s="312"/>
      <c r="L148" s="313"/>
      <c r="M148" s="115"/>
      <c r="N148" s="463"/>
      <c r="O148" s="464"/>
      <c r="P148" s="464"/>
      <c r="Q148" s="465"/>
      <c r="R148" s="422"/>
      <c r="S148" s="399"/>
      <c r="T148" s="399"/>
    </row>
    <row r="149" spans="1:20" s="81" customFormat="1" ht="15.75" customHeight="1" thickTop="1">
      <c r="A149" s="447"/>
      <c r="B149" s="438" t="s">
        <v>126</v>
      </c>
      <c r="C149" s="48" t="s">
        <v>115</v>
      </c>
      <c r="D149" s="448">
        <v>91.2</v>
      </c>
      <c r="E149" s="41">
        <f>7.0379-7.0426</f>
        <v>-4.7000000000005926E-3</v>
      </c>
      <c r="F149" s="261"/>
      <c r="G149" s="449">
        <f>ROUND(D149*E149,2)-0.01</f>
        <v>-0.44</v>
      </c>
      <c r="H149" s="303"/>
      <c r="I149" s="23"/>
      <c r="J149" s="23"/>
      <c r="K149" s="304"/>
      <c r="L149" s="263">
        <f>SUM(G149:G151)</f>
        <v>648.46</v>
      </c>
      <c r="M149" s="26">
        <v>648.46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450"/>
      <c r="B150" s="442"/>
      <c r="C150" s="48" t="s">
        <v>114</v>
      </c>
      <c r="D150" s="448">
        <v>0.2</v>
      </c>
      <c r="E150" s="41">
        <v>7.0378999999999996</v>
      </c>
      <c r="F150" s="261"/>
      <c r="G150" s="449">
        <f t="shared" ref="G150:G151" si="16">ROUND(D150*E150,2)</f>
        <v>1.41</v>
      </c>
      <c r="H150" s="260"/>
      <c r="I150" s="261"/>
      <c r="J150" s="261"/>
      <c r="K150" s="262"/>
      <c r="L150" s="286"/>
      <c r="M150" s="90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 thickBot="1">
      <c r="A151" s="697"/>
      <c r="B151" s="698"/>
      <c r="C151" s="99" t="s">
        <v>29</v>
      </c>
      <c r="D151" s="596">
        <v>92</v>
      </c>
      <c r="E151" s="56">
        <v>7.0378999999999996</v>
      </c>
      <c r="F151" s="41"/>
      <c r="G151" s="39">
        <f t="shared" si="16"/>
        <v>647.49</v>
      </c>
      <c r="H151" s="280"/>
      <c r="I151" s="281"/>
      <c r="J151" s="281"/>
      <c r="K151" s="282"/>
      <c r="L151" s="204"/>
      <c r="M151" s="371"/>
      <c r="N151" s="426"/>
      <c r="O151" s="416"/>
      <c r="P151" s="416"/>
      <c r="Q151" s="417"/>
      <c r="R151" s="422"/>
      <c r="S151" s="399"/>
      <c r="T151" s="399"/>
    </row>
    <row r="152" spans="1:20" s="81" customFormat="1" ht="15.75" customHeight="1">
      <c r="A152" s="468"/>
      <c r="B152" s="699" t="s">
        <v>133</v>
      </c>
      <c r="C152" s="48" t="s">
        <v>115</v>
      </c>
      <c r="D152" s="471">
        <v>482.2</v>
      </c>
      <c r="E152" s="41">
        <f>7.0379-7.0426</f>
        <v>-4.7000000000005926E-3</v>
      </c>
      <c r="F152" s="473"/>
      <c r="G152" s="449">
        <f>ROUND(D152*E152,2)+0.01</f>
        <v>-2.2600000000000002</v>
      </c>
      <c r="H152" s="303"/>
      <c r="I152" s="23"/>
      <c r="J152" s="23"/>
      <c r="K152" s="304"/>
      <c r="L152" s="263">
        <f>SUM(G152:G154)</f>
        <v>3214.76</v>
      </c>
      <c r="M152" s="26">
        <v>3214.76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.75" customHeight="1">
      <c r="A153" s="468"/>
      <c r="B153" s="469"/>
      <c r="C153" s="48" t="s">
        <v>114</v>
      </c>
      <c r="D153" s="471">
        <v>1.1000000000000001</v>
      </c>
      <c r="E153" s="41">
        <v>7.0378999999999996</v>
      </c>
      <c r="F153" s="473"/>
      <c r="G153" s="449">
        <f>ROUND(D153*E153,2)</f>
        <v>7.74</v>
      </c>
      <c r="H153" s="260"/>
      <c r="I153" s="261"/>
      <c r="J153" s="261"/>
      <c r="K153" s="262"/>
      <c r="L153" s="286"/>
      <c r="M153" s="90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 thickBot="1">
      <c r="A154" s="701"/>
      <c r="B154" s="702"/>
      <c r="C154" s="99" t="s">
        <v>29</v>
      </c>
      <c r="D154" s="703">
        <v>456</v>
      </c>
      <c r="E154" s="56">
        <v>7.0378999999999996</v>
      </c>
      <c r="F154" s="704"/>
      <c r="G154" s="39">
        <f t="shared" ref="G154" si="17">ROUND(D154*E154,2)</f>
        <v>3209.28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468"/>
      <c r="B155" s="699" t="s">
        <v>134</v>
      </c>
      <c r="C155" s="48" t="s">
        <v>115</v>
      </c>
      <c r="D155" s="471">
        <v>666.6</v>
      </c>
      <c r="E155" s="41">
        <f>7.0379-7.0426</f>
        <v>-4.7000000000005926E-3</v>
      </c>
      <c r="F155" s="473"/>
      <c r="G155" s="449">
        <f>ROUND(D155*E155,2)-0.01</f>
        <v>-3.1399999999999997</v>
      </c>
      <c r="H155" s="303"/>
      <c r="I155" s="23"/>
      <c r="J155" s="23"/>
      <c r="K155" s="304"/>
      <c r="L155" s="263">
        <f>SUM(G155:G157)</f>
        <v>4392.03</v>
      </c>
      <c r="M155" s="26">
        <v>4392.03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114</v>
      </c>
      <c r="D156" s="471">
        <v>1.5</v>
      </c>
      <c r="E156" s="41">
        <v>7.0378999999999996</v>
      </c>
      <c r="F156" s="473"/>
      <c r="G156" s="449">
        <f t="shared" ref="G156:G157" si="18">ROUND(D156*E156,2)</f>
        <v>10.56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701"/>
      <c r="B157" s="702"/>
      <c r="C157" s="99" t="s">
        <v>29</v>
      </c>
      <c r="D157" s="703">
        <v>623</v>
      </c>
      <c r="E157" s="56">
        <v>7.0378999999999996</v>
      </c>
      <c r="F157" s="704"/>
      <c r="G157" s="39">
        <f t="shared" si="18"/>
        <v>4384.6099999999997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468"/>
      <c r="B158" s="699" t="s">
        <v>140</v>
      </c>
      <c r="C158" s="48" t="s">
        <v>115</v>
      </c>
      <c r="D158" s="471">
        <v>747.8</v>
      </c>
      <c r="E158" s="41">
        <f>7.0379-7.0426</f>
        <v>-4.7000000000005926E-3</v>
      </c>
      <c r="F158" s="473"/>
      <c r="G158" s="449">
        <f>ROUND(D158*E158,2)-0.01</f>
        <v>-3.5199999999999996</v>
      </c>
      <c r="H158" s="303"/>
      <c r="I158" s="23"/>
      <c r="J158" s="23"/>
      <c r="K158" s="304"/>
      <c r="L158" s="263">
        <f>SUM(G158:G160)</f>
        <v>5110.9199999999992</v>
      </c>
      <c r="M158" s="26">
        <v>5110.92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114</v>
      </c>
      <c r="D159" s="471">
        <v>1.7</v>
      </c>
      <c r="E159" s="41">
        <v>7.0378999999999996</v>
      </c>
      <c r="F159" s="473"/>
      <c r="G159" s="449">
        <f>ROUND(D159*E159,2)</f>
        <v>11.96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701"/>
      <c r="B160" s="702"/>
      <c r="C160" s="99" t="s">
        <v>29</v>
      </c>
      <c r="D160" s="703">
        <v>725</v>
      </c>
      <c r="E160" s="56">
        <v>7.0378999999999996</v>
      </c>
      <c r="F160" s="704"/>
      <c r="G160" s="39">
        <f t="shared" ref="G160" si="19">ROUND(D160*E160,2)</f>
        <v>5102.4799999999996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468"/>
      <c r="B161" s="699" t="s">
        <v>141</v>
      </c>
      <c r="C161" s="48" t="s">
        <v>115</v>
      </c>
      <c r="D161" s="471">
        <v>1119.7</v>
      </c>
      <c r="E161" s="41">
        <f>7.0379-7.0426</f>
        <v>-4.7000000000005926E-3</v>
      </c>
      <c r="F161" s="473"/>
      <c r="G161" s="449">
        <f>ROUND(D161*E161,2)-0.01</f>
        <v>-5.27</v>
      </c>
      <c r="H161" s="303"/>
      <c r="I161" s="23"/>
      <c r="J161" s="23"/>
      <c r="K161" s="304"/>
      <c r="L161" s="263">
        <f>SUM(G161:G163)</f>
        <v>10025.849999999999</v>
      </c>
      <c r="M161" s="26">
        <v>10025.85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468"/>
      <c r="B162" s="469"/>
      <c r="C162" s="48" t="s">
        <v>114</v>
      </c>
      <c r="D162" s="471">
        <v>3.3</v>
      </c>
      <c r="E162" s="41">
        <v>7.0378999999999996</v>
      </c>
      <c r="F162" s="473"/>
      <c r="G162" s="449">
        <f>ROUND(D162*E162,2)</f>
        <v>23.23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701"/>
      <c r="B163" s="702"/>
      <c r="C163" s="99" t="s">
        <v>29</v>
      </c>
      <c r="D163" s="703">
        <v>1422</v>
      </c>
      <c r="E163" s="56">
        <v>7.0378999999999996</v>
      </c>
      <c r="F163" s="704"/>
      <c r="G163" s="39">
        <f t="shared" ref="G163" si="20">ROUND(D163*E163,2)</f>
        <v>10007.89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468"/>
      <c r="B164" s="699" t="s">
        <v>147</v>
      </c>
      <c r="C164" s="48" t="s">
        <v>115</v>
      </c>
      <c r="D164" s="471">
        <v>138.30000000000001</v>
      </c>
      <c r="E164" s="41">
        <f>7.0379-7.0426</f>
        <v>-4.7000000000005926E-3</v>
      </c>
      <c r="F164" s="473"/>
      <c r="G164" s="449">
        <f>ROUND(D164*E164,2)</f>
        <v>-0.65</v>
      </c>
      <c r="H164" s="303"/>
      <c r="I164" s="23"/>
      <c r="J164" s="23"/>
      <c r="K164" s="304"/>
      <c r="L164" s="263">
        <f>SUM(G164:G166)</f>
        <v>972.69</v>
      </c>
      <c r="M164" s="26">
        <v>972.69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114</v>
      </c>
      <c r="D165" s="471">
        <v>0.3</v>
      </c>
      <c r="E165" s="41">
        <v>7.0378999999999996</v>
      </c>
      <c r="F165" s="473"/>
      <c r="G165" s="449">
        <f>ROUND(D165*E165,2)</f>
        <v>2.11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701"/>
      <c r="B166" s="702"/>
      <c r="C166" s="99" t="s">
        <v>29</v>
      </c>
      <c r="D166" s="703">
        <v>138</v>
      </c>
      <c r="E166" s="56">
        <v>7.0378999999999996</v>
      </c>
      <c r="F166" s="704"/>
      <c r="G166" s="39">
        <f t="shared" ref="G166" si="21">ROUND(D166*E166,2)</f>
        <v>971.23</v>
      </c>
      <c r="H166" s="280"/>
      <c r="I166" s="281"/>
      <c r="J166" s="281"/>
      <c r="K166" s="282"/>
      <c r="L166" s="204"/>
      <c r="M166" s="371"/>
      <c r="N166" s="426"/>
      <c r="O166" s="416"/>
      <c r="P166" s="416"/>
      <c r="Q166" s="417"/>
      <c r="R166" s="422"/>
      <c r="S166" s="399"/>
      <c r="T166" s="399"/>
    </row>
    <row r="167" spans="1:20" s="81" customFormat="1" ht="15.75" customHeight="1">
      <c r="A167" s="468"/>
      <c r="B167" s="699" t="s">
        <v>154</v>
      </c>
      <c r="C167" s="48" t="s">
        <v>115</v>
      </c>
      <c r="D167" s="471">
        <v>322.8</v>
      </c>
      <c r="E167" s="41">
        <f>7.0379-7.0426</f>
        <v>-4.7000000000005926E-3</v>
      </c>
      <c r="F167" s="473"/>
      <c r="G167" s="449">
        <f>ROUND(D167*E167,2)</f>
        <v>-1.52</v>
      </c>
      <c r="H167" s="303"/>
      <c r="I167" s="23"/>
      <c r="J167" s="23"/>
      <c r="K167" s="304"/>
      <c r="L167" s="263">
        <f>SUM(G167:G169)</f>
        <v>2291.4300000000003</v>
      </c>
      <c r="M167" s="26">
        <v>2291.4299999999998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.75" customHeight="1">
      <c r="A168" s="468"/>
      <c r="B168" s="469"/>
      <c r="C168" s="48" t="s">
        <v>114</v>
      </c>
      <c r="D168" s="471">
        <v>0.8</v>
      </c>
      <c r="E168" s="41">
        <v>7.0378999999999996</v>
      </c>
      <c r="F168" s="473"/>
      <c r="G168" s="449">
        <f>ROUND(D168*E168,2)</f>
        <v>5.63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0" s="81" customFormat="1" ht="15.75" customHeight="1" thickBot="1">
      <c r="A169" s="701"/>
      <c r="B169" s="702"/>
      <c r="C169" s="99" t="s">
        <v>29</v>
      </c>
      <c r="D169" s="703">
        <v>325</v>
      </c>
      <c r="E169" s="56">
        <v>7.0378999999999996</v>
      </c>
      <c r="F169" s="704"/>
      <c r="G169" s="39">
        <f t="shared" ref="G169" si="22">ROUND(D169*E169,2)</f>
        <v>2287.3200000000002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hidden="1" customHeight="1" outlineLevel="1">
      <c r="A170" s="686"/>
      <c r="B170" s="699" t="s">
        <v>155</v>
      </c>
      <c r="C170" s="48" t="s">
        <v>115</v>
      </c>
      <c r="D170" s="471">
        <v>0</v>
      </c>
      <c r="E170" s="41">
        <f>7.0379-7.0426</f>
        <v>-4.7000000000005926E-3</v>
      </c>
      <c r="F170" s="473"/>
      <c r="G170" s="449">
        <f>ROUND(D170*E170,2)</f>
        <v>0</v>
      </c>
      <c r="H170" s="303"/>
      <c r="I170" s="23"/>
      <c r="J170" s="23"/>
      <c r="K170" s="304"/>
      <c r="L170" s="263">
        <f>SUM(G170:G172)</f>
        <v>0</v>
      </c>
      <c r="M170" s="26"/>
      <c r="N170" s="421"/>
      <c r="O170" s="77"/>
      <c r="P170" s="77"/>
      <c r="Q170" s="384"/>
      <c r="R170" s="422"/>
      <c r="S170" s="399"/>
      <c r="T170" s="399"/>
    </row>
    <row r="171" spans="1:20" s="81" customFormat="1" ht="15.75" hidden="1" customHeight="1" outlineLevel="1">
      <c r="A171" s="686"/>
      <c r="B171" s="469"/>
      <c r="C171" s="48" t="s">
        <v>114</v>
      </c>
      <c r="D171" s="471">
        <v>0</v>
      </c>
      <c r="E171" s="41">
        <v>7.0378999999999996</v>
      </c>
      <c r="F171" s="473"/>
      <c r="G171" s="449">
        <f>ROUND(D171*E171,2)</f>
        <v>0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hidden="1" customHeight="1" outlineLevel="1" thickBot="1">
      <c r="A172" s="834"/>
      <c r="B172" s="702"/>
      <c r="C172" s="99" t="s">
        <v>29</v>
      </c>
      <c r="D172" s="703">
        <v>0</v>
      </c>
      <c r="E172" s="56">
        <v>7.0378999999999996</v>
      </c>
      <c r="F172" s="704"/>
      <c r="G172" s="39">
        <f t="shared" ref="G172" si="23">ROUND(D172*E172,2)</f>
        <v>0</v>
      </c>
      <c r="H172" s="280"/>
      <c r="I172" s="281"/>
      <c r="J172" s="281"/>
      <c r="K172" s="282"/>
      <c r="L172" s="204"/>
      <c r="M172" s="371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 collapsed="1">
      <c r="A173" s="468"/>
      <c r="B173" s="699" t="s">
        <v>160</v>
      </c>
      <c r="C173" s="48" t="s">
        <v>115</v>
      </c>
      <c r="D173" s="471">
        <v>29.07</v>
      </c>
      <c r="E173" s="41">
        <f>7.0379-7.0426</f>
        <v>-4.7000000000005926E-3</v>
      </c>
      <c r="F173" s="473"/>
      <c r="G173" s="449">
        <f>ROUND(D173*E173,2)-0.01</f>
        <v>-0.15000000000000002</v>
      </c>
      <c r="H173" s="303"/>
      <c r="I173" s="23"/>
      <c r="J173" s="23"/>
      <c r="K173" s="304"/>
      <c r="L173" s="263">
        <f>SUM(G173:G175)</f>
        <v>211.48999999999998</v>
      </c>
      <c r="M173" s="26">
        <v>211.49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468"/>
      <c r="B174" s="469"/>
      <c r="C174" s="48" t="s">
        <v>114</v>
      </c>
      <c r="D174" s="471">
        <v>7.0000000000000007E-2</v>
      </c>
      <c r="E174" s="41">
        <v>7.0378999999999996</v>
      </c>
      <c r="F174" s="473"/>
      <c r="G174" s="449">
        <f>ROUND(D174*E174,2)+0.01</f>
        <v>0.5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701"/>
      <c r="B175" s="702"/>
      <c r="C175" s="99" t="s">
        <v>29</v>
      </c>
      <c r="D175" s="703">
        <v>30</v>
      </c>
      <c r="E175" s="56">
        <v>7.0378999999999996</v>
      </c>
      <c r="F175" s="704"/>
      <c r="G175" s="39">
        <f t="shared" ref="G175" si="24">ROUND(D175*E175,2)</f>
        <v>211.14</v>
      </c>
      <c r="H175" s="280"/>
      <c r="I175" s="281"/>
      <c r="J175" s="281"/>
      <c r="K175" s="282"/>
      <c r="L175" s="204"/>
      <c r="M175" s="371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468"/>
      <c r="B176" s="699" t="s">
        <v>161</v>
      </c>
      <c r="C176" s="48" t="s">
        <v>115</v>
      </c>
      <c r="D176" s="471">
        <v>889.1</v>
      </c>
      <c r="E176" s="41">
        <f>7.0379-7.0426</f>
        <v>-4.7000000000005926E-3</v>
      </c>
      <c r="F176" s="473"/>
      <c r="G176" s="449">
        <f>ROUND(D176*E176,2)</f>
        <v>-4.18</v>
      </c>
      <c r="H176" s="303"/>
      <c r="I176" s="23"/>
      <c r="J176" s="23"/>
      <c r="K176" s="304"/>
      <c r="L176" s="263">
        <f>SUM(G176:G178)</f>
        <v>5759.86</v>
      </c>
      <c r="M176" s="26">
        <v>5759.86</v>
      </c>
      <c r="N176" s="421"/>
      <c r="O176" s="77"/>
      <c r="P176" s="77"/>
      <c r="Q176" s="384"/>
      <c r="R176" s="422"/>
      <c r="S176" s="399"/>
      <c r="T176" s="399"/>
    </row>
    <row r="177" spans="1:20" s="81" customFormat="1" ht="15.75" customHeight="1">
      <c r="A177" s="468"/>
      <c r="B177" s="469"/>
      <c r="C177" s="48" t="s">
        <v>114</v>
      </c>
      <c r="D177" s="471">
        <v>2</v>
      </c>
      <c r="E177" s="41">
        <v>7.0378999999999996</v>
      </c>
      <c r="F177" s="473"/>
      <c r="G177" s="449">
        <f>ROUND(D177*E177,2)</f>
        <v>14.08</v>
      </c>
      <c r="H177" s="260"/>
      <c r="I177" s="261"/>
      <c r="J177" s="261"/>
      <c r="K177" s="262"/>
      <c r="L177" s="286"/>
      <c r="M177" s="90"/>
      <c r="N177" s="423"/>
      <c r="O177" s="406"/>
      <c r="P177" s="406"/>
      <c r="Q177" s="407"/>
      <c r="R177" s="422"/>
      <c r="S177" s="399"/>
      <c r="T177" s="399"/>
    </row>
    <row r="178" spans="1:20" s="81" customFormat="1" ht="15.75" customHeight="1" thickBot="1">
      <c r="A178" s="701"/>
      <c r="B178" s="702"/>
      <c r="C178" s="99" t="s">
        <v>29</v>
      </c>
      <c r="D178" s="703">
        <v>817</v>
      </c>
      <c r="E178" s="56">
        <v>7.0378999999999996</v>
      </c>
      <c r="F178" s="704"/>
      <c r="G178" s="39">
        <f t="shared" ref="G178" si="25">ROUND(D178*E178,2)</f>
        <v>5749.96</v>
      </c>
      <c r="H178" s="280"/>
      <c r="I178" s="281"/>
      <c r="J178" s="281"/>
      <c r="K178" s="282"/>
      <c r="L178" s="204"/>
      <c r="M178" s="371"/>
      <c r="N178" s="426"/>
      <c r="O178" s="416"/>
      <c r="P178" s="416"/>
      <c r="Q178" s="417"/>
      <c r="R178" s="422"/>
      <c r="S178" s="399"/>
      <c r="T178" s="399"/>
    </row>
    <row r="179" spans="1:20" s="81" customFormat="1" ht="15.75" customHeight="1">
      <c r="A179" s="468"/>
      <c r="B179" s="699" t="s">
        <v>162</v>
      </c>
      <c r="C179" s="48" t="s">
        <v>115</v>
      </c>
      <c r="D179" s="471">
        <v>1619.9</v>
      </c>
      <c r="E179" s="41">
        <f>7.0379-7.0426</f>
        <v>-4.7000000000005926E-3</v>
      </c>
      <c r="F179" s="473"/>
      <c r="G179" s="449">
        <f>ROUND(D179*E179,2)+0.01</f>
        <v>-7.6000000000000005</v>
      </c>
      <c r="H179" s="303"/>
      <c r="I179" s="23"/>
      <c r="J179" s="23"/>
      <c r="K179" s="304"/>
      <c r="L179" s="263">
        <f>SUM(G179:G181)</f>
        <v>7244.95</v>
      </c>
      <c r="M179" s="26">
        <v>7244.95</v>
      </c>
      <c r="N179" s="421"/>
      <c r="O179" s="77"/>
      <c r="P179" s="77"/>
      <c r="Q179" s="384"/>
      <c r="R179" s="422"/>
      <c r="S179" s="399"/>
      <c r="T179" s="399"/>
    </row>
    <row r="180" spans="1:20" s="81" customFormat="1" ht="15.75" customHeight="1">
      <c r="A180" s="468"/>
      <c r="B180" s="469"/>
      <c r="C180" s="48" t="s">
        <v>114</v>
      </c>
      <c r="D180" s="471">
        <v>2.5</v>
      </c>
      <c r="E180" s="41">
        <v>7.0378999999999996</v>
      </c>
      <c r="F180" s="473"/>
      <c r="G180" s="449">
        <f>ROUND(D180*E180,2)</f>
        <v>17.59</v>
      </c>
      <c r="H180" s="260"/>
      <c r="I180" s="261"/>
      <c r="J180" s="261"/>
      <c r="K180" s="262"/>
      <c r="L180" s="286"/>
      <c r="M180" s="90"/>
      <c r="N180" s="423"/>
      <c r="O180" s="406"/>
      <c r="P180" s="406"/>
      <c r="Q180" s="407"/>
      <c r="R180" s="422"/>
      <c r="S180" s="399"/>
      <c r="T180" s="399"/>
    </row>
    <row r="181" spans="1:20" s="81" customFormat="1" ht="15.75" customHeight="1" thickBot="1">
      <c r="A181" s="701"/>
      <c r="B181" s="702"/>
      <c r="C181" s="99" t="s">
        <v>29</v>
      </c>
      <c r="D181" s="703">
        <v>1028</v>
      </c>
      <c r="E181" s="56">
        <v>7.0378999999999996</v>
      </c>
      <c r="F181" s="704"/>
      <c r="G181" s="39">
        <f t="shared" ref="G181" si="26">ROUND(D181*E181,2)</f>
        <v>7234.96</v>
      </c>
      <c r="H181" s="280"/>
      <c r="I181" s="281"/>
      <c r="J181" s="281"/>
      <c r="K181" s="282"/>
      <c r="L181" s="204"/>
      <c r="M181" s="371"/>
      <c r="N181" s="426"/>
      <c r="O181" s="416"/>
      <c r="P181" s="416"/>
      <c r="Q181" s="417"/>
      <c r="R181" s="422"/>
      <c r="S181" s="399"/>
      <c r="T181" s="399"/>
    </row>
    <row r="182" spans="1:20" s="81" customFormat="1" ht="15.75" customHeight="1">
      <c r="A182" s="468"/>
      <c r="B182" s="699" t="s">
        <v>167</v>
      </c>
      <c r="C182" s="48" t="s">
        <v>115</v>
      </c>
      <c r="D182" s="471">
        <v>54.1</v>
      </c>
      <c r="E182" s="41">
        <f>7.0379-7.0426</f>
        <v>-4.7000000000005926E-3</v>
      </c>
      <c r="F182" s="473"/>
      <c r="G182" s="449">
        <f>ROUND(D182*E182,2)+0.01</f>
        <v>-0.24</v>
      </c>
      <c r="H182" s="303"/>
      <c r="I182" s="23"/>
      <c r="J182" s="23"/>
      <c r="K182" s="304"/>
      <c r="L182" s="263">
        <f>SUM(G182:G184)</f>
        <v>359.39</v>
      </c>
      <c r="M182" s="26">
        <v>359.39</v>
      </c>
      <c r="N182" s="421"/>
      <c r="O182" s="77"/>
      <c r="P182" s="77"/>
      <c r="Q182" s="384"/>
      <c r="R182" s="422"/>
      <c r="S182" s="399"/>
      <c r="T182" s="399"/>
    </row>
    <row r="183" spans="1:20" s="81" customFormat="1" ht="15.75" customHeight="1">
      <c r="A183" s="468"/>
      <c r="B183" s="469"/>
      <c r="C183" s="48" t="s">
        <v>114</v>
      </c>
      <c r="D183" s="471">
        <v>0.1</v>
      </c>
      <c r="E183" s="41">
        <v>7.0378999999999996</v>
      </c>
      <c r="F183" s="473"/>
      <c r="G183" s="449">
        <f>ROUND(D183*E183,2)</f>
        <v>0.7</v>
      </c>
      <c r="H183" s="260"/>
      <c r="I183" s="261"/>
      <c r="J183" s="261"/>
      <c r="K183" s="262"/>
      <c r="L183" s="286"/>
      <c r="M183" s="90"/>
      <c r="N183" s="423"/>
      <c r="O183" s="406"/>
      <c r="P183" s="406"/>
      <c r="Q183" s="407"/>
      <c r="R183" s="422"/>
      <c r="S183" s="399"/>
      <c r="T183" s="399"/>
    </row>
    <row r="184" spans="1:20" s="81" customFormat="1" ht="15.75" customHeight="1" thickBot="1">
      <c r="A184" s="701"/>
      <c r="B184" s="702"/>
      <c r="C184" s="99" t="s">
        <v>29</v>
      </c>
      <c r="D184" s="703">
        <v>51</v>
      </c>
      <c r="E184" s="56">
        <v>7.0378999999999996</v>
      </c>
      <c r="F184" s="704"/>
      <c r="G184" s="39">
        <f t="shared" ref="G184" si="27">ROUND(D184*E184,2)</f>
        <v>358.93</v>
      </c>
      <c r="H184" s="280"/>
      <c r="I184" s="281"/>
      <c r="J184" s="281"/>
      <c r="K184" s="282"/>
      <c r="L184" s="204"/>
      <c r="M184" s="371"/>
      <c r="N184" s="426"/>
      <c r="O184" s="416"/>
      <c r="P184" s="416"/>
      <c r="Q184" s="417"/>
      <c r="R184" s="422"/>
      <c r="S184" s="399"/>
      <c r="T184" s="399"/>
    </row>
    <row r="185" spans="1:20" s="81" customFormat="1" ht="15.75" customHeight="1">
      <c r="A185" s="468"/>
      <c r="B185" s="699" t="s">
        <v>168</v>
      </c>
      <c r="C185" s="48" t="s">
        <v>115</v>
      </c>
      <c r="D185" s="471">
        <v>149.4</v>
      </c>
      <c r="E185" s="41">
        <f>7.0379-7.0426</f>
        <v>-4.7000000000005926E-3</v>
      </c>
      <c r="F185" s="473"/>
      <c r="G185" s="449">
        <f>ROUND(D185*E185,2)</f>
        <v>-0.7</v>
      </c>
      <c r="H185" s="303"/>
      <c r="I185" s="23"/>
      <c r="J185" s="23"/>
      <c r="K185" s="304"/>
      <c r="L185" s="263">
        <f>SUM(G185:G187)</f>
        <v>1014.87</v>
      </c>
      <c r="M185" s="26">
        <v>1014.87</v>
      </c>
      <c r="N185" s="421"/>
      <c r="O185" s="77"/>
      <c r="P185" s="77"/>
      <c r="Q185" s="384"/>
      <c r="R185" s="422"/>
      <c r="S185" s="399"/>
      <c r="T185" s="399"/>
    </row>
    <row r="186" spans="1:20" s="81" customFormat="1" ht="15.75" customHeight="1">
      <c r="A186" s="468"/>
      <c r="B186" s="469"/>
      <c r="C186" s="48" t="s">
        <v>114</v>
      </c>
      <c r="D186" s="471">
        <v>0.3</v>
      </c>
      <c r="E186" s="41">
        <v>7.0378999999999996</v>
      </c>
      <c r="F186" s="473"/>
      <c r="G186" s="449">
        <f>ROUND(D186*E186,2)</f>
        <v>2.11</v>
      </c>
      <c r="H186" s="260"/>
      <c r="I186" s="261"/>
      <c r="J186" s="261"/>
      <c r="K186" s="262"/>
      <c r="L186" s="286"/>
      <c r="M186" s="90"/>
      <c r="N186" s="423"/>
      <c r="O186" s="406"/>
      <c r="P186" s="406"/>
      <c r="Q186" s="407"/>
      <c r="R186" s="422"/>
      <c r="S186" s="399"/>
      <c r="T186" s="399"/>
    </row>
    <row r="187" spans="1:20" s="81" customFormat="1" ht="15.75" customHeight="1" thickBot="1">
      <c r="A187" s="858"/>
      <c r="B187" s="859"/>
      <c r="C187" s="54" t="s">
        <v>29</v>
      </c>
      <c r="D187" s="860">
        <v>144</v>
      </c>
      <c r="E187" s="56">
        <v>7.0378999999999996</v>
      </c>
      <c r="F187" s="861"/>
      <c r="G187" s="414">
        <f t="shared" ref="G187" si="28">ROUND(D187*E187,2)</f>
        <v>1013.46</v>
      </c>
      <c r="H187" s="280"/>
      <c r="I187" s="281"/>
      <c r="J187" s="281"/>
      <c r="K187" s="282"/>
      <c r="L187" s="204"/>
      <c r="M187" s="371"/>
      <c r="N187" s="426"/>
      <c r="O187" s="416"/>
      <c r="P187" s="416"/>
      <c r="Q187" s="417"/>
      <c r="R187" s="422"/>
      <c r="S187" s="399"/>
      <c r="T187" s="399"/>
    </row>
    <row r="188" spans="1:20" s="81" customFormat="1" ht="15.75" customHeight="1">
      <c r="A188" s="468"/>
      <c r="B188" s="699" t="s">
        <v>175</v>
      </c>
      <c r="C188" s="700" t="s">
        <v>115</v>
      </c>
      <c r="D188" s="471">
        <v>455.1</v>
      </c>
      <c r="E188" s="261">
        <f>7.0379-7.0426</f>
        <v>-4.7000000000005926E-3</v>
      </c>
      <c r="F188" s="473"/>
      <c r="G188" s="862">
        <f>ROUND(D188*E188,2)</f>
        <v>-2.14</v>
      </c>
      <c r="H188" s="261"/>
      <c r="I188" s="261"/>
      <c r="J188" s="261"/>
      <c r="K188" s="261"/>
      <c r="L188" s="261">
        <f>SUM(G188:G191)</f>
        <v>11019.564</v>
      </c>
      <c r="M188" s="863">
        <v>11019.56</v>
      </c>
      <c r="N188" s="443"/>
      <c r="O188" s="94"/>
      <c r="P188" s="94"/>
      <c r="Q188" s="396"/>
      <c r="R188" s="422"/>
      <c r="S188" s="399"/>
      <c r="T188" s="399"/>
    </row>
    <row r="189" spans="1:20" s="81" customFormat="1" ht="15.75" customHeight="1">
      <c r="A189" s="468"/>
      <c r="B189" s="469"/>
      <c r="C189" s="48" t="s">
        <v>114</v>
      </c>
      <c r="D189" s="471">
        <v>3.7</v>
      </c>
      <c r="E189" s="207">
        <v>7.0378999999999996</v>
      </c>
      <c r="F189" s="473"/>
      <c r="G189" s="864">
        <f>ROUND(D189*E189,2)</f>
        <v>26.04</v>
      </c>
      <c r="H189" s="41"/>
      <c r="I189" s="41"/>
      <c r="J189" s="41"/>
      <c r="K189" s="41"/>
      <c r="L189" s="199"/>
      <c r="M189" s="865"/>
      <c r="N189" s="434"/>
      <c r="O189" s="435"/>
      <c r="P189" s="435"/>
      <c r="Q189" s="425"/>
      <c r="R189" s="422"/>
      <c r="S189" s="399"/>
      <c r="T189" s="399"/>
    </row>
    <row r="190" spans="1:20" s="81" customFormat="1" ht="15.75" customHeight="1">
      <c r="A190" s="701"/>
      <c r="B190" s="702"/>
      <c r="C190" s="99" t="s">
        <v>29</v>
      </c>
      <c r="D190" s="703">
        <v>1540</v>
      </c>
      <c r="E190" s="472">
        <v>7.0378999999999996</v>
      </c>
      <c r="F190" s="473"/>
      <c r="G190" s="474">
        <f t="shared" ref="G190" si="29">ROUND(D190*E190,2)</f>
        <v>10838.37</v>
      </c>
      <c r="H190" s="41"/>
      <c r="I190" s="41"/>
      <c r="J190" s="41"/>
      <c r="K190" s="41"/>
      <c r="L190" s="199"/>
      <c r="M190" s="865"/>
      <c r="N190" s="399"/>
      <c r="O190" s="399"/>
      <c r="P190" s="399"/>
      <c r="Q190" s="399"/>
      <c r="R190" s="422"/>
      <c r="S190" s="399"/>
      <c r="T190" s="399"/>
    </row>
    <row r="191" spans="1:20" s="81" customFormat="1" ht="15.75" customHeight="1" thickBot="1">
      <c r="A191" s="858"/>
      <c r="B191" s="859"/>
      <c r="C191" s="54" t="s">
        <v>73</v>
      </c>
      <c r="D191" s="860">
        <v>2</v>
      </c>
      <c r="E191" s="56">
        <v>36.214199999999998</v>
      </c>
      <c r="F191" s="861">
        <v>42.4328</v>
      </c>
      <c r="G191" s="866">
        <f>+D191*(E191+F191)</f>
        <v>157.29399999999998</v>
      </c>
      <c r="H191" s="281"/>
      <c r="I191" s="281"/>
      <c r="J191" s="281"/>
      <c r="K191" s="281"/>
      <c r="L191" s="281"/>
      <c r="M191" s="867"/>
      <c r="N191" s="426"/>
      <c r="O191" s="416"/>
      <c r="P191" s="416"/>
      <c r="Q191" s="417"/>
      <c r="R191" s="422"/>
      <c r="S191" s="399"/>
      <c r="T191" s="399"/>
    </row>
    <row r="192" spans="1:20" s="81" customFormat="1" ht="15.75" customHeight="1" thickBot="1">
      <c r="A192" s="441"/>
      <c r="B192" s="868" t="s">
        <v>182</v>
      </c>
      <c r="C192" s="390" t="s">
        <v>73</v>
      </c>
      <c r="D192" s="869">
        <v>13</v>
      </c>
      <c r="E192" s="86">
        <v>36.214199999999998</v>
      </c>
      <c r="F192" s="86">
        <v>42.4328</v>
      </c>
      <c r="G192" s="449">
        <f>+D192*(E192+F192)</f>
        <v>1022.4109999999998</v>
      </c>
      <c r="H192" s="260"/>
      <c r="I192" s="392"/>
      <c r="J192" s="392"/>
      <c r="K192" s="870"/>
      <c r="L192" s="286">
        <f>SUM(G192:G196,J192:J196)</f>
        <v>11694.431</v>
      </c>
      <c r="M192" s="90">
        <v>11694.43</v>
      </c>
      <c r="N192" s="443"/>
      <c r="O192" s="94"/>
      <c r="P192" s="94"/>
      <c r="Q192" s="396"/>
      <c r="R192" s="422"/>
      <c r="S192" s="399"/>
      <c r="T192" s="399"/>
    </row>
    <row r="193" spans="1:21" s="81" customFormat="1" ht="15.75" customHeight="1">
      <c r="A193" s="441"/>
      <c r="B193" s="442"/>
      <c r="C193" s="36" t="s">
        <v>26</v>
      </c>
      <c r="D193" s="37"/>
      <c r="E193" s="38">
        <v>3.4692000000000007</v>
      </c>
      <c r="F193" s="38">
        <f>37.8898-33.8306</f>
        <v>4.0592000000000041</v>
      </c>
      <c r="G193" s="39">
        <f>ROUND(D193*(E193+F193),2)</f>
        <v>0</v>
      </c>
      <c r="H193" s="457"/>
      <c r="I193" s="392"/>
      <c r="J193" s="381"/>
      <c r="K193" s="393"/>
      <c r="L193" s="459"/>
      <c r="M193" s="44"/>
      <c r="N193" s="430"/>
      <c r="O193" s="431"/>
      <c r="P193" s="431"/>
      <c r="Q193" s="424"/>
      <c r="R193" s="422"/>
      <c r="S193" s="399"/>
      <c r="T193" s="399"/>
    </row>
    <row r="194" spans="1:21" s="81" customFormat="1" ht="15.75" customHeight="1">
      <c r="A194" s="441"/>
      <c r="B194" s="442"/>
      <c r="C194" s="48" t="s">
        <v>115</v>
      </c>
      <c r="D194" s="37">
        <v>351.8</v>
      </c>
      <c r="E194" s="41">
        <f>7.0379-7.0426</f>
        <v>-4.7000000000005926E-3</v>
      </c>
      <c r="F194" s="38"/>
      <c r="G194" s="39">
        <f>ROUND(D194*(E194),2)-0.01</f>
        <v>-1.66</v>
      </c>
      <c r="H194" s="270"/>
      <c r="I194" s="41"/>
      <c r="J194" s="41"/>
      <c r="K194" s="271"/>
      <c r="L194" s="272"/>
      <c r="M194" s="102"/>
      <c r="N194" s="430"/>
      <c r="O194" s="431"/>
      <c r="P194" s="431"/>
      <c r="Q194" s="424"/>
      <c r="R194" s="422"/>
      <c r="S194" s="399"/>
      <c r="T194" s="399"/>
    </row>
    <row r="195" spans="1:21" s="81" customFormat="1" ht="15.75" customHeight="1">
      <c r="A195" s="441"/>
      <c r="B195" s="442"/>
      <c r="C195" s="48" t="s">
        <v>114</v>
      </c>
      <c r="D195" s="37">
        <v>3.6</v>
      </c>
      <c r="E195" s="41">
        <v>7.0378999999999996</v>
      </c>
      <c r="F195" s="38"/>
      <c r="G195" s="39">
        <f>ROUND(D195*(E195),2)</f>
        <v>25.34</v>
      </c>
      <c r="H195" s="270"/>
      <c r="I195" s="41"/>
      <c r="J195" s="41"/>
      <c r="K195" s="271"/>
      <c r="L195" s="272"/>
      <c r="M195" s="102"/>
      <c r="N195" s="434"/>
      <c r="O195" s="435"/>
      <c r="P195" s="435"/>
      <c r="Q195" s="425"/>
      <c r="R195" s="422"/>
      <c r="S195" s="399"/>
      <c r="T195" s="399"/>
    </row>
    <row r="196" spans="1:21" s="81" customFormat="1" ht="15.75" customHeight="1" thickBot="1">
      <c r="A196" s="460"/>
      <c r="B196" s="461"/>
      <c r="C196" s="99" t="s">
        <v>29</v>
      </c>
      <c r="D196" s="462">
        <v>1513</v>
      </c>
      <c r="E196" s="56">
        <v>7.0378999999999996</v>
      </c>
      <c r="F196" s="311"/>
      <c r="G196" s="110">
        <f>ROUND(D196*(E196),2)</f>
        <v>10648.34</v>
      </c>
      <c r="H196" s="310"/>
      <c r="I196" s="311"/>
      <c r="J196" s="311"/>
      <c r="K196" s="312"/>
      <c r="L196" s="313"/>
      <c r="M196" s="115"/>
      <c r="N196" s="463"/>
      <c r="O196" s="464"/>
      <c r="P196" s="464"/>
      <c r="Q196" s="465"/>
      <c r="R196" s="422"/>
      <c r="S196" s="399"/>
      <c r="T196" s="399"/>
    </row>
    <row r="197" spans="1:21" s="81" customFormat="1" ht="15.75" customHeight="1" thickTop="1" thickBot="1">
      <c r="A197" s="686"/>
      <c r="B197" s="469"/>
      <c r="C197" s="470"/>
      <c r="D197" s="471"/>
      <c r="E197" s="472"/>
      <c r="F197" s="473"/>
      <c r="G197" s="474"/>
      <c r="H197" s="473"/>
      <c r="I197" s="473"/>
      <c r="J197" s="473"/>
      <c r="K197" s="473"/>
      <c r="L197" s="473"/>
      <c r="M197" s="475"/>
      <c r="N197" s="399"/>
      <c r="O197" s="399"/>
      <c r="P197" s="399"/>
      <c r="Q197" s="399"/>
      <c r="R197" s="422"/>
      <c r="S197" s="399"/>
      <c r="T197" s="399"/>
    </row>
    <row r="198" spans="1:21" s="81" customFormat="1" ht="15" customHeight="1" thickTop="1">
      <c r="A198" s="476"/>
      <c r="B198" s="158"/>
      <c r="C198" s="322"/>
      <c r="D198" s="477"/>
      <c r="E198" s="163"/>
      <c r="F198" s="163"/>
      <c r="G198" s="478"/>
      <c r="H198" s="163"/>
      <c r="I198" s="163"/>
      <c r="J198" s="163"/>
      <c r="K198" s="163"/>
      <c r="L198" s="163"/>
      <c r="M198" s="164"/>
      <c r="N198" s="479"/>
      <c r="O198" s="479"/>
      <c r="P198" s="479"/>
      <c r="Q198" s="479"/>
      <c r="R198" s="480"/>
      <c r="S198" s="479"/>
      <c r="T198" s="399"/>
    </row>
    <row r="199" spans="1:21" ht="21.75" thickBot="1">
      <c r="A199" s="171" t="s">
        <v>84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3"/>
      <c r="N199" s="2"/>
      <c r="O199" s="2"/>
      <c r="P199" s="2"/>
      <c r="Q199" s="2"/>
      <c r="R199" s="2"/>
      <c r="S199" s="2"/>
      <c r="T199" s="2"/>
    </row>
    <row r="200" spans="1:21" ht="15.75" customHeight="1" thickTop="1" thickBot="1">
      <c r="A200" s="1540" t="s">
        <v>1</v>
      </c>
      <c r="B200" s="1542" t="s">
        <v>2</v>
      </c>
      <c r="C200" s="1544" t="s">
        <v>3</v>
      </c>
      <c r="D200" s="1546" t="s">
        <v>4</v>
      </c>
      <c r="E200" s="1546"/>
      <c r="F200" s="1546"/>
      <c r="G200" s="1546"/>
      <c r="H200" s="1547" t="s">
        <v>5</v>
      </c>
      <c r="I200" s="1548"/>
      <c r="J200" s="1548"/>
      <c r="K200" s="1549"/>
      <c r="L200" s="1524" t="s">
        <v>6</v>
      </c>
      <c r="M200" s="1511" t="s">
        <v>7</v>
      </c>
      <c r="N200" s="1551" t="s">
        <v>8</v>
      </c>
      <c r="O200" s="1551"/>
      <c r="P200" s="1551"/>
      <c r="Q200" s="1552" t="s">
        <v>18</v>
      </c>
      <c r="R200" s="481" t="s">
        <v>85</v>
      </c>
      <c r="S200" s="482" t="s">
        <v>20</v>
      </c>
      <c r="T200" s="482" t="s">
        <v>21</v>
      </c>
    </row>
    <row r="201" spans="1:21" ht="40.5" customHeight="1" thickTop="1" thickBot="1">
      <c r="A201" s="1541"/>
      <c r="B201" s="1543"/>
      <c r="C201" s="1545" t="s">
        <v>10</v>
      </c>
      <c r="D201" s="483" t="s">
        <v>11</v>
      </c>
      <c r="E201" s="484" t="s">
        <v>12</v>
      </c>
      <c r="F201" s="484" t="s">
        <v>13</v>
      </c>
      <c r="G201" s="485" t="s">
        <v>14</v>
      </c>
      <c r="H201" s="483" t="s">
        <v>11</v>
      </c>
      <c r="I201" s="486" t="s">
        <v>15</v>
      </c>
      <c r="J201" s="485"/>
      <c r="K201" s="487" t="s">
        <v>16</v>
      </c>
      <c r="L201" s="1525"/>
      <c r="M201" s="1550"/>
      <c r="N201" s="488" t="s">
        <v>14</v>
      </c>
      <c r="O201" s="485"/>
      <c r="P201" s="489" t="s">
        <v>18</v>
      </c>
      <c r="Q201" s="490" t="s">
        <v>19</v>
      </c>
      <c r="R201" s="491"/>
      <c r="S201" s="492"/>
      <c r="T201" s="492"/>
    </row>
    <row r="202" spans="1:21">
      <c r="A202" s="493">
        <v>501</v>
      </c>
      <c r="B202" s="494" t="s">
        <v>86</v>
      </c>
      <c r="C202" s="71"/>
      <c r="D202" s="495">
        <v>34</v>
      </c>
      <c r="E202" s="21">
        <v>36.214199999999998</v>
      </c>
      <c r="F202" s="21">
        <v>42.4328</v>
      </c>
      <c r="G202" s="185">
        <f>ROUND(D202*(E202+F202),2)</f>
        <v>2674</v>
      </c>
      <c r="H202" s="496"/>
      <c r="I202" s="73"/>
      <c r="J202" s="73">
        <f>+H202*I202</f>
        <v>0</v>
      </c>
      <c r="K202" s="497"/>
      <c r="L202" s="498">
        <f>+SUM(G202:G209,C209)</f>
        <v>55357.561200000004</v>
      </c>
      <c r="M202" s="26">
        <v>55357.56</v>
      </c>
      <c r="N202" s="499"/>
      <c r="O202" s="500"/>
      <c r="P202" s="501" t="s">
        <v>87</v>
      </c>
      <c r="Q202" s="304">
        <f t="shared" ref="Q202:Q220" si="30">C202+G202+J202-M202-N202-O202</f>
        <v>-52683.56</v>
      </c>
      <c r="R202" s="502" t="s">
        <v>88</v>
      </c>
      <c r="S202" s="503"/>
      <c r="T202" s="504"/>
      <c r="U202" s="33"/>
    </row>
    <row r="203" spans="1:21" ht="15.75" thickBot="1">
      <c r="A203" s="505"/>
      <c r="B203" s="506"/>
      <c r="C203" s="507"/>
      <c r="D203" s="508"/>
      <c r="E203" s="38"/>
      <c r="F203" s="38"/>
      <c r="G203" s="50">
        <f>ROUND(D203*(E203+F203),2)</f>
        <v>0</v>
      </c>
      <c r="H203" s="448"/>
      <c r="I203" s="509"/>
      <c r="J203" s="409"/>
      <c r="K203" s="510"/>
      <c r="L203" s="511"/>
      <c r="M203" s="512"/>
      <c r="N203" s="513"/>
      <c r="O203" s="514"/>
      <c r="P203" s="515"/>
      <c r="Q203" s="262"/>
      <c r="R203" s="502"/>
      <c r="S203" s="503"/>
      <c r="T203" s="504"/>
      <c r="U203" s="33"/>
    </row>
    <row r="204" spans="1:21">
      <c r="A204" s="505"/>
      <c r="B204" s="516" t="s">
        <v>89</v>
      </c>
      <c r="C204" s="512" t="s">
        <v>90</v>
      </c>
      <c r="D204" s="508">
        <v>4</v>
      </c>
      <c r="E204" s="101">
        <v>304.86</v>
      </c>
      <c r="F204" s="21">
        <v>42.4328</v>
      </c>
      <c r="G204" s="50">
        <f>D204*(E204+F204)</f>
        <v>1389.1712</v>
      </c>
      <c r="H204" s="270"/>
      <c r="I204" s="41"/>
      <c r="J204" s="409">
        <f>+H204*I204</f>
        <v>0</v>
      </c>
      <c r="K204" s="510"/>
      <c r="L204" s="517"/>
      <c r="M204" s="99"/>
      <c r="N204" s="518"/>
      <c r="O204" s="519"/>
      <c r="P204" s="515" t="s">
        <v>87</v>
      </c>
      <c r="Q204" s="271">
        <f>+G204+J204-M204-N204-O204</f>
        <v>1389.1712</v>
      </c>
      <c r="R204" s="502" t="s">
        <v>88</v>
      </c>
      <c r="S204" s="503"/>
      <c r="T204" s="504"/>
    </row>
    <row r="205" spans="1:21">
      <c r="A205" s="505"/>
      <c r="B205" s="506" t="s">
        <v>91</v>
      </c>
      <c r="C205" s="507"/>
      <c r="D205" s="508"/>
      <c r="E205" s="41"/>
      <c r="F205" s="38"/>
      <c r="G205" s="50">
        <f>ROUND(D205*(E205+F205),2)</f>
        <v>0</v>
      </c>
      <c r="H205" s="432"/>
      <c r="I205" s="362"/>
      <c r="J205" s="409"/>
      <c r="K205" s="510"/>
      <c r="L205" s="517"/>
      <c r="M205" s="520"/>
      <c r="N205" s="521"/>
      <c r="O205" s="522"/>
      <c r="P205" s="523"/>
      <c r="Q205" s="362"/>
      <c r="R205" s="502"/>
      <c r="S205" s="503"/>
      <c r="T205" s="504"/>
    </row>
    <row r="206" spans="1:21">
      <c r="A206" s="505"/>
      <c r="B206" s="506" t="s">
        <v>91</v>
      </c>
      <c r="C206" s="507"/>
      <c r="D206" s="508"/>
      <c r="E206" s="38"/>
      <c r="F206" s="41"/>
      <c r="G206" s="50">
        <f>D206*(E206+F206)</f>
        <v>0</v>
      </c>
      <c r="H206" s="432"/>
      <c r="I206" s="362"/>
      <c r="J206" s="409"/>
      <c r="K206" s="510"/>
      <c r="L206" s="517"/>
      <c r="M206" s="520"/>
      <c r="N206" s="521"/>
      <c r="O206" s="522"/>
      <c r="P206" s="523"/>
      <c r="Q206" s="362"/>
      <c r="R206" s="502"/>
      <c r="S206" s="503"/>
      <c r="T206" s="504"/>
    </row>
    <row r="207" spans="1:21">
      <c r="A207" s="505"/>
      <c r="B207" s="506" t="s">
        <v>92</v>
      </c>
      <c r="C207" s="48" t="s">
        <v>115</v>
      </c>
      <c r="D207" s="508">
        <v>7871</v>
      </c>
      <c r="E207" s="41">
        <f>6.8021-6.8946</f>
        <v>-9.2499999999999361E-2</v>
      </c>
      <c r="F207" s="41">
        <f>+E207</f>
        <v>-9.2499999999999361E-2</v>
      </c>
      <c r="G207" s="39">
        <f>ROUNDDOWN(D207*E207,2)-0.01</f>
        <v>-728.06999999999994</v>
      </c>
      <c r="H207" s="432"/>
      <c r="I207" s="362"/>
      <c r="J207" s="41"/>
      <c r="K207" s="510"/>
      <c r="L207" s="517"/>
      <c r="M207" s="520"/>
      <c r="N207" s="521"/>
      <c r="O207" s="522"/>
      <c r="P207" s="523"/>
      <c r="Q207" s="362"/>
      <c r="R207" s="502"/>
      <c r="S207" s="503"/>
      <c r="T207" s="504"/>
    </row>
    <row r="208" spans="1:21">
      <c r="A208" s="505"/>
      <c r="B208" s="506"/>
      <c r="C208" s="48" t="s">
        <v>114</v>
      </c>
      <c r="D208" s="508">
        <v>324</v>
      </c>
      <c r="E208" s="41">
        <v>6.8021000000000003</v>
      </c>
      <c r="F208" s="41">
        <f>+E208</f>
        <v>6.8021000000000003</v>
      </c>
      <c r="G208" s="39">
        <f>ROUND(D208*E208,2)</f>
        <v>2203.88</v>
      </c>
      <c r="H208" s="432"/>
      <c r="I208" s="362"/>
      <c r="J208" s="207"/>
      <c r="K208" s="524"/>
      <c r="L208" s="517"/>
      <c r="M208" s="520"/>
      <c r="N208" s="521"/>
      <c r="O208" s="522"/>
      <c r="P208" s="523"/>
      <c r="Q208" s="362"/>
      <c r="R208" s="502"/>
      <c r="S208" s="503"/>
      <c r="T208" s="504"/>
    </row>
    <row r="209" spans="1:21" ht="15.75" thickBot="1">
      <c r="A209" s="525"/>
      <c r="B209" s="526"/>
      <c r="C209" s="99" t="s">
        <v>29</v>
      </c>
      <c r="D209" s="55">
        <v>7324</v>
      </c>
      <c r="E209" s="56">
        <v>6.8021000000000003</v>
      </c>
      <c r="F209" s="57">
        <f>+E209</f>
        <v>6.8021000000000003</v>
      </c>
      <c r="G209" s="58">
        <f>ROUND(D209*E209,2)</f>
        <v>49818.58</v>
      </c>
      <c r="H209" s="248"/>
      <c r="I209" s="203"/>
      <c r="J209" s="60"/>
      <c r="K209" s="61"/>
      <c r="L209" s="249"/>
      <c r="M209" s="54"/>
      <c r="N209" s="527"/>
      <c r="O209" s="528"/>
      <c r="P209" s="529" t="s">
        <v>87</v>
      </c>
      <c r="Q209" s="282">
        <f>+G209+J209-M209-N209-O209</f>
        <v>49818.58</v>
      </c>
      <c r="R209" s="530" t="s">
        <v>88</v>
      </c>
      <c r="S209" s="531">
        <f>SUM(N202:N209)+O202:O209</f>
        <v>0</v>
      </c>
      <c r="T209" s="531">
        <f>SUM(Q202:Q209)</f>
        <v>-1475.8087999999989</v>
      </c>
      <c r="U209" s="33"/>
    </row>
    <row r="210" spans="1:21" ht="15.75" thickTop="1">
      <c r="A210" s="339" t="s">
        <v>93</v>
      </c>
      <c r="B210" s="532" t="s">
        <v>94</v>
      </c>
      <c r="C210" s="71">
        <f>+[1]дек!U51</f>
        <v>-6.0000000303261913E-4</v>
      </c>
      <c r="D210" s="213">
        <v>30</v>
      </c>
      <c r="E210" s="21">
        <v>36.214199999999998</v>
      </c>
      <c r="F210" s="21">
        <v>42.4328</v>
      </c>
      <c r="G210" s="214">
        <f>ROUND(D210*(E210+F210),2)</f>
        <v>2359.41</v>
      </c>
      <c r="H210" s="496"/>
      <c r="I210" s="73"/>
      <c r="J210" s="73">
        <f>H210*I210</f>
        <v>0</v>
      </c>
      <c r="K210" s="497"/>
      <c r="L210" s="533">
        <f>+SUM(G210:G217,)+J210+J212</f>
        <v>45247.38</v>
      </c>
      <c r="M210" s="26">
        <v>45247.38</v>
      </c>
      <c r="N210" s="534"/>
      <c r="O210" s="535"/>
      <c r="P210" s="536" t="s">
        <v>87</v>
      </c>
      <c r="Q210" s="537">
        <f t="shared" si="30"/>
        <v>-42887.970600000001</v>
      </c>
      <c r="R210" s="538" t="s">
        <v>95</v>
      </c>
      <c r="S210" s="539"/>
      <c r="T210" s="540"/>
      <c r="U210" s="33"/>
    </row>
    <row r="211" spans="1:21" ht="15.75" thickBot="1">
      <c r="A211" s="353"/>
      <c r="B211" s="541"/>
      <c r="C211" s="542" t="s">
        <v>96</v>
      </c>
      <c r="D211" s="234"/>
      <c r="E211" s="38"/>
      <c r="F211" s="38"/>
      <c r="G211" s="235">
        <f>ROUND(D211*(E211+F211),2)</f>
        <v>0</v>
      </c>
      <c r="H211" s="448"/>
      <c r="I211" s="509"/>
      <c r="J211" s="509"/>
      <c r="K211" s="543"/>
      <c r="L211" s="544"/>
      <c r="M211" s="545"/>
      <c r="N211" s="546"/>
      <c r="O211" s="547"/>
      <c r="P211" s="548"/>
      <c r="Q211" s="549"/>
      <c r="R211" s="550"/>
      <c r="S211" s="551"/>
      <c r="T211" s="552"/>
      <c r="U211" s="33"/>
    </row>
    <row r="212" spans="1:21">
      <c r="A212" s="353"/>
      <c r="B212" s="516" t="s">
        <v>32</v>
      </c>
      <c r="C212" s="99" t="s">
        <v>90</v>
      </c>
      <c r="D212" s="234">
        <v>23</v>
      </c>
      <c r="E212" s="101">
        <v>304.86</v>
      </c>
      <c r="F212" s="21">
        <v>42.4328</v>
      </c>
      <c r="G212" s="235">
        <f>ROUND(D212*(E212+F212),2)</f>
        <v>7987.73</v>
      </c>
      <c r="H212" s="270"/>
      <c r="I212" s="41"/>
      <c r="J212" s="41">
        <f>ROUND(H212*I212,2)</f>
        <v>0</v>
      </c>
      <c r="K212" s="510"/>
      <c r="L212" s="553"/>
      <c r="M212" s="554"/>
      <c r="N212" s="555"/>
      <c r="O212" s="556"/>
      <c r="P212" s="557" t="s">
        <v>87</v>
      </c>
      <c r="Q212" s="558">
        <f>+G212+J212-M212-N212-O212</f>
        <v>7987.73</v>
      </c>
      <c r="R212" s="550" t="s">
        <v>95</v>
      </c>
      <c r="S212" s="551"/>
      <c r="T212" s="552"/>
    </row>
    <row r="213" spans="1:21">
      <c r="A213" s="353"/>
      <c r="B213" s="541"/>
      <c r="C213" s="84" t="s">
        <v>97</v>
      </c>
      <c r="D213" s="234"/>
      <c r="E213" s="41"/>
      <c r="F213" s="38"/>
      <c r="G213" s="50">
        <f>ROUND(D213*E213,2)</f>
        <v>0</v>
      </c>
      <c r="H213" s="432"/>
      <c r="I213" s="362"/>
      <c r="J213" s="41"/>
      <c r="K213" s="510"/>
      <c r="L213" s="559"/>
      <c r="M213" s="560"/>
      <c r="N213" s="561"/>
      <c r="O213" s="562"/>
      <c r="P213" s="563"/>
      <c r="Q213" s="564"/>
      <c r="R213" s="550"/>
      <c r="S213" s="551"/>
      <c r="T213" s="552"/>
    </row>
    <row r="214" spans="1:21">
      <c r="A214" s="353"/>
      <c r="B214" s="541"/>
      <c r="C214" s="84" t="s">
        <v>97</v>
      </c>
      <c r="D214" s="234"/>
      <c r="E214" s="38"/>
      <c r="F214" s="240"/>
      <c r="G214" s="50">
        <f>D214*(E214+F214)</f>
        <v>0</v>
      </c>
      <c r="H214" s="432"/>
      <c r="I214" s="362"/>
      <c r="J214" s="41"/>
      <c r="K214" s="510"/>
      <c r="L214" s="559"/>
      <c r="M214" s="560"/>
      <c r="N214" s="561"/>
      <c r="O214" s="562"/>
      <c r="P214" s="563"/>
      <c r="Q214" s="564"/>
      <c r="R214" s="550"/>
      <c r="S214" s="551"/>
      <c r="T214" s="552"/>
    </row>
    <row r="215" spans="1:21">
      <c r="A215" s="353"/>
      <c r="B215" s="541"/>
      <c r="C215" s="48" t="s">
        <v>115</v>
      </c>
      <c r="D215" s="37">
        <v>6265</v>
      </c>
      <c r="E215" s="41">
        <f>6.8021-6.8946</f>
        <v>-9.2499999999999361E-2</v>
      </c>
      <c r="F215" s="41">
        <f>+E215</f>
        <v>-9.2499999999999361E-2</v>
      </c>
      <c r="G215" s="235">
        <f>ROUND(D215*E215,2)</f>
        <v>-579.51</v>
      </c>
      <c r="H215" s="565"/>
      <c r="I215" s="564"/>
      <c r="J215" s="566"/>
      <c r="K215" s="567"/>
      <c r="L215" s="559"/>
      <c r="M215" s="560"/>
      <c r="N215" s="561"/>
      <c r="O215" s="562"/>
      <c r="P215" s="563"/>
      <c r="Q215" s="564"/>
      <c r="R215" s="550"/>
      <c r="S215" s="551"/>
      <c r="T215" s="552"/>
      <c r="U215" s="352"/>
    </row>
    <row r="216" spans="1:21">
      <c r="A216" s="353"/>
      <c r="B216" s="541"/>
      <c r="C216" s="48" t="s">
        <v>114</v>
      </c>
      <c r="D216" s="37">
        <v>221</v>
      </c>
      <c r="E216" s="41">
        <v>6.8021000000000003</v>
      </c>
      <c r="F216" s="41">
        <f>+E216</f>
        <v>6.8021000000000003</v>
      </c>
      <c r="G216" s="235">
        <f>ROUND(D216*E216,2)</f>
        <v>1503.26</v>
      </c>
      <c r="H216" s="565"/>
      <c r="I216" s="564"/>
      <c r="J216" s="566"/>
      <c r="K216" s="567"/>
      <c r="L216" s="559"/>
      <c r="M216" s="560"/>
      <c r="N216" s="561"/>
      <c r="O216" s="562"/>
      <c r="P216" s="563"/>
      <c r="Q216" s="564"/>
      <c r="R216" s="550"/>
      <c r="S216" s="551"/>
      <c r="T216" s="552"/>
      <c r="U216" s="33"/>
    </row>
    <row r="217" spans="1:21" ht="15.75" thickBot="1">
      <c r="A217" s="369"/>
      <c r="B217" s="568"/>
      <c r="C217" s="99" t="s">
        <v>29</v>
      </c>
      <c r="D217" s="246">
        <v>4995</v>
      </c>
      <c r="E217" s="56">
        <v>6.8021000000000003</v>
      </c>
      <c r="F217" s="57">
        <f>+E217</f>
        <v>6.8021000000000003</v>
      </c>
      <c r="G217" s="247">
        <f>ROUND(D217*E217,2)</f>
        <v>33976.49</v>
      </c>
      <c r="H217" s="248"/>
      <c r="I217" s="203"/>
      <c r="J217" s="60"/>
      <c r="K217" s="61"/>
      <c r="L217" s="204"/>
      <c r="M217" s="560"/>
      <c r="N217" s="561"/>
      <c r="O217" s="528"/>
      <c r="P217" s="529" t="s">
        <v>87</v>
      </c>
      <c r="Q217" s="564">
        <f>+G217+J217-M217-N217-O217</f>
        <v>33976.49</v>
      </c>
      <c r="R217" s="550" t="s">
        <v>95</v>
      </c>
      <c r="S217" s="569">
        <f>SUM(N210:N217)+O210:O217</f>
        <v>0</v>
      </c>
      <c r="T217" s="570">
        <f>SUM(Q212:Q217)</f>
        <v>41964.22</v>
      </c>
    </row>
    <row r="218" spans="1:21" ht="15.75" hidden="1" outlineLevel="1" thickBot="1">
      <c r="A218" s="571"/>
      <c r="B218" s="572" t="s">
        <v>98</v>
      </c>
      <c r="C218" s="573" t="s">
        <v>99</v>
      </c>
      <c r="D218" s="574"/>
      <c r="E218" s="575">
        <f>3.193-2.9732</f>
        <v>0.21980000000000022</v>
      </c>
      <c r="F218" s="575">
        <f>3.193-2.9732</f>
        <v>0.21980000000000022</v>
      </c>
      <c r="G218" s="576">
        <f>D218*E218*70%+D218*F218*30%</f>
        <v>0</v>
      </c>
      <c r="H218" s="577"/>
      <c r="I218" s="578"/>
      <c r="J218" s="579"/>
      <c r="K218" s="579"/>
      <c r="L218" s="580"/>
      <c r="M218" s="581"/>
      <c r="N218" s="582"/>
      <c r="O218" s="535"/>
      <c r="P218" s="536"/>
      <c r="Q218" s="583"/>
      <c r="R218" s="584"/>
      <c r="S218" s="569"/>
      <c r="T218" s="585"/>
    </row>
    <row r="219" spans="1:21" s="81" customFormat="1" ht="16.5" hidden="1" customHeight="1" outlineLevel="1" thickBot="1">
      <c r="A219" s="586" t="s">
        <v>100</v>
      </c>
      <c r="B219" s="587" t="s">
        <v>98</v>
      </c>
      <c r="C219" s="588">
        <f>+[1]авг!C52</f>
        <v>0</v>
      </c>
      <c r="D219" s="589"/>
      <c r="E219" s="575">
        <v>3.1930000000000001</v>
      </c>
      <c r="F219" s="575">
        <f>+E219</f>
        <v>3.1930000000000001</v>
      </c>
      <c r="G219" s="576">
        <f>D219*E219*70%+D219*F219*30%</f>
        <v>0</v>
      </c>
      <c r="H219" s="579"/>
      <c r="I219" s="579"/>
      <c r="J219" s="579"/>
      <c r="K219" s="579"/>
      <c r="L219" s="579">
        <f>+C219+G219+G218</f>
        <v>0</v>
      </c>
      <c r="M219" s="590"/>
      <c r="N219" s="500"/>
      <c r="O219" s="528"/>
      <c r="P219" s="529" t="s">
        <v>87</v>
      </c>
      <c r="Q219" s="591">
        <f t="shared" si="30"/>
        <v>0</v>
      </c>
      <c r="R219" s="592" t="s">
        <v>101</v>
      </c>
      <c r="S219" s="77">
        <f>SUM(N219:N219)+SUM(O219:O219)</f>
        <v>0</v>
      </c>
      <c r="T219" s="593">
        <f>SUM(Q219:Q219)</f>
        <v>0</v>
      </c>
    </row>
    <row r="220" spans="1:21" ht="15.75" collapsed="1" thickTop="1">
      <c r="A220" s="505">
        <v>115</v>
      </c>
      <c r="B220" s="494" t="s">
        <v>102</v>
      </c>
      <c r="C220" s="71">
        <f>+[1]дек!U57</f>
        <v>0</v>
      </c>
      <c r="D220" s="495">
        <v>22</v>
      </c>
      <c r="E220" s="21">
        <v>36.214199999999998</v>
      </c>
      <c r="F220" s="21">
        <v>42.4328</v>
      </c>
      <c r="G220" s="185">
        <f>ROUND(D220*(E220+F220),2)</f>
        <v>1730.23</v>
      </c>
      <c r="H220" s="496"/>
      <c r="I220" s="73"/>
      <c r="J220" s="73">
        <f>+H220*I220</f>
        <v>0</v>
      </c>
      <c r="K220" s="497"/>
      <c r="L220" s="498">
        <f>SUM(G220:G226)+SUM(J220:J225)</f>
        <v>26332.06</v>
      </c>
      <c r="M220" s="26">
        <v>26332.06</v>
      </c>
      <c r="N220" s="594"/>
      <c r="O220" s="535"/>
      <c r="P220" s="536" t="s">
        <v>87</v>
      </c>
      <c r="Q220" s="595">
        <f t="shared" si="30"/>
        <v>-24601.83</v>
      </c>
      <c r="R220" s="502" t="s">
        <v>88</v>
      </c>
      <c r="S220" s="503"/>
      <c r="T220" s="504"/>
      <c r="U220" s="33">
        <f>+M220-L220</f>
        <v>0</v>
      </c>
    </row>
    <row r="221" spans="1:21" ht="15.75" thickBot="1">
      <c r="A221" s="505"/>
      <c r="B221" s="506"/>
      <c r="C221" s="542"/>
      <c r="D221" s="508"/>
      <c r="E221" s="38"/>
      <c r="F221" s="38"/>
      <c r="G221" s="50">
        <f>ROUND(D221*(E221+F221),2)</f>
        <v>0</v>
      </c>
      <c r="H221" s="596"/>
      <c r="I221" s="409"/>
      <c r="J221" s="509"/>
      <c r="K221" s="543"/>
      <c r="L221" s="511"/>
      <c r="M221" s="99"/>
      <c r="N221" s="513"/>
      <c r="O221" s="514"/>
      <c r="P221" s="515"/>
      <c r="Q221" s="262"/>
      <c r="R221" s="502"/>
      <c r="S221" s="503"/>
      <c r="T221" s="504"/>
    </row>
    <row r="222" spans="1:21">
      <c r="A222" s="505"/>
      <c r="B222" s="516" t="s">
        <v>103</v>
      </c>
      <c r="C222" s="99" t="s">
        <v>90</v>
      </c>
      <c r="D222" s="508">
        <v>12</v>
      </c>
      <c r="E222" s="101">
        <v>304.86</v>
      </c>
      <c r="F222" s="21">
        <v>42.4328</v>
      </c>
      <c r="G222" s="50">
        <f>ROUND(D222*(E222+F222),2)</f>
        <v>4167.51</v>
      </c>
      <c r="H222" s="270"/>
      <c r="I222" s="41"/>
      <c r="J222" s="409">
        <f>+H222*I222</f>
        <v>0</v>
      </c>
      <c r="K222" s="510"/>
      <c r="L222" s="597"/>
      <c r="M222" s="99"/>
      <c r="N222" s="518"/>
      <c r="O222" s="519"/>
      <c r="P222" s="515" t="s">
        <v>87</v>
      </c>
      <c r="Q222" s="271">
        <f>+G222+J222-M222-N222-O222</f>
        <v>4167.51</v>
      </c>
      <c r="R222" s="502" t="s">
        <v>88</v>
      </c>
      <c r="S222" s="503"/>
      <c r="T222" s="504"/>
    </row>
    <row r="223" spans="1:21">
      <c r="A223" s="505"/>
      <c r="B223" s="506"/>
      <c r="C223" s="390" t="s">
        <v>97</v>
      </c>
      <c r="D223" s="508"/>
      <c r="E223" s="41"/>
      <c r="F223" s="38"/>
      <c r="G223" s="50">
        <f>D223*(E223+F223)</f>
        <v>0</v>
      </c>
      <c r="H223" s="432"/>
      <c r="I223" s="362"/>
      <c r="J223" s="41"/>
      <c r="K223" s="510"/>
      <c r="L223" s="597"/>
      <c r="M223" s="99"/>
      <c r="N223" s="521"/>
      <c r="O223" s="522"/>
      <c r="P223" s="523"/>
      <c r="Q223" s="362"/>
      <c r="R223" s="502"/>
      <c r="S223" s="503"/>
      <c r="T223" s="504"/>
    </row>
    <row r="224" spans="1:21">
      <c r="A224" s="505"/>
      <c r="B224" s="506"/>
      <c r="C224" s="48" t="s">
        <v>115</v>
      </c>
      <c r="D224" s="37">
        <v>3227</v>
      </c>
      <c r="E224" s="41">
        <f>6.8021-6.8946</f>
        <v>-9.2499999999999361E-2</v>
      </c>
      <c r="F224" s="297">
        <f t="shared" ref="F224:F226" si="31">+E224</f>
        <v>-9.2499999999999361E-2</v>
      </c>
      <c r="G224" s="39">
        <f>ROUND(D224*(E224+F224)/2,2)+0.02</f>
        <v>-298.48</v>
      </c>
      <c r="H224" s="432"/>
      <c r="I224" s="362"/>
      <c r="J224" s="41"/>
      <c r="K224" s="510"/>
      <c r="L224" s="597"/>
      <c r="M224" s="99"/>
      <c r="N224" s="521"/>
      <c r="O224" s="522"/>
      <c r="P224" s="523"/>
      <c r="Q224" s="362"/>
      <c r="R224" s="502"/>
      <c r="S224" s="503"/>
      <c r="T224" s="504"/>
    </row>
    <row r="225" spans="1:21">
      <c r="A225" s="505"/>
      <c r="B225" s="506"/>
      <c r="C225" s="48" t="s">
        <v>114</v>
      </c>
      <c r="D225" s="37">
        <v>129</v>
      </c>
      <c r="E225" s="41">
        <v>6.8021000000000003</v>
      </c>
      <c r="F225" s="298">
        <f t="shared" si="31"/>
        <v>6.8021000000000003</v>
      </c>
      <c r="G225" s="39">
        <f>ROUND(D225*E225,2)</f>
        <v>877.47</v>
      </c>
      <c r="H225" s="432"/>
      <c r="I225" s="362"/>
      <c r="J225" s="41"/>
      <c r="K225" s="510"/>
      <c r="L225" s="597"/>
      <c r="M225" s="99"/>
      <c r="N225" s="521"/>
      <c r="O225" s="522"/>
      <c r="P225" s="523"/>
      <c r="Q225" s="362"/>
      <c r="R225" s="502"/>
      <c r="S225" s="503"/>
      <c r="T225" s="504"/>
    </row>
    <row r="226" spans="1:21" ht="15.75" thickBot="1">
      <c r="A226" s="505"/>
      <c r="B226" s="526"/>
      <c r="C226" s="99" t="s">
        <v>29</v>
      </c>
      <c r="D226" s="55">
        <v>2919</v>
      </c>
      <c r="E226" s="56">
        <v>6.8021000000000003</v>
      </c>
      <c r="F226" s="57">
        <f t="shared" si="31"/>
        <v>6.8021000000000003</v>
      </c>
      <c r="G226" s="414">
        <f>ROUND(D226*E226,2)</f>
        <v>19855.330000000002</v>
      </c>
      <c r="H226" s="248"/>
      <c r="I226" s="203"/>
      <c r="J226" s="60"/>
      <c r="K226" s="61"/>
      <c r="L226" s="249"/>
      <c r="M226" s="54"/>
      <c r="N226" s="527"/>
      <c r="O226" s="528"/>
      <c r="P226" s="529" t="s">
        <v>87</v>
      </c>
      <c r="Q226" s="58">
        <f>+G226+J226-M226-N226-O226</f>
        <v>19855.330000000002</v>
      </c>
      <c r="R226" s="502" t="s">
        <v>88</v>
      </c>
      <c r="S226" s="598">
        <f>SUM(N220:N226)+O220:O226</f>
        <v>0</v>
      </c>
      <c r="T226" s="598">
        <f>SUM(Q220:Q226)</f>
        <v>-578.98999999999796</v>
      </c>
    </row>
    <row r="227" spans="1:21">
      <c r="A227" s="645"/>
      <c r="B227" s="494" t="s">
        <v>104</v>
      </c>
      <c r="C227" s="71">
        <f>+[1]дек!U66</f>
        <v>0</v>
      </c>
      <c r="D227" s="495">
        <v>30</v>
      </c>
      <c r="E227" s="21">
        <v>36.214199999999998</v>
      </c>
      <c r="F227" s="21">
        <v>42.4328</v>
      </c>
      <c r="G227" s="185">
        <f>ROUND(D227*(E227+F227),2)</f>
        <v>2359.41</v>
      </c>
      <c r="H227" s="496"/>
      <c r="I227" s="73"/>
      <c r="J227" s="73">
        <f>+H227*I227</f>
        <v>0</v>
      </c>
      <c r="K227" s="497"/>
      <c r="L227" s="439">
        <f>SUM(G227:G234)+SUM(J227:J233)</f>
        <v>18825.349999999999</v>
      </c>
      <c r="M227" s="26">
        <v>18825.349999999999</v>
      </c>
      <c r="N227" s="499"/>
      <c r="O227" s="500"/>
      <c r="P227" s="501" t="s">
        <v>87</v>
      </c>
      <c r="Q227" s="185">
        <f t="shared" ref="Q227" si="32">C227+G227+J227-M227-N227-O227</f>
        <v>-16465.939999999999</v>
      </c>
      <c r="R227" s="502" t="s">
        <v>88</v>
      </c>
      <c r="S227" s="503"/>
      <c r="T227" s="504"/>
    </row>
    <row r="228" spans="1:21" ht="15.75" thickBot="1">
      <c r="A228" s="645"/>
      <c r="B228" s="506"/>
      <c r="C228" s="599" t="s">
        <v>96</v>
      </c>
      <c r="D228" s="234"/>
      <c r="E228" s="38"/>
      <c r="F228" s="38"/>
      <c r="G228" s="235">
        <f>ROUND(D228*(E228+F228),2)</f>
        <v>0</v>
      </c>
      <c r="H228" s="448"/>
      <c r="I228" s="509"/>
      <c r="J228" s="409"/>
      <c r="K228" s="510"/>
      <c r="L228" s="48"/>
      <c r="M228" s="512"/>
      <c r="N228" s="513"/>
      <c r="O228" s="514"/>
      <c r="P228" s="515"/>
      <c r="Q228" s="262"/>
      <c r="R228" s="502"/>
      <c r="S228" s="503"/>
      <c r="T228" s="504"/>
    </row>
    <row r="229" spans="1:21">
      <c r="A229" s="645"/>
      <c r="B229" s="516" t="s">
        <v>89</v>
      </c>
      <c r="C229" s="512" t="s">
        <v>90</v>
      </c>
      <c r="D229" s="508">
        <v>5</v>
      </c>
      <c r="E229" s="101">
        <v>304.86</v>
      </c>
      <c r="F229" s="21">
        <v>42.4328</v>
      </c>
      <c r="G229" s="50">
        <f>ROUND(D229*(E229+F229),2)</f>
        <v>1736.46</v>
      </c>
      <c r="H229" s="270"/>
      <c r="I229" s="41"/>
      <c r="J229" s="409">
        <f>ROUND(H229*I229,2)</f>
        <v>0</v>
      </c>
      <c r="K229" s="510"/>
      <c r="L229" s="600"/>
      <c r="M229" s="99"/>
      <c r="N229" s="518"/>
      <c r="O229" s="519"/>
      <c r="P229" s="515" t="s">
        <v>87</v>
      </c>
      <c r="Q229" s="271">
        <f>+G229+J229-M229-N229-O229</f>
        <v>1736.46</v>
      </c>
      <c r="R229" s="502" t="s">
        <v>88</v>
      </c>
      <c r="S229" s="503"/>
      <c r="T229" s="504"/>
    </row>
    <row r="230" spans="1:21">
      <c r="A230" s="645"/>
      <c r="B230" s="541"/>
      <c r="C230" s="84" t="s">
        <v>97</v>
      </c>
      <c r="D230" s="508"/>
      <c r="E230" s="41"/>
      <c r="F230" s="38"/>
      <c r="G230" s="50">
        <f>ROUND(D230*(E230+F230),2)</f>
        <v>0</v>
      </c>
      <c r="H230" s="432"/>
      <c r="I230" s="362"/>
      <c r="J230" s="41"/>
      <c r="K230" s="510"/>
      <c r="L230" s="600"/>
      <c r="M230" s="520"/>
      <c r="N230" s="521"/>
      <c r="O230" s="522"/>
      <c r="P230" s="523"/>
      <c r="Q230" s="362"/>
      <c r="R230" s="502"/>
      <c r="S230" s="503"/>
      <c r="T230" s="504"/>
    </row>
    <row r="231" spans="1:21">
      <c r="A231" s="645"/>
      <c r="B231" s="541"/>
      <c r="C231" s="84" t="s">
        <v>97</v>
      </c>
      <c r="D231" s="508"/>
      <c r="E231" s="41"/>
      <c r="F231" s="41"/>
      <c r="G231" s="50">
        <f>D231*(E231+F231)</f>
        <v>0</v>
      </c>
      <c r="H231" s="432"/>
      <c r="I231" s="362"/>
      <c r="J231" s="41"/>
      <c r="K231" s="510"/>
      <c r="L231" s="600"/>
      <c r="M231" s="520"/>
      <c r="N231" s="521"/>
      <c r="O231" s="522"/>
      <c r="P231" s="523"/>
      <c r="Q231" s="362"/>
      <c r="R231" s="502"/>
      <c r="S231" s="503"/>
      <c r="T231" s="504"/>
    </row>
    <row r="232" spans="1:21">
      <c r="A232" s="645"/>
      <c r="B232" s="506"/>
      <c r="C232" s="48" t="s">
        <v>115</v>
      </c>
      <c r="D232" s="37">
        <v>2395</v>
      </c>
      <c r="E232" s="41">
        <f>6.8021-6.8946</f>
        <v>-9.2499999999999361E-2</v>
      </c>
      <c r="F232" s="297">
        <f t="shared" ref="F232:F234" si="33">+E232</f>
        <v>-9.2499999999999361E-2</v>
      </c>
      <c r="G232" s="39">
        <f>ROUND(D232*(E232),2)</f>
        <v>-221.54</v>
      </c>
      <c r="H232" s="432"/>
      <c r="I232" s="362"/>
      <c r="J232" s="41"/>
      <c r="K232" s="510"/>
      <c r="L232" s="600"/>
      <c r="M232" s="520"/>
      <c r="N232" s="521"/>
      <c r="O232" s="522"/>
      <c r="P232" s="523"/>
      <c r="Q232" s="362"/>
      <c r="R232" s="502"/>
      <c r="S232" s="503"/>
      <c r="T232" s="504"/>
    </row>
    <row r="233" spans="1:21">
      <c r="A233" s="645"/>
      <c r="B233" s="506"/>
      <c r="C233" s="48" t="s">
        <v>114</v>
      </c>
      <c r="D233" s="37">
        <v>93</v>
      </c>
      <c r="E233" s="41">
        <v>6.8021000000000003</v>
      </c>
      <c r="F233" s="298">
        <f t="shared" si="33"/>
        <v>6.8021000000000003</v>
      </c>
      <c r="G233" s="39">
        <f>ROUND(D233*(E233),2)</f>
        <v>632.6</v>
      </c>
      <c r="H233" s="432"/>
      <c r="I233" s="362"/>
      <c r="J233" s="41"/>
      <c r="K233" s="510"/>
      <c r="L233" s="600"/>
      <c r="M233" s="520"/>
      <c r="N233" s="521"/>
      <c r="O233" s="522"/>
      <c r="P233" s="523"/>
      <c r="Q233" s="362"/>
      <c r="R233" s="502"/>
      <c r="S233" s="503"/>
      <c r="T233" s="504"/>
      <c r="U233" s="33"/>
    </row>
    <row r="234" spans="1:21" ht="15.75" thickBot="1">
      <c r="A234" s="645"/>
      <c r="B234" s="526"/>
      <c r="C234" s="99" t="s">
        <v>29</v>
      </c>
      <c r="D234" s="55">
        <v>2105</v>
      </c>
      <c r="E234" s="56">
        <v>6.8021000000000003</v>
      </c>
      <c r="F234" s="57">
        <f t="shared" si="33"/>
        <v>6.8021000000000003</v>
      </c>
      <c r="G234" s="414">
        <f>ROUND(D234*(E234),2)</f>
        <v>14318.42</v>
      </c>
      <c r="H234" s="248"/>
      <c r="I234" s="203"/>
      <c r="J234" s="60"/>
      <c r="K234" s="61"/>
      <c r="L234" s="204"/>
      <c r="M234" s="54"/>
      <c r="N234" s="527"/>
      <c r="O234" s="528"/>
      <c r="P234" s="529" t="s">
        <v>87</v>
      </c>
      <c r="Q234" s="362">
        <f>+G234+J234-M234-N234-O234</f>
        <v>14318.42</v>
      </c>
      <c r="R234" s="502" t="s">
        <v>88</v>
      </c>
      <c r="S234" s="598">
        <f>SUM(N227:N234)+O227:O234</f>
        <v>0</v>
      </c>
      <c r="T234" s="598">
        <f>SUM(Q227:Q234)</f>
        <v>-411.05999999999949</v>
      </c>
    </row>
    <row r="235" spans="1:21" ht="15.75" thickTop="1">
      <c r="A235" s="493">
        <v>115</v>
      </c>
      <c r="B235" s="494" t="s">
        <v>105</v>
      </c>
      <c r="C235" s="71">
        <f>+[1]дек!U72</f>
        <v>0</v>
      </c>
      <c r="D235" s="495">
        <v>9</v>
      </c>
      <c r="E235" s="21">
        <v>36.214199999999998</v>
      </c>
      <c r="F235" s="21">
        <v>42.4328</v>
      </c>
      <c r="G235" s="185">
        <f>ROUND(D235*(E235+F235),2)</f>
        <v>707.82</v>
      </c>
      <c r="H235" s="496"/>
      <c r="I235" s="73"/>
      <c r="J235" s="73">
        <f>+H235*I235</f>
        <v>0</v>
      </c>
      <c r="K235" s="601"/>
      <c r="L235" s="498">
        <f>SUM(G235:G242)+SUM(J235:J241)</f>
        <v>24677.24</v>
      </c>
      <c r="M235" s="26">
        <v>24677.24</v>
      </c>
      <c r="N235" s="499"/>
      <c r="O235" s="500"/>
      <c r="P235" s="501" t="s">
        <v>87</v>
      </c>
      <c r="Q235" s="595">
        <f t="shared" ref="Q235" si="34">C235+G235+J235-M235-N235-O235</f>
        <v>-23969.420000000002</v>
      </c>
    </row>
    <row r="236" spans="1:21" ht="15.75" thickBot="1">
      <c r="A236" s="505"/>
      <c r="B236" s="506"/>
      <c r="C236" s="507" t="s">
        <v>96</v>
      </c>
      <c r="D236" s="234"/>
      <c r="E236" s="38"/>
      <c r="F236" s="38"/>
      <c r="G236" s="235">
        <f>ROUND(D236*(E236+F236),2)</f>
        <v>0</v>
      </c>
      <c r="H236" s="448"/>
      <c r="I236" s="509"/>
      <c r="J236" s="199"/>
      <c r="K236" s="517"/>
      <c r="L236" s="511"/>
      <c r="M236" s="512"/>
      <c r="N236" s="513"/>
      <c r="O236" s="514"/>
      <c r="P236" s="515"/>
      <c r="Q236" s="262"/>
      <c r="U236" s="33"/>
    </row>
    <row r="237" spans="1:21">
      <c r="A237" s="505"/>
      <c r="B237" s="516" t="s">
        <v>89</v>
      </c>
      <c r="C237" s="512" t="s">
        <v>90</v>
      </c>
      <c r="D237" s="508">
        <v>1</v>
      </c>
      <c r="E237" s="101">
        <v>304.86</v>
      </c>
      <c r="F237" s="21">
        <v>42.4328</v>
      </c>
      <c r="G237" s="50">
        <f>ROUND(D237*(E237+F237),2)</f>
        <v>347.29</v>
      </c>
      <c r="H237" s="270"/>
      <c r="I237" s="41"/>
      <c r="J237" s="207">
        <f>+H237*I237</f>
        <v>0</v>
      </c>
      <c r="K237" s="517"/>
      <c r="L237" s="517"/>
      <c r="M237" s="99"/>
      <c r="N237" s="518"/>
      <c r="O237" s="519"/>
      <c r="P237" s="515" t="s">
        <v>87</v>
      </c>
      <c r="Q237" s="271">
        <f>+G237+J237-M237-N237-O237</f>
        <v>347.29</v>
      </c>
    </row>
    <row r="238" spans="1:21">
      <c r="A238" s="505"/>
      <c r="B238" s="541"/>
      <c r="C238" s="84" t="s">
        <v>97</v>
      </c>
      <c r="D238" s="508">
        <v>0</v>
      </c>
      <c r="E238" s="41"/>
      <c r="F238" s="38"/>
      <c r="G238" s="50">
        <f>ROUND(D238*(E238+F238),2)</f>
        <v>0</v>
      </c>
      <c r="H238" s="432"/>
      <c r="I238" s="362"/>
      <c r="J238" s="207"/>
      <c r="K238" s="517"/>
      <c r="L238" s="517"/>
      <c r="M238" s="520"/>
      <c r="N238" s="521"/>
      <c r="O238" s="522"/>
      <c r="P238" s="523"/>
      <c r="Q238" s="362"/>
    </row>
    <row r="239" spans="1:21">
      <c r="A239" s="505"/>
      <c r="B239" s="541"/>
      <c r="C239" s="84"/>
      <c r="D239" s="508"/>
      <c r="E239" s="41"/>
      <c r="F239" s="41"/>
      <c r="G239" s="50"/>
      <c r="H239" s="432"/>
      <c r="I239" s="362"/>
      <c r="J239" s="207"/>
      <c r="K239" s="517"/>
      <c r="L239" s="517"/>
      <c r="M239" s="520"/>
      <c r="N239" s="521"/>
      <c r="O239" s="522"/>
      <c r="P239" s="523"/>
      <c r="Q239" s="362"/>
    </row>
    <row r="240" spans="1:21">
      <c r="A240" s="505"/>
      <c r="B240" s="506"/>
      <c r="C240" s="48" t="s">
        <v>115</v>
      </c>
      <c r="D240" s="37">
        <v>3473</v>
      </c>
      <c r="E240" s="41">
        <f>6.8021-6.8946</f>
        <v>-9.2499999999999361E-2</v>
      </c>
      <c r="F240" s="41">
        <f t="shared" ref="F240:F245" si="35">+E240</f>
        <v>-9.2499999999999361E-2</v>
      </c>
      <c r="G240" s="39">
        <f>ROUND(D240*E240,2)-0.01</f>
        <v>-321.26</v>
      </c>
      <c r="H240" s="432"/>
      <c r="I240" s="362"/>
      <c r="J240" s="207"/>
      <c r="K240" s="517"/>
      <c r="L240" s="517"/>
      <c r="M240" s="520"/>
      <c r="N240" s="521"/>
      <c r="O240" s="522"/>
      <c r="P240" s="523"/>
      <c r="Q240" s="362"/>
    </row>
    <row r="241" spans="1:21">
      <c r="A241" s="505"/>
      <c r="B241" s="506"/>
      <c r="C241" s="48" t="s">
        <v>114</v>
      </c>
      <c r="D241" s="37">
        <v>149</v>
      </c>
      <c r="E241" s="41">
        <v>6.8021000000000003</v>
      </c>
      <c r="F241" s="41">
        <f t="shared" si="35"/>
        <v>6.8021000000000003</v>
      </c>
      <c r="G241" s="39">
        <f>ROUND(D241*E241,2)</f>
        <v>1013.51</v>
      </c>
      <c r="H241" s="432"/>
      <c r="I241" s="362"/>
      <c r="J241" s="207"/>
      <c r="K241" s="517"/>
      <c r="L241" s="517"/>
      <c r="M241" s="520"/>
      <c r="N241" s="521"/>
      <c r="O241" s="522"/>
      <c r="P241" s="523"/>
      <c r="Q241" s="362"/>
      <c r="U241" s="33"/>
    </row>
    <row r="242" spans="1:21" ht="15.75" thickBot="1">
      <c r="A242" s="525"/>
      <c r="B242" s="526"/>
      <c r="C242" s="99" t="s">
        <v>29</v>
      </c>
      <c r="D242" s="55">
        <v>3371</v>
      </c>
      <c r="E242" s="56">
        <v>6.8021000000000003</v>
      </c>
      <c r="F242" s="281">
        <f t="shared" si="35"/>
        <v>6.8021000000000003</v>
      </c>
      <c r="G242" s="58">
        <f>ROUND(D242*E242,2)</f>
        <v>22929.88</v>
      </c>
      <c r="H242" s="248"/>
      <c r="I242" s="203"/>
      <c r="J242" s="60"/>
      <c r="K242" s="61"/>
      <c r="L242" s="249"/>
      <c r="M242" s="54"/>
      <c r="N242" s="521"/>
      <c r="O242" s="528"/>
      <c r="P242" s="529" t="s">
        <v>87</v>
      </c>
      <c r="Q242" s="362">
        <f>+G242+J242-M242-N242-O242</f>
        <v>22929.88</v>
      </c>
    </row>
    <row r="243" spans="1:21">
      <c r="A243" s="493">
        <v>301</v>
      </c>
      <c r="B243" s="602" t="s">
        <v>106</v>
      </c>
      <c r="C243" s="48" t="s">
        <v>115</v>
      </c>
      <c r="D243" s="184">
        <v>914.81</v>
      </c>
      <c r="E243" s="41">
        <f>6.8021-6.8946</f>
        <v>-9.2499999999999361E-2</v>
      </c>
      <c r="F243" s="23">
        <f t="shared" si="35"/>
        <v>-9.2499999999999361E-2</v>
      </c>
      <c r="G243" s="185">
        <f>ROUND(D243*(E243),2)</f>
        <v>-84.62</v>
      </c>
      <c r="H243" s="23"/>
      <c r="I243" s="23"/>
      <c r="J243" s="23"/>
      <c r="K243" s="23"/>
      <c r="L243" s="603">
        <f>SUM(G243:G245)</f>
        <v>5250.07</v>
      </c>
      <c r="M243" s="187">
        <v>5250.07</v>
      </c>
      <c r="N243" s="604"/>
      <c r="O243" s="500"/>
      <c r="P243" s="501"/>
      <c r="Q243" s="605"/>
    </row>
    <row r="244" spans="1:21">
      <c r="A244" s="505"/>
      <c r="B244" s="506"/>
      <c r="C244" s="48" t="s">
        <v>114</v>
      </c>
      <c r="D244" s="49">
        <v>33.270000000000003</v>
      </c>
      <c r="E244" s="41">
        <v>6.8021000000000003</v>
      </c>
      <c r="F244" s="41">
        <f t="shared" si="35"/>
        <v>6.8021000000000003</v>
      </c>
      <c r="G244" s="50">
        <f>ROUND(D244*(E244),2)</f>
        <v>226.31</v>
      </c>
      <c r="H244" s="41"/>
      <c r="I244" s="41"/>
      <c r="J244" s="41"/>
      <c r="K244" s="41"/>
      <c r="L244" s="606"/>
      <c r="M244" s="606"/>
      <c r="N244" s="607"/>
      <c r="O244" s="608"/>
      <c r="P244" s="609"/>
      <c r="Q244" s="610"/>
    </row>
    <row r="245" spans="1:21" ht="15.75" thickBot="1">
      <c r="A245" s="611"/>
      <c r="B245" s="612"/>
      <c r="C245" s="99" t="s">
        <v>29</v>
      </c>
      <c r="D245" s="613">
        <v>751</v>
      </c>
      <c r="E245" s="56">
        <v>6.8021000000000003</v>
      </c>
      <c r="F245" s="281">
        <f t="shared" si="35"/>
        <v>6.8021000000000003</v>
      </c>
      <c r="G245" s="58">
        <f>ROUND(D245*(E245),2)</f>
        <v>5108.38</v>
      </c>
      <c r="H245" s="57"/>
      <c r="I245" s="57"/>
      <c r="J245" s="57"/>
      <c r="K245" s="57"/>
      <c r="L245" s="614"/>
      <c r="M245" s="606"/>
      <c r="N245" s="615"/>
      <c r="O245" s="615"/>
      <c r="P245" s="615"/>
      <c r="Q245" s="616"/>
    </row>
    <row r="246" spans="1:21">
      <c r="A246" s="617"/>
      <c r="B246" s="602" t="s">
        <v>107</v>
      </c>
      <c r="C246" s="618" t="s">
        <v>73</v>
      </c>
      <c r="D246" s="619">
        <v>4</v>
      </c>
      <c r="E246" s="21">
        <v>36.214199999999998</v>
      </c>
      <c r="F246" s="21">
        <v>42.4328</v>
      </c>
      <c r="G246" s="185">
        <f>ROUND(D246*(E246+F246),2)</f>
        <v>314.58999999999997</v>
      </c>
      <c r="H246" s="620"/>
      <c r="I246" s="620"/>
      <c r="J246" s="620"/>
      <c r="K246" s="620"/>
      <c r="L246" s="603">
        <f>SUM(G246:G250,J246:J250)</f>
        <v>5866.53</v>
      </c>
      <c r="M246" s="187">
        <v>5866.53</v>
      </c>
      <c r="N246" s="621"/>
      <c r="O246" s="621"/>
      <c r="P246" s="621"/>
      <c r="Q246" s="622"/>
    </row>
    <row r="247" spans="1:21">
      <c r="A247" s="611"/>
      <c r="B247" s="612"/>
      <c r="C247" s="542" t="s">
        <v>96</v>
      </c>
      <c r="D247" s="234"/>
      <c r="E247" s="38">
        <f>32.332-28.8628</f>
        <v>3.4692000000000007</v>
      </c>
      <c r="F247" s="38">
        <f>37.8898-33.8306</f>
        <v>4.0592000000000041</v>
      </c>
      <c r="G247" s="235">
        <f>ROUND(D247*(E247+F247),2)</f>
        <v>0</v>
      </c>
      <c r="H247" s="298"/>
      <c r="I247" s="298"/>
      <c r="J247" s="298"/>
      <c r="K247" s="298"/>
      <c r="L247" s="606"/>
      <c r="M247" s="606"/>
      <c r="N247" s="615"/>
      <c r="O247" s="615"/>
      <c r="P247" s="615"/>
      <c r="Q247" s="616"/>
    </row>
    <row r="248" spans="1:21">
      <c r="A248" s="611"/>
      <c r="B248" s="612"/>
      <c r="C248" s="48" t="s">
        <v>115</v>
      </c>
      <c r="D248" s="623">
        <v>867</v>
      </c>
      <c r="E248" s="41">
        <f>6.8021-6.8946</f>
        <v>-9.2499999999999361E-2</v>
      </c>
      <c r="F248" s="41">
        <f>+E248</f>
        <v>-9.2499999999999361E-2</v>
      </c>
      <c r="G248" s="50">
        <f>ROUND(D248*(E248),2)</f>
        <v>-80.2</v>
      </c>
      <c r="H248" s="298"/>
      <c r="I248" s="298"/>
      <c r="J248" s="298"/>
      <c r="K248" s="298"/>
      <c r="L248" s="614"/>
      <c r="M248" s="606"/>
      <c r="N248" s="615"/>
      <c r="O248" s="615"/>
      <c r="P248" s="615"/>
      <c r="Q248" s="616"/>
    </row>
    <row r="249" spans="1:21">
      <c r="A249" s="611"/>
      <c r="B249" s="612"/>
      <c r="C249" s="48" t="s">
        <v>114</v>
      </c>
      <c r="D249" s="623">
        <v>35</v>
      </c>
      <c r="E249" s="41">
        <v>6.8021000000000003</v>
      </c>
      <c r="F249" s="41">
        <f>+E249</f>
        <v>6.8021000000000003</v>
      </c>
      <c r="G249" s="39">
        <f>ROUND(D249*(E249),2)</f>
        <v>238.07</v>
      </c>
      <c r="H249" s="298"/>
      <c r="I249" s="298"/>
      <c r="J249" s="298"/>
      <c r="K249" s="298"/>
      <c r="L249" s="614"/>
      <c r="M249" s="273"/>
      <c r="N249" s="615"/>
      <c r="O249" s="615"/>
      <c r="P249" s="615"/>
      <c r="Q249" s="616"/>
    </row>
    <row r="250" spans="1:21" ht="15.75" thickBot="1">
      <c r="A250" s="624"/>
      <c r="B250" s="526"/>
      <c r="C250" s="99" t="s">
        <v>29</v>
      </c>
      <c r="D250" s="625">
        <v>793</v>
      </c>
      <c r="E250" s="56">
        <v>6.8021000000000003</v>
      </c>
      <c r="F250" s="281">
        <f>+E250</f>
        <v>6.8021000000000003</v>
      </c>
      <c r="G250" s="414">
        <f>ROUND(D250*(E250),2)</f>
        <v>5394.07</v>
      </c>
      <c r="H250" s="41"/>
      <c r="I250" s="41"/>
      <c r="J250" s="41"/>
      <c r="K250" s="41"/>
      <c r="L250" s="606"/>
      <c r="M250" s="606"/>
      <c r="N250" s="626"/>
      <c r="O250" s="626"/>
      <c r="P250" s="626"/>
      <c r="Q250" s="627"/>
    </row>
    <row r="251" spans="1:21" ht="15.75" thickTop="1">
      <c r="A251" s="493"/>
      <c r="B251" s="494" t="s">
        <v>108</v>
      </c>
      <c r="C251" s="71">
        <f>+[1]дек!U87</f>
        <v>0</v>
      </c>
      <c r="D251" s="495">
        <v>4</v>
      </c>
      <c r="E251" s="21">
        <v>36.214199999999998</v>
      </c>
      <c r="F251" s="21">
        <v>42.4328</v>
      </c>
      <c r="G251" s="185">
        <f>ROUND(D251*(E251+F251),2)</f>
        <v>314.58999999999997</v>
      </c>
      <c r="H251" s="496"/>
      <c r="I251" s="73"/>
      <c r="J251" s="73">
        <f>+H251*I251</f>
        <v>0</v>
      </c>
      <c r="K251" s="628"/>
      <c r="L251" s="629">
        <f>SUM(G251:G257)+SUM(J251:J256)</f>
        <v>2960.54</v>
      </c>
      <c r="M251" s="630">
        <v>2960.54</v>
      </c>
      <c r="N251" s="594"/>
      <c r="O251" s="631"/>
      <c r="P251" s="515" t="s">
        <v>87</v>
      </c>
      <c r="Q251" s="595">
        <f t="shared" ref="Q251:Q253" si="36">C251+G251+J251-M251-N251-O251</f>
        <v>-2645.95</v>
      </c>
    </row>
    <row r="252" spans="1:21" ht="15.75" thickBot="1">
      <c r="A252" s="505"/>
      <c r="B252" s="506"/>
      <c r="C252" s="542" t="s">
        <v>96</v>
      </c>
      <c r="D252" s="234"/>
      <c r="E252" s="38">
        <f>32.332-28.8628</f>
        <v>3.4692000000000007</v>
      </c>
      <c r="F252" s="38">
        <f>37.8898-33.8306</f>
        <v>4.0592000000000041</v>
      </c>
      <c r="G252" s="235">
        <f>ROUND(D252*(E252+F252),2)</f>
        <v>0</v>
      </c>
      <c r="H252" s="448"/>
      <c r="I252" s="509"/>
      <c r="J252" s="409"/>
      <c r="K252" s="510"/>
      <c r="L252" s="632"/>
      <c r="M252" s="512"/>
      <c r="N252" s="513"/>
      <c r="O252" s="514"/>
      <c r="P252" s="515"/>
      <c r="Q252" s="262"/>
    </row>
    <row r="253" spans="1:21">
      <c r="A253" s="505"/>
      <c r="B253" s="516" t="s">
        <v>109</v>
      </c>
      <c r="C253" s="633"/>
      <c r="D253" s="508"/>
      <c r="E253" s="101">
        <v>304.86</v>
      </c>
      <c r="F253" s="21">
        <v>42.4328</v>
      </c>
      <c r="G253" s="50">
        <f>D253*(E253+F253)</f>
        <v>0</v>
      </c>
      <c r="H253" s="270"/>
      <c r="I253" s="41"/>
      <c r="J253" s="409">
        <f>ROUND(H253*I253,2)</f>
        <v>0</v>
      </c>
      <c r="K253" s="510"/>
      <c r="L253" s="597"/>
      <c r="M253" s="99"/>
      <c r="N253" s="518"/>
      <c r="O253" s="519"/>
      <c r="P253" s="515" t="s">
        <v>87</v>
      </c>
      <c r="Q253" s="271">
        <f t="shared" si="36"/>
        <v>0</v>
      </c>
    </row>
    <row r="254" spans="1:21">
      <c r="A254" s="505"/>
      <c r="B254" s="541"/>
      <c r="C254" s="84" t="s">
        <v>97</v>
      </c>
      <c r="D254" s="508"/>
      <c r="E254" s="41">
        <f>304.86-291.8</f>
        <v>13.060000000000002</v>
      </c>
      <c r="F254" s="41"/>
      <c r="G254" s="50">
        <f>D254*(E254+F254)</f>
        <v>0</v>
      </c>
      <c r="H254" s="432"/>
      <c r="I254" s="362"/>
      <c r="J254" s="207"/>
      <c r="K254" s="510"/>
      <c r="L254" s="597"/>
      <c r="M254" s="520"/>
      <c r="N254" s="521"/>
      <c r="O254" s="522"/>
      <c r="P254" s="523"/>
      <c r="Q254" s="362"/>
    </row>
    <row r="255" spans="1:21">
      <c r="A255" s="505"/>
      <c r="B255" s="506"/>
      <c r="C255" s="48" t="s">
        <v>115</v>
      </c>
      <c r="D255" s="37">
        <v>442</v>
      </c>
      <c r="E255" s="41">
        <f>6.8021-6.8946</f>
        <v>-9.2499999999999361E-2</v>
      </c>
      <c r="F255" s="41">
        <f>+E255</f>
        <v>-9.2499999999999361E-2</v>
      </c>
      <c r="G255" s="39">
        <f>ROUND(D255*(E255),2)</f>
        <v>-40.880000000000003</v>
      </c>
      <c r="H255" s="432"/>
      <c r="I255" s="362"/>
      <c r="J255" s="207"/>
      <c r="K255" s="510"/>
      <c r="L255" s="597"/>
      <c r="M255" s="520"/>
      <c r="N255" s="521"/>
      <c r="O255" s="522"/>
      <c r="P255" s="523"/>
      <c r="Q255" s="362"/>
    </row>
    <row r="256" spans="1:21">
      <c r="A256" s="505"/>
      <c r="B256" s="506"/>
      <c r="C256" s="48" t="s">
        <v>114</v>
      </c>
      <c r="D256" s="37">
        <v>17</v>
      </c>
      <c r="E256" s="41">
        <v>6.8021000000000003</v>
      </c>
      <c r="F256" s="41">
        <f>+E256</f>
        <v>6.8021000000000003</v>
      </c>
      <c r="G256" s="39">
        <f t="shared" ref="G256:G261" si="37">ROUND(D256*(E256),2)</f>
        <v>115.64</v>
      </c>
      <c r="H256" s="432"/>
      <c r="I256" s="362"/>
      <c r="J256" s="207"/>
      <c r="K256" s="510"/>
      <c r="L256" s="597"/>
      <c r="M256" s="520"/>
      <c r="N256" s="521"/>
      <c r="O256" s="522"/>
      <c r="P256" s="523"/>
      <c r="Q256" s="362"/>
    </row>
    <row r="257" spans="1:17" ht="15.75" thickBot="1">
      <c r="A257" s="525"/>
      <c r="B257" s="526"/>
      <c r="C257" s="99" t="s">
        <v>29</v>
      </c>
      <c r="D257" s="55">
        <v>378</v>
      </c>
      <c r="E257" s="56">
        <v>6.8021000000000003</v>
      </c>
      <c r="F257" s="281">
        <f>+E257</f>
        <v>6.8021000000000003</v>
      </c>
      <c r="G257" s="414">
        <f t="shared" si="37"/>
        <v>2571.19</v>
      </c>
      <c r="H257" s="248"/>
      <c r="I257" s="203"/>
      <c r="J257" s="60"/>
      <c r="K257" s="61"/>
      <c r="L257" s="249"/>
      <c r="M257" s="54"/>
      <c r="N257" s="527"/>
      <c r="O257" s="528"/>
      <c r="P257" s="529" t="s">
        <v>87</v>
      </c>
      <c r="Q257" s="282">
        <f>+G257+J257-M257-N257-O257</f>
        <v>2571.19</v>
      </c>
    </row>
    <row r="258" spans="1:17">
      <c r="A258" s="493"/>
      <c r="B258" s="602" t="s">
        <v>110</v>
      </c>
      <c r="C258" s="48" t="s">
        <v>115</v>
      </c>
      <c r="D258" s="184">
        <v>322</v>
      </c>
      <c r="E258" s="41">
        <f>6.8021-6.8946</f>
        <v>-9.2499999999999361E-2</v>
      </c>
      <c r="F258" s="23">
        <f t="shared" ref="F258:F260" si="38">+E258</f>
        <v>-9.2499999999999361E-2</v>
      </c>
      <c r="G258" s="185">
        <f>ROUND(D258*(E258),2)</f>
        <v>-29.78</v>
      </c>
      <c r="H258" s="620"/>
      <c r="I258" s="620"/>
      <c r="J258" s="620"/>
      <c r="K258" s="634"/>
      <c r="L258" s="603">
        <f>SUM(G258:G261)</f>
        <v>1677.54</v>
      </c>
      <c r="M258" s="187">
        <v>1677.54</v>
      </c>
      <c r="N258" s="604"/>
      <c r="O258" s="635"/>
      <c r="P258" s="636"/>
      <c r="Q258" s="605"/>
    </row>
    <row r="259" spans="1:17">
      <c r="A259" s="505"/>
      <c r="B259" s="506" t="s">
        <v>169</v>
      </c>
      <c r="C259" s="48" t="s">
        <v>114</v>
      </c>
      <c r="D259" s="49">
        <v>11</v>
      </c>
      <c r="E259" s="41">
        <v>6.8021000000000003</v>
      </c>
      <c r="F259" s="41">
        <f t="shared" si="38"/>
        <v>6.8021000000000003</v>
      </c>
      <c r="G259" s="50">
        <f>ROUND(D259*(E259),2)</f>
        <v>74.819999999999993</v>
      </c>
      <c r="H259" s="296"/>
      <c r="I259" s="298"/>
      <c r="J259" s="298"/>
      <c r="K259" s="637"/>
      <c r="L259" s="606"/>
      <c r="M259" s="606"/>
      <c r="N259" s="607"/>
      <c r="O259" s="608"/>
      <c r="P259" s="609"/>
      <c r="Q259" s="610"/>
    </row>
    <row r="260" spans="1:17" ht="15.75" thickBot="1">
      <c r="A260" s="611"/>
      <c r="B260" s="506"/>
      <c r="C260" s="99" t="s">
        <v>29</v>
      </c>
      <c r="D260" s="296">
        <v>240</v>
      </c>
      <c r="E260" s="56">
        <v>6.8021000000000003</v>
      </c>
      <c r="F260" s="41">
        <f t="shared" si="38"/>
        <v>6.8021000000000003</v>
      </c>
      <c r="G260" s="50">
        <f t="shared" si="37"/>
        <v>1632.5</v>
      </c>
      <c r="H260" s="296"/>
      <c r="I260" s="298"/>
      <c r="J260" s="298"/>
      <c r="K260" s="637"/>
      <c r="L260" s="614"/>
      <c r="M260" s="606"/>
      <c r="N260" s="615"/>
      <c r="O260" s="615"/>
      <c r="P260" s="615"/>
      <c r="Q260" s="616"/>
    </row>
    <row r="261" spans="1:17" ht="15.75" thickBot="1">
      <c r="A261" s="638"/>
      <c r="B261" s="639" t="s">
        <v>111</v>
      </c>
      <c r="C261" s="640"/>
      <c r="D261" s="641"/>
      <c r="E261" s="311"/>
      <c r="F261" s="109"/>
      <c r="G261" s="642">
        <f t="shared" si="37"/>
        <v>0</v>
      </c>
      <c r="H261" s="643"/>
      <c r="I261" s="109"/>
      <c r="J261" s="109"/>
      <c r="K261" s="644"/>
      <c r="L261" s="640"/>
      <c r="M261" s="640"/>
      <c r="N261" s="2"/>
      <c r="O261" s="2"/>
      <c r="P261" s="2"/>
      <c r="Q261" s="2"/>
    </row>
    <row r="262" spans="1:17" ht="15.75" thickTop="1">
      <c r="A262" s="645"/>
      <c r="B262" s="602" t="s">
        <v>112</v>
      </c>
      <c r="C262" s="48" t="s">
        <v>115</v>
      </c>
      <c r="D262" s="184">
        <v>747</v>
      </c>
      <c r="E262" s="41">
        <f>6.8021-6.8946</f>
        <v>-9.2499999999999361E-2</v>
      </c>
      <c r="F262" s="23">
        <f t="shared" ref="F262:F266" si="39">+E262</f>
        <v>-9.2499999999999361E-2</v>
      </c>
      <c r="G262" s="185">
        <f>ROUND(D262*(E262),2)</f>
        <v>-69.099999999999994</v>
      </c>
      <c r="H262" s="620"/>
      <c r="I262" s="620"/>
      <c r="J262" s="620"/>
      <c r="K262" s="634"/>
      <c r="L262" s="603">
        <f>SUM(G262:G265)</f>
        <v>4461.0999999999995</v>
      </c>
      <c r="M262" s="187">
        <v>4461.1000000000004</v>
      </c>
      <c r="N262" s="604"/>
      <c r="O262" s="635"/>
      <c r="P262" s="636"/>
      <c r="Q262" s="605"/>
    </row>
    <row r="263" spans="1:17">
      <c r="A263" s="645"/>
      <c r="B263" s="506"/>
      <c r="C263" s="48" t="s">
        <v>114</v>
      </c>
      <c r="D263" s="49">
        <v>28</v>
      </c>
      <c r="E263" s="41">
        <v>6.8021000000000003</v>
      </c>
      <c r="F263" s="41">
        <f t="shared" si="39"/>
        <v>6.8021000000000003</v>
      </c>
      <c r="G263" s="50">
        <f t="shared" ref="G263:G264" si="40">ROUND(D263*(E263),2)</f>
        <v>190.46</v>
      </c>
      <c r="H263" s="296"/>
      <c r="I263" s="298"/>
      <c r="J263" s="298"/>
      <c r="K263" s="637"/>
      <c r="L263" s="606"/>
      <c r="M263" s="606"/>
      <c r="N263" s="607"/>
      <c r="O263" s="608"/>
      <c r="P263" s="609"/>
      <c r="Q263" s="610"/>
    </row>
    <row r="264" spans="1:17" ht="15.75" thickBot="1">
      <c r="A264" s="645"/>
      <c r="B264" s="506"/>
      <c r="C264" s="99" t="s">
        <v>29</v>
      </c>
      <c r="D264" s="296">
        <v>638</v>
      </c>
      <c r="E264" s="56">
        <v>6.8021000000000003</v>
      </c>
      <c r="F264" s="41">
        <f t="shared" si="39"/>
        <v>6.8021000000000003</v>
      </c>
      <c r="G264" s="50">
        <f t="shared" si="40"/>
        <v>4339.74</v>
      </c>
      <c r="H264" s="296"/>
      <c r="I264" s="298"/>
      <c r="J264" s="298"/>
      <c r="K264" s="637"/>
      <c r="L264" s="614"/>
      <c r="M264" s="606"/>
      <c r="N264" s="615"/>
      <c r="O264" s="615"/>
      <c r="P264" s="615"/>
      <c r="Q264" s="616"/>
    </row>
    <row r="265" spans="1:17" ht="15.75" thickBot="1">
      <c r="A265" s="645"/>
      <c r="B265" s="639"/>
      <c r="C265" s="646"/>
      <c r="D265" s="647"/>
      <c r="E265" s="648"/>
      <c r="F265" s="646"/>
      <c r="G265" s="648"/>
      <c r="H265" s="646"/>
      <c r="I265" s="646"/>
      <c r="J265" s="646"/>
      <c r="K265" s="646"/>
      <c r="L265" s="646"/>
      <c r="M265" s="646"/>
      <c r="N265" s="615"/>
      <c r="O265" s="615"/>
      <c r="P265" s="615"/>
      <c r="Q265" s="615"/>
    </row>
    <row r="266" spans="1:17" ht="15.75" thickTop="1">
      <c r="A266" s="645"/>
      <c r="B266" s="602" t="s">
        <v>127</v>
      </c>
      <c r="C266" s="48" t="s">
        <v>115</v>
      </c>
      <c r="D266" s="184">
        <v>629.70000000000005</v>
      </c>
      <c r="E266" s="41">
        <f>6.8021-6.8946</f>
        <v>-9.2499999999999361E-2</v>
      </c>
      <c r="F266" s="23">
        <f t="shared" si="39"/>
        <v>-9.2499999999999361E-2</v>
      </c>
      <c r="G266" s="185">
        <f>ROUND(D266*(E266),2)+0.01</f>
        <v>-58.24</v>
      </c>
      <c r="H266" s="620"/>
      <c r="I266" s="620"/>
      <c r="J266" s="620"/>
      <c r="K266" s="634"/>
      <c r="L266" s="603">
        <f>SUM(G266:G269)</f>
        <v>3159.83</v>
      </c>
      <c r="M266" s="187">
        <v>3159.83</v>
      </c>
      <c r="N266" s="604"/>
      <c r="O266" s="635"/>
      <c r="P266" s="636"/>
      <c r="Q266" s="605"/>
    </row>
    <row r="267" spans="1:17">
      <c r="A267" s="645"/>
      <c r="B267" s="506"/>
      <c r="C267" s="48" t="s">
        <v>114</v>
      </c>
      <c r="D267" s="49">
        <v>20.100000000000001</v>
      </c>
      <c r="E267" s="41">
        <v>6.8021000000000003</v>
      </c>
      <c r="F267" s="41">
        <f>+E267</f>
        <v>6.8021000000000003</v>
      </c>
      <c r="G267" s="50">
        <f>ROUND(D267*(E267),2)</f>
        <v>136.72</v>
      </c>
      <c r="H267" s="296"/>
      <c r="I267" s="298"/>
      <c r="J267" s="298"/>
      <c r="K267" s="637"/>
      <c r="L267" s="606"/>
      <c r="M267" s="606"/>
      <c r="N267" s="607"/>
      <c r="O267" s="608"/>
      <c r="P267" s="609"/>
      <c r="Q267" s="610"/>
    </row>
    <row r="268" spans="1:17" ht="15.75" thickBot="1">
      <c r="A268" s="645"/>
      <c r="B268" s="506"/>
      <c r="C268" s="99" t="s">
        <v>29</v>
      </c>
      <c r="D268" s="296">
        <v>453</v>
      </c>
      <c r="E268" s="56">
        <v>6.8021000000000003</v>
      </c>
      <c r="F268" s="41">
        <f t="shared" ref="F268" si="41">+E268</f>
        <v>6.8021000000000003</v>
      </c>
      <c r="G268" s="50">
        <f t="shared" ref="G268" si="42">ROUND(D268*(E268),2)</f>
        <v>3081.35</v>
      </c>
      <c r="H268" s="296"/>
      <c r="I268" s="298"/>
      <c r="J268" s="298"/>
      <c r="K268" s="637"/>
      <c r="L268" s="614"/>
      <c r="M268" s="606"/>
      <c r="N268" s="615"/>
      <c r="O268" s="615"/>
      <c r="P268" s="615"/>
      <c r="Q268" s="616"/>
    </row>
    <row r="269" spans="1:17" ht="15.75" thickBot="1">
      <c r="A269" s="645"/>
      <c r="B269" s="639"/>
      <c r="C269" s="646"/>
      <c r="D269" s="647"/>
      <c r="E269" s="648"/>
      <c r="F269" s="646"/>
      <c r="G269" s="648"/>
      <c r="H269" s="646"/>
      <c r="I269" s="646"/>
      <c r="J269" s="646"/>
      <c r="K269" s="646"/>
      <c r="L269" s="646"/>
      <c r="M269" s="646"/>
      <c r="N269" s="615"/>
      <c r="O269" s="615"/>
      <c r="P269" s="615"/>
      <c r="Q269" s="615"/>
    </row>
    <row r="270" spans="1:17" ht="16.5" hidden="1" outlineLevel="1" thickTop="1" thickBot="1">
      <c r="A270" s="705"/>
      <c r="B270" s="602" t="s">
        <v>128</v>
      </c>
      <c r="C270" s="48" t="s">
        <v>115</v>
      </c>
      <c r="D270" s="184"/>
      <c r="E270" s="41">
        <f>6.8021-6.8946</f>
        <v>-9.2499999999999361E-2</v>
      </c>
      <c r="F270" s="23">
        <f t="shared" ref="F270" si="43">+E270</f>
        <v>-9.2499999999999361E-2</v>
      </c>
      <c r="G270" s="185">
        <f>ROUND(D270*(E270),2)</f>
        <v>0</v>
      </c>
      <c r="H270" s="620"/>
      <c r="I270" s="620"/>
      <c r="J270" s="620"/>
      <c r="K270" s="634"/>
      <c r="L270" s="603"/>
      <c r="M270" s="187"/>
      <c r="N270" s="604"/>
      <c r="O270" s="635"/>
      <c r="P270" s="636"/>
      <c r="Q270" s="605"/>
    </row>
    <row r="271" spans="1:17" ht="16.5" hidden="1" outlineLevel="1" thickTop="1" thickBot="1">
      <c r="A271" s="705"/>
      <c r="B271" s="506"/>
      <c r="C271" s="48" t="s">
        <v>114</v>
      </c>
      <c r="D271" s="49"/>
      <c r="E271" s="41">
        <v>6.8021000000000003</v>
      </c>
      <c r="F271" s="41">
        <f>+E271</f>
        <v>6.8021000000000003</v>
      </c>
      <c r="G271" s="50">
        <f>ROUND(D271*(E271),2)</f>
        <v>0</v>
      </c>
      <c r="H271" s="296"/>
      <c r="I271" s="298"/>
      <c r="J271" s="298"/>
      <c r="K271" s="637"/>
      <c r="L271" s="606"/>
      <c r="M271" s="606"/>
      <c r="N271" s="607"/>
      <c r="O271" s="608"/>
      <c r="P271" s="609"/>
      <c r="Q271" s="610"/>
    </row>
    <row r="272" spans="1:17" ht="16.5" hidden="1" outlineLevel="1" thickTop="1" thickBot="1">
      <c r="A272" s="705"/>
      <c r="B272" s="506"/>
      <c r="C272" s="99" t="s">
        <v>29</v>
      </c>
      <c r="D272" s="296"/>
      <c r="E272" s="56">
        <v>6.8021000000000003</v>
      </c>
      <c r="F272" s="41">
        <f t="shared" ref="F272" si="44">+E272</f>
        <v>6.8021000000000003</v>
      </c>
      <c r="G272" s="50">
        <f t="shared" ref="G272" si="45">ROUND(D272*(E272),2)</f>
        <v>0</v>
      </c>
      <c r="H272" s="296"/>
      <c r="I272" s="298"/>
      <c r="J272" s="298"/>
      <c r="K272" s="637"/>
      <c r="L272" s="614"/>
      <c r="M272" s="606"/>
      <c r="N272" s="615"/>
      <c r="O272" s="615"/>
      <c r="P272" s="615"/>
      <c r="Q272" s="616"/>
    </row>
    <row r="273" spans="1:20" ht="16.5" hidden="1" outlineLevel="1" thickTop="1" thickBot="1">
      <c r="A273" s="705"/>
      <c r="B273" s="639"/>
      <c r="C273" s="646"/>
      <c r="D273" s="647"/>
      <c r="E273" s="648"/>
      <c r="F273" s="646"/>
      <c r="G273" s="648"/>
      <c r="H273" s="646"/>
      <c r="I273" s="646"/>
      <c r="J273" s="646"/>
      <c r="K273" s="646"/>
      <c r="L273" s="646"/>
      <c r="M273" s="646"/>
      <c r="N273" s="615"/>
      <c r="O273" s="615"/>
      <c r="P273" s="615"/>
      <c r="Q273" s="615"/>
    </row>
    <row r="274" spans="1:20" ht="15.75" collapsed="1" thickTop="1">
      <c r="A274" s="645"/>
      <c r="B274" s="602" t="s">
        <v>163</v>
      </c>
      <c r="C274" s="48" t="s">
        <v>115</v>
      </c>
      <c r="D274" s="184">
        <v>478</v>
      </c>
      <c r="E274" s="41">
        <f>6.8021-6.8946</f>
        <v>-9.2499999999999361E-2</v>
      </c>
      <c r="F274" s="23">
        <f t="shared" ref="F274" si="46">+E274</f>
        <v>-9.2499999999999361E-2</v>
      </c>
      <c r="G274" s="185">
        <f>ROUND(D274*(E274),2)</f>
        <v>-44.21</v>
      </c>
      <c r="H274" s="620"/>
      <c r="I274" s="620"/>
      <c r="J274" s="620"/>
      <c r="K274" s="634"/>
      <c r="L274" s="603">
        <f>SUM(G274:G276)</f>
        <v>2812.67</v>
      </c>
      <c r="M274" s="187">
        <v>2812.67</v>
      </c>
      <c r="N274" s="604"/>
      <c r="O274" s="635"/>
      <c r="P274" s="636"/>
      <c r="Q274" s="605"/>
    </row>
    <row r="275" spans="1:20">
      <c r="A275" s="645"/>
      <c r="B275" s="506"/>
      <c r="C275" s="48" t="s">
        <v>114</v>
      </c>
      <c r="D275" s="49">
        <v>18</v>
      </c>
      <c r="E275" s="41">
        <v>6.8021000000000003</v>
      </c>
      <c r="F275" s="41">
        <f>+E275</f>
        <v>6.8021000000000003</v>
      </c>
      <c r="G275" s="50">
        <f>ROUND(D275*(E275),2)</f>
        <v>122.44</v>
      </c>
      <c r="H275" s="296"/>
      <c r="I275" s="298"/>
      <c r="J275" s="298"/>
      <c r="K275" s="637"/>
      <c r="L275" s="606"/>
      <c r="M275" s="606"/>
      <c r="N275" s="607"/>
      <c r="O275" s="608"/>
      <c r="P275" s="609"/>
      <c r="Q275" s="610"/>
    </row>
    <row r="276" spans="1:20" ht="15.75" thickBot="1">
      <c r="A276" s="645"/>
      <c r="B276" s="506"/>
      <c r="C276" s="99" t="s">
        <v>29</v>
      </c>
      <c r="D276" s="296">
        <v>402</v>
      </c>
      <c r="E276" s="56">
        <v>6.8021000000000003</v>
      </c>
      <c r="F276" s="41">
        <f t="shared" ref="F276:F277" si="47">+E276</f>
        <v>6.8021000000000003</v>
      </c>
      <c r="G276" s="50">
        <f t="shared" ref="G276" si="48">ROUND(D276*(E276),2)</f>
        <v>2734.44</v>
      </c>
      <c r="H276" s="296"/>
      <c r="I276" s="298"/>
      <c r="J276" s="298"/>
      <c r="K276" s="637"/>
      <c r="L276" s="614"/>
      <c r="M276" s="606"/>
      <c r="N276" s="615"/>
      <c r="O276" s="615"/>
      <c r="P276" s="615"/>
      <c r="Q276" s="616"/>
    </row>
    <row r="277" spans="1:20">
      <c r="A277" s="645"/>
      <c r="B277" s="602" t="s">
        <v>183</v>
      </c>
      <c r="C277" s="48" t="s">
        <v>115</v>
      </c>
      <c r="D277" s="184">
        <v>386</v>
      </c>
      <c r="E277" s="41">
        <f>6.8021-6.8946</f>
        <v>-9.2499999999999361E-2</v>
      </c>
      <c r="F277" s="23">
        <f t="shared" si="47"/>
        <v>-9.2499999999999361E-2</v>
      </c>
      <c r="G277" s="185">
        <f>ROUND(D277*(E277),2)-0.01</f>
        <v>-35.71</v>
      </c>
      <c r="H277" s="620"/>
      <c r="I277" s="620"/>
      <c r="J277" s="620"/>
      <c r="K277" s="634"/>
      <c r="L277" s="603">
        <f>SUM(G277:G279)</f>
        <v>4671.34</v>
      </c>
      <c r="M277" s="187">
        <v>4671.34</v>
      </c>
      <c r="N277" s="604"/>
      <c r="O277" s="635"/>
      <c r="P277" s="636"/>
      <c r="Q277" s="605"/>
    </row>
    <row r="278" spans="1:20">
      <c r="A278" s="645"/>
      <c r="B278" s="506"/>
      <c r="C278" s="48" t="s">
        <v>114</v>
      </c>
      <c r="D278" s="49">
        <v>30</v>
      </c>
      <c r="E278" s="41">
        <v>6.8021000000000003</v>
      </c>
      <c r="F278" s="41">
        <f>+E278</f>
        <v>6.8021000000000003</v>
      </c>
      <c r="G278" s="50">
        <f>ROUND(D278*(E278),2)</f>
        <v>204.06</v>
      </c>
      <c r="H278" s="296"/>
      <c r="I278" s="298"/>
      <c r="J278" s="298"/>
      <c r="K278" s="637"/>
      <c r="L278" s="606"/>
      <c r="M278" s="606"/>
      <c r="N278" s="607"/>
      <c r="O278" s="608"/>
      <c r="P278" s="609"/>
      <c r="Q278" s="610"/>
    </row>
    <row r="279" spans="1:20" ht="15.75" thickBot="1">
      <c r="A279" s="645"/>
      <c r="B279" s="506"/>
      <c r="C279" s="99" t="s">
        <v>29</v>
      </c>
      <c r="D279" s="296">
        <v>662</v>
      </c>
      <c r="E279" s="56">
        <v>6.8021000000000003</v>
      </c>
      <c r="F279" s="41">
        <f t="shared" ref="F279:F280" si="49">+E279</f>
        <v>6.8021000000000003</v>
      </c>
      <c r="G279" s="50">
        <f t="shared" ref="G279" si="50">ROUND(D279*(E279),2)</f>
        <v>4502.99</v>
      </c>
      <c r="H279" s="296"/>
      <c r="I279" s="298"/>
      <c r="J279" s="298"/>
      <c r="K279" s="637"/>
      <c r="L279" s="614"/>
      <c r="M279" s="606"/>
      <c r="N279" s="615"/>
      <c r="O279" s="615"/>
      <c r="P279" s="615"/>
      <c r="Q279" s="616"/>
    </row>
    <row r="280" spans="1:20">
      <c r="A280" s="645"/>
      <c r="B280" s="602" t="s">
        <v>184</v>
      </c>
      <c r="C280" s="48" t="s">
        <v>115</v>
      </c>
      <c r="D280" s="184">
        <v>0</v>
      </c>
      <c r="E280" s="41">
        <f>6.8021-6.8946</f>
        <v>-9.2499999999999361E-2</v>
      </c>
      <c r="F280" s="23">
        <f t="shared" si="49"/>
        <v>-9.2499999999999361E-2</v>
      </c>
      <c r="G280" s="185">
        <f>ROUND(D280*(E280),2)</f>
        <v>0</v>
      </c>
      <c r="H280" s="620"/>
      <c r="I280" s="620"/>
      <c r="J280" s="620"/>
      <c r="K280" s="634"/>
      <c r="L280" s="603">
        <f>SUM(G280:G282)</f>
        <v>0</v>
      </c>
      <c r="M280" s="187"/>
      <c r="N280" s="615"/>
      <c r="O280" s="615" t="s">
        <v>188</v>
      </c>
      <c r="P280" s="615"/>
      <c r="Q280" s="615"/>
    </row>
    <row r="281" spans="1:20">
      <c r="A281" s="645"/>
      <c r="B281" s="506"/>
      <c r="C281" s="48" t="s">
        <v>114</v>
      </c>
      <c r="D281" s="49">
        <v>0</v>
      </c>
      <c r="E281" s="41">
        <v>6.8021000000000003</v>
      </c>
      <c r="F281" s="41">
        <f>+E281</f>
        <v>6.8021000000000003</v>
      </c>
      <c r="G281" s="50">
        <f>ROUND(D281*(E281),2)</f>
        <v>0</v>
      </c>
      <c r="H281" s="296"/>
      <c r="I281" s="298"/>
      <c r="J281" s="298"/>
      <c r="K281" s="637"/>
      <c r="L281" s="606"/>
      <c r="M281" s="606"/>
      <c r="N281" s="615"/>
      <c r="O281" s="615"/>
      <c r="P281" s="615"/>
      <c r="Q281" s="615"/>
    </row>
    <row r="282" spans="1:20" ht="15.75" thickBot="1">
      <c r="A282" s="645"/>
      <c r="B282" s="506"/>
      <c r="C282" s="99" t="s">
        <v>29</v>
      </c>
      <c r="D282" s="296">
        <v>0</v>
      </c>
      <c r="E282" s="56">
        <v>6.8021000000000003</v>
      </c>
      <c r="F282" s="41">
        <f t="shared" ref="F282:F283" si="51">+E282</f>
        <v>6.8021000000000003</v>
      </c>
      <c r="G282" s="50">
        <f t="shared" ref="G282" si="52">ROUND(D282*(E282),2)</f>
        <v>0</v>
      </c>
      <c r="H282" s="296"/>
      <c r="I282" s="298"/>
      <c r="J282" s="298"/>
      <c r="K282" s="637"/>
      <c r="L282" s="614"/>
      <c r="M282" s="606"/>
      <c r="N282" s="615"/>
      <c r="O282" s="615"/>
      <c r="P282" s="615"/>
      <c r="Q282" s="615"/>
    </row>
    <row r="283" spans="1:20">
      <c r="A283" s="645"/>
      <c r="B283" s="602" t="s">
        <v>186</v>
      </c>
      <c r="C283" s="48" t="s">
        <v>115</v>
      </c>
      <c r="D283" s="184">
        <v>194</v>
      </c>
      <c r="E283" s="41">
        <f>6.8021-6.8946</f>
        <v>-9.2499999999999361E-2</v>
      </c>
      <c r="F283" s="23">
        <f t="shared" si="51"/>
        <v>-9.2499999999999361E-2</v>
      </c>
      <c r="G283" s="185">
        <f>ROUND(D283*(E283),2)</f>
        <v>-17.940000000000001</v>
      </c>
      <c r="H283" s="620"/>
      <c r="I283" s="620"/>
      <c r="J283" s="620"/>
      <c r="K283" s="634"/>
      <c r="L283" s="603">
        <f>SUM(G283:G285)</f>
        <v>1655.3799999999999</v>
      </c>
      <c r="M283" s="187">
        <v>1655.38</v>
      </c>
      <c r="N283" s="615"/>
      <c r="O283" s="615"/>
      <c r="P283" s="615"/>
      <c r="Q283" s="615"/>
    </row>
    <row r="284" spans="1:20">
      <c r="A284" s="645"/>
      <c r="B284" s="506"/>
      <c r="C284" s="48" t="s">
        <v>114</v>
      </c>
      <c r="D284" s="49">
        <v>10</v>
      </c>
      <c r="E284" s="41">
        <v>6.8021000000000003</v>
      </c>
      <c r="F284" s="41">
        <f>+E284</f>
        <v>6.8021000000000003</v>
      </c>
      <c r="G284" s="50">
        <f>ROUND(D284*(E284),2)</f>
        <v>68.02</v>
      </c>
      <c r="H284" s="296"/>
      <c r="I284" s="298"/>
      <c r="J284" s="298"/>
      <c r="K284" s="637"/>
      <c r="L284" s="606"/>
      <c r="M284" s="606"/>
      <c r="N284" s="615"/>
      <c r="O284" s="615"/>
      <c r="P284" s="615"/>
      <c r="Q284" s="615"/>
    </row>
    <row r="285" spans="1:20" ht="15.75" thickBot="1">
      <c r="A285" s="645"/>
      <c r="B285" s="506"/>
      <c r="C285" s="99" t="s">
        <v>29</v>
      </c>
      <c r="D285" s="296">
        <v>236</v>
      </c>
      <c r="E285" s="56">
        <v>6.8021000000000003</v>
      </c>
      <c r="F285" s="41">
        <f t="shared" ref="F285" si="53">+E285</f>
        <v>6.8021000000000003</v>
      </c>
      <c r="G285" s="50">
        <f t="shared" ref="G285" si="54">ROUND(D285*(E285),2)</f>
        <v>1605.3</v>
      </c>
      <c r="H285" s="296"/>
      <c r="I285" s="298"/>
      <c r="J285" s="298"/>
      <c r="K285" s="637"/>
      <c r="L285" s="614"/>
      <c r="M285" s="606"/>
      <c r="N285" s="615"/>
      <c r="O285" s="615"/>
      <c r="P285" s="615"/>
      <c r="Q285" s="615"/>
    </row>
    <row r="286" spans="1:20">
      <c r="A286" s="705"/>
      <c r="B286" s="615"/>
      <c r="C286" s="615"/>
      <c r="D286" s="696"/>
      <c r="E286" s="473"/>
      <c r="F286" s="615"/>
      <c r="G286" s="473"/>
      <c r="H286" s="615"/>
      <c r="I286" s="615"/>
      <c r="J286" s="615"/>
      <c r="K286" s="615"/>
      <c r="L286" s="615"/>
      <c r="M286" s="615"/>
      <c r="N286" s="615"/>
      <c r="O286" s="615"/>
      <c r="P286" s="615"/>
      <c r="Q286" s="615"/>
    </row>
    <row r="287" spans="1:20" ht="15.75" thickBot="1">
      <c r="A287" s="705"/>
      <c r="B287" s="615"/>
      <c r="C287" s="615"/>
      <c r="D287" s="696"/>
      <c r="E287" s="473"/>
      <c r="F287" s="615"/>
      <c r="G287" s="473"/>
      <c r="H287" s="615"/>
      <c r="I287" s="615"/>
      <c r="J287" s="615"/>
      <c r="K287" s="615"/>
      <c r="L287" s="615"/>
      <c r="M287" s="615"/>
      <c r="N287" s="615"/>
      <c r="O287" s="615"/>
      <c r="P287" s="615"/>
      <c r="Q287" s="615"/>
    </row>
    <row r="288" spans="1:20" s="81" customFormat="1" ht="15" customHeight="1" thickTop="1">
      <c r="A288" s="476"/>
      <c r="B288" s="158"/>
      <c r="C288" s="322"/>
      <c r="D288" s="477"/>
      <c r="E288" s="163"/>
      <c r="F288" s="163"/>
      <c r="G288" s="478"/>
      <c r="H288" s="163"/>
      <c r="I288" s="163"/>
      <c r="J288" s="163"/>
      <c r="K288" s="163"/>
      <c r="L288" s="163"/>
      <c r="M288" s="164"/>
      <c r="N288" s="479"/>
      <c r="O288" s="479"/>
      <c r="P288" s="479"/>
      <c r="Q288" s="479"/>
      <c r="R288" s="422"/>
      <c r="S288"/>
      <c r="T288" s="399"/>
    </row>
    <row r="289" spans="1:20" ht="21.75" thickBot="1">
      <c r="A289" s="171" t="s">
        <v>113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  <c r="N289" s="2"/>
      <c r="O289" s="2"/>
      <c r="P289" s="2"/>
      <c r="Q289" s="2"/>
    </row>
    <row r="290" spans="1:20" ht="15.75" customHeight="1" thickTop="1" thickBot="1">
      <c r="A290" s="1555" t="s">
        <v>1</v>
      </c>
      <c r="B290" s="1543" t="s">
        <v>2</v>
      </c>
      <c r="C290" s="1545" t="s">
        <v>3</v>
      </c>
      <c r="D290" s="1546" t="s">
        <v>4</v>
      </c>
      <c r="E290" s="1546"/>
      <c r="F290" s="1546"/>
      <c r="G290" s="1546"/>
      <c r="H290" s="1547"/>
      <c r="I290" s="1548"/>
      <c r="J290" s="1548"/>
      <c r="K290" s="1549"/>
      <c r="L290" s="1524" t="s">
        <v>6</v>
      </c>
      <c r="M290" s="1511" t="s">
        <v>7</v>
      </c>
      <c r="N290" s="1551" t="s">
        <v>8</v>
      </c>
      <c r="O290" s="1551"/>
      <c r="P290" s="1551"/>
      <c r="Q290" s="1552"/>
      <c r="R290" s="481"/>
      <c r="S290" s="482" t="s">
        <v>20</v>
      </c>
      <c r="T290" s="482" t="s">
        <v>21</v>
      </c>
    </row>
    <row r="291" spans="1:20" ht="26.25" thickBot="1">
      <c r="A291" s="1556"/>
      <c r="B291" s="1557"/>
      <c r="C291" s="1558" t="s">
        <v>10</v>
      </c>
      <c r="D291" s="483" t="s">
        <v>11</v>
      </c>
      <c r="E291" s="649" t="s">
        <v>12</v>
      </c>
      <c r="F291" s="649" t="s">
        <v>13</v>
      </c>
      <c r="G291" s="650" t="s">
        <v>14</v>
      </c>
      <c r="H291" s="651" t="s">
        <v>11</v>
      </c>
      <c r="I291" s="652" t="s">
        <v>15</v>
      </c>
      <c r="J291" s="653"/>
      <c r="K291" s="654" t="s">
        <v>16</v>
      </c>
      <c r="L291" s="1525"/>
      <c r="M291" s="1554"/>
      <c r="N291" s="655"/>
      <c r="O291" s="653"/>
      <c r="P291" s="656" t="s">
        <v>18</v>
      </c>
      <c r="Q291" s="657" t="s">
        <v>19</v>
      </c>
      <c r="R291" s="491"/>
      <c r="S291" s="492"/>
      <c r="T291" s="492"/>
    </row>
    <row r="292" spans="1:20" ht="15.75">
      <c r="A292" s="658"/>
      <c r="B292" s="659" t="s">
        <v>55</v>
      </c>
      <c r="C292" s="48" t="s">
        <v>115</v>
      </c>
      <c r="D292" s="259">
        <v>2412</v>
      </c>
      <c r="E292" s="41">
        <f>6.8021-6.8946</f>
        <v>-9.2499999999999361E-2</v>
      </c>
      <c r="F292" s="620">
        <f t="shared" ref="F292:F293" si="55">+E292</f>
        <v>-9.2499999999999361E-2</v>
      </c>
      <c r="G292" s="214">
        <f>ROUND(D292*E292,2)-0.01</f>
        <v>-223.12</v>
      </c>
      <c r="H292" s="303"/>
      <c r="I292" s="23"/>
      <c r="J292" s="23"/>
      <c r="K292" s="23"/>
      <c r="L292" s="603">
        <f>SUM(G292:G294)</f>
        <v>13488.56</v>
      </c>
      <c r="M292" s="187">
        <v>13488.56</v>
      </c>
      <c r="N292" s="660"/>
      <c r="O292" s="217"/>
      <c r="P292" s="661"/>
      <c r="Q292" s="219"/>
    </row>
    <row r="293" spans="1:20" ht="15.75">
      <c r="A293" s="662"/>
      <c r="B293" s="35"/>
      <c r="C293" s="48" t="s">
        <v>114</v>
      </c>
      <c r="D293" s="269">
        <v>67.37</v>
      </c>
      <c r="E293" s="41">
        <v>6.8021000000000003</v>
      </c>
      <c r="F293" s="298">
        <f t="shared" si="55"/>
        <v>6.8021000000000003</v>
      </c>
      <c r="G293" s="235">
        <f>ROUND(D293*E293,2)</f>
        <v>458.26</v>
      </c>
      <c r="H293" s="270"/>
      <c r="I293" s="41"/>
      <c r="J293" s="41"/>
      <c r="K293" s="41"/>
      <c r="L293" s="606"/>
      <c r="M293" s="606"/>
      <c r="N293" s="663"/>
      <c r="O293" s="237"/>
      <c r="P293" s="275"/>
      <c r="Q293" s="238"/>
    </row>
    <row r="294" spans="1:20" ht="15.75" thickBot="1">
      <c r="A294" s="664"/>
      <c r="B294" s="665"/>
      <c r="C294" s="99" t="s">
        <v>29</v>
      </c>
      <c r="D294" s="613">
        <v>1948.43</v>
      </c>
      <c r="E294" s="56">
        <v>6.8021000000000003</v>
      </c>
      <c r="F294" s="57"/>
      <c r="G294" s="247">
        <f>ROUND(D294*E294,2)</f>
        <v>13253.42</v>
      </c>
      <c r="H294" s="613"/>
      <c r="I294" s="57"/>
      <c r="J294" s="57"/>
      <c r="K294" s="57"/>
      <c r="L294" s="614"/>
      <c r="M294" s="606"/>
      <c r="N294" s="57"/>
      <c r="O294" s="57"/>
      <c r="P294" s="57"/>
      <c r="Q294" s="666"/>
    </row>
    <row r="295" spans="1:20">
      <c r="A295" s="667"/>
      <c r="B295" s="659" t="s">
        <v>116</v>
      </c>
      <c r="C295" s="668" t="s">
        <v>73</v>
      </c>
      <c r="D295" s="669">
        <v>5</v>
      </c>
      <c r="E295" s="21">
        <v>36.214199999999998</v>
      </c>
      <c r="F295" s="21">
        <v>42.4328</v>
      </c>
      <c r="G295" s="214">
        <f>+D295*(E295+F295)</f>
        <v>393.23499999999996</v>
      </c>
      <c r="H295" s="687"/>
      <c r="I295" s="688"/>
      <c r="J295" s="670"/>
      <c r="K295" s="689"/>
      <c r="L295" s="603">
        <f>SUM(G295:G301)+SUM(J295:J299)</f>
        <v>11769.495000000001</v>
      </c>
      <c r="M295" s="187">
        <v>11769.5</v>
      </c>
      <c r="N295" s="670"/>
      <c r="O295" s="670"/>
      <c r="P295" s="670"/>
      <c r="Q295" s="670"/>
    </row>
    <row r="296" spans="1:20">
      <c r="A296" s="671"/>
      <c r="B296" s="672"/>
      <c r="C296" s="48"/>
      <c r="D296" s="673"/>
      <c r="E296" s="41"/>
      <c r="F296" s="298"/>
      <c r="G296" s="235">
        <f>+D296*E296</f>
        <v>0</v>
      </c>
      <c r="H296" s="687"/>
      <c r="I296" s="688"/>
      <c r="J296" s="670"/>
      <c r="K296" s="689"/>
      <c r="L296" s="606"/>
      <c r="M296" s="606"/>
      <c r="N296" s="298"/>
      <c r="O296" s="298"/>
      <c r="P296" s="298"/>
      <c r="Q296" s="298"/>
    </row>
    <row r="297" spans="1:20">
      <c r="A297" s="671"/>
      <c r="B297" s="442"/>
      <c r="C297" s="48"/>
      <c r="D297" s="673"/>
      <c r="E297" s="41"/>
      <c r="F297" s="298"/>
      <c r="G297" s="235">
        <f>ROUND(D297*E297,2)</f>
        <v>0</v>
      </c>
      <c r="H297" s="687">
        <v>7</v>
      </c>
      <c r="I297" s="688">
        <v>16.350000000000001</v>
      </c>
      <c r="J297" s="670">
        <f>ROUND(H297*I297,2)</f>
        <v>114.45</v>
      </c>
      <c r="K297" s="850">
        <v>42948</v>
      </c>
      <c r="L297" s="614"/>
      <c r="M297" s="606"/>
      <c r="N297" s="298"/>
      <c r="O297" s="298"/>
      <c r="P297" s="298"/>
      <c r="Q297" s="298"/>
    </row>
    <row r="298" spans="1:20">
      <c r="A298" s="671"/>
      <c r="B298" s="35"/>
      <c r="C298" s="606"/>
      <c r="D298" s="673"/>
      <c r="E298" s="41"/>
      <c r="F298" s="298"/>
      <c r="G298" s="235">
        <f>ROUND(D298*E298,2)</f>
        <v>0</v>
      </c>
      <c r="H298" s="270">
        <v>6</v>
      </c>
      <c r="I298" s="688">
        <v>16.350000000000001</v>
      </c>
      <c r="J298" s="670">
        <f>ROUND(H298*I298,2)</f>
        <v>98.1</v>
      </c>
      <c r="K298" s="689">
        <v>42979</v>
      </c>
      <c r="L298" s="614"/>
      <c r="M298" s="273"/>
      <c r="N298" s="298"/>
      <c r="O298" s="298"/>
      <c r="P298" s="298"/>
      <c r="Q298" s="298"/>
    </row>
    <row r="299" spans="1:20" ht="15.75">
      <c r="A299" s="674"/>
      <c r="B299" s="672"/>
      <c r="C299" s="48" t="s">
        <v>115</v>
      </c>
      <c r="D299" s="269">
        <v>2033.5</v>
      </c>
      <c r="E299" s="41">
        <f>6.8021-6.8946</f>
        <v>-9.2499999999999361E-2</v>
      </c>
      <c r="F299" s="298">
        <f t="shared" ref="F299:F300" si="56">+E299</f>
        <v>-9.2499999999999361E-2</v>
      </c>
      <c r="G299" s="235">
        <f>ROUND(D299*E299,2)-0.01</f>
        <v>-188.10999999999999</v>
      </c>
      <c r="H299" s="270">
        <v>6</v>
      </c>
      <c r="I299" s="41">
        <v>16.97</v>
      </c>
      <c r="J299" s="670">
        <f>ROUND(H299*I299,2)</f>
        <v>101.82</v>
      </c>
      <c r="K299" s="689">
        <v>42979</v>
      </c>
      <c r="L299" s="606"/>
      <c r="M299" s="606"/>
      <c r="N299" s="663"/>
      <c r="O299" s="237"/>
      <c r="P299" s="275"/>
      <c r="Q299" s="237"/>
    </row>
    <row r="300" spans="1:20" ht="15.75">
      <c r="A300" s="674"/>
      <c r="B300" s="35"/>
      <c r="C300" s="48" t="s">
        <v>114</v>
      </c>
      <c r="D300" s="269">
        <v>55.3</v>
      </c>
      <c r="E300" s="41">
        <v>6.8021000000000003</v>
      </c>
      <c r="F300" s="298">
        <f t="shared" si="56"/>
        <v>6.8021000000000003</v>
      </c>
      <c r="G300" s="235">
        <f>ROUND(D300*E300,2)</f>
        <v>376.16</v>
      </c>
      <c r="H300" s="270"/>
      <c r="I300" s="41"/>
      <c r="J300" s="41"/>
      <c r="K300" s="41"/>
      <c r="L300" s="614"/>
      <c r="M300" s="606"/>
      <c r="N300" s="663"/>
      <c r="O300" s="237"/>
      <c r="P300" s="275"/>
      <c r="Q300" s="237"/>
    </row>
    <row r="301" spans="1:20" ht="15.75" thickBot="1">
      <c r="A301" s="675"/>
      <c r="B301" s="676"/>
      <c r="C301" s="107" t="s">
        <v>29</v>
      </c>
      <c r="D301" s="643">
        <v>1598.6</v>
      </c>
      <c r="E301" s="56">
        <v>6.8021000000000003</v>
      </c>
      <c r="F301" s="109"/>
      <c r="G301" s="309">
        <f t="shared" ref="G301:G311" si="57">ROUND(D301*E301,2)</f>
        <v>10873.84</v>
      </c>
      <c r="H301" s="643"/>
      <c r="I301" s="109"/>
      <c r="J301" s="109"/>
      <c r="K301" s="109"/>
      <c r="L301" s="677"/>
      <c r="M301" s="314"/>
      <c r="N301" s="109"/>
      <c r="O301" s="109"/>
      <c r="P301" s="109"/>
      <c r="Q301" s="109"/>
      <c r="R301" s="2"/>
    </row>
    <row r="302" spans="1:20" ht="16.5" thickTop="1">
      <c r="A302" s="658"/>
      <c r="B302" s="659" t="s">
        <v>117</v>
      </c>
      <c r="C302" s="48" t="s">
        <v>115</v>
      </c>
      <c r="D302" s="259">
        <v>461</v>
      </c>
      <c r="E302" s="41">
        <f>6.8021-6.8946</f>
        <v>-9.2499999999999361E-2</v>
      </c>
      <c r="F302" s="691">
        <f>+E302</f>
        <v>-9.2499999999999361E-2</v>
      </c>
      <c r="G302" s="214">
        <f>ROUND(D302*E302,2)-0.01</f>
        <v>-42.65</v>
      </c>
      <c r="H302" s="303"/>
      <c r="I302" s="23"/>
      <c r="J302" s="23"/>
      <c r="K302" s="23"/>
      <c r="L302" s="603">
        <f>SUM(G302:G304)</f>
        <v>2597.9300000000003</v>
      </c>
      <c r="M302" s="187">
        <v>2597.9299999999998</v>
      </c>
      <c r="N302" s="660"/>
      <c r="O302" s="217"/>
      <c r="P302" s="661"/>
      <c r="Q302" s="219"/>
      <c r="R302" s="324"/>
    </row>
    <row r="303" spans="1:20" ht="15.75">
      <c r="A303" s="662"/>
      <c r="B303" s="35"/>
      <c r="C303" s="48" t="s">
        <v>114</v>
      </c>
      <c r="D303" s="773">
        <v>13</v>
      </c>
      <c r="E303" s="41">
        <v>6.8021000000000003</v>
      </c>
      <c r="F303" s="774">
        <f t="shared" ref="F303" si="58">+E303</f>
        <v>6.8021000000000003</v>
      </c>
      <c r="G303" s="775">
        <f t="shared" si="57"/>
        <v>88.43</v>
      </c>
      <c r="H303" s="432"/>
      <c r="I303" s="207"/>
      <c r="J303" s="207"/>
      <c r="K303" s="207"/>
      <c r="L303" s="776"/>
      <c r="M303" s="776"/>
      <c r="N303" s="777"/>
      <c r="O303" s="778"/>
      <c r="P303" s="779"/>
      <c r="Q303" s="780"/>
    </row>
    <row r="304" spans="1:20" ht="15.75" thickBot="1">
      <c r="A304" s="781"/>
      <c r="B304" s="782"/>
      <c r="C304" s="54" t="s">
        <v>29</v>
      </c>
      <c r="D304" s="613">
        <v>375.2</v>
      </c>
      <c r="E304" s="56">
        <v>6.8021000000000003</v>
      </c>
      <c r="F304" s="57"/>
      <c r="G304" s="247">
        <f t="shared" si="57"/>
        <v>2552.15</v>
      </c>
      <c r="H304" s="613"/>
      <c r="I304" s="57"/>
      <c r="J304" s="57"/>
      <c r="K304" s="57"/>
      <c r="L304" s="783"/>
      <c r="M304" s="784"/>
      <c r="N304" s="57"/>
      <c r="O304" s="57"/>
      <c r="P304" s="57"/>
      <c r="Q304" s="666"/>
    </row>
    <row r="305" spans="1:17" ht="15.75">
      <c r="A305" s="662"/>
      <c r="B305" s="785" t="s">
        <v>142</v>
      </c>
      <c r="C305" s="786" t="s">
        <v>73</v>
      </c>
      <c r="D305" s="787">
        <v>4</v>
      </c>
      <c r="E305" s="21">
        <v>36.214199999999998</v>
      </c>
      <c r="F305" s="21">
        <v>42.4328</v>
      </c>
      <c r="G305" s="214">
        <f>+D305*(E305+F305)</f>
        <v>314.58799999999997</v>
      </c>
      <c r="H305" s="687">
        <v>57</v>
      </c>
      <c r="I305" s="688">
        <v>16.350000000000001</v>
      </c>
      <c r="J305" s="670">
        <f>ROUND(H305*I305,2)</f>
        <v>931.95</v>
      </c>
      <c r="K305" s="850">
        <v>42948</v>
      </c>
      <c r="L305" s="603">
        <f>SUM(G305:G308,J305:J308)</f>
        <v>21624.438000000002</v>
      </c>
      <c r="M305" s="187">
        <v>21624.44</v>
      </c>
      <c r="N305" s="788"/>
      <c r="O305" s="789"/>
      <c r="P305" s="790"/>
      <c r="Q305" s="791"/>
    </row>
    <row r="306" spans="1:17" ht="15.75">
      <c r="A306" s="792"/>
      <c r="B306" s="793"/>
      <c r="C306" s="48" t="s">
        <v>115</v>
      </c>
      <c r="D306" s="269">
        <v>2766.6</v>
      </c>
      <c r="E306" s="41">
        <f>6.8021-6.8946</f>
        <v>-9.2499999999999361E-2</v>
      </c>
      <c r="F306" s="297">
        <f>+E306</f>
        <v>-9.2499999999999361E-2</v>
      </c>
      <c r="G306" s="235">
        <f t="shared" si="57"/>
        <v>-255.91</v>
      </c>
      <c r="H306" s="270">
        <v>101</v>
      </c>
      <c r="I306" s="688">
        <v>16.350000000000001</v>
      </c>
      <c r="J306" s="670">
        <f>ROUND(H306*I306,2)</f>
        <v>1651.35</v>
      </c>
      <c r="K306" s="689">
        <v>42979</v>
      </c>
      <c r="L306" s="614"/>
      <c r="M306" s="273"/>
      <c r="N306" s="663"/>
      <c r="O306" s="237"/>
      <c r="P306" s="275"/>
      <c r="Q306" s="238"/>
    </row>
    <row r="307" spans="1:17" ht="15.75">
      <c r="A307" s="794"/>
      <c r="B307" s="767"/>
      <c r="C307" s="48" t="s">
        <v>114</v>
      </c>
      <c r="D307" s="269">
        <v>84.87</v>
      </c>
      <c r="E307" s="41">
        <v>6.8021000000000003</v>
      </c>
      <c r="F307" s="298">
        <f t="shared" ref="F307" si="59">+E307</f>
        <v>6.8021000000000003</v>
      </c>
      <c r="G307" s="235">
        <f t="shared" si="57"/>
        <v>577.29</v>
      </c>
      <c r="H307" s="270">
        <v>101</v>
      </c>
      <c r="I307" s="41">
        <v>16.97</v>
      </c>
      <c r="J307" s="670">
        <f>ROUND(H307*I307,2)</f>
        <v>1713.97</v>
      </c>
      <c r="K307" s="689">
        <v>42979</v>
      </c>
      <c r="L307" s="606"/>
      <c r="M307" s="606"/>
      <c r="N307" s="663"/>
      <c r="O307" s="237"/>
      <c r="P307" s="275"/>
      <c r="Q307" s="238"/>
    </row>
    <row r="308" spans="1:17" ht="15.75" thickBot="1">
      <c r="A308" s="664"/>
      <c r="B308" s="665"/>
      <c r="C308" s="512" t="s">
        <v>29</v>
      </c>
      <c r="D308" s="795">
        <v>2453.83</v>
      </c>
      <c r="E308" s="56">
        <v>6.8021000000000003</v>
      </c>
      <c r="F308" s="797"/>
      <c r="G308" s="798">
        <f t="shared" si="57"/>
        <v>16691.2</v>
      </c>
      <c r="H308" s="795"/>
      <c r="I308" s="797"/>
      <c r="J308" s="797"/>
      <c r="K308" s="797"/>
      <c r="L308" s="799"/>
      <c r="M308" s="292"/>
      <c r="N308" s="797"/>
      <c r="O308" s="797"/>
      <c r="P308" s="797"/>
      <c r="Q308" s="800"/>
    </row>
    <row r="309" spans="1:17" ht="15.75">
      <c r="A309" s="658"/>
      <c r="B309" s="659" t="s">
        <v>148</v>
      </c>
      <c r="C309" s="48" t="s">
        <v>115</v>
      </c>
      <c r="D309" s="259">
        <v>250</v>
      </c>
      <c r="E309" s="41">
        <f>6.8021-6.8946</f>
        <v>-9.2499999999999361E-2</v>
      </c>
      <c r="F309" s="691">
        <f>+E309</f>
        <v>-9.2499999999999361E-2</v>
      </c>
      <c r="G309" s="214">
        <f>ROUND(D309*E309,2)</f>
        <v>-23.12</v>
      </c>
      <c r="H309" s="303"/>
      <c r="I309" s="23"/>
      <c r="J309" s="23"/>
      <c r="K309" s="23"/>
      <c r="L309" s="603">
        <f>SUM(G309:G311)</f>
        <v>1371.31</v>
      </c>
      <c r="M309" s="187">
        <v>1371.31</v>
      </c>
      <c r="N309" s="660"/>
      <c r="O309" s="217"/>
      <c r="P309" s="661"/>
      <c r="Q309" s="219"/>
    </row>
    <row r="310" spans="1:17" ht="15.75">
      <c r="A310" s="662"/>
      <c r="B310" s="35"/>
      <c r="C310" s="48" t="s">
        <v>114</v>
      </c>
      <c r="D310" s="269">
        <v>6.9</v>
      </c>
      <c r="E310" s="41">
        <v>6.8021000000000003</v>
      </c>
      <c r="F310" s="298">
        <f t="shared" ref="F310" si="60">+E310</f>
        <v>6.8021000000000003</v>
      </c>
      <c r="G310" s="235">
        <f t="shared" si="57"/>
        <v>46.93</v>
      </c>
      <c r="H310" s="270"/>
      <c r="I310" s="41"/>
      <c r="J310" s="41"/>
      <c r="K310" s="41"/>
      <c r="L310" s="606"/>
      <c r="M310" s="606"/>
      <c r="N310" s="663"/>
      <c r="O310" s="237"/>
      <c r="P310" s="275"/>
      <c r="Q310" s="238"/>
    </row>
    <row r="311" spans="1:17" ht="15.75" thickBot="1">
      <c r="A311" s="664"/>
      <c r="B311" s="665"/>
      <c r="C311" s="99" t="s">
        <v>29</v>
      </c>
      <c r="D311" s="613">
        <v>198.1</v>
      </c>
      <c r="E311" s="56">
        <v>6.8021000000000003</v>
      </c>
      <c r="F311" s="57"/>
      <c r="G311" s="247">
        <f t="shared" si="57"/>
        <v>1347.5</v>
      </c>
      <c r="H311" s="613"/>
      <c r="I311" s="57"/>
      <c r="J311" s="57"/>
      <c r="K311" s="57"/>
      <c r="L311" s="614"/>
      <c r="M311" s="606"/>
      <c r="N311" s="57"/>
      <c r="O311" s="57"/>
      <c r="P311" s="57"/>
      <c r="Q311" s="666"/>
    </row>
  </sheetData>
  <mergeCells count="40">
    <mergeCell ref="M290:M291"/>
    <mergeCell ref="N290:Q290"/>
    <mergeCell ref="A290:A291"/>
    <mergeCell ref="B290:B291"/>
    <mergeCell ref="C290:C291"/>
    <mergeCell ref="D290:G290"/>
    <mergeCell ref="H290:K290"/>
    <mergeCell ref="L290:L291"/>
    <mergeCell ref="M91:M92"/>
    <mergeCell ref="N91:Q91"/>
    <mergeCell ref="A200:A201"/>
    <mergeCell ref="B200:B201"/>
    <mergeCell ref="C200:C201"/>
    <mergeCell ref="D200:G200"/>
    <mergeCell ref="H200:K200"/>
    <mergeCell ref="L200:L201"/>
    <mergeCell ref="M200:M201"/>
    <mergeCell ref="N200:Q200"/>
    <mergeCell ref="A91:A92"/>
    <mergeCell ref="B91:B92"/>
    <mergeCell ref="C91:C92"/>
    <mergeCell ref="D91:G91"/>
    <mergeCell ref="H91:K91"/>
    <mergeCell ref="L91:L92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4"/>
  <sheetViews>
    <sheetView topLeftCell="A13" workbookViewId="0">
      <selection activeCell="D105" sqref="D105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2.7109375" customWidth="1"/>
    <col min="11" max="11" width="10" customWidth="1"/>
    <col min="12" max="12" width="12.28515625" customWidth="1"/>
    <col min="13" max="13" width="14.7109375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22</v>
      </c>
      <c r="B4" s="18" t="s">
        <v>23</v>
      </c>
      <c r="C4" s="19"/>
      <c r="D4" s="20">
        <v>22</v>
      </c>
      <c r="E4" s="21">
        <v>36.214199999999998</v>
      </c>
      <c r="F4" s="21">
        <v>42.4328</v>
      </c>
      <c r="G4" s="22">
        <f>ROUND(D4*(E4+F4),2)</f>
        <v>1730.23</v>
      </c>
      <c r="H4" s="20"/>
      <c r="I4" s="23"/>
      <c r="J4" s="23"/>
      <c r="K4" s="24"/>
      <c r="L4" s="25">
        <f>SUM(G4:G8,J4:J7)</f>
        <v>158353.29999999999</v>
      </c>
      <c r="M4" s="26">
        <v>158353.29999999999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27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156623.06999999998</v>
      </c>
      <c r="S6" s="31"/>
      <c r="T6" s="32"/>
    </row>
    <row r="7" spans="1:22">
      <c r="A7" s="34"/>
      <c r="B7" s="35"/>
      <c r="C7" s="48" t="s">
        <v>28</v>
      </c>
      <c r="D7" s="49">
        <v>688.8</v>
      </c>
      <c r="E7" s="41">
        <v>6.6231</v>
      </c>
      <c r="F7" s="41">
        <f>+E7</f>
        <v>6.6231</v>
      </c>
      <c r="G7" s="50">
        <f>ROUND(D7*E7,2)</f>
        <v>4561.99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156623.06999999998</v>
      </c>
    </row>
    <row r="8" spans="1:22" ht="15.75" thickBot="1">
      <c r="A8" s="52"/>
      <c r="B8" s="53"/>
      <c r="C8" s="99" t="s">
        <v>29</v>
      </c>
      <c r="D8" s="55">
        <v>22959.200000000001</v>
      </c>
      <c r="E8" s="56">
        <v>6.6231</v>
      </c>
      <c r="F8" s="57">
        <f>+E8</f>
        <v>6.6231</v>
      </c>
      <c r="G8" s="58">
        <f>ROUND(D8*E8,2)</f>
        <v>152061.07999999999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152061.07999999999</v>
      </c>
      <c r="R8" s="66" t="s">
        <v>25</v>
      </c>
      <c r="S8" s="67">
        <f>SUM(O4:O8)</f>
        <v>0</v>
      </c>
      <c r="T8" s="68">
        <f>SUM(Q4:Q8)</f>
        <v>152061.07999999999</v>
      </c>
    </row>
    <row r="9" spans="1:22" s="81" customFormat="1">
      <c r="A9" s="69" t="s">
        <v>30</v>
      </c>
      <c r="B9" s="70" t="s">
        <v>31</v>
      </c>
      <c r="C9" s="71">
        <v>0</v>
      </c>
      <c r="D9" s="72">
        <v>75</v>
      </c>
      <c r="E9" s="21">
        <v>36.214199999999998</v>
      </c>
      <c r="F9" s="21">
        <v>42.4328</v>
      </c>
      <c r="G9" s="22">
        <f>ROUND(D9*(E9+F9),2)</f>
        <v>5898.53</v>
      </c>
      <c r="H9" s="72"/>
      <c r="I9" s="21"/>
      <c r="J9" s="73"/>
      <c r="K9" s="24"/>
      <c r="L9" s="74">
        <f>SUM(G9:G16,J9:J15)</f>
        <v>54959.361000000004</v>
      </c>
      <c r="M9" s="26">
        <v>54959.360000000001</v>
      </c>
      <c r="N9" s="27"/>
      <c r="O9" s="75"/>
      <c r="P9" s="76" t="s">
        <v>24</v>
      </c>
      <c r="Q9" s="77"/>
      <c r="R9" s="78"/>
      <c r="S9" s="79"/>
      <c r="T9" s="80"/>
      <c r="U9" s="33">
        <f>+C9+L9-M9</f>
        <v>1.0000000038417056E-3</v>
      </c>
    </row>
    <row r="10" spans="1:22" s="81" customFormat="1">
      <c r="A10" s="82"/>
      <c r="B10" s="83"/>
      <c r="C10" s="84" t="s">
        <v>26</v>
      </c>
      <c r="D10" s="37"/>
      <c r="E10" s="38"/>
      <c r="F10" s="38"/>
      <c r="G10" s="39">
        <f>ROUND(D10*(E10+F10),2)</f>
        <v>0</v>
      </c>
      <c r="H10" s="85"/>
      <c r="I10" s="86"/>
      <c r="J10" s="87"/>
      <c r="K10" s="88"/>
      <c r="L10" s="89"/>
      <c r="M10" s="90"/>
      <c r="N10" s="91"/>
      <c r="O10" s="92"/>
      <c r="P10" s="93"/>
      <c r="Q10" s="94"/>
      <c r="R10" s="95"/>
      <c r="S10" s="96"/>
      <c r="T10" s="97"/>
      <c r="U10" s="33"/>
    </row>
    <row r="11" spans="1:22" s="81" customFormat="1">
      <c r="A11" s="82"/>
      <c r="B11" s="98" t="s">
        <v>32</v>
      </c>
      <c r="C11" s="99" t="s">
        <v>33</v>
      </c>
      <c r="D11" s="100">
        <v>44</v>
      </c>
      <c r="E11" s="101">
        <v>304.82</v>
      </c>
      <c r="F11" s="38">
        <v>42.4328</v>
      </c>
      <c r="G11" s="39">
        <f>ROUND(D11*(E11+F11),2)</f>
        <v>15279.12</v>
      </c>
      <c r="H11" s="100"/>
      <c r="I11" s="38"/>
      <c r="J11" s="87"/>
      <c r="K11" s="88"/>
      <c r="L11" s="89"/>
      <c r="M11" s="102"/>
      <c r="N11" s="103"/>
      <c r="O11" s="104"/>
      <c r="P11" s="93" t="s">
        <v>24</v>
      </c>
      <c r="Q11" s="104"/>
      <c r="R11" s="95"/>
      <c r="S11" s="96"/>
      <c r="T11" s="97"/>
      <c r="U11" s="33"/>
    </row>
    <row r="12" spans="1:22" s="81" customFormat="1">
      <c r="A12" s="82"/>
      <c r="B12" s="83" t="s">
        <v>34</v>
      </c>
      <c r="C12" s="84"/>
      <c r="D12" s="49">
        <v>37</v>
      </c>
      <c r="E12" s="41">
        <f>304.82-304.86</f>
        <v>-4.0000000000020464E-2</v>
      </c>
      <c r="F12" s="38">
        <f>42.4328-37.8898</f>
        <v>4.5429999999999993</v>
      </c>
      <c r="G12" s="50">
        <f>+D12*(E12+F12)</f>
        <v>166.61099999999922</v>
      </c>
      <c r="H12" s="100"/>
      <c r="I12" s="87"/>
      <c r="J12" s="87"/>
      <c r="K12" s="88"/>
      <c r="L12" s="89"/>
      <c r="M12" s="102"/>
      <c r="N12" s="103"/>
      <c r="O12" s="104"/>
      <c r="P12" s="93"/>
      <c r="Q12" s="104"/>
      <c r="R12" s="95"/>
      <c r="S12" s="96"/>
      <c r="T12" s="97"/>
      <c r="U12"/>
    </row>
    <row r="13" spans="1:22" s="81" customFormat="1">
      <c r="A13" s="82"/>
      <c r="B13" s="83"/>
      <c r="C13" s="84"/>
      <c r="D13" s="49"/>
      <c r="E13" s="38"/>
      <c r="F13" s="41"/>
      <c r="G13" s="50">
        <f>+D13*E13</f>
        <v>0</v>
      </c>
      <c r="H13" s="100"/>
      <c r="I13" s="87"/>
      <c r="J13" s="87"/>
      <c r="K13" s="88"/>
      <c r="L13" s="89"/>
      <c r="M13" s="102"/>
      <c r="N13" s="103"/>
      <c r="O13" s="104"/>
      <c r="P13" s="93"/>
      <c r="Q13" s="104"/>
      <c r="R13" s="95"/>
      <c r="S13" s="96"/>
      <c r="T13" s="97"/>
      <c r="U13"/>
    </row>
    <row r="14" spans="1:22" s="81" customFormat="1">
      <c r="A14" s="82"/>
      <c r="B14" s="83"/>
      <c r="C14" s="48" t="s">
        <v>27</v>
      </c>
      <c r="D14" s="49">
        <v>4456.1000000000004</v>
      </c>
      <c r="E14" s="41">
        <f>6.505-6.8021</f>
        <v>-0.29710000000000036</v>
      </c>
      <c r="F14" s="41">
        <f>+E14</f>
        <v>-0.29710000000000036</v>
      </c>
      <c r="G14" s="50">
        <f>ROUND(D14*E14*70%+D14*F14*30%,2)+0.01</f>
        <v>-1323.9</v>
      </c>
      <c r="H14" s="100"/>
      <c r="I14" s="87"/>
      <c r="J14" s="87"/>
      <c r="K14" s="88"/>
      <c r="L14" s="89"/>
      <c r="M14" s="102"/>
      <c r="N14" s="103"/>
      <c r="O14" s="104"/>
      <c r="P14" s="93"/>
      <c r="Q14" s="104"/>
      <c r="R14" s="95"/>
      <c r="S14" s="96"/>
      <c r="T14" s="97"/>
      <c r="U14"/>
    </row>
    <row r="15" spans="1:22" s="81" customFormat="1">
      <c r="A15" s="82"/>
      <c r="B15" s="83"/>
      <c r="C15" s="48" t="s">
        <v>28</v>
      </c>
      <c r="D15" s="49">
        <v>156.4</v>
      </c>
      <c r="E15" s="41">
        <v>6.5049999999999999</v>
      </c>
      <c r="F15" s="41">
        <v>6.5049999999999999</v>
      </c>
      <c r="G15" s="50">
        <f>ROUND(D15*E15*70%+D15*F15*30%,2)</f>
        <v>1017.38</v>
      </c>
      <c r="H15" s="100"/>
      <c r="I15" s="87"/>
      <c r="J15" s="87"/>
      <c r="K15" s="88"/>
      <c r="L15" s="89"/>
      <c r="M15" s="102"/>
      <c r="N15" s="103"/>
      <c r="O15" s="104"/>
      <c r="P15" s="93"/>
      <c r="Q15" s="104"/>
      <c r="R15" s="95"/>
      <c r="S15" s="96"/>
      <c r="T15" s="97"/>
      <c r="U15"/>
    </row>
    <row r="16" spans="1:22" s="81" customFormat="1" ht="15.75" thickBot="1">
      <c r="A16" s="105"/>
      <c r="B16" s="106"/>
      <c r="C16" s="99" t="s">
        <v>29</v>
      </c>
      <c r="D16" s="108">
        <v>5214.7</v>
      </c>
      <c r="E16" s="56">
        <v>6.5049999999999999</v>
      </c>
      <c r="F16" s="109">
        <f>+E16</f>
        <v>6.5049999999999999</v>
      </c>
      <c r="G16" s="110">
        <f>ROUND(D16*E16*70%+D16*F16*30%,2)</f>
        <v>33921.620000000003</v>
      </c>
      <c r="H16" s="111"/>
      <c r="I16" s="112"/>
      <c r="J16" s="112"/>
      <c r="K16" s="113"/>
      <c r="L16" s="114"/>
      <c r="M16" s="115"/>
      <c r="N16" s="116"/>
      <c r="O16" s="117"/>
      <c r="P16" s="118" t="s">
        <v>24</v>
      </c>
      <c r="Q16" s="117"/>
      <c r="R16" s="119"/>
      <c r="S16" s="120">
        <f>SUM(O9:O16)</f>
        <v>0</v>
      </c>
      <c r="T16" s="121">
        <f>SUM(Q9:Q16)</f>
        <v>0</v>
      </c>
      <c r="U16"/>
    </row>
    <row r="17" spans="1:21" s="140" customFormat="1" ht="16.5" hidden="1" outlineLevel="1" thickTop="1" thickBot="1">
      <c r="A17" s="122">
        <v>309</v>
      </c>
      <c r="B17" s="123" t="s">
        <v>35</v>
      </c>
      <c r="C17" s="124">
        <v>-281.10000000000002</v>
      </c>
      <c r="D17" s="125">
        <v>0</v>
      </c>
      <c r="E17" s="126">
        <v>22.065999999999999</v>
      </c>
      <c r="F17" s="126">
        <v>25.653199999999998</v>
      </c>
      <c r="G17" s="127">
        <f>D17*(E17+F17)</f>
        <v>0</v>
      </c>
      <c r="H17" s="128">
        <v>0</v>
      </c>
      <c r="I17" s="129">
        <v>158.69999999999999</v>
      </c>
      <c r="J17" s="130">
        <f>ROUND(H17*I17,2)</f>
        <v>0</v>
      </c>
      <c r="K17" s="131"/>
      <c r="L17" s="132">
        <f>+G17+G18+G19+SUM(J17:J17)</f>
        <v>0</v>
      </c>
      <c r="M17" s="133"/>
      <c r="N17" s="134"/>
      <c r="O17" s="135"/>
      <c r="P17" s="136" t="s">
        <v>24</v>
      </c>
      <c r="Q17" s="135">
        <f>C17+G17+J17-M17-N17-O17</f>
        <v>-281.10000000000002</v>
      </c>
      <c r="R17" s="137"/>
      <c r="S17" s="138"/>
      <c r="T17" s="139"/>
      <c r="U17" s="33">
        <f>+C17+L17-M17</f>
        <v>-281.10000000000002</v>
      </c>
    </row>
    <row r="18" spans="1:21" s="140" customFormat="1" ht="16.5" hidden="1" outlineLevel="1" thickTop="1" thickBot="1">
      <c r="A18" s="122">
        <v>309</v>
      </c>
      <c r="B18" s="123" t="s">
        <v>36</v>
      </c>
      <c r="C18" s="124"/>
      <c r="D18" s="125">
        <v>0</v>
      </c>
      <c r="E18" s="126">
        <v>85.48</v>
      </c>
      <c r="F18" s="126">
        <v>25.653199999999998</v>
      </c>
      <c r="G18" s="127">
        <f>D18*(E18+F18)</f>
        <v>0</v>
      </c>
      <c r="H18" s="128"/>
      <c r="I18" s="126"/>
      <c r="J18" s="141">
        <f>H18*I18</f>
        <v>0</v>
      </c>
      <c r="K18" s="142"/>
      <c r="L18" s="132"/>
      <c r="M18" s="133"/>
      <c r="N18" s="134"/>
      <c r="O18" s="135"/>
      <c r="P18" s="136" t="s">
        <v>24</v>
      </c>
      <c r="Q18" s="135">
        <f>C18+G18+J18-M18-N18-O18</f>
        <v>0</v>
      </c>
      <c r="R18" s="137"/>
      <c r="S18" s="138"/>
      <c r="T18" s="139"/>
      <c r="U18"/>
    </row>
    <row r="19" spans="1:21" s="140" customFormat="1" ht="16.5" hidden="1" outlineLevel="1" thickTop="1" thickBot="1">
      <c r="A19" s="122">
        <v>309</v>
      </c>
      <c r="B19" s="123" t="s">
        <v>37</v>
      </c>
      <c r="C19" s="124"/>
      <c r="D19" s="125">
        <v>0</v>
      </c>
      <c r="E19" s="141">
        <v>3.2827999999999999</v>
      </c>
      <c r="F19" s="141">
        <f>+E19</f>
        <v>3.2827999999999999</v>
      </c>
      <c r="G19" s="127">
        <f>D19*E19*70%+D19*F19*30%</f>
        <v>0</v>
      </c>
      <c r="H19" s="143"/>
      <c r="I19" s="144"/>
      <c r="J19" s="144"/>
      <c r="K19" s="145"/>
      <c r="L19" s="146"/>
      <c r="M19" s="133"/>
      <c r="N19" s="134"/>
      <c r="O19" s="135"/>
      <c r="P19" s="136" t="s">
        <v>24</v>
      </c>
      <c r="Q19" s="135">
        <f>C19+G19+J19-M19-N19-O19</f>
        <v>0</v>
      </c>
      <c r="R19" s="137"/>
      <c r="S19" s="138">
        <f>SUM(O17:O19)</f>
        <v>0</v>
      </c>
      <c r="T19" s="139">
        <f>SUM(Q17:Q19)</f>
        <v>-281.10000000000002</v>
      </c>
      <c r="U19"/>
    </row>
    <row r="20" spans="1:21" s="140" customFormat="1" ht="16.5" hidden="1" outlineLevel="1" thickTop="1" thickBot="1">
      <c r="A20" s="147"/>
      <c r="B20" s="148" t="s">
        <v>38</v>
      </c>
      <c r="C20" s="149" t="s">
        <v>39</v>
      </c>
      <c r="D20" s="125"/>
      <c r="E20" s="150">
        <v>5.6467000000000001</v>
      </c>
      <c r="F20" s="150">
        <f>+E20</f>
        <v>5.6467000000000001</v>
      </c>
      <c r="G20" s="150">
        <f>ROUND(D20*E20*70%+D20*F20*30%,2)</f>
        <v>0</v>
      </c>
      <c r="H20" s="151"/>
      <c r="I20" s="150"/>
      <c r="J20" s="150"/>
      <c r="K20" s="150"/>
      <c r="L20" s="150">
        <f>SUM(G20:G21)</f>
        <v>0</v>
      </c>
      <c r="M20" s="152"/>
      <c r="N20" s="153"/>
      <c r="O20" s="135"/>
      <c r="P20" s="136"/>
      <c r="Q20" s="135"/>
      <c r="R20" s="154"/>
      <c r="S20" s="138"/>
      <c r="T20" s="139"/>
      <c r="U20"/>
    </row>
    <row r="21" spans="1:21" s="140" customFormat="1" ht="16.5" hidden="1" outlineLevel="1" thickTop="1" thickBot="1">
      <c r="A21" s="147"/>
      <c r="B21" s="148" t="s">
        <v>40</v>
      </c>
      <c r="C21" s="155" t="s">
        <v>41</v>
      </c>
      <c r="D21" s="125"/>
      <c r="E21" s="150">
        <v>5.6467000000000001</v>
      </c>
      <c r="F21" s="156">
        <f>+E21</f>
        <v>5.6467000000000001</v>
      </c>
      <c r="G21" s="130">
        <f>ROUND(D21*E21*70%+D21*F21*30%,2)</f>
        <v>0</v>
      </c>
      <c r="H21" s="151"/>
      <c r="I21" s="150"/>
      <c r="J21" s="150"/>
      <c r="K21" s="150"/>
      <c r="L21" s="150"/>
      <c r="M21" s="152"/>
      <c r="N21" s="153"/>
      <c r="O21" s="135"/>
      <c r="P21" s="136"/>
      <c r="Q21" s="135"/>
      <c r="R21" s="154"/>
      <c r="S21" s="138"/>
      <c r="T21" s="139"/>
      <c r="U21"/>
    </row>
    <row r="22" spans="1:21" s="140" customFormat="1" ht="16.5" hidden="1" outlineLevel="1" thickTop="1" thickBot="1">
      <c r="A22" s="147"/>
      <c r="B22" s="148" t="s">
        <v>42</v>
      </c>
      <c r="C22" s="155"/>
      <c r="D22" s="125"/>
      <c r="E22" s="141"/>
      <c r="F22" s="141"/>
      <c r="G22" s="141"/>
      <c r="H22" s="151"/>
      <c r="I22" s="150"/>
      <c r="J22" s="150"/>
      <c r="K22" s="150"/>
      <c r="L22" s="150"/>
      <c r="M22" s="152"/>
      <c r="N22" s="153"/>
      <c r="O22" s="135"/>
      <c r="P22" s="136"/>
      <c r="Q22" s="135"/>
      <c r="R22" s="154"/>
      <c r="S22" s="138"/>
      <c r="T22" s="139"/>
      <c r="U22"/>
    </row>
    <row r="23" spans="1:21" s="140" customFormat="1" ht="15.75" collapsed="1" thickTop="1">
      <c r="A23" s="17" t="s">
        <v>22</v>
      </c>
      <c r="B23" s="18" t="s">
        <v>151</v>
      </c>
      <c r="C23" s="19"/>
      <c r="D23" s="20"/>
      <c r="E23" s="21"/>
      <c r="F23" s="21"/>
      <c r="G23" s="22"/>
      <c r="H23" s="20"/>
      <c r="I23" s="23"/>
      <c r="J23" s="23"/>
      <c r="K23" s="24"/>
      <c r="L23" s="25">
        <f>SUM(G23:G27,J23:J26)</f>
        <v>912.16</v>
      </c>
      <c r="M23" s="26">
        <v>912.16</v>
      </c>
      <c r="N23" s="27"/>
      <c r="O23" s="28"/>
      <c r="P23" s="29" t="s">
        <v>24</v>
      </c>
      <c r="Q23" s="28"/>
      <c r="R23" s="30"/>
      <c r="S23" s="31"/>
      <c r="T23" s="32"/>
      <c r="U23" s="33">
        <f>+C23+L23-M23</f>
        <v>0</v>
      </c>
    </row>
    <row r="24" spans="1:21" s="140" customFormat="1">
      <c r="A24" s="34"/>
      <c r="B24" s="35"/>
      <c r="C24" s="48" t="s">
        <v>27</v>
      </c>
      <c r="D24" s="37">
        <v>200.9</v>
      </c>
      <c r="E24" s="41">
        <f>6.505-6.8021</f>
        <v>-0.29710000000000036</v>
      </c>
      <c r="F24" s="38"/>
      <c r="G24" s="39">
        <f>ROUND(D24*(E24+F24),2)</f>
        <v>-59.69</v>
      </c>
      <c r="H24" s="40"/>
      <c r="I24" s="41"/>
      <c r="J24" s="41"/>
      <c r="K24" s="42"/>
      <c r="L24" s="43"/>
      <c r="M24" s="44"/>
      <c r="N24" s="45"/>
      <c r="O24" s="46"/>
      <c r="P24" s="47"/>
      <c r="Q24" s="46"/>
      <c r="R24" s="815" t="s">
        <v>172</v>
      </c>
      <c r="S24" s="31"/>
      <c r="T24" s="32"/>
      <c r="U24"/>
    </row>
    <row r="25" spans="1:21" s="140" customFormat="1">
      <c r="A25" s="34"/>
      <c r="B25" s="35"/>
      <c r="C25" s="48" t="s">
        <v>28</v>
      </c>
      <c r="D25" s="49">
        <v>4.4000000000000004</v>
      </c>
      <c r="E25" s="41">
        <v>6.5049999999999999</v>
      </c>
      <c r="F25" s="41">
        <f>+E25</f>
        <v>6.5049999999999999</v>
      </c>
      <c r="G25" s="50">
        <f>ROUND(D25*E25,2)</f>
        <v>28.62</v>
      </c>
      <c r="H25" s="51"/>
      <c r="I25" s="41"/>
      <c r="J25" s="41"/>
      <c r="K25" s="42"/>
      <c r="L25" s="43"/>
      <c r="M25" s="44"/>
      <c r="N25" s="45"/>
      <c r="O25" s="46"/>
      <c r="P25" s="47"/>
      <c r="Q25" s="46"/>
      <c r="R25" s="30"/>
      <c r="S25" s="31"/>
      <c r="T25" s="32"/>
      <c r="U25"/>
    </row>
    <row r="26" spans="1:21" s="140" customFormat="1" ht="15.75" thickBot="1">
      <c r="A26" s="766"/>
      <c r="B26" s="767"/>
      <c r="C26" s="99" t="s">
        <v>29</v>
      </c>
      <c r="D26" s="49">
        <v>145</v>
      </c>
      <c r="E26" s="56">
        <v>6.5049999999999999</v>
      </c>
      <c r="F26" s="41">
        <f>+E26</f>
        <v>6.5049999999999999</v>
      </c>
      <c r="G26" s="50">
        <f>ROUND(D26*E26,2)</f>
        <v>943.23</v>
      </c>
      <c r="H26" s="40"/>
      <c r="I26" s="41"/>
      <c r="J26" s="41"/>
      <c r="K26" s="42"/>
      <c r="L26" s="768"/>
      <c r="M26" s="90"/>
      <c r="N26" s="91"/>
      <c r="O26" s="769"/>
      <c r="P26" s="29"/>
      <c r="Q26" s="770"/>
      <c r="R26" s="30"/>
      <c r="S26" s="31"/>
      <c r="T26" s="32"/>
      <c r="U26"/>
    </row>
    <row r="27" spans="1:21" ht="21.75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182" t="s">
        <v>45</v>
      </c>
      <c r="B30" s="183" t="s">
        <v>46</v>
      </c>
      <c r="C30" s="71">
        <v>0</v>
      </c>
      <c r="D30" s="184">
        <v>31.78</v>
      </c>
      <c r="E30" s="21">
        <v>36.214199999999998</v>
      </c>
      <c r="F30" s="21">
        <v>42.4328</v>
      </c>
      <c r="G30" s="185">
        <f>ROUND(D30*(E30+F30),2)</f>
        <v>2499.4</v>
      </c>
      <c r="H30" s="184"/>
      <c r="J30" s="23"/>
      <c r="K30" s="679"/>
      <c r="L30" s="25">
        <f>SUM(G30:G34)+J30+J32</f>
        <v>115224.56</v>
      </c>
      <c r="M30" s="187">
        <v>115224.56</v>
      </c>
      <c r="N30" s="188"/>
      <c r="O30" s="23">
        <v>3998.87</v>
      </c>
      <c r="P30" s="189" t="s">
        <v>47</v>
      </c>
      <c r="Q30" s="23">
        <f t="shared" ref="Q30:Q35" si="0">C30+G30+J30-M30-N30-O30</f>
        <v>-116724.03</v>
      </c>
      <c r="R30" s="190" t="s">
        <v>48</v>
      </c>
      <c r="S30" s="176"/>
      <c r="U30" s="33">
        <f>+C30+L30-M30</f>
        <v>0</v>
      </c>
    </row>
    <row r="31" spans="1:21">
      <c r="A31" s="191"/>
      <c r="B31" s="192"/>
      <c r="C31" s="36" t="s">
        <v>26</v>
      </c>
      <c r="D31" s="37"/>
      <c r="E31" s="38"/>
      <c r="F31" s="38"/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191"/>
      <c r="B32" s="192"/>
      <c r="C32" s="48" t="s">
        <v>27</v>
      </c>
      <c r="D32" s="49"/>
      <c r="E32" s="41"/>
      <c r="F32" s="41">
        <f>+E32</f>
        <v>0</v>
      </c>
      <c r="G32" s="50">
        <f>ROUND(D32*F32,2)</f>
        <v>0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191"/>
      <c r="B33" s="192"/>
      <c r="C33" s="48" t="s">
        <v>28</v>
      </c>
      <c r="D33" s="49">
        <v>180</v>
      </c>
      <c r="E33" s="41">
        <v>6.6231</v>
      </c>
      <c r="F33" s="41">
        <f>+E33</f>
        <v>6.6231</v>
      </c>
      <c r="G33" s="50">
        <f>ROUND(D33*E33,2)</f>
        <v>1192.1600000000001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201"/>
      <c r="B34" s="202" t="s">
        <v>49</v>
      </c>
      <c r="C34" s="99" t="s">
        <v>29</v>
      </c>
      <c r="D34" s="55">
        <v>16840</v>
      </c>
      <c r="E34" s="56">
        <v>6.6231</v>
      </c>
      <c r="F34" s="57">
        <f>+E34</f>
        <v>6.6231</v>
      </c>
      <c r="G34" s="58">
        <f>ROUND(D34*E34,2)</f>
        <v>111533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42822.990000000005</v>
      </c>
      <c r="R34" s="209" t="s">
        <v>50</v>
      </c>
      <c r="S34" s="210">
        <f>SUM(O30:O34)</f>
        <v>72708.87999999999</v>
      </c>
      <c r="T34" s="210">
        <f>SUM(Q30:Q34)</f>
        <v>-73901.039999999994</v>
      </c>
    </row>
    <row r="35" spans="1:21">
      <c r="A35" s="211" t="s">
        <v>51</v>
      </c>
      <c r="B35" s="212" t="s">
        <v>52</v>
      </c>
      <c r="C35" s="71">
        <v>0</v>
      </c>
      <c r="D35" s="213">
        <v>100.91</v>
      </c>
      <c r="E35" s="21">
        <v>36.214199999999998</v>
      </c>
      <c r="F35" s="21">
        <v>42.4328</v>
      </c>
      <c r="G35" s="214">
        <f>ROUND(D35*(E35+F35),2)</f>
        <v>7936.27</v>
      </c>
      <c r="H35" s="213"/>
      <c r="J35" s="215"/>
      <c r="K35" s="679"/>
      <c r="L35" s="216">
        <f>SUM(G35:G42)+SUM(J35:J42)</f>
        <v>64257.61</v>
      </c>
      <c r="M35" s="187">
        <v>64257.61</v>
      </c>
      <c r="N35" s="188"/>
      <c r="O35" s="217">
        <v>4253.6899999999996</v>
      </c>
      <c r="P35" s="218" t="s">
        <v>47</v>
      </c>
      <c r="Q35" s="219">
        <f t="shared" si="0"/>
        <v>-60575.03</v>
      </c>
      <c r="R35" s="220" t="s">
        <v>53</v>
      </c>
      <c r="S35" s="221"/>
      <c r="T35" s="222"/>
      <c r="U35" s="33">
        <f>+C35+L35-M35</f>
        <v>0</v>
      </c>
    </row>
    <row r="36" spans="1:21" ht="15.75" thickBot="1">
      <c r="A36" s="223"/>
      <c r="B36" s="224"/>
      <c r="C36" s="84" t="s">
        <v>26</v>
      </c>
      <c r="D36" s="37"/>
      <c r="E36" s="38"/>
      <c r="F36" s="38"/>
      <c r="G36" s="39">
        <f>ROUND(D36*(E36+F36),2)</f>
        <v>0</v>
      </c>
      <c r="H36" s="225"/>
      <c r="I36" s="194"/>
      <c r="J36" s="194"/>
      <c r="K36" s="226"/>
      <c r="L36" s="196"/>
      <c r="M36" s="227"/>
      <c r="N36" s="228"/>
      <c r="O36" s="229"/>
      <c r="P36" s="230"/>
      <c r="Q36" s="231"/>
      <c r="R36" s="232"/>
      <c r="S36" s="233"/>
      <c r="T36" s="224"/>
      <c r="U36" s="33"/>
    </row>
    <row r="37" spans="1:21">
      <c r="A37" s="223"/>
      <c r="B37" s="98" t="s">
        <v>32</v>
      </c>
      <c r="C37" s="99" t="s">
        <v>33</v>
      </c>
      <c r="D37" s="234">
        <v>58.46</v>
      </c>
      <c r="E37" s="101">
        <v>176.95</v>
      </c>
      <c r="F37" s="21">
        <v>42.4328</v>
      </c>
      <c r="G37" s="235">
        <f>ROUND(D37*(E37+F37),2)</f>
        <v>12825.12</v>
      </c>
      <c r="H37" s="234"/>
      <c r="I37" s="194"/>
      <c r="J37" s="194"/>
      <c r="K37" s="195"/>
      <c r="L37" s="196"/>
      <c r="M37" s="227"/>
      <c r="N37" s="236"/>
      <c r="O37" s="237">
        <v>5456.6</v>
      </c>
      <c r="P37" s="230" t="s">
        <v>47</v>
      </c>
      <c r="Q37" s="238">
        <f>+G37+J37-M37-N37-O37</f>
        <v>7368.52</v>
      </c>
      <c r="R37" s="232"/>
      <c r="S37" s="233"/>
      <c r="T37" s="224"/>
    </row>
    <row r="38" spans="1:21">
      <c r="A38" s="223"/>
      <c r="B38" s="224" t="s">
        <v>33</v>
      </c>
      <c r="C38" s="239" t="s">
        <v>26</v>
      </c>
      <c r="D38" s="234">
        <v>50.71</v>
      </c>
      <c r="E38" s="240">
        <f>176.95-160.6</f>
        <v>16.349999999999994</v>
      </c>
      <c r="F38" s="240">
        <v>0</v>
      </c>
      <c r="G38" s="235">
        <f>+ROUND(D38*E38,2)</f>
        <v>829.11</v>
      </c>
      <c r="H38" s="241"/>
      <c r="I38" s="194"/>
      <c r="J38" s="194"/>
      <c r="K38" s="195"/>
      <c r="L38" s="196"/>
      <c r="M38" s="227"/>
      <c r="N38" s="236"/>
      <c r="O38" s="237"/>
      <c r="P38" s="230"/>
      <c r="Q38" s="238"/>
      <c r="R38" s="242"/>
      <c r="S38" s="233"/>
      <c r="T38" s="224"/>
    </row>
    <row r="39" spans="1:21">
      <c r="A39" s="223"/>
      <c r="B39" s="224"/>
      <c r="C39" s="239" t="s">
        <v>26</v>
      </c>
      <c r="D39" s="234"/>
      <c r="E39" s="240"/>
      <c r="F39" s="41"/>
      <c r="G39" s="235">
        <f>+ROUND(D39*F39,2)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223"/>
      <c r="B40" s="224"/>
      <c r="C40" s="48" t="s">
        <v>27</v>
      </c>
      <c r="D40" s="49">
        <v>5111.8999999999996</v>
      </c>
      <c r="E40" s="41">
        <f>6.505-6.8021</f>
        <v>-0.29710000000000036</v>
      </c>
      <c r="F40" s="41">
        <f t="shared" ref="F40:F48" si="1">+E40</f>
        <v>-0.29710000000000036</v>
      </c>
      <c r="G40" s="50">
        <f>ROUND(D40*E40,2)</f>
        <v>-1518.75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223"/>
      <c r="B41" s="224"/>
      <c r="C41" s="48" t="s">
        <v>28</v>
      </c>
      <c r="D41" s="49">
        <v>71.900000000000006</v>
      </c>
      <c r="E41" s="41">
        <v>6.5049999999999999</v>
      </c>
      <c r="F41" s="41">
        <f t="shared" si="1"/>
        <v>6.5049999999999999</v>
      </c>
      <c r="G41" s="50">
        <f>ROUND(D41*E41,2)</f>
        <v>467.71</v>
      </c>
      <c r="H41" s="241"/>
      <c r="I41" s="194"/>
      <c r="J41" s="243"/>
      <c r="K41" s="195"/>
      <c r="L41" s="196"/>
      <c r="M41" s="227"/>
      <c r="N41" s="236"/>
      <c r="O41" s="237"/>
      <c r="P41" s="230"/>
      <c r="Q41" s="238"/>
      <c r="R41" s="242"/>
      <c r="S41" s="233"/>
      <c r="T41" s="224"/>
      <c r="U41" s="33"/>
    </row>
    <row r="42" spans="1:21" ht="15.75" thickBot="1">
      <c r="A42" s="244"/>
      <c r="B42" s="245"/>
      <c r="C42" s="99" t="s">
        <v>29</v>
      </c>
      <c r="D42" s="246">
        <v>6720.7</v>
      </c>
      <c r="E42" s="56">
        <v>6.5049999999999999</v>
      </c>
      <c r="F42" s="57">
        <f t="shared" si="1"/>
        <v>6.5049999999999999</v>
      </c>
      <c r="G42" s="247">
        <f>ROUND(D42*E42*70%+D42*F42*30%,2)</f>
        <v>43718.15</v>
      </c>
      <c r="H42" s="248"/>
      <c r="I42" s="203"/>
      <c r="J42" s="60"/>
      <c r="K42" s="61"/>
      <c r="L42" s="249"/>
      <c r="M42" s="250"/>
      <c r="N42" s="251"/>
      <c r="O42" s="252">
        <v>15777.9</v>
      </c>
      <c r="P42" s="253" t="s">
        <v>47</v>
      </c>
      <c r="Q42" s="254">
        <f>+G42+J42-M42-N42-O42</f>
        <v>27940.25</v>
      </c>
      <c r="R42" s="255" t="s">
        <v>54</v>
      </c>
      <c r="S42" s="256">
        <f>SUM(O35:O42)</f>
        <v>25488.190000000002</v>
      </c>
      <c r="T42" s="256">
        <f>SUM(Q35:Q42)</f>
        <v>-25266.259999999995</v>
      </c>
    </row>
    <row r="43" spans="1:21" ht="15.75">
      <c r="A43" s="257"/>
      <c r="B43" s="258" t="s">
        <v>55</v>
      </c>
      <c r="C43" s="48" t="s">
        <v>27</v>
      </c>
      <c r="D43" s="259">
        <v>2275.92</v>
      </c>
      <c r="E43" s="41">
        <f>6.505-6.8021</f>
        <v>-0.29710000000000036</v>
      </c>
      <c r="F43" s="41">
        <f t="shared" si="1"/>
        <v>-0.29710000000000036</v>
      </c>
      <c r="G43" s="214">
        <f>ROUND(D43*E43,2)</f>
        <v>-676.18</v>
      </c>
      <c r="H43" s="260"/>
      <c r="I43" s="261"/>
      <c r="J43" s="261"/>
      <c r="K43" s="262"/>
      <c r="L43" s="263">
        <f>SUM(G43:G45)</f>
        <v>17282.43</v>
      </c>
      <c r="M43" s="187">
        <v>17282.43</v>
      </c>
      <c r="N43" s="264"/>
      <c r="O43" s="229"/>
      <c r="P43" s="265"/>
      <c r="Q43" s="229"/>
      <c r="R43" s="242"/>
      <c r="S43" s="266"/>
      <c r="T43" s="266"/>
    </row>
    <row r="44" spans="1:21" ht="15.75">
      <c r="A44" s="267"/>
      <c r="B44" s="268"/>
      <c r="C44" s="48" t="s">
        <v>28</v>
      </c>
      <c r="D44" s="269">
        <v>29.23</v>
      </c>
      <c r="E44" s="41">
        <v>6.5049999999999999</v>
      </c>
      <c r="F44" s="41">
        <f t="shared" si="1"/>
        <v>6.5049999999999999</v>
      </c>
      <c r="G44" s="235">
        <f>ROUND(D44*E44,2)</f>
        <v>190.14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276"/>
      <c r="B45" s="277"/>
      <c r="C45" s="99" t="s">
        <v>29</v>
      </c>
      <c r="D45" s="279">
        <v>2731.51</v>
      </c>
      <c r="E45" s="56">
        <v>6.5049999999999999</v>
      </c>
      <c r="F45" s="57">
        <f t="shared" si="1"/>
        <v>6.5049999999999999</v>
      </c>
      <c r="G45" s="247">
        <f t="shared" ref="G45:G48" si="2">ROUND(D45*E45,2)</f>
        <v>17768.47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 ht="15" customHeight="1">
      <c r="A46" s="285"/>
      <c r="B46" s="258" t="s">
        <v>56</v>
      </c>
      <c r="C46" s="48" t="s">
        <v>27</v>
      </c>
      <c r="D46" s="259">
        <v>357.6</v>
      </c>
      <c r="E46" s="41">
        <f>6.505-6.8021</f>
        <v>-0.29710000000000036</v>
      </c>
      <c r="F46" s="41">
        <f t="shared" si="1"/>
        <v>-0.29710000000000036</v>
      </c>
      <c r="G46" s="214">
        <f>ROUND(D46*E46,2)</f>
        <v>-106.24</v>
      </c>
      <c r="H46" s="260"/>
      <c r="I46" s="261"/>
      <c r="J46" s="261"/>
      <c r="K46" s="262"/>
      <c r="L46" s="286">
        <f>SUM(G46:G48)</f>
        <v>2093.75</v>
      </c>
      <c r="M46" s="227">
        <v>2093.75</v>
      </c>
      <c r="N46" s="264"/>
      <c r="O46" s="229"/>
      <c r="P46" s="265"/>
      <c r="Q46" s="229"/>
      <c r="R46" s="287"/>
      <c r="S46" s="288"/>
      <c r="T46" s="288"/>
    </row>
    <row r="47" spans="1:21" ht="15.75">
      <c r="A47" s="289"/>
      <c r="B47" s="268"/>
      <c r="C47" s="48" t="s">
        <v>28</v>
      </c>
      <c r="D47" s="269">
        <v>3.6</v>
      </c>
      <c r="E47" s="41">
        <v>6.5049999999999999</v>
      </c>
      <c r="F47" s="41">
        <f t="shared" si="1"/>
        <v>6.5049999999999999</v>
      </c>
      <c r="G47" s="235">
        <f>ROUND(D47*E47,2)</f>
        <v>23.42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87"/>
      <c r="S47" s="288"/>
      <c r="T47" s="288"/>
    </row>
    <row r="48" spans="1:21" ht="16.5" thickBot="1">
      <c r="A48" s="290"/>
      <c r="B48" s="277"/>
      <c r="C48" s="99" t="s">
        <v>29</v>
      </c>
      <c r="D48" s="279">
        <v>334.6</v>
      </c>
      <c r="E48" s="56">
        <v>6.5049999999999999</v>
      </c>
      <c r="F48" s="57">
        <f t="shared" si="1"/>
        <v>6.5049999999999999</v>
      </c>
      <c r="G48" s="247">
        <f t="shared" si="2"/>
        <v>2176.5700000000002</v>
      </c>
      <c r="H48" s="280"/>
      <c r="I48" s="281"/>
      <c r="J48" s="281"/>
      <c r="K48" s="682"/>
      <c r="L48" s="204"/>
      <c r="M48" s="250"/>
      <c r="N48" s="283"/>
      <c r="O48" s="252"/>
      <c r="P48" s="284"/>
      <c r="Q48" s="252"/>
      <c r="R48" s="287"/>
      <c r="S48" s="288"/>
      <c r="T48" s="288"/>
    </row>
    <row r="49" spans="1:20" ht="16.5" hidden="1" outlineLevel="1" thickBot="1">
      <c r="A49" s="808"/>
      <c r="B49" s="291" t="s">
        <v>57</v>
      </c>
      <c r="C49" s="292"/>
      <c r="D49" s="259"/>
      <c r="E49" s="21">
        <v>36.214199999999998</v>
      </c>
      <c r="F49" s="21">
        <v>42.4328</v>
      </c>
      <c r="G49" s="214">
        <f>ROUND(D49*(E49+F49),2)</f>
        <v>0</v>
      </c>
      <c r="H49" s="213">
        <v>0</v>
      </c>
      <c r="I49">
        <v>22.478999999999999</v>
      </c>
      <c r="J49" s="215">
        <f t="shared" ref="J49" si="3">H49*I49</f>
        <v>0</v>
      </c>
      <c r="K49" s="679">
        <v>42705</v>
      </c>
      <c r="L49" s="294">
        <f>SUM(G49:G53)+J49+J51</f>
        <v>0</v>
      </c>
      <c r="M49" s="227"/>
      <c r="N49" s="264"/>
      <c r="O49" s="229"/>
      <c r="P49" s="265"/>
      <c r="Q49" s="229"/>
      <c r="R49" s="242"/>
      <c r="S49" s="266"/>
      <c r="T49" s="266"/>
    </row>
    <row r="50" spans="1:20" ht="16.5" hidden="1" outlineLevel="1" thickBot="1">
      <c r="A50" s="809"/>
      <c r="B50" s="268"/>
      <c r="C50" s="292"/>
      <c r="D50" s="269"/>
      <c r="E50" s="38">
        <f>32.332-28.8628</f>
        <v>3.4692000000000007</v>
      </c>
      <c r="F50" s="38">
        <f>37.8898-33.8306</f>
        <v>4.0592000000000041</v>
      </c>
      <c r="G50" s="235">
        <f>ROUND(D50*(E50+F50),2)</f>
        <v>0</v>
      </c>
      <c r="H50" s="225"/>
      <c r="J50" s="194"/>
      <c r="K50" s="683"/>
      <c r="L50" s="294"/>
      <c r="M50" s="227"/>
      <c r="N50" s="264"/>
      <c r="O50" s="229"/>
      <c r="P50" s="265"/>
      <c r="Q50" s="229"/>
      <c r="R50" s="242"/>
      <c r="S50" s="266"/>
      <c r="T50" s="266"/>
    </row>
    <row r="51" spans="1:20" ht="15.75" hidden="1" outlineLevel="1" thickBot="1">
      <c r="A51" s="809"/>
      <c r="B51" s="268"/>
      <c r="C51" s="48" t="s">
        <v>170</v>
      </c>
      <c r="D51" s="296"/>
      <c r="E51" s="41">
        <f>7.0207-6.6426</f>
        <v>0.37809999999999988</v>
      </c>
      <c r="F51" s="41">
        <f>+E51</f>
        <v>0.37809999999999988</v>
      </c>
      <c r="G51" s="235">
        <f>ROUND(D51*E51,2)</f>
        <v>0</v>
      </c>
      <c r="H51" s="270"/>
      <c r="I51" s="41"/>
      <c r="J51" s="41"/>
      <c r="K51" s="684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hidden="1" outlineLevel="1" thickBot="1">
      <c r="A52" s="809"/>
      <c r="B52" s="268"/>
      <c r="C52" s="48" t="s">
        <v>171</v>
      </c>
      <c r="D52" s="269"/>
      <c r="E52" s="41">
        <v>7.0206999999999997</v>
      </c>
      <c r="F52" s="41">
        <f>+E52</f>
        <v>7.0206999999999997</v>
      </c>
      <c r="G52" s="235">
        <f>ROUND(D52*E52,2)</f>
        <v>0</v>
      </c>
      <c r="H52" s="270"/>
      <c r="I52" s="41"/>
      <c r="J52" s="41"/>
      <c r="K52" s="684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0" ht="16.5" hidden="1" outlineLevel="1" thickBot="1">
      <c r="A53" s="802"/>
      <c r="B53" s="277"/>
      <c r="C53" s="99" t="s">
        <v>29</v>
      </c>
      <c r="D53" s="279"/>
      <c r="E53" s="56">
        <v>7.0206999999999997</v>
      </c>
      <c r="F53" s="57">
        <f>+E53</f>
        <v>7.0206999999999997</v>
      </c>
      <c r="G53" s="247">
        <f>ROUND(D53*E53,2)</f>
        <v>0</v>
      </c>
      <c r="H53" s="280"/>
      <c r="I53" s="281"/>
      <c r="J53" s="281"/>
      <c r="K53" s="6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0" ht="15.75" collapsed="1">
      <c r="A54" s="299"/>
      <c r="B54" s="258" t="s">
        <v>58</v>
      </c>
      <c r="C54" s="48" t="s">
        <v>59</v>
      </c>
      <c r="D54" s="822">
        <v>0.32</v>
      </c>
      <c r="E54" s="21">
        <v>36.214199999999998</v>
      </c>
      <c r="F54" s="21">
        <v>42.4328</v>
      </c>
      <c r="G54" s="214">
        <f>ROUND(D54*(E54+F54),2)</f>
        <v>25.17</v>
      </c>
      <c r="H54" s="213"/>
      <c r="J54" s="215"/>
      <c r="K54" s="679"/>
      <c r="L54" s="294">
        <f>SUM(G54:G58)+J54</f>
        <v>1319.41</v>
      </c>
      <c r="M54" s="227">
        <v>1319.41</v>
      </c>
      <c r="N54" s="264"/>
      <c r="O54" s="229"/>
      <c r="P54" s="265"/>
      <c r="Q54" s="229"/>
      <c r="R54" s="242"/>
      <c r="S54" s="266"/>
      <c r="T54" s="266"/>
    </row>
    <row r="55" spans="1:20" ht="15.75">
      <c r="A55" s="300"/>
      <c r="B55" s="268"/>
      <c r="C55" s="292"/>
      <c r="D55" s="269"/>
      <c r="E55" s="38"/>
      <c r="F55" s="38"/>
      <c r="G55" s="235">
        <f>ROUND(D55*(E55+F55),2)</f>
        <v>0</v>
      </c>
      <c r="H55" s="225"/>
      <c r="J55" s="194"/>
      <c r="K55" s="295"/>
      <c r="L55" s="294"/>
      <c r="M55" s="227"/>
      <c r="N55" s="264"/>
      <c r="O55" s="229"/>
      <c r="P55" s="265"/>
      <c r="Q55" s="229"/>
      <c r="R55" s="242"/>
      <c r="S55" s="266"/>
      <c r="T55" s="266"/>
    </row>
    <row r="56" spans="1:20">
      <c r="A56" s="300"/>
      <c r="B56" s="268"/>
      <c r="C56" s="48" t="s">
        <v>27</v>
      </c>
      <c r="D56" s="296">
        <v>202.3</v>
      </c>
      <c r="E56" s="41">
        <f>6.505-6.8021</f>
        <v>-0.29710000000000036</v>
      </c>
      <c r="F56" s="41">
        <f t="shared" ref="F56:F88" si="4">+E56</f>
        <v>-0.29710000000000036</v>
      </c>
      <c r="G56" s="235">
        <f>ROUND(D56*E56,2)</f>
        <v>-60.1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0" ht="15.75">
      <c r="A57" s="300"/>
      <c r="B57" s="268"/>
      <c r="C57" s="48" t="s">
        <v>28</v>
      </c>
      <c r="D57" s="269">
        <v>2.2000000000000002</v>
      </c>
      <c r="E57" s="41">
        <v>6.5049999999999999</v>
      </c>
      <c r="F57" s="41">
        <f t="shared" si="4"/>
        <v>6.5049999999999999</v>
      </c>
      <c r="G57" s="235">
        <f t="shared" ref="G57:G64" si="5">ROUND(D57*E57,2)</f>
        <v>14.31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301"/>
      <c r="B58" s="277"/>
      <c r="C58" s="99" t="s">
        <v>29</v>
      </c>
      <c r="D58" s="279">
        <v>206</v>
      </c>
      <c r="E58" s="56">
        <v>6.5049999999999999</v>
      </c>
      <c r="F58" s="57">
        <f t="shared" si="4"/>
        <v>6.5049999999999999</v>
      </c>
      <c r="G58" s="247">
        <f t="shared" si="5"/>
        <v>1340.03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706"/>
      <c r="B59" s="192" t="s">
        <v>137</v>
      </c>
      <c r="C59" s="48" t="s">
        <v>27</v>
      </c>
      <c r="D59" s="296">
        <v>191.22</v>
      </c>
      <c r="E59" s="41">
        <f>6.505-6.8021</f>
        <v>-0.29710000000000036</v>
      </c>
      <c r="F59" s="41">
        <f t="shared" si="4"/>
        <v>-0.29710000000000036</v>
      </c>
      <c r="G59" s="235">
        <f>ROUND(D59*E59,2)</f>
        <v>-56.81</v>
      </c>
      <c r="H59" s="270"/>
      <c r="I59" s="41"/>
      <c r="J59" s="41"/>
      <c r="K59" s="271"/>
      <c r="L59" s="294">
        <f>SUM(G59:G61)</f>
        <v>1195.6600000000001</v>
      </c>
      <c r="M59" s="227">
        <v>1195.6600000000001</v>
      </c>
      <c r="N59" s="274"/>
      <c r="O59" s="237"/>
      <c r="P59" s="275"/>
      <c r="Q59" s="237"/>
      <c r="R59" s="242"/>
      <c r="S59" s="266"/>
      <c r="T59" s="266"/>
    </row>
    <row r="60" spans="1:20" ht="15.75">
      <c r="A60" s="706"/>
      <c r="B60" s="192"/>
      <c r="C60" s="48" t="s">
        <v>28</v>
      </c>
      <c r="D60" s="269">
        <v>2.04</v>
      </c>
      <c r="E60" s="41">
        <v>6.5049999999999999</v>
      </c>
      <c r="F60" s="41">
        <f t="shared" si="4"/>
        <v>6.5049999999999999</v>
      </c>
      <c r="G60" s="235">
        <f t="shared" si="5"/>
        <v>13.27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290"/>
      <c r="B61" s="277"/>
      <c r="C61" s="99" t="s">
        <v>29</v>
      </c>
      <c r="D61" s="279">
        <v>190.5</v>
      </c>
      <c r="E61" s="56">
        <v>6.5049999999999999</v>
      </c>
      <c r="F61" s="57">
        <f t="shared" si="4"/>
        <v>6.5049999999999999</v>
      </c>
      <c r="G61" s="247">
        <f t="shared" si="5"/>
        <v>1239.2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706"/>
      <c r="B62" s="192" t="s">
        <v>138</v>
      </c>
      <c r="C62" s="48" t="s">
        <v>27</v>
      </c>
      <c r="D62" s="296">
        <v>252.68</v>
      </c>
      <c r="E62" s="41">
        <f>6.505-6.8021</f>
        <v>-0.29710000000000036</v>
      </c>
      <c r="F62" s="41">
        <f t="shared" si="4"/>
        <v>-0.29710000000000036</v>
      </c>
      <c r="G62" s="235">
        <f>ROUND(D62*E62,2)</f>
        <v>-75.069999999999993</v>
      </c>
      <c r="H62" s="270"/>
      <c r="I62" s="41"/>
      <c r="J62" s="41"/>
      <c r="K62" s="271"/>
      <c r="L62" s="294">
        <f>SUM(G62:G64)</f>
        <v>1583.05</v>
      </c>
      <c r="M62" s="227">
        <v>1583.05</v>
      </c>
      <c r="N62" s="274"/>
      <c r="O62" s="237"/>
      <c r="P62" s="275"/>
      <c r="Q62" s="237"/>
      <c r="R62" s="242"/>
      <c r="S62" s="266"/>
      <c r="T62" s="266"/>
    </row>
    <row r="63" spans="1:20" ht="15.75">
      <c r="A63" s="706"/>
      <c r="B63" s="192"/>
      <c r="C63" s="48" t="s">
        <v>28</v>
      </c>
      <c r="D63" s="269">
        <v>2.7</v>
      </c>
      <c r="E63" s="41">
        <v>6.5049999999999999</v>
      </c>
      <c r="F63" s="41">
        <f t="shared" si="4"/>
        <v>6.5049999999999999</v>
      </c>
      <c r="G63" s="235">
        <f t="shared" si="5"/>
        <v>17.559999999999999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290"/>
      <c r="B64" s="277"/>
      <c r="C64" s="99" t="s">
        <v>29</v>
      </c>
      <c r="D64" s="279">
        <v>252.2</v>
      </c>
      <c r="E64" s="56">
        <v>6.5049999999999999</v>
      </c>
      <c r="F64" s="57">
        <f t="shared" si="4"/>
        <v>6.5049999999999999</v>
      </c>
      <c r="G64" s="247">
        <f t="shared" si="5"/>
        <v>1640.56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0" hidden="1" outlineLevel="1">
      <c r="A65" s="801"/>
      <c r="B65" s="192" t="s">
        <v>145</v>
      </c>
      <c r="C65" s="48" t="s">
        <v>170</v>
      </c>
      <c r="D65" s="296"/>
      <c r="E65" s="41">
        <f>7.0207-6.6426</f>
        <v>0.37809999999999988</v>
      </c>
      <c r="F65" s="41">
        <f t="shared" si="4"/>
        <v>0.37809999999999988</v>
      </c>
      <c r="G65" s="235">
        <f>ROUND(D65*E65,2)</f>
        <v>0</v>
      </c>
      <c r="H65" s="270"/>
      <c r="I65" s="41"/>
      <c r="J65" s="41"/>
      <c r="K65" s="271"/>
      <c r="L65" s="294">
        <f>SUM(G65:G67)</f>
        <v>0</v>
      </c>
      <c r="M65" s="227"/>
      <c r="N65" s="274"/>
      <c r="O65" s="237"/>
      <c r="P65" s="275"/>
      <c r="Q65" s="237"/>
      <c r="R65" s="242"/>
      <c r="S65" s="266"/>
      <c r="T65" s="266"/>
    </row>
    <row r="66" spans="1:20" ht="15.75" hidden="1" outlineLevel="1">
      <c r="A66" s="801"/>
      <c r="B66" s="192"/>
      <c r="C66" s="48" t="s">
        <v>171</v>
      </c>
      <c r="D66" s="269"/>
      <c r="E66" s="41">
        <v>7.0206999999999997</v>
      </c>
      <c r="F66" s="41">
        <f t="shared" si="4"/>
        <v>7.0206999999999997</v>
      </c>
      <c r="G66" s="235">
        <f t="shared" ref="G66:G67" si="6">ROUND(D66*E66,2)</f>
        <v>0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6.5" hidden="1" outlineLevel="1" thickBot="1">
      <c r="A67" s="802"/>
      <c r="B67" s="277"/>
      <c r="C67" s="99" t="s">
        <v>29</v>
      </c>
      <c r="D67" s="279"/>
      <c r="E67" s="56">
        <v>7.0206999999999997</v>
      </c>
      <c r="F67" s="57">
        <f t="shared" si="4"/>
        <v>7.0206999999999997</v>
      </c>
      <c r="G67" s="247">
        <f t="shared" si="6"/>
        <v>0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0" collapsed="1">
      <c r="A68" s="706"/>
      <c r="B68" s="192" t="s">
        <v>152</v>
      </c>
      <c r="C68" s="48" t="s">
        <v>27</v>
      </c>
      <c r="D68" s="296">
        <v>325.64999999999998</v>
      </c>
      <c r="E68" s="41">
        <f>6.505-6.8021</f>
        <v>-0.29710000000000036</v>
      </c>
      <c r="F68" s="41">
        <f t="shared" si="4"/>
        <v>-0.29710000000000036</v>
      </c>
      <c r="G68" s="235">
        <f>ROUND(D68*E68,2)</f>
        <v>-96.75</v>
      </c>
      <c r="H68" s="270"/>
      <c r="I68" s="41"/>
      <c r="J68" s="41"/>
      <c r="K68" s="271"/>
      <c r="L68" s="294">
        <f>SUM(G68:G70)</f>
        <v>1941.3999999999999</v>
      </c>
      <c r="M68" s="227">
        <v>1941.4</v>
      </c>
      <c r="N68" s="274"/>
      <c r="O68" s="237"/>
      <c r="P68" s="275"/>
      <c r="Q68" s="237"/>
      <c r="R68" s="242"/>
      <c r="S68" s="266"/>
      <c r="T68" s="266"/>
    </row>
    <row r="69" spans="1:20" ht="15.75">
      <c r="A69" s="706"/>
      <c r="B69" s="192"/>
      <c r="C69" s="48" t="s">
        <v>28</v>
      </c>
      <c r="D69" s="269">
        <v>3.32</v>
      </c>
      <c r="E69" s="41">
        <v>6.5049999999999999</v>
      </c>
      <c r="F69" s="41">
        <f t="shared" si="4"/>
        <v>6.5049999999999999</v>
      </c>
      <c r="G69" s="235">
        <f t="shared" ref="G69:G70" si="7">ROUND(D69*E69,2)</f>
        <v>21.6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03"/>
      <c r="B70" s="804"/>
      <c r="C70" s="54" t="s">
        <v>29</v>
      </c>
      <c r="D70" s="279">
        <v>310</v>
      </c>
      <c r="E70" s="56">
        <v>6.5049999999999999</v>
      </c>
      <c r="F70" s="57">
        <f t="shared" si="4"/>
        <v>6.5049999999999999</v>
      </c>
      <c r="G70" s="247">
        <f t="shared" si="7"/>
        <v>2016.55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>
      <c r="A71" s="706"/>
      <c r="B71" s="192" t="s">
        <v>159</v>
      </c>
      <c r="C71" s="48" t="s">
        <v>27</v>
      </c>
      <c r="D71" s="296">
        <v>129.37</v>
      </c>
      <c r="E71" s="41">
        <f>6.505-6.8021</f>
        <v>-0.29710000000000036</v>
      </c>
      <c r="F71" s="41">
        <f t="shared" si="4"/>
        <v>-0.29710000000000036</v>
      </c>
      <c r="G71" s="235">
        <f>ROUND(D71*E71,2)+0.01</f>
        <v>-38.43</v>
      </c>
      <c r="H71" s="270"/>
      <c r="I71" s="41"/>
      <c r="J71" s="41"/>
      <c r="K71" s="271"/>
      <c r="L71" s="294">
        <f>SUM(G71:G73)</f>
        <v>776.84</v>
      </c>
      <c r="M71" s="227">
        <v>776.84</v>
      </c>
      <c r="N71" s="274"/>
      <c r="O71" s="237"/>
      <c r="P71" s="275"/>
      <c r="Q71" s="237"/>
      <c r="R71" s="242"/>
      <c r="S71" s="266"/>
      <c r="T71" s="266"/>
    </row>
    <row r="72" spans="1:20" ht="15.75">
      <c r="A72" s="706"/>
      <c r="B72" s="192"/>
      <c r="C72" s="48" t="s">
        <v>28</v>
      </c>
      <c r="D72" s="269">
        <v>1.33</v>
      </c>
      <c r="E72" s="41">
        <v>6.5049999999999999</v>
      </c>
      <c r="F72" s="41">
        <f t="shared" si="4"/>
        <v>6.5049999999999999</v>
      </c>
      <c r="G72" s="235">
        <f t="shared" ref="G72:G73" si="8">ROUND(D72*E72,2)</f>
        <v>8.65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0" ht="16.5" thickBot="1">
      <c r="A73" s="855"/>
      <c r="B73" s="856"/>
      <c r="C73" s="99" t="s">
        <v>29</v>
      </c>
      <c r="D73" s="279">
        <v>124</v>
      </c>
      <c r="E73" s="56">
        <v>6.5049999999999999</v>
      </c>
      <c r="F73" s="57">
        <f t="shared" si="4"/>
        <v>6.5049999999999999</v>
      </c>
      <c r="G73" s="247">
        <f t="shared" si="8"/>
        <v>806.62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0">
      <c r="A74" s="706"/>
      <c r="B74" s="192" t="s">
        <v>166</v>
      </c>
      <c r="C74" s="48" t="s">
        <v>27</v>
      </c>
      <c r="D74" s="296">
        <v>133.21</v>
      </c>
      <c r="E74" s="41">
        <f>6.505-6.8021</f>
        <v>-0.29710000000000036</v>
      </c>
      <c r="F74" s="41">
        <f t="shared" si="4"/>
        <v>-0.29710000000000036</v>
      </c>
      <c r="G74" s="235">
        <f>ROUND(D74*E74,2)+0.01</f>
        <v>-39.57</v>
      </c>
      <c r="H74" s="270"/>
      <c r="I74" s="41"/>
      <c r="J74" s="41"/>
      <c r="K74" s="271"/>
      <c r="L74" s="294">
        <f>SUM(G74:G76)</f>
        <v>960.43999999999994</v>
      </c>
      <c r="M74" s="227">
        <v>960.44</v>
      </c>
      <c r="N74" s="274"/>
      <c r="O74" s="237"/>
      <c r="P74" s="275"/>
      <c r="Q74" s="237"/>
      <c r="R74" s="242"/>
      <c r="S74" s="266"/>
      <c r="T74" s="266"/>
    </row>
    <row r="75" spans="1:20" ht="15.75">
      <c r="A75" s="706"/>
      <c r="B75" s="192"/>
      <c r="C75" s="48" t="s">
        <v>28</v>
      </c>
      <c r="D75" s="269">
        <v>1.63</v>
      </c>
      <c r="E75" s="41">
        <v>6.5049999999999999</v>
      </c>
      <c r="F75" s="41">
        <f t="shared" si="4"/>
        <v>6.5049999999999999</v>
      </c>
      <c r="G75" s="235">
        <f t="shared" ref="G75:G76" si="9">ROUND(D75*E75,2)</f>
        <v>10.6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0" ht="16.5" thickBot="1">
      <c r="A76" s="855"/>
      <c r="B76" s="857"/>
      <c r="C76" s="99" t="s">
        <v>29</v>
      </c>
      <c r="D76" s="279">
        <v>152.1</v>
      </c>
      <c r="E76" s="56">
        <v>6.5049999999999999</v>
      </c>
      <c r="F76" s="57">
        <f t="shared" si="4"/>
        <v>6.5049999999999999</v>
      </c>
      <c r="G76" s="247">
        <f t="shared" si="9"/>
        <v>989.41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0">
      <c r="A77" s="706"/>
      <c r="B77" s="192" t="s">
        <v>173</v>
      </c>
      <c r="C77" s="48" t="s">
        <v>27</v>
      </c>
      <c r="D77" s="296">
        <v>513.54</v>
      </c>
      <c r="E77" s="41">
        <f>6.505-6.8021</f>
        <v>-0.29710000000000036</v>
      </c>
      <c r="F77" s="41">
        <f t="shared" si="4"/>
        <v>-0.29710000000000036</v>
      </c>
      <c r="G77" s="235">
        <f>ROUND(D77*E77,2)</f>
        <v>-152.57</v>
      </c>
      <c r="H77" s="270"/>
      <c r="I77" s="41"/>
      <c r="J77" s="41"/>
      <c r="K77" s="271"/>
      <c r="L77" s="294">
        <f>SUM(G77:G79)</f>
        <v>2937.5</v>
      </c>
      <c r="M77" s="227">
        <v>2937.5</v>
      </c>
      <c r="N77" s="274"/>
      <c r="O77" s="237"/>
      <c r="P77" s="275"/>
      <c r="Q77" s="237"/>
      <c r="R77" s="242"/>
      <c r="S77" s="266"/>
      <c r="T77" s="266"/>
    </row>
    <row r="78" spans="1:20" ht="15.75">
      <c r="A78" s="706"/>
      <c r="B78" s="192"/>
      <c r="C78" s="48" t="s">
        <v>28</v>
      </c>
      <c r="D78" s="269">
        <v>5.03</v>
      </c>
      <c r="E78" s="41">
        <v>6.5049999999999999</v>
      </c>
      <c r="F78" s="41">
        <f t="shared" si="4"/>
        <v>6.5049999999999999</v>
      </c>
      <c r="G78" s="235">
        <f>ROUND(D78*E78,2)</f>
        <v>32.72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55"/>
      <c r="B79" s="857"/>
      <c r="C79" s="99" t="s">
        <v>29</v>
      </c>
      <c r="D79" s="279">
        <v>470</v>
      </c>
      <c r="E79" s="56">
        <v>6.5049999999999999</v>
      </c>
      <c r="F79" s="57">
        <f t="shared" si="4"/>
        <v>6.5049999999999999</v>
      </c>
      <c r="G79" s="247">
        <f>ROUND(D79*E79,2)</f>
        <v>3057.35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>
      <c r="A80" s="706"/>
      <c r="B80" s="192" t="s">
        <v>174</v>
      </c>
      <c r="C80" s="48" t="s">
        <v>27</v>
      </c>
      <c r="D80" s="296">
        <v>310.69</v>
      </c>
      <c r="E80" s="41">
        <f>6.505-6.8021</f>
        <v>-0.29710000000000036</v>
      </c>
      <c r="F80" s="41">
        <f t="shared" si="4"/>
        <v>-0.29710000000000036</v>
      </c>
      <c r="G80" s="235">
        <f>ROUND(D80*E80,2)-0.01</f>
        <v>-92.320000000000007</v>
      </c>
      <c r="H80" s="270"/>
      <c r="I80" s="41"/>
      <c r="J80" s="41"/>
      <c r="K80" s="271"/>
      <c r="L80" s="294">
        <f>SUM(G80:G82)</f>
        <v>916.22</v>
      </c>
      <c r="M80" s="227">
        <v>916.22</v>
      </c>
      <c r="N80" s="274"/>
      <c r="O80" s="237"/>
      <c r="P80" s="275"/>
      <c r="Q80" s="237"/>
      <c r="R80" s="242"/>
      <c r="S80" s="266"/>
      <c r="T80" s="266"/>
    </row>
    <row r="81" spans="1:21" ht="15.75">
      <c r="A81" s="706"/>
      <c r="B81" s="192"/>
      <c r="C81" s="48" t="s">
        <v>28</v>
      </c>
      <c r="D81" s="269">
        <v>1.64</v>
      </c>
      <c r="E81" s="41">
        <v>6.5049999999999999</v>
      </c>
      <c r="F81" s="41">
        <f t="shared" si="4"/>
        <v>6.5049999999999999</v>
      </c>
      <c r="G81" s="235">
        <f t="shared" ref="G81:G88" si="10">ROUND(D81*E81,2)</f>
        <v>10.67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1" ht="16.5" thickBot="1">
      <c r="A82" s="706"/>
      <c r="B82" s="192"/>
      <c r="C82" s="99" t="s">
        <v>29</v>
      </c>
      <c r="D82" s="279">
        <v>153.4</v>
      </c>
      <c r="E82" s="56">
        <v>6.5049999999999999</v>
      </c>
      <c r="F82" s="57">
        <f t="shared" si="4"/>
        <v>6.5049999999999999</v>
      </c>
      <c r="G82" s="247">
        <f t="shared" si="10"/>
        <v>997.87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1">
      <c r="A83" s="706"/>
      <c r="B83" s="192" t="s">
        <v>178</v>
      </c>
      <c r="C83" s="48" t="s">
        <v>27</v>
      </c>
      <c r="D83" s="296">
        <v>176.39</v>
      </c>
      <c r="E83" s="41">
        <f>6.505-6.8021</f>
        <v>-0.29710000000000036</v>
      </c>
      <c r="F83" s="41">
        <f t="shared" si="4"/>
        <v>-0.29710000000000036</v>
      </c>
      <c r="G83" s="235">
        <f>ROUND(D83*E83,2)</f>
        <v>-52.41</v>
      </c>
      <c r="H83" s="270"/>
      <c r="I83" s="41"/>
      <c r="J83" s="41"/>
      <c r="K83" s="271"/>
      <c r="L83" s="294">
        <f>SUM(G83:G85)</f>
        <v>1104.7</v>
      </c>
      <c r="M83" s="227">
        <v>1104.7</v>
      </c>
      <c r="N83" s="274"/>
      <c r="O83" s="237"/>
      <c r="P83" s="275"/>
      <c r="Q83" s="237"/>
      <c r="R83" s="242"/>
      <c r="S83" s="266"/>
      <c r="T83" s="266"/>
    </row>
    <row r="84" spans="1:21" ht="15.75">
      <c r="A84" s="706"/>
      <c r="B84" s="192"/>
      <c r="C84" s="48" t="s">
        <v>28</v>
      </c>
      <c r="D84" s="269">
        <v>1.88</v>
      </c>
      <c r="E84" s="41">
        <v>6.5049999999999999</v>
      </c>
      <c r="F84" s="41">
        <f t="shared" si="4"/>
        <v>6.5049999999999999</v>
      </c>
      <c r="G84" s="235">
        <f t="shared" si="10"/>
        <v>12.23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1" ht="16.5" thickBot="1">
      <c r="A85" s="706"/>
      <c r="B85" s="192"/>
      <c r="C85" s="99" t="s">
        <v>29</v>
      </c>
      <c r="D85" s="279">
        <v>176</v>
      </c>
      <c r="E85" s="56">
        <v>6.5049999999999999</v>
      </c>
      <c r="F85" s="57">
        <f t="shared" si="4"/>
        <v>6.5049999999999999</v>
      </c>
      <c r="G85" s="247">
        <f t="shared" si="10"/>
        <v>1144.8800000000001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1">
      <c r="A86" s="706"/>
      <c r="B86" s="192" t="s">
        <v>179</v>
      </c>
      <c r="C86" s="48" t="s">
        <v>27</v>
      </c>
      <c r="D86" s="296">
        <v>22.03</v>
      </c>
      <c r="E86" s="41">
        <f>6.505-6.8021</f>
        <v>-0.29710000000000036</v>
      </c>
      <c r="F86" s="41">
        <f t="shared" si="4"/>
        <v>-0.29710000000000036</v>
      </c>
      <c r="G86" s="235">
        <f t="shared" si="10"/>
        <v>-6.55</v>
      </c>
      <c r="H86" s="270"/>
      <c r="I86" s="41"/>
      <c r="J86" s="41"/>
      <c r="K86" s="271"/>
      <c r="L86" s="294">
        <f>SUM(G86:G88)</f>
        <v>86.800000000000011</v>
      </c>
      <c r="M86" s="227">
        <v>86.8</v>
      </c>
      <c r="N86" s="274"/>
      <c r="O86" s="237"/>
      <c r="P86" s="275"/>
      <c r="Q86" s="237"/>
      <c r="R86" s="242"/>
      <c r="S86" s="266"/>
      <c r="T86" s="266"/>
    </row>
    <row r="87" spans="1:21" ht="15.75">
      <c r="A87" s="706"/>
      <c r="B87" s="192"/>
      <c r="C87" s="48" t="s">
        <v>28</v>
      </c>
      <c r="D87" s="269">
        <v>0.15</v>
      </c>
      <c r="E87" s="41">
        <v>6.5049999999999999</v>
      </c>
      <c r="F87" s="41">
        <f t="shared" si="4"/>
        <v>6.5049999999999999</v>
      </c>
      <c r="G87" s="235">
        <f t="shared" si="10"/>
        <v>0.98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1" ht="16.5" thickBot="1">
      <c r="A88" s="706"/>
      <c r="B88" s="192"/>
      <c r="C88" s="99" t="s">
        <v>29</v>
      </c>
      <c r="D88" s="279">
        <v>14.2</v>
      </c>
      <c r="E88" s="56">
        <v>6.5049999999999999</v>
      </c>
      <c r="F88" s="57">
        <f t="shared" si="4"/>
        <v>6.5049999999999999</v>
      </c>
      <c r="G88" s="247">
        <f t="shared" si="10"/>
        <v>92.37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1">
      <c r="A89" s="339"/>
      <c r="B89" s="871" t="s">
        <v>189</v>
      </c>
      <c r="C89" s="71">
        <v>0</v>
      </c>
      <c r="D89" s="213">
        <v>25</v>
      </c>
      <c r="E89" s="21">
        <v>36.214199999999998</v>
      </c>
      <c r="F89" s="21">
        <v>42.4328</v>
      </c>
      <c r="G89" s="214">
        <f>ROUND(D89*(E89+F89),2)</f>
        <v>1966.18</v>
      </c>
      <c r="H89" s="213"/>
      <c r="J89" s="215"/>
      <c r="K89" s="679"/>
      <c r="L89" s="216">
        <f>SUM(G89:G96)+SUM(J89:J96)</f>
        <v>7255.08</v>
      </c>
      <c r="M89" s="187">
        <v>7255.08</v>
      </c>
      <c r="N89" s="188"/>
      <c r="O89" s="217"/>
      <c r="P89" s="218"/>
      <c r="Q89" s="219"/>
      <c r="R89" s="220"/>
      <c r="S89" s="221"/>
      <c r="T89" s="222"/>
      <c r="U89" s="33"/>
    </row>
    <row r="90" spans="1:21" ht="15.75" thickBot="1">
      <c r="A90" s="353"/>
      <c r="B90" s="872"/>
      <c r="C90" s="84" t="s">
        <v>26</v>
      </c>
      <c r="D90" s="37"/>
      <c r="E90" s="38"/>
      <c r="F90" s="38"/>
      <c r="G90" s="39">
        <f>ROUND(D90*(E90+F90),2)</f>
        <v>0</v>
      </c>
      <c r="H90" s="225"/>
      <c r="I90" s="194"/>
      <c r="J90" s="194"/>
      <c r="K90" s="226"/>
      <c r="L90" s="196"/>
      <c r="M90" s="227"/>
      <c r="N90" s="228"/>
      <c r="O90" s="229"/>
      <c r="P90" s="230"/>
      <c r="Q90" s="231"/>
      <c r="R90" s="232"/>
      <c r="S90" s="233"/>
      <c r="T90" s="224"/>
      <c r="U90" s="33"/>
    </row>
    <row r="91" spans="1:21">
      <c r="A91" s="353"/>
      <c r="B91" s="873" t="s">
        <v>32</v>
      </c>
      <c r="C91" s="99" t="s">
        <v>33</v>
      </c>
      <c r="D91" s="234">
        <v>19.100000000000001</v>
      </c>
      <c r="E91" s="101">
        <v>176.95</v>
      </c>
      <c r="F91" s="21">
        <v>42.4328</v>
      </c>
      <c r="G91" s="235">
        <f>ROUND(D91*(E91+F91),2)</f>
        <v>4190.21</v>
      </c>
      <c r="H91" s="234"/>
      <c r="I91" s="194"/>
      <c r="J91" s="194"/>
      <c r="K91" s="195"/>
      <c r="L91" s="196"/>
      <c r="M91" s="227"/>
      <c r="N91" s="236"/>
      <c r="O91" s="237"/>
      <c r="P91" s="230"/>
      <c r="Q91" s="238"/>
      <c r="R91" s="232"/>
      <c r="S91" s="233"/>
      <c r="T91" s="224"/>
    </row>
    <row r="92" spans="1:21">
      <c r="A92" s="353"/>
      <c r="B92" s="872" t="s">
        <v>33</v>
      </c>
      <c r="C92" s="239" t="s">
        <v>26</v>
      </c>
      <c r="D92" s="234"/>
      <c r="E92" s="240">
        <f>176.95-160.6</f>
        <v>16.349999999999994</v>
      </c>
      <c r="F92" s="240">
        <v>0</v>
      </c>
      <c r="G92" s="235">
        <f>+ROUND(D92*E92,2)</f>
        <v>0</v>
      </c>
      <c r="H92" s="241"/>
      <c r="I92" s="194"/>
      <c r="J92" s="194"/>
      <c r="K92" s="195"/>
      <c r="L92" s="196"/>
      <c r="M92" s="227"/>
      <c r="N92" s="236"/>
      <c r="O92" s="237"/>
      <c r="P92" s="230"/>
      <c r="Q92" s="238"/>
      <c r="R92" s="242"/>
      <c r="S92" s="233"/>
      <c r="T92" s="224"/>
    </row>
    <row r="93" spans="1:21">
      <c r="A93" s="353"/>
      <c r="B93" s="872"/>
      <c r="C93" s="239" t="s">
        <v>26</v>
      </c>
      <c r="D93" s="234"/>
      <c r="E93" s="240"/>
      <c r="F93" s="41"/>
      <c r="G93" s="235">
        <f>+ROUND(D93*F93,2)</f>
        <v>0</v>
      </c>
      <c r="H93" s="241"/>
      <c r="I93" s="194"/>
      <c r="J93" s="194"/>
      <c r="K93" s="195"/>
      <c r="L93" s="196"/>
      <c r="M93" s="227"/>
      <c r="N93" s="236"/>
      <c r="O93" s="237"/>
      <c r="P93" s="230"/>
      <c r="Q93" s="238"/>
      <c r="R93" s="242"/>
      <c r="S93" s="233"/>
      <c r="T93" s="224"/>
    </row>
    <row r="94" spans="1:21">
      <c r="A94" s="353"/>
      <c r="B94" s="872"/>
      <c r="C94" s="48" t="s">
        <v>27</v>
      </c>
      <c r="D94" s="49"/>
      <c r="E94" s="41">
        <f>6.505-6.8021</f>
        <v>-0.29710000000000036</v>
      </c>
      <c r="F94" s="41">
        <f t="shared" ref="F94:F96" si="11">+E94</f>
        <v>-0.29710000000000036</v>
      </c>
      <c r="G94" s="50">
        <f>ROUND(D94*E94,2)</f>
        <v>0</v>
      </c>
      <c r="H94" s="241"/>
      <c r="I94" s="194"/>
      <c r="J94" s="194"/>
      <c r="K94" s="195"/>
      <c r="L94" s="196"/>
      <c r="M94" s="227"/>
      <c r="N94" s="236"/>
      <c r="O94" s="237"/>
      <c r="P94" s="230"/>
      <c r="Q94" s="238"/>
      <c r="R94" s="242"/>
      <c r="S94" s="233"/>
      <c r="T94" s="224"/>
    </row>
    <row r="95" spans="1:21">
      <c r="A95" s="353"/>
      <c r="B95" s="872"/>
      <c r="C95" s="48" t="s">
        <v>28</v>
      </c>
      <c r="D95" s="49">
        <v>1.8</v>
      </c>
      <c r="E95" s="41">
        <v>6.5049999999999999</v>
      </c>
      <c r="F95" s="41">
        <f t="shared" si="11"/>
        <v>6.5049999999999999</v>
      </c>
      <c r="G95" s="50">
        <f>ROUND(D95*E95,2)-0.01</f>
        <v>11.700000000000001</v>
      </c>
      <c r="H95" s="241"/>
      <c r="I95" s="194"/>
      <c r="J95" s="243"/>
      <c r="K95" s="195"/>
      <c r="L95" s="196"/>
      <c r="M95" s="227"/>
      <c r="N95" s="236"/>
      <c r="O95" s="237"/>
      <c r="P95" s="230"/>
      <c r="Q95" s="238"/>
      <c r="R95" s="242"/>
      <c r="S95" s="233"/>
      <c r="T95" s="224"/>
      <c r="U95" s="33"/>
    </row>
    <row r="96" spans="1:21" ht="15.75" thickBot="1">
      <c r="A96" s="874"/>
      <c r="B96" s="875"/>
      <c r="C96" s="99" t="s">
        <v>29</v>
      </c>
      <c r="D96" s="246">
        <v>167.1</v>
      </c>
      <c r="E96" s="56">
        <v>6.5049999999999999</v>
      </c>
      <c r="F96" s="57">
        <f t="shared" si="11"/>
        <v>6.5049999999999999</v>
      </c>
      <c r="G96" s="247">
        <f>ROUND(D96*E96*70%+D96*F96*30%,2)</f>
        <v>1086.99</v>
      </c>
      <c r="H96" s="248"/>
      <c r="I96" s="203"/>
      <c r="J96" s="60"/>
      <c r="K96" s="61"/>
      <c r="L96" s="249"/>
      <c r="M96" s="250"/>
      <c r="N96" s="251"/>
      <c r="O96" s="252"/>
      <c r="P96" s="253"/>
      <c r="Q96" s="254"/>
      <c r="R96" s="255"/>
      <c r="S96" s="256"/>
      <c r="T96" s="256"/>
    </row>
    <row r="97" spans="1:21" ht="16.5" thickTop="1">
      <c r="A97" s="320"/>
      <c r="B97" s="321"/>
      <c r="C97" s="322"/>
      <c r="D97" s="323"/>
      <c r="E97" s="163"/>
      <c r="F97" s="324"/>
      <c r="G97" s="325"/>
      <c r="H97" s="163"/>
      <c r="I97" s="163"/>
      <c r="J97" s="163"/>
      <c r="K97" s="163"/>
      <c r="L97" s="163"/>
      <c r="M97" s="326"/>
      <c r="N97" s="327"/>
      <c r="O97" s="328"/>
      <c r="P97" s="329"/>
      <c r="Q97" s="328"/>
      <c r="R97" s="330"/>
      <c r="S97" s="331"/>
      <c r="T97" s="266"/>
    </row>
    <row r="98" spans="1:21" ht="21.75" thickBot="1">
      <c r="A98" s="171" t="s">
        <v>60</v>
      </c>
      <c r="B98" s="2"/>
      <c r="C98" s="3"/>
      <c r="D98" s="2"/>
      <c r="E98" s="2"/>
      <c r="F98" s="2"/>
      <c r="G98" s="332"/>
      <c r="H98" s="332"/>
      <c r="I98" s="332"/>
      <c r="J98" s="2"/>
      <c r="K98" s="2"/>
      <c r="L98" s="2"/>
      <c r="M98" s="3"/>
      <c r="N98" s="2"/>
      <c r="O98" s="2"/>
      <c r="P98" s="2"/>
      <c r="Q98" s="2"/>
      <c r="R98" s="2"/>
      <c r="S98" s="2"/>
    </row>
    <row r="99" spans="1:21" ht="15" customHeight="1" thickTop="1">
      <c r="A99" s="1553" t="s">
        <v>1</v>
      </c>
      <c r="B99" s="1516" t="s">
        <v>2</v>
      </c>
      <c r="C99" s="1518" t="s">
        <v>3</v>
      </c>
      <c r="D99" s="1532" t="s">
        <v>4</v>
      </c>
      <c r="E99" s="1532"/>
      <c r="F99" s="1532"/>
      <c r="G99" s="1532"/>
      <c r="H99" s="1533" t="s">
        <v>5</v>
      </c>
      <c r="I99" s="1534"/>
      <c r="J99" s="1534"/>
      <c r="K99" s="1534"/>
      <c r="L99" s="1524" t="s">
        <v>6</v>
      </c>
      <c r="M99" s="1537" t="s">
        <v>7</v>
      </c>
      <c r="N99" s="1538" t="s">
        <v>8</v>
      </c>
      <c r="O99" s="1538"/>
      <c r="P99" s="1538"/>
      <c r="Q99" s="1539"/>
      <c r="R99" s="5"/>
      <c r="S99" s="5"/>
      <c r="T99" s="5" t="s">
        <v>61</v>
      </c>
      <c r="U99" t="s">
        <v>21</v>
      </c>
    </row>
    <row r="100" spans="1:21" ht="27" customHeight="1" thickBot="1">
      <c r="A100" s="1531"/>
      <c r="B100" s="1517"/>
      <c r="C100" s="1519" t="s">
        <v>10</v>
      </c>
      <c r="D100" s="333" t="s">
        <v>11</v>
      </c>
      <c r="E100" s="7" t="s">
        <v>12</v>
      </c>
      <c r="F100" s="7" t="s">
        <v>13</v>
      </c>
      <c r="G100" s="334" t="s">
        <v>14</v>
      </c>
      <c r="H100" s="335" t="s">
        <v>11</v>
      </c>
      <c r="I100" s="333" t="s">
        <v>15</v>
      </c>
      <c r="J100" s="336" t="s">
        <v>14</v>
      </c>
      <c r="K100" s="11" t="s">
        <v>16</v>
      </c>
      <c r="L100" s="1525"/>
      <c r="M100" s="1511"/>
      <c r="N100" s="337" t="s">
        <v>62</v>
      </c>
      <c r="O100" s="338" t="s">
        <v>44</v>
      </c>
      <c r="P100" s="13" t="s">
        <v>18</v>
      </c>
      <c r="Q100" s="14" t="s">
        <v>19</v>
      </c>
    </row>
    <row r="101" spans="1:21" ht="14.25" customHeight="1">
      <c r="A101" s="339" t="s">
        <v>63</v>
      </c>
      <c r="B101" s="18" t="s">
        <v>64</v>
      </c>
      <c r="C101" s="71"/>
      <c r="D101" s="340">
        <v>66</v>
      </c>
      <c r="E101" s="21">
        <v>36.214199999999998</v>
      </c>
      <c r="F101" s="21">
        <v>42.4328</v>
      </c>
      <c r="G101" s="185">
        <f>ROUND(D101*(E101+F101),2)</f>
        <v>5190.7</v>
      </c>
      <c r="H101" s="184"/>
      <c r="I101" s="23"/>
      <c r="J101" s="341"/>
      <c r="K101" s="342"/>
      <c r="L101" s="343">
        <f>SUM(G101:G106,J101:J105)</f>
        <v>281167.16000000003</v>
      </c>
      <c r="M101" s="344">
        <v>281167.15999999997</v>
      </c>
      <c r="N101" s="345"/>
      <c r="O101" s="346">
        <v>7157.88</v>
      </c>
      <c r="P101" s="347" t="s">
        <v>24</v>
      </c>
      <c r="Q101" s="348">
        <f t="shared" ref="Q101:Q107" si="12">C101+G101+J101-M101-N101-O101</f>
        <v>-283134.33999999997</v>
      </c>
      <c r="R101" s="349" t="s">
        <v>65</v>
      </c>
      <c r="S101" s="350" t="s">
        <v>20</v>
      </c>
      <c r="T101" s="351" t="s">
        <v>21</v>
      </c>
      <c r="U101" s="352">
        <f>+L101-M101+C101</f>
        <v>5.8207660913467407E-11</v>
      </c>
    </row>
    <row r="102" spans="1:21" ht="14.25" customHeight="1">
      <c r="A102" s="353"/>
      <c r="B102" s="35"/>
      <c r="C102" s="84" t="s">
        <v>26</v>
      </c>
      <c r="D102" s="37"/>
      <c r="E102" s="38"/>
      <c r="F102" s="38"/>
      <c r="G102" s="39">
        <f>ROUND(D102*(E102+F102),2)</f>
        <v>0</v>
      </c>
      <c r="H102" s="49"/>
      <c r="I102" s="271"/>
      <c r="J102" s="101"/>
      <c r="K102" s="354"/>
      <c r="L102" s="355"/>
      <c r="M102" s="356"/>
      <c r="N102" s="357"/>
      <c r="O102" s="358"/>
      <c r="P102" s="359"/>
      <c r="Q102" s="360"/>
      <c r="R102" s="349"/>
      <c r="S102" s="350"/>
      <c r="T102" s="351"/>
      <c r="U102" s="352"/>
    </row>
    <row r="103" spans="1:21">
      <c r="A103" s="353"/>
      <c r="B103" s="35"/>
      <c r="C103" s="48"/>
      <c r="D103" s="49"/>
      <c r="E103" s="41">
        <f>4.4128-4.4153</f>
        <v>-2.5000000000003908E-3</v>
      </c>
      <c r="F103" s="41">
        <f>+E103</f>
        <v>-2.5000000000003908E-3</v>
      </c>
      <c r="G103" s="50">
        <f>ROUND(D103*E103*70%+D103*F103*30%,2)</f>
        <v>0</v>
      </c>
      <c r="H103" s="49"/>
      <c r="I103" s="271"/>
      <c r="J103" s="41"/>
      <c r="K103" s="354"/>
      <c r="L103" s="355"/>
      <c r="M103" s="356"/>
      <c r="N103" s="357"/>
      <c r="O103" s="358"/>
      <c r="P103" s="359"/>
      <c r="Q103" s="360"/>
      <c r="R103" s="349"/>
      <c r="S103" s="350"/>
      <c r="T103" s="351"/>
      <c r="U103" s="352"/>
    </row>
    <row r="104" spans="1:21">
      <c r="A104" s="353"/>
      <c r="B104" s="35"/>
      <c r="C104" s="48" t="s">
        <v>27</v>
      </c>
      <c r="D104" s="49">
        <v>0</v>
      </c>
      <c r="E104" s="41">
        <f>7.0379-7.0426</f>
        <v>-4.7000000000005926E-3</v>
      </c>
      <c r="F104" s="38">
        <f>+E104</f>
        <v>-4.7000000000005926E-3</v>
      </c>
      <c r="G104" s="50">
        <f>ROUND(+D104*E104,2)</f>
        <v>0</v>
      </c>
      <c r="H104" s="49"/>
      <c r="I104" s="271"/>
      <c r="J104" s="41"/>
      <c r="K104" s="354"/>
      <c r="L104" s="355"/>
      <c r="M104" s="356"/>
      <c r="N104" s="357"/>
      <c r="O104" s="358"/>
      <c r="P104" s="359"/>
      <c r="Q104" s="360"/>
      <c r="R104" s="349"/>
      <c r="S104" s="350"/>
      <c r="T104" s="351"/>
      <c r="U104" s="352"/>
    </row>
    <row r="105" spans="1:21">
      <c r="A105" s="353"/>
      <c r="B105" s="35"/>
      <c r="C105" s="48" t="s">
        <v>28</v>
      </c>
      <c r="D105" s="49">
        <f>64+23+10</f>
        <v>97</v>
      </c>
      <c r="E105" s="41">
        <v>6.8415999999999997</v>
      </c>
      <c r="F105" s="41">
        <f>+E105</f>
        <v>6.8415999999999997</v>
      </c>
      <c r="G105" s="50">
        <f>ROUND(D105*E105,2)-0.01</f>
        <v>663.63</v>
      </c>
      <c r="H105" s="361"/>
      <c r="I105" s="362"/>
      <c r="J105" s="207"/>
      <c r="K105" s="363"/>
      <c r="L105" s="364"/>
      <c r="M105" s="365"/>
      <c r="N105" s="366"/>
      <c r="O105" s="367"/>
      <c r="P105" s="368"/>
      <c r="Q105" s="360"/>
      <c r="R105" s="349"/>
      <c r="S105" s="350"/>
      <c r="T105" s="351"/>
      <c r="U105" s="352"/>
    </row>
    <row r="106" spans="1:21" ht="15.75" thickBot="1">
      <c r="A106" s="369"/>
      <c r="B106" s="53" t="s">
        <v>66</v>
      </c>
      <c r="C106" s="99" t="s">
        <v>29</v>
      </c>
      <c r="D106" s="55">
        <v>40241</v>
      </c>
      <c r="E106" s="56">
        <v>6.8415999999999997</v>
      </c>
      <c r="F106" s="370">
        <f>+E106</f>
        <v>6.8415999999999997</v>
      </c>
      <c r="G106" s="58">
        <f>ROUND(D106*E106,2)</f>
        <v>275312.83</v>
      </c>
      <c r="H106" s="248"/>
      <c r="I106" s="203"/>
      <c r="J106" s="60"/>
      <c r="K106" s="203"/>
      <c r="L106" s="204"/>
      <c r="M106" s="371"/>
      <c r="N106" s="372"/>
      <c r="O106" s="373">
        <v>165882.5</v>
      </c>
      <c r="P106" s="374" t="s">
        <v>24</v>
      </c>
      <c r="Q106" s="373">
        <f>G106+J106-M106-N106-O106</f>
        <v>109430.33000000002</v>
      </c>
      <c r="R106" s="349" t="s">
        <v>65</v>
      </c>
      <c r="S106" s="375">
        <f>SUM(O101:O106)</f>
        <v>173040.38</v>
      </c>
      <c r="T106" s="375">
        <f>SUM(Q101:Q106)</f>
        <v>-173704.00999999995</v>
      </c>
    </row>
    <row r="107" spans="1:21" s="81" customFormat="1" ht="15" customHeight="1" thickBot="1">
      <c r="A107" s="376">
        <v>301</v>
      </c>
      <c r="B107" s="70" t="s">
        <v>67</v>
      </c>
      <c r="C107" s="377"/>
      <c r="D107" s="378">
        <v>586</v>
      </c>
      <c r="E107" s="21">
        <v>36.214199999999998</v>
      </c>
      <c r="F107" s="21">
        <v>42.4328</v>
      </c>
      <c r="G107" s="379">
        <f>ROUND(D107*(E107+F107),2)</f>
        <v>46087.14</v>
      </c>
      <c r="H107" s="380"/>
      <c r="I107" s="381"/>
      <c r="J107" s="381"/>
      <c r="K107" s="342"/>
      <c r="L107" s="382">
        <f>+SUM(G107:G116,J107:J115)</f>
        <v>172064.03</v>
      </c>
      <c r="M107" s="26">
        <v>172064.03</v>
      </c>
      <c r="N107" s="383"/>
      <c r="O107" s="77"/>
      <c r="P107" s="77" t="s">
        <v>68</v>
      </c>
      <c r="Q107" s="384">
        <f t="shared" si="12"/>
        <v>-125976.89</v>
      </c>
      <c r="R107" s="385" t="s">
        <v>69</v>
      </c>
      <c r="S107" s="386"/>
      <c r="T107" s="387"/>
      <c r="U107" s="388"/>
    </row>
    <row r="108" spans="1:21" s="81" customFormat="1" ht="12.75">
      <c r="A108" s="389"/>
      <c r="B108" s="83"/>
      <c r="C108" s="390" t="s">
        <v>26</v>
      </c>
      <c r="D108" s="37"/>
      <c r="E108" s="38"/>
      <c r="F108" s="38"/>
      <c r="G108" s="39">
        <f>ROUND(D108*(E108+F108),2)</f>
        <v>0</v>
      </c>
      <c r="H108" s="391"/>
      <c r="I108" s="392"/>
      <c r="J108" s="381"/>
      <c r="K108" s="393"/>
      <c r="L108" s="394"/>
      <c r="M108" s="90"/>
      <c r="N108" s="395"/>
      <c r="O108" s="94"/>
      <c r="P108" s="94"/>
      <c r="Q108" s="396"/>
      <c r="R108" s="397"/>
      <c r="S108" s="398"/>
      <c r="T108" s="399"/>
    </row>
    <row r="109" spans="1:21" s="81" customFormat="1" ht="12.75">
      <c r="A109" s="389"/>
      <c r="B109" s="98" t="s">
        <v>32</v>
      </c>
      <c r="C109" s="99" t="s">
        <v>33</v>
      </c>
      <c r="D109" s="37">
        <v>111</v>
      </c>
      <c r="E109" s="101">
        <v>304.86</v>
      </c>
      <c r="F109" s="38">
        <v>42.4328</v>
      </c>
      <c r="G109" s="400">
        <f>ROUND(D109*(E109+F109),2)</f>
        <v>38549.5</v>
      </c>
      <c r="H109" s="401"/>
      <c r="I109" s="402"/>
      <c r="J109" s="402"/>
      <c r="K109" s="403"/>
      <c r="L109" s="404"/>
      <c r="M109" s="102"/>
      <c r="N109" s="405"/>
      <c r="O109" s="406"/>
      <c r="P109" s="406" t="s">
        <v>68</v>
      </c>
      <c r="Q109" s="407">
        <f>+G109+J109-M109-N109-O109</f>
        <v>38549.5</v>
      </c>
      <c r="R109" s="397" t="s">
        <v>69</v>
      </c>
      <c r="S109" s="398"/>
      <c r="T109" s="399"/>
    </row>
    <row r="110" spans="1:21" s="81" customFormat="1" ht="15" customHeight="1">
      <c r="A110" s="389"/>
      <c r="B110" s="98"/>
      <c r="C110" s="84"/>
      <c r="D110" s="37"/>
      <c r="E110" s="41"/>
      <c r="F110" s="38"/>
      <c r="G110" s="400">
        <f>+D110*(E110+F110)</f>
        <v>0</v>
      </c>
      <c r="H110" s="401"/>
      <c r="I110" s="402"/>
      <c r="J110" s="402"/>
      <c r="K110" s="408"/>
      <c r="L110" s="404"/>
      <c r="M110" s="102"/>
      <c r="N110" s="405"/>
      <c r="O110" s="406"/>
      <c r="P110" s="406"/>
      <c r="Q110" s="407"/>
      <c r="R110" s="397"/>
      <c r="S110" s="398"/>
      <c r="T110" s="399"/>
    </row>
    <row r="111" spans="1:21" s="81" customFormat="1" ht="15" customHeight="1">
      <c r="A111" s="389"/>
      <c r="B111" s="83"/>
      <c r="C111" s="84"/>
      <c r="D111" s="37"/>
      <c r="E111" s="41"/>
      <c r="F111" s="38"/>
      <c r="G111" s="400"/>
      <c r="H111" s="401"/>
      <c r="I111" s="402"/>
      <c r="J111" s="402"/>
      <c r="K111" s="408"/>
      <c r="L111" s="404"/>
      <c r="M111" s="102"/>
      <c r="N111" s="405"/>
      <c r="O111" s="406"/>
      <c r="P111" s="406"/>
      <c r="Q111" s="407"/>
      <c r="R111" s="397"/>
      <c r="S111" s="398"/>
      <c r="T111" s="399"/>
    </row>
    <row r="112" spans="1:21" s="81" customFormat="1" ht="15" customHeight="1">
      <c r="A112" s="389"/>
      <c r="B112" s="83" t="s">
        <v>70</v>
      </c>
      <c r="C112" s="84"/>
      <c r="D112" s="37"/>
      <c r="E112" s="41"/>
      <c r="F112" s="38"/>
      <c r="G112" s="400"/>
      <c r="H112" s="401"/>
      <c r="I112" s="402"/>
      <c r="J112" s="402"/>
      <c r="K112" s="408"/>
      <c r="L112" s="404"/>
      <c r="M112" s="102"/>
      <c r="N112" s="405"/>
      <c r="O112" s="406"/>
      <c r="P112" s="406"/>
      <c r="Q112" s="407"/>
      <c r="R112" s="397"/>
      <c r="S112" s="398"/>
      <c r="T112" s="399"/>
    </row>
    <row r="113" spans="1:20" s="81" customFormat="1" ht="15" customHeight="1">
      <c r="A113" s="389"/>
      <c r="B113" s="83"/>
      <c r="C113" s="48"/>
      <c r="D113" s="37"/>
      <c r="E113" s="41">
        <f>4.4128-4.4153</f>
        <v>-2.5000000000003908E-3</v>
      </c>
      <c r="F113" s="38"/>
      <c r="G113" s="39">
        <f>ROUND(D113*(E113+F113),2)</f>
        <v>0</v>
      </c>
      <c r="H113" s="37"/>
      <c r="I113" s="409"/>
      <c r="J113" s="409"/>
      <c r="K113" s="408"/>
      <c r="L113" s="404"/>
      <c r="M113" s="102"/>
      <c r="N113" s="405"/>
      <c r="O113" s="406"/>
      <c r="P113" s="406"/>
      <c r="Q113" s="407"/>
      <c r="R113" s="397"/>
      <c r="S113" s="398"/>
      <c r="T113" s="399"/>
    </row>
    <row r="114" spans="1:20" s="81" customFormat="1" ht="15" customHeight="1">
      <c r="A114" s="389"/>
      <c r="B114" s="83"/>
      <c r="C114" s="48" t="s">
        <v>27</v>
      </c>
      <c r="D114" s="37">
        <f>11026+729</f>
        <v>11755</v>
      </c>
      <c r="E114" s="41">
        <f>6.7432-7.0379</f>
        <v>-0.29469999999999974</v>
      </c>
      <c r="F114" s="38">
        <f>+E114</f>
        <v>-0.29469999999999974</v>
      </c>
      <c r="G114" s="39">
        <f>ROUND(D114*E114,2)</f>
        <v>-3464.2</v>
      </c>
      <c r="H114" s="37"/>
      <c r="I114" s="409"/>
      <c r="J114" s="409"/>
      <c r="K114" s="408"/>
      <c r="L114" s="404"/>
      <c r="M114" s="102"/>
      <c r="N114" s="405"/>
      <c r="O114" s="406"/>
      <c r="P114" s="406"/>
      <c r="Q114" s="407"/>
      <c r="R114" s="397"/>
      <c r="S114" s="398"/>
      <c r="T114" s="399"/>
    </row>
    <row r="115" spans="1:20" s="81" customFormat="1" ht="15" customHeight="1">
      <c r="A115" s="389"/>
      <c r="B115" s="83"/>
      <c r="C115" s="48" t="s">
        <v>28</v>
      </c>
      <c r="D115" s="37">
        <v>32</v>
      </c>
      <c r="E115" s="41">
        <v>6.7431999999999999</v>
      </c>
      <c r="F115" s="41">
        <f>+E115</f>
        <v>6.7431999999999999</v>
      </c>
      <c r="G115" s="39">
        <f>ROUND(D115*E115,2)</f>
        <v>215.78</v>
      </c>
      <c r="H115" s="37"/>
      <c r="I115" s="409"/>
      <c r="J115" s="409"/>
      <c r="K115" s="410"/>
      <c r="L115" s="404"/>
      <c r="M115" s="102"/>
      <c r="N115" s="405"/>
      <c r="O115" s="406"/>
      <c r="P115" s="406"/>
      <c r="Q115" s="407"/>
      <c r="R115" s="397"/>
      <c r="S115" s="398"/>
      <c r="T115" s="399"/>
    </row>
    <row r="116" spans="1:20" s="81" customFormat="1" ht="15.75" customHeight="1" thickBot="1">
      <c r="A116" s="411"/>
      <c r="B116" s="412"/>
      <c r="C116" s="99" t="s">
        <v>29</v>
      </c>
      <c r="D116" s="413">
        <v>13447</v>
      </c>
      <c r="E116" s="56">
        <v>6.7431999999999999</v>
      </c>
      <c r="F116" s="370">
        <f>+E116</f>
        <v>6.7431999999999999</v>
      </c>
      <c r="G116" s="414">
        <f>ROUND(D116*E116,2)</f>
        <v>90675.81</v>
      </c>
      <c r="H116" s="248"/>
      <c r="I116" s="60"/>
      <c r="J116" s="60"/>
      <c r="K116" s="203"/>
      <c r="L116" s="204"/>
      <c r="M116" s="371"/>
      <c r="N116" s="415"/>
      <c r="O116" s="416"/>
      <c r="P116" s="416" t="s">
        <v>68</v>
      </c>
      <c r="Q116" s="417">
        <f>+G116+J116-M116-N116-O116</f>
        <v>90675.81</v>
      </c>
      <c r="R116" s="418" t="s">
        <v>69</v>
      </c>
      <c r="S116" s="419">
        <f>SUM(O107:O116)</f>
        <v>0</v>
      </c>
      <c r="T116" s="419">
        <f>SUM(Q107:Q116)</f>
        <v>3248.4199999999983</v>
      </c>
    </row>
    <row r="117" spans="1:20" s="81" customFormat="1" ht="15.75" customHeight="1" thickBot="1">
      <c r="A117" s="376"/>
      <c r="B117" s="420" t="s">
        <v>72</v>
      </c>
      <c r="C117" s="377" t="s">
        <v>73</v>
      </c>
      <c r="D117" s="378">
        <v>147</v>
      </c>
      <c r="E117" s="21">
        <v>36.214199999999998</v>
      </c>
      <c r="F117" s="21">
        <v>42.4328</v>
      </c>
      <c r="G117" s="22">
        <f>+D117*(E117+F117)</f>
        <v>11561.108999999999</v>
      </c>
      <c r="H117" s="303"/>
      <c r="I117" s="381"/>
      <c r="J117" s="381"/>
      <c r="K117" s="342"/>
      <c r="L117" s="263">
        <f>SUM(G117:G121,J117:J121)</f>
        <v>270328.59900000005</v>
      </c>
      <c r="M117" s="26">
        <v>270328.59999999998</v>
      </c>
      <c r="N117" s="421"/>
      <c r="O117" s="77"/>
      <c r="P117" s="77"/>
      <c r="Q117" s="384"/>
      <c r="R117" s="422"/>
      <c r="S117" s="399"/>
      <c r="T117" s="399"/>
    </row>
    <row r="118" spans="1:20" s="81" customFormat="1" ht="15.75" customHeight="1">
      <c r="A118" s="389"/>
      <c r="B118" s="83"/>
      <c r="C118" s="84" t="s">
        <v>26</v>
      </c>
      <c r="D118" s="37"/>
      <c r="E118" s="38">
        <f>32.332-28.8628</f>
        <v>3.4692000000000007</v>
      </c>
      <c r="F118" s="38">
        <f>37.8898-33.8306</f>
        <v>4.0592000000000041</v>
      </c>
      <c r="G118" s="39">
        <f>ROUND(D118*(E118+F118),2)</f>
        <v>0</v>
      </c>
      <c r="H118" s="270"/>
      <c r="I118" s="392"/>
      <c r="J118" s="381"/>
      <c r="K118" s="393"/>
      <c r="L118" s="272"/>
      <c r="M118" s="102"/>
      <c r="N118" s="423"/>
      <c r="O118" s="406"/>
      <c r="P118" s="406"/>
      <c r="Q118" s="424"/>
      <c r="R118" s="422"/>
      <c r="S118" s="399"/>
      <c r="T118" s="399"/>
    </row>
    <row r="119" spans="1:20" s="81" customFormat="1" ht="15.75" customHeight="1">
      <c r="A119" s="389"/>
      <c r="B119" s="83"/>
      <c r="C119" s="48" t="s">
        <v>27</v>
      </c>
      <c r="D119" s="37">
        <v>32959</v>
      </c>
      <c r="E119" s="41">
        <f>6.7432-7.0379</f>
        <v>-0.29469999999999974</v>
      </c>
      <c r="F119" s="38"/>
      <c r="G119" s="39">
        <f>ROUND(D119*(E119),2)+0.01</f>
        <v>-9713.01</v>
      </c>
      <c r="H119" s="270"/>
      <c r="I119" s="41"/>
      <c r="J119" s="41"/>
      <c r="K119" s="271"/>
      <c r="L119" s="272"/>
      <c r="M119" s="102"/>
      <c r="N119" s="423"/>
      <c r="O119" s="406"/>
      <c r="P119" s="406"/>
      <c r="Q119" s="424"/>
      <c r="R119" s="422"/>
      <c r="S119" s="399"/>
      <c r="T119" s="399"/>
    </row>
    <row r="120" spans="1:20" s="81" customFormat="1" ht="15.75" customHeight="1">
      <c r="A120" s="389"/>
      <c r="B120" s="83"/>
      <c r="C120" s="48" t="s">
        <v>28</v>
      </c>
      <c r="D120" s="37">
        <v>95</v>
      </c>
      <c r="E120" s="41">
        <v>6.7431999999999999</v>
      </c>
      <c r="F120" s="38"/>
      <c r="G120" s="39">
        <f>ROUND(D120*(E120),2)</f>
        <v>640.6</v>
      </c>
      <c r="H120" s="270"/>
      <c r="I120" s="41"/>
      <c r="J120" s="41"/>
      <c r="K120" s="271"/>
      <c r="L120" s="272"/>
      <c r="M120" s="102"/>
      <c r="N120" s="423"/>
      <c r="O120" s="406"/>
      <c r="P120" s="406"/>
      <c r="Q120" s="425"/>
      <c r="R120" s="422"/>
      <c r="S120" s="399"/>
      <c r="T120" s="399"/>
    </row>
    <row r="121" spans="1:20" s="81" customFormat="1" ht="15.75" customHeight="1" thickBot="1">
      <c r="A121" s="411"/>
      <c r="B121" s="412"/>
      <c r="C121" s="99" t="s">
        <v>29</v>
      </c>
      <c r="D121" s="413">
        <v>39720</v>
      </c>
      <c r="E121" s="56">
        <v>6.7431999999999999</v>
      </c>
      <c r="F121" s="281"/>
      <c r="G121" s="414">
        <f>ROUND(D121*(E121),2)</f>
        <v>267839.90000000002</v>
      </c>
      <c r="H121" s="280"/>
      <c r="I121" s="281"/>
      <c r="J121" s="281"/>
      <c r="K121" s="282"/>
      <c r="L121" s="204"/>
      <c r="M121" s="371"/>
      <c r="N121" s="426"/>
      <c r="O121" s="416"/>
      <c r="P121" s="416"/>
      <c r="Q121" s="417"/>
      <c r="R121" s="422"/>
      <c r="S121" s="399"/>
      <c r="T121" s="399"/>
    </row>
    <row r="122" spans="1:20" s="81" customFormat="1" ht="15.75" customHeight="1" thickBot="1">
      <c r="A122" s="376"/>
      <c r="B122" s="427" t="s">
        <v>74</v>
      </c>
      <c r="C122" s="377" t="s">
        <v>73</v>
      </c>
      <c r="D122" s="378">
        <v>13</v>
      </c>
      <c r="E122" s="21">
        <v>36.214199999999998</v>
      </c>
      <c r="F122" s="21">
        <v>42.4328</v>
      </c>
      <c r="G122" s="22">
        <f>ROUND(D122*(E122+F122),2)</f>
        <v>1022.41</v>
      </c>
      <c r="H122" s="303"/>
      <c r="I122" s="381"/>
      <c r="J122" s="381"/>
      <c r="K122" s="342"/>
      <c r="L122" s="263">
        <f>SUM(G122:G128,J122:J128)</f>
        <v>18596.34</v>
      </c>
      <c r="M122" s="26">
        <v>18596.34</v>
      </c>
      <c r="N122" s="421"/>
      <c r="O122" s="77"/>
      <c r="P122" s="77"/>
      <c r="Q122" s="384"/>
      <c r="R122" s="422"/>
      <c r="S122" s="399"/>
      <c r="T122" s="399"/>
    </row>
    <row r="123" spans="1:20" s="81" customFormat="1" ht="15.75" customHeight="1">
      <c r="A123" s="389"/>
      <c r="B123" s="98" t="s">
        <v>75</v>
      </c>
      <c r="C123" s="84" t="s">
        <v>26</v>
      </c>
      <c r="D123" s="37"/>
      <c r="E123" s="38"/>
      <c r="F123" s="38"/>
      <c r="G123" s="39">
        <f>ROUND(D123*(E123+F123),2)</f>
        <v>0</v>
      </c>
      <c r="H123" s="270"/>
      <c r="I123" s="392"/>
      <c r="J123" s="381"/>
      <c r="K123" s="393"/>
      <c r="L123" s="272"/>
      <c r="M123" s="102"/>
      <c r="N123" s="423"/>
      <c r="O123" s="406"/>
      <c r="P123" s="406"/>
      <c r="Q123" s="424"/>
      <c r="R123" s="422"/>
      <c r="S123" s="399"/>
      <c r="T123" s="399"/>
    </row>
    <row r="124" spans="1:20" s="81" customFormat="1" ht="15.75" customHeight="1">
      <c r="A124" s="389"/>
      <c r="B124" s="83"/>
      <c r="C124" s="99" t="s">
        <v>33</v>
      </c>
      <c r="D124" s="428">
        <v>6</v>
      </c>
      <c r="E124" s="101">
        <v>304.86</v>
      </c>
      <c r="F124" s="38">
        <v>42.43</v>
      </c>
      <c r="G124" s="39">
        <f>ROUND(D124*(E124+F124),2)</f>
        <v>2083.7399999999998</v>
      </c>
      <c r="H124" s="270"/>
      <c r="I124" s="41"/>
      <c r="J124" s="41"/>
      <c r="K124" s="271"/>
      <c r="L124" s="272"/>
      <c r="M124" s="102"/>
      <c r="N124" s="423"/>
      <c r="O124" s="406"/>
      <c r="P124" s="406"/>
      <c r="Q124" s="424"/>
      <c r="R124" s="422"/>
      <c r="S124" s="399"/>
      <c r="T124" s="399"/>
    </row>
    <row r="125" spans="1:20" s="81" customFormat="1" ht="15.75" customHeight="1">
      <c r="A125" s="389"/>
      <c r="B125" s="83"/>
      <c r="C125" s="48" t="s">
        <v>76</v>
      </c>
      <c r="D125" s="37"/>
      <c r="E125" s="41">
        <f>304.86-291.8</f>
        <v>13.060000000000002</v>
      </c>
      <c r="F125" s="38"/>
      <c r="G125" s="39">
        <f>ROUND(D125*(E125+F125),2)</f>
        <v>0</v>
      </c>
      <c r="H125" s="270"/>
      <c r="I125" s="41"/>
      <c r="J125" s="41"/>
      <c r="K125" s="271"/>
      <c r="L125" s="272"/>
      <c r="M125" s="102"/>
      <c r="N125" s="423"/>
      <c r="O125" s="406"/>
      <c r="P125" s="406"/>
      <c r="Q125" s="424"/>
      <c r="R125" s="422"/>
      <c r="S125" s="399"/>
      <c r="T125" s="399"/>
    </row>
    <row r="126" spans="1:20" s="81" customFormat="1" ht="15.75" customHeight="1">
      <c r="A126" s="389"/>
      <c r="B126" s="83"/>
      <c r="C126" s="48" t="s">
        <v>27</v>
      </c>
      <c r="D126" s="37">
        <v>2486</v>
      </c>
      <c r="E126" s="41">
        <f>6.7432-7.0379</f>
        <v>-0.29469999999999974</v>
      </c>
      <c r="F126" s="38"/>
      <c r="G126" s="39">
        <f>ROUND(D126*(E126+F126),2)+0.02</f>
        <v>-732.6</v>
      </c>
      <c r="H126" s="270"/>
      <c r="I126" s="41"/>
      <c r="J126" s="41"/>
      <c r="K126" s="271"/>
      <c r="L126" s="272"/>
      <c r="M126" s="102"/>
      <c r="N126" s="423"/>
      <c r="O126" s="406"/>
      <c r="P126" s="406"/>
      <c r="Q126" s="424"/>
      <c r="R126" s="422"/>
      <c r="S126" s="399"/>
      <c r="T126" s="399"/>
    </row>
    <row r="127" spans="1:20" s="81" customFormat="1" ht="15.75" customHeight="1">
      <c r="A127" s="389"/>
      <c r="B127" s="83"/>
      <c r="C127" s="48" t="s">
        <v>28</v>
      </c>
      <c r="D127" s="37">
        <v>5.8</v>
      </c>
      <c r="E127" s="41">
        <v>6.7431999999999999</v>
      </c>
      <c r="F127" s="38"/>
      <c r="G127" s="39">
        <f>ROUND(D127*E127,2)</f>
        <v>39.11</v>
      </c>
      <c r="H127" s="270"/>
      <c r="I127" s="41"/>
      <c r="J127" s="41"/>
      <c r="K127" s="271"/>
      <c r="L127" s="272"/>
      <c r="M127" s="102"/>
      <c r="N127" s="423"/>
      <c r="O127" s="406"/>
      <c r="P127" s="406"/>
      <c r="Q127" s="425"/>
      <c r="R127" s="422"/>
      <c r="S127" s="399"/>
      <c r="T127" s="399"/>
    </row>
    <row r="128" spans="1:20" s="81" customFormat="1" ht="15" customHeight="1" thickBot="1">
      <c r="A128" s="411"/>
      <c r="B128" s="412"/>
      <c r="C128" s="99" t="s">
        <v>29</v>
      </c>
      <c r="D128" s="413">
        <v>2400</v>
      </c>
      <c r="E128" s="56">
        <v>6.7431999999999999</v>
      </c>
      <c r="F128" s="281"/>
      <c r="G128" s="414">
        <f t="shared" ref="G128:G135" si="13">ROUND(D128*(E128+F128),2)</f>
        <v>16183.68</v>
      </c>
      <c r="H128" s="280"/>
      <c r="I128" s="281"/>
      <c r="J128" s="281"/>
      <c r="K128" s="282"/>
      <c r="L128" s="204"/>
      <c r="M128" s="371"/>
      <c r="N128" s="426"/>
      <c r="O128" s="416"/>
      <c r="P128" s="416"/>
      <c r="Q128" s="417"/>
      <c r="R128" s="422"/>
      <c r="S128" s="399"/>
      <c r="T128" s="399"/>
    </row>
    <row r="129" spans="1:20" s="81" customFormat="1" ht="15" customHeight="1" thickBot="1">
      <c r="A129" s="376"/>
      <c r="B129" s="420" t="s">
        <v>77</v>
      </c>
      <c r="C129" s="377" t="s">
        <v>73</v>
      </c>
      <c r="D129" s="378">
        <v>2</v>
      </c>
      <c r="E129" s="21">
        <v>36.214199999999998</v>
      </c>
      <c r="F129" s="21">
        <v>42.4328</v>
      </c>
      <c r="G129" s="22">
        <f t="shared" si="13"/>
        <v>157.29</v>
      </c>
      <c r="H129" s="303"/>
      <c r="I129" s="381"/>
      <c r="J129" s="381"/>
      <c r="K129" s="342"/>
      <c r="L129" s="382">
        <f>+SUM(G129:G135,J129:J135)</f>
        <v>3427.71</v>
      </c>
      <c r="M129" s="26">
        <v>3427.71</v>
      </c>
      <c r="N129" s="421"/>
      <c r="O129" s="77"/>
      <c r="P129" s="77"/>
      <c r="Q129" s="384"/>
      <c r="R129" s="422"/>
      <c r="S129" s="399"/>
      <c r="T129" s="399"/>
    </row>
    <row r="130" spans="1:20" s="81" customFormat="1" ht="15" customHeight="1">
      <c r="A130" s="389"/>
      <c r="B130" s="83"/>
      <c r="C130" s="84" t="s">
        <v>26</v>
      </c>
      <c r="D130" s="37"/>
      <c r="E130" s="38">
        <v>3.4692000000000007</v>
      </c>
      <c r="F130" s="38"/>
      <c r="G130" s="39">
        <f t="shared" si="13"/>
        <v>0</v>
      </c>
      <c r="H130" s="270"/>
      <c r="I130" s="392"/>
      <c r="J130" s="381"/>
      <c r="K130" s="393"/>
      <c r="L130" s="429"/>
      <c r="M130" s="102"/>
      <c r="N130" s="430"/>
      <c r="O130" s="431"/>
      <c r="P130" s="431"/>
      <c r="Q130" s="424"/>
      <c r="R130" s="422"/>
      <c r="S130" s="399"/>
      <c r="T130" s="399"/>
    </row>
    <row r="131" spans="1:20" s="81" customFormat="1" ht="15" customHeight="1">
      <c r="A131" s="389"/>
      <c r="B131" s="98" t="s">
        <v>32</v>
      </c>
      <c r="C131" s="99" t="s">
        <v>33</v>
      </c>
      <c r="D131" s="37">
        <v>4</v>
      </c>
      <c r="E131" s="101">
        <v>304.86</v>
      </c>
      <c r="F131" s="38">
        <v>42.4328</v>
      </c>
      <c r="G131" s="39">
        <f t="shared" si="13"/>
        <v>1389.17</v>
      </c>
      <c r="H131" s="270"/>
      <c r="I131" s="41"/>
      <c r="J131" s="41"/>
      <c r="K131" s="271"/>
      <c r="L131" s="272"/>
      <c r="M131" s="102"/>
      <c r="N131" s="430"/>
      <c r="O131" s="431"/>
      <c r="P131" s="431"/>
      <c r="Q131" s="424"/>
      <c r="R131" s="422"/>
      <c r="S131" s="399"/>
      <c r="T131" s="399"/>
    </row>
    <row r="132" spans="1:20" s="81" customFormat="1" ht="15" customHeight="1">
      <c r="A132" s="389"/>
      <c r="B132" s="83"/>
      <c r="C132" s="48" t="s">
        <v>190</v>
      </c>
      <c r="D132" s="37"/>
      <c r="E132" s="41"/>
      <c r="F132" s="38"/>
      <c r="G132" s="39">
        <f>ROUND(D132*(E132+F132),2)</f>
        <v>0</v>
      </c>
      <c r="H132" s="270"/>
      <c r="I132" s="41"/>
      <c r="J132" s="41"/>
      <c r="K132" s="271"/>
      <c r="L132" s="272"/>
      <c r="M132" s="102"/>
      <c r="N132" s="430"/>
      <c r="O132" s="431"/>
      <c r="P132" s="431"/>
      <c r="Q132" s="424"/>
      <c r="R132" s="422"/>
      <c r="S132" s="399"/>
      <c r="T132" s="399"/>
    </row>
    <row r="133" spans="1:20" s="81" customFormat="1" ht="15" customHeight="1">
      <c r="A133" s="389"/>
      <c r="B133" s="83"/>
      <c r="C133" s="48" t="s">
        <v>27</v>
      </c>
      <c r="D133" s="37">
        <v>313.8</v>
      </c>
      <c r="E133" s="41">
        <f>6.7432-7.0379</f>
        <v>-0.29469999999999974</v>
      </c>
      <c r="F133" s="38"/>
      <c r="G133" s="39">
        <f>ROUND(D133*(E133+F133),2)</f>
        <v>-92.48</v>
      </c>
      <c r="H133" s="270"/>
      <c r="I133" s="41"/>
      <c r="J133" s="41"/>
      <c r="K133" s="271"/>
      <c r="L133" s="272"/>
      <c r="M133" s="102"/>
      <c r="N133" s="430"/>
      <c r="O133" s="431"/>
      <c r="P133" s="431"/>
      <c r="Q133" s="424"/>
      <c r="R133" s="422"/>
      <c r="S133" s="399"/>
      <c r="T133" s="399"/>
    </row>
    <row r="134" spans="1:20" s="81" customFormat="1" ht="15" customHeight="1">
      <c r="A134" s="389"/>
      <c r="B134" s="83"/>
      <c r="C134" s="48" t="s">
        <v>28</v>
      </c>
      <c r="D134" s="37">
        <v>0.7</v>
      </c>
      <c r="E134" s="41">
        <v>6.7431999999999999</v>
      </c>
      <c r="F134" s="38"/>
      <c r="G134" s="39">
        <f t="shared" si="13"/>
        <v>4.72</v>
      </c>
      <c r="H134" s="432"/>
      <c r="I134" s="207"/>
      <c r="J134" s="207"/>
      <c r="K134" s="362"/>
      <c r="L134" s="433"/>
      <c r="M134" s="63"/>
      <c r="N134" s="434"/>
      <c r="O134" s="435"/>
      <c r="P134" s="435"/>
      <c r="Q134" s="425"/>
      <c r="R134" s="422"/>
      <c r="S134" s="399"/>
      <c r="T134" s="399"/>
    </row>
    <row r="135" spans="1:20" s="81" customFormat="1" ht="15" customHeight="1" thickBot="1">
      <c r="A135" s="411"/>
      <c r="B135" s="412"/>
      <c r="C135" s="99" t="s">
        <v>29</v>
      </c>
      <c r="D135" s="413">
        <v>292</v>
      </c>
      <c r="E135" s="56">
        <v>6.7431999999999999</v>
      </c>
      <c r="F135" s="281"/>
      <c r="G135" s="414">
        <f t="shared" si="13"/>
        <v>1969.01</v>
      </c>
      <c r="H135" s="280"/>
      <c r="I135" s="281"/>
      <c r="J135" s="281"/>
      <c r="K135" s="282"/>
      <c r="L135" s="204"/>
      <c r="M135" s="371"/>
      <c r="N135" s="426"/>
      <c r="O135" s="416"/>
      <c r="P135" s="416"/>
      <c r="Q135" s="417"/>
      <c r="R135" s="436"/>
      <c r="S135" s="399"/>
      <c r="T135" s="399"/>
    </row>
    <row r="136" spans="1:20" s="81" customFormat="1" ht="15" customHeight="1">
      <c r="A136" s="437"/>
      <c r="B136" s="438" t="s">
        <v>38</v>
      </c>
      <c r="C136" s="439"/>
      <c r="D136" s="378"/>
      <c r="E136" s="23"/>
      <c r="F136" s="23"/>
      <c r="G136" s="22"/>
      <c r="H136" s="303"/>
      <c r="I136" s="23"/>
      <c r="J136" s="23"/>
      <c r="K136" s="304"/>
      <c r="L136" s="382">
        <f>+SUM(G136:G139,J136:J139)</f>
        <v>1458.1799999999998</v>
      </c>
      <c r="M136" s="26">
        <v>1458.18</v>
      </c>
      <c r="N136" s="421"/>
      <c r="O136" s="77"/>
      <c r="P136" s="77"/>
      <c r="Q136" s="77">
        <f>+L136-M136</f>
        <v>0</v>
      </c>
      <c r="R136" s="440"/>
      <c r="S136" s="399"/>
      <c r="T136" s="399"/>
    </row>
    <row r="137" spans="1:20" s="81" customFormat="1" ht="15" customHeight="1">
      <c r="A137" s="441"/>
      <c r="B137" s="442"/>
      <c r="C137" s="48" t="s">
        <v>27</v>
      </c>
      <c r="D137" s="37">
        <v>557.29999999999995</v>
      </c>
      <c r="E137" s="41">
        <f>6.7432-7.0379</f>
        <v>-0.29469999999999974</v>
      </c>
      <c r="F137" s="41"/>
      <c r="G137" s="39">
        <f>ROUND(D137*E137,2)</f>
        <v>-164.24</v>
      </c>
      <c r="H137" s="260"/>
      <c r="I137" s="261"/>
      <c r="J137" s="261"/>
      <c r="K137" s="262"/>
      <c r="L137" s="394"/>
      <c r="M137" s="90"/>
      <c r="N137" s="443"/>
      <c r="O137" s="94"/>
      <c r="P137" s="94"/>
      <c r="Q137" s="94"/>
      <c r="R137" s="422"/>
      <c r="S137" s="399"/>
      <c r="T137" s="399"/>
    </row>
    <row r="138" spans="1:20" s="81" customFormat="1">
      <c r="A138" s="441"/>
      <c r="B138" s="444"/>
      <c r="C138" s="48" t="s">
        <v>28</v>
      </c>
      <c r="D138" s="37">
        <v>0.6</v>
      </c>
      <c r="E138" s="41">
        <v>6.7431999999999999</v>
      </c>
      <c r="F138" s="41"/>
      <c r="G138" s="39">
        <f t="shared" ref="G138:G146" si="14">ROUND(D138*E138,2)</f>
        <v>4.05</v>
      </c>
      <c r="H138" s="432"/>
      <c r="I138" s="207"/>
      <c r="J138" s="207"/>
      <c r="K138" s="362"/>
      <c r="L138" s="433"/>
      <c r="M138" s="63"/>
      <c r="N138" s="423"/>
      <c r="O138" s="406"/>
      <c r="P138" s="406"/>
      <c r="Q138" s="406"/>
      <c r="R138" s="422"/>
      <c r="S138" s="399"/>
      <c r="T138" s="399"/>
    </row>
    <row r="139" spans="1:20" s="81" customFormat="1" ht="15" customHeight="1" thickBot="1">
      <c r="A139" s="445"/>
      <c r="B139" s="446"/>
      <c r="C139" s="99" t="s">
        <v>29</v>
      </c>
      <c r="D139" s="413">
        <v>240</v>
      </c>
      <c r="E139" s="56">
        <v>6.7431999999999999</v>
      </c>
      <c r="F139" s="281"/>
      <c r="G139" s="414">
        <f t="shared" si="14"/>
        <v>1618.37</v>
      </c>
      <c r="H139" s="280"/>
      <c r="I139" s="281"/>
      <c r="J139" s="281"/>
      <c r="K139" s="282"/>
      <c r="L139" s="204"/>
      <c r="M139" s="371"/>
      <c r="N139" s="434"/>
      <c r="O139" s="435"/>
      <c r="P139" s="435"/>
      <c r="Q139" s="435"/>
      <c r="R139" s="422"/>
      <c r="S139" s="399"/>
      <c r="T139" s="399"/>
    </row>
    <row r="140" spans="1:20" s="81" customFormat="1" ht="15" customHeight="1">
      <c r="A140" s="437"/>
      <c r="B140" s="438" t="s">
        <v>122</v>
      </c>
      <c r="C140" s="439"/>
      <c r="D140" s="378"/>
      <c r="E140" s="23"/>
      <c r="F140" s="23"/>
      <c r="G140" s="22"/>
      <c r="H140" s="303"/>
      <c r="I140" s="23"/>
      <c r="J140" s="23"/>
      <c r="K140" s="304"/>
      <c r="L140" s="382">
        <f>+SUM(G140:G143,J140:J143)</f>
        <v>1133.1599999999999</v>
      </c>
      <c r="M140" s="26">
        <v>1133.1600000000001</v>
      </c>
      <c r="N140" s="421"/>
      <c r="O140" s="77"/>
      <c r="P140" s="77"/>
      <c r="Q140" s="77"/>
      <c r="R140" s="440"/>
      <c r="S140" s="399"/>
      <c r="T140" s="399"/>
    </row>
    <row r="141" spans="1:20" s="81" customFormat="1" ht="15" customHeight="1" thickBot="1">
      <c r="A141" s="441"/>
      <c r="B141" s="442"/>
      <c r="C141" s="48" t="s">
        <v>27</v>
      </c>
      <c r="D141" s="37">
        <v>214.51</v>
      </c>
      <c r="E141" s="41">
        <f>6.7432-7.0379</f>
        <v>-0.29469999999999974</v>
      </c>
      <c r="F141" s="41"/>
      <c r="G141" s="414">
        <f>ROUND(D141*E141,2)</f>
        <v>-63.22</v>
      </c>
      <c r="H141" s="260"/>
      <c r="I141" s="261"/>
      <c r="J141" s="261"/>
      <c r="K141" s="262"/>
      <c r="L141" s="394"/>
      <c r="M141" s="90"/>
      <c r="N141" s="443"/>
      <c r="O141" s="94"/>
      <c r="P141" s="94"/>
      <c r="Q141" s="94"/>
      <c r="R141" s="422"/>
      <c r="S141" s="399"/>
      <c r="T141" s="399"/>
    </row>
    <row r="142" spans="1:20" s="81" customFormat="1" ht="15" customHeight="1" thickBot="1">
      <c r="A142" s="441"/>
      <c r="B142" s="444"/>
      <c r="C142" s="48" t="s">
        <v>28</v>
      </c>
      <c r="D142" s="37">
        <v>0.42</v>
      </c>
      <c r="E142" s="41">
        <v>6.7431999999999999</v>
      </c>
      <c r="F142" s="41"/>
      <c r="G142" s="414">
        <f t="shared" si="14"/>
        <v>2.83</v>
      </c>
      <c r="H142" s="432"/>
      <c r="I142" s="207"/>
      <c r="J142" s="207"/>
      <c r="K142" s="362"/>
      <c r="L142" s="433"/>
      <c r="M142" s="63"/>
      <c r="N142" s="423"/>
      <c r="O142" s="406"/>
      <c r="P142" s="406"/>
      <c r="Q142" s="406"/>
      <c r="R142" s="422"/>
      <c r="S142" s="399"/>
      <c r="T142" s="399"/>
    </row>
    <row r="143" spans="1:20" s="81" customFormat="1" ht="15" customHeight="1" thickBot="1">
      <c r="A143" s="445"/>
      <c r="B143" s="446"/>
      <c r="C143" s="99" t="s">
        <v>29</v>
      </c>
      <c r="D143" s="413">
        <v>177</v>
      </c>
      <c r="E143" s="56">
        <v>6.7431999999999999</v>
      </c>
      <c r="F143" s="281"/>
      <c r="G143" s="414">
        <f t="shared" si="14"/>
        <v>1193.55</v>
      </c>
      <c r="H143" s="280"/>
      <c r="I143" s="281"/>
      <c r="J143" s="281"/>
      <c r="K143" s="282"/>
      <c r="L143" s="204"/>
      <c r="M143" s="371"/>
      <c r="N143" s="434"/>
      <c r="O143" s="435"/>
      <c r="P143" s="435"/>
      <c r="Q143" s="435"/>
      <c r="R143" s="422"/>
      <c r="S143" s="399"/>
      <c r="T143" s="399"/>
    </row>
    <row r="144" spans="1:20" s="81" customFormat="1" ht="15" customHeight="1">
      <c r="A144" s="447"/>
      <c r="B144" s="438" t="s">
        <v>79</v>
      </c>
      <c r="C144" s="48" t="s">
        <v>27</v>
      </c>
      <c r="D144" s="448">
        <v>4026</v>
      </c>
      <c r="E144" s="41">
        <f>6.7432-7.0379</f>
        <v>-0.29469999999999974</v>
      </c>
      <c r="F144" s="261"/>
      <c r="G144" s="449">
        <f>ROUND(D144*E144,2)</f>
        <v>-1186.46</v>
      </c>
      <c r="H144" s="303"/>
      <c r="I144" s="23"/>
      <c r="J144" s="23"/>
      <c r="K144" s="304"/>
      <c r="L144" s="263">
        <f>SUM(G144:G146)</f>
        <v>27344.02</v>
      </c>
      <c r="M144" s="26">
        <v>27344.02</v>
      </c>
      <c r="N144" s="421"/>
      <c r="O144" s="77"/>
      <c r="P144" s="77"/>
      <c r="Q144" s="384"/>
      <c r="R144" s="422"/>
      <c r="S144" s="399"/>
      <c r="T144" s="399"/>
    </row>
    <row r="145" spans="1:20" s="81" customFormat="1" ht="15" customHeight="1">
      <c r="A145" s="450"/>
      <c r="B145" s="442"/>
      <c r="C145" s="48" t="s">
        <v>28</v>
      </c>
      <c r="D145" s="448">
        <v>10</v>
      </c>
      <c r="E145" s="41">
        <v>6.7431999999999999</v>
      </c>
      <c r="F145" s="261"/>
      <c r="G145" s="449">
        <f t="shared" si="14"/>
        <v>67.430000000000007</v>
      </c>
      <c r="H145" s="260"/>
      <c r="I145" s="261"/>
      <c r="J145" s="261"/>
      <c r="K145" s="262"/>
      <c r="L145" s="286"/>
      <c r="M145" s="90"/>
      <c r="N145" s="423"/>
      <c r="O145" s="406"/>
      <c r="P145" s="406"/>
      <c r="Q145" s="407"/>
      <c r="R145" s="422"/>
      <c r="S145" s="399"/>
      <c r="T145" s="399"/>
    </row>
    <row r="146" spans="1:20" s="81" customFormat="1" ht="15" customHeight="1" thickBot="1">
      <c r="A146" s="451"/>
      <c r="B146" s="446"/>
      <c r="C146" s="99" t="s">
        <v>29</v>
      </c>
      <c r="D146" s="452">
        <v>4221</v>
      </c>
      <c r="E146" s="56">
        <v>6.7431999999999999</v>
      </c>
      <c r="F146" s="207"/>
      <c r="G146" s="453">
        <f t="shared" si="14"/>
        <v>28463.05</v>
      </c>
      <c r="H146" s="280"/>
      <c r="I146" s="281"/>
      <c r="J146" s="281"/>
      <c r="K146" s="282"/>
      <c r="L146" s="204"/>
      <c r="M146" s="371"/>
      <c r="N146" s="426"/>
      <c r="O146" s="416"/>
      <c r="P146" s="416"/>
      <c r="Q146" s="417"/>
      <c r="R146" s="422"/>
      <c r="S146" s="399"/>
      <c r="T146" s="399"/>
    </row>
    <row r="147" spans="1:20" s="81" customFormat="1" ht="15" customHeight="1" thickBot="1">
      <c r="A147" s="437"/>
      <c r="B147" s="438" t="s">
        <v>82</v>
      </c>
      <c r="C147" s="377" t="s">
        <v>73</v>
      </c>
      <c r="D147" s="378">
        <v>28</v>
      </c>
      <c r="E147" s="21">
        <v>36.214199999999998</v>
      </c>
      <c r="F147" s="21">
        <v>42.4328</v>
      </c>
      <c r="G147" s="22">
        <f>+D147*(E147+F147)</f>
        <v>2202.116</v>
      </c>
      <c r="H147" s="303"/>
      <c r="I147" s="381"/>
      <c r="J147" s="381"/>
      <c r="K147" s="342"/>
      <c r="L147" s="263">
        <f>SUM(G147:G151,J147:J151)</f>
        <v>95151.135999999999</v>
      </c>
      <c r="M147" s="26">
        <v>95151.14</v>
      </c>
      <c r="N147" s="421"/>
      <c r="O147" s="77"/>
      <c r="P147" s="77"/>
      <c r="Q147" s="384"/>
      <c r="R147" s="422"/>
      <c r="S147" s="399"/>
      <c r="T147" s="399"/>
    </row>
    <row r="148" spans="1:20" s="81" customFormat="1" ht="15" customHeight="1">
      <c r="A148" s="441"/>
      <c r="B148" s="442"/>
      <c r="C148" s="36" t="s">
        <v>26</v>
      </c>
      <c r="D148" s="37"/>
      <c r="E148" s="38"/>
      <c r="F148" s="38"/>
      <c r="G148" s="39">
        <f>ROUND(D148*(E148+F148),2)</f>
        <v>0</v>
      </c>
      <c r="H148" s="457"/>
      <c r="I148" s="392"/>
      <c r="J148" s="381"/>
      <c r="K148" s="393"/>
      <c r="L148" s="459"/>
      <c r="M148" s="44"/>
      <c r="N148" s="430"/>
      <c r="O148" s="431"/>
      <c r="P148" s="431"/>
      <c r="Q148" s="424"/>
      <c r="R148" s="422"/>
      <c r="S148" s="399"/>
      <c r="T148" s="399"/>
    </row>
    <row r="149" spans="1:20" s="81" customFormat="1" ht="15" customHeight="1">
      <c r="A149" s="441"/>
      <c r="B149" s="442"/>
      <c r="C149" s="48" t="s">
        <v>27</v>
      </c>
      <c r="D149" s="37">
        <v>13612</v>
      </c>
      <c r="E149" s="41">
        <f>6.7432-7.0379</f>
        <v>-0.29469999999999974</v>
      </c>
      <c r="F149" s="38"/>
      <c r="G149" s="39">
        <f>ROUND(D149*(E149),2)+0.01</f>
        <v>-4011.45</v>
      </c>
      <c r="H149" s="270"/>
      <c r="I149" s="41"/>
      <c r="J149" s="41"/>
      <c r="K149" s="271"/>
      <c r="L149" s="272"/>
      <c r="M149" s="102"/>
      <c r="N149" s="430"/>
      <c r="O149" s="431"/>
      <c r="P149" s="431"/>
      <c r="Q149" s="424"/>
      <c r="R149" s="422"/>
      <c r="S149" s="399"/>
      <c r="T149" s="399"/>
    </row>
    <row r="150" spans="1:20" s="81" customFormat="1" ht="15" customHeight="1">
      <c r="A150" s="441"/>
      <c r="B150" s="442"/>
      <c r="C150" s="48" t="s">
        <v>28</v>
      </c>
      <c r="D150" s="37">
        <v>34</v>
      </c>
      <c r="E150" s="41">
        <v>6.7431999999999999</v>
      </c>
      <c r="F150" s="38"/>
      <c r="G150" s="39">
        <f>ROUND(D150*(E150),2)</f>
        <v>229.27</v>
      </c>
      <c r="H150" s="270"/>
      <c r="I150" s="41"/>
      <c r="J150" s="41"/>
      <c r="K150" s="271"/>
      <c r="L150" s="272"/>
      <c r="M150" s="102"/>
      <c r="N150" s="434"/>
      <c r="O150" s="435"/>
      <c r="P150" s="435"/>
      <c r="Q150" s="425"/>
      <c r="R150" s="422"/>
      <c r="S150" s="399"/>
      <c r="T150" s="399"/>
    </row>
    <row r="151" spans="1:20" s="81" customFormat="1" ht="15" customHeight="1" thickBot="1">
      <c r="A151" s="460"/>
      <c r="B151" s="461"/>
      <c r="C151" s="99" t="s">
        <v>29</v>
      </c>
      <c r="D151" s="37">
        <v>14345</v>
      </c>
      <c r="E151" s="56">
        <v>6.7431999999999999</v>
      </c>
      <c r="F151" s="311"/>
      <c r="G151" s="110">
        <f>ROUND(D151*(E151),2)</f>
        <v>96731.199999999997</v>
      </c>
      <c r="H151" s="310"/>
      <c r="I151" s="311"/>
      <c r="J151" s="311"/>
      <c r="K151" s="312"/>
      <c r="L151" s="313"/>
      <c r="M151" s="115"/>
      <c r="N151" s="463"/>
      <c r="O151" s="464"/>
      <c r="P151" s="464"/>
      <c r="Q151" s="465"/>
      <c r="R151" s="466"/>
      <c r="S151" s="467"/>
      <c r="T151" s="399"/>
    </row>
    <row r="152" spans="1:20" s="81" customFormat="1" ht="15" customHeight="1" thickTop="1" thickBot="1">
      <c r="A152" s="437"/>
      <c r="B152" s="438" t="s">
        <v>83</v>
      </c>
      <c r="C152" s="377" t="s">
        <v>73</v>
      </c>
      <c r="D152" s="378">
        <v>1</v>
      </c>
      <c r="E152" s="21">
        <v>36.214199999999998</v>
      </c>
      <c r="F152" s="21">
        <v>42.4328</v>
      </c>
      <c r="G152" s="22">
        <f>+D152*(E152+F152)</f>
        <v>78.646999999999991</v>
      </c>
      <c r="H152" s="303"/>
      <c r="I152" s="381"/>
      <c r="J152" s="381"/>
      <c r="K152" s="342"/>
      <c r="L152" s="263">
        <f>SUM(G152:G156,J152:J156)</f>
        <v>432.18700000000001</v>
      </c>
      <c r="M152" s="26">
        <v>432.19</v>
      </c>
      <c r="N152" s="421"/>
      <c r="O152" s="77"/>
      <c r="P152" s="77"/>
      <c r="Q152" s="384"/>
      <c r="R152" s="422"/>
      <c r="S152" s="399"/>
      <c r="T152" s="399"/>
    </row>
    <row r="153" spans="1:20" s="81" customFormat="1" ht="15" customHeight="1">
      <c r="A153" s="441"/>
      <c r="B153" s="442"/>
      <c r="C153" s="36" t="s">
        <v>26</v>
      </c>
      <c r="D153" s="37"/>
      <c r="E153" s="38"/>
      <c r="F153" s="38"/>
      <c r="G153" s="39">
        <f>ROUND(D153*(E153+F153),2)</f>
        <v>0</v>
      </c>
      <c r="H153" s="457"/>
      <c r="I153" s="392"/>
      <c r="J153" s="381"/>
      <c r="K153" s="393"/>
      <c r="L153" s="459"/>
      <c r="M153" s="44"/>
      <c r="N153" s="430"/>
      <c r="O153" s="431"/>
      <c r="P153" s="431"/>
      <c r="Q153" s="424"/>
      <c r="R153" s="422"/>
      <c r="S153" s="399"/>
      <c r="T153" s="399"/>
    </row>
    <row r="154" spans="1:20" s="81" customFormat="1" ht="15" customHeight="1">
      <c r="A154" s="441"/>
      <c r="B154" s="442"/>
      <c r="C154" s="48" t="s">
        <v>27</v>
      </c>
      <c r="D154" s="37">
        <v>61.1</v>
      </c>
      <c r="E154" s="41">
        <f>6.7432-7.0379</f>
        <v>-0.29469999999999974</v>
      </c>
      <c r="F154" s="38"/>
      <c r="G154" s="39">
        <f>ROUND(D154*(E154),2)</f>
        <v>-18.010000000000002</v>
      </c>
      <c r="H154" s="270"/>
      <c r="I154" s="41"/>
      <c r="J154" s="41"/>
      <c r="K154" s="271"/>
      <c r="L154" s="272"/>
      <c r="M154" s="102"/>
      <c r="N154" s="430"/>
      <c r="O154" s="431"/>
      <c r="P154" s="431"/>
      <c r="Q154" s="424"/>
      <c r="R154" s="422"/>
      <c r="S154" s="399"/>
      <c r="T154" s="399"/>
    </row>
    <row r="155" spans="1:20" s="81" customFormat="1" ht="15" customHeight="1">
      <c r="A155" s="441"/>
      <c r="B155" s="442"/>
      <c r="C155" s="48" t="s">
        <v>28</v>
      </c>
      <c r="D155" s="37">
        <v>0.1</v>
      </c>
      <c r="E155" s="41">
        <v>6.7431999999999999</v>
      </c>
      <c r="F155" s="38"/>
      <c r="G155" s="39">
        <f>ROUND(D155*(E155),2)</f>
        <v>0.67</v>
      </c>
      <c r="H155" s="270"/>
      <c r="I155" s="41"/>
      <c r="J155" s="41"/>
      <c r="K155" s="271"/>
      <c r="L155" s="272"/>
      <c r="M155" s="102"/>
      <c r="N155" s="434"/>
      <c r="O155" s="435"/>
      <c r="P155" s="435"/>
      <c r="Q155" s="425"/>
      <c r="R155" s="422"/>
      <c r="S155" s="399"/>
      <c r="T155" s="399"/>
    </row>
    <row r="156" spans="1:20" s="81" customFormat="1" ht="15.75" customHeight="1" thickBot="1">
      <c r="A156" s="460"/>
      <c r="B156" s="461"/>
      <c r="C156" s="99" t="s">
        <v>29</v>
      </c>
      <c r="D156" s="462">
        <v>55</v>
      </c>
      <c r="E156" s="56">
        <v>6.7431999999999999</v>
      </c>
      <c r="F156" s="311"/>
      <c r="G156" s="110">
        <f>ROUND(D156*(E156),2)</f>
        <v>370.88</v>
      </c>
      <c r="H156" s="310"/>
      <c r="I156" s="311"/>
      <c r="J156" s="311"/>
      <c r="K156" s="312"/>
      <c r="L156" s="313"/>
      <c r="M156" s="115"/>
      <c r="N156" s="463"/>
      <c r="O156" s="464"/>
      <c r="P156" s="464"/>
      <c r="Q156" s="465"/>
      <c r="R156" s="422"/>
      <c r="S156" s="399"/>
      <c r="T156" s="399"/>
    </row>
    <row r="157" spans="1:20" s="81" customFormat="1" ht="15.75" customHeight="1" thickTop="1">
      <c r="A157" s="447"/>
      <c r="B157" s="438" t="s">
        <v>126</v>
      </c>
      <c r="C157" s="48" t="s">
        <v>27</v>
      </c>
      <c r="D157" s="448">
        <v>92.2</v>
      </c>
      <c r="E157" s="41">
        <f>6.7432-7.0379</f>
        <v>-0.29469999999999974</v>
      </c>
      <c r="F157" s="261"/>
      <c r="G157" s="449">
        <f>ROUND(D157*E157,2)</f>
        <v>-27.17</v>
      </c>
      <c r="H157" s="303"/>
      <c r="I157" s="23"/>
      <c r="J157" s="23"/>
      <c r="K157" s="304"/>
      <c r="L157" s="263">
        <f>SUM(G157:G159)</f>
        <v>831.24</v>
      </c>
      <c r="M157" s="26">
        <v>831.24</v>
      </c>
      <c r="N157" s="421"/>
      <c r="O157" s="77"/>
      <c r="P157" s="77"/>
      <c r="Q157" s="384"/>
      <c r="R157" s="422"/>
      <c r="S157" s="399"/>
      <c r="T157" s="399"/>
    </row>
    <row r="158" spans="1:20" s="81" customFormat="1" ht="15.75" customHeight="1">
      <c r="A158" s="450"/>
      <c r="B158" s="442"/>
      <c r="C158" s="48" t="s">
        <v>28</v>
      </c>
      <c r="D158" s="448">
        <v>0.3</v>
      </c>
      <c r="E158" s="41">
        <v>6.7431999999999999</v>
      </c>
      <c r="F158" s="261"/>
      <c r="G158" s="449">
        <f t="shared" ref="G158:G159" si="15">ROUND(D158*E158,2)</f>
        <v>2.02</v>
      </c>
      <c r="H158" s="260"/>
      <c r="I158" s="261"/>
      <c r="J158" s="261"/>
      <c r="K158" s="262"/>
      <c r="L158" s="286"/>
      <c r="M158" s="90"/>
      <c r="N158" s="423"/>
      <c r="O158" s="406"/>
      <c r="P158" s="406"/>
      <c r="Q158" s="407"/>
      <c r="R158" s="422"/>
      <c r="S158" s="399"/>
      <c r="T158" s="399"/>
    </row>
    <row r="159" spans="1:20" s="81" customFormat="1" ht="15.75" customHeight="1" thickBot="1">
      <c r="A159" s="697"/>
      <c r="B159" s="698"/>
      <c r="C159" s="99" t="s">
        <v>29</v>
      </c>
      <c r="D159" s="596">
        <v>127</v>
      </c>
      <c r="E159" s="56">
        <v>6.7431999999999999</v>
      </c>
      <c r="F159" s="41"/>
      <c r="G159" s="39">
        <f t="shared" si="15"/>
        <v>856.39</v>
      </c>
      <c r="H159" s="280"/>
      <c r="I159" s="281"/>
      <c r="J159" s="281"/>
      <c r="K159" s="282"/>
      <c r="L159" s="204"/>
      <c r="M159" s="371"/>
      <c r="N159" s="426"/>
      <c r="O159" s="416"/>
      <c r="P159" s="416"/>
      <c r="Q159" s="417"/>
      <c r="R159" s="422"/>
      <c r="S159" s="399"/>
      <c r="T159" s="399"/>
    </row>
    <row r="160" spans="1:20" s="81" customFormat="1" ht="15.75" customHeight="1">
      <c r="A160" s="468"/>
      <c r="B160" s="699" t="s">
        <v>133</v>
      </c>
      <c r="C160" s="48" t="s">
        <v>27</v>
      </c>
      <c r="D160" s="471">
        <v>457.1</v>
      </c>
      <c r="E160" s="41">
        <f>6.7432-7.0379</f>
        <v>-0.29469999999999974</v>
      </c>
      <c r="F160" s="473"/>
      <c r="G160" s="449">
        <f>ROUND(D160*E160,2)-0.01</f>
        <v>-134.72</v>
      </c>
      <c r="H160" s="303"/>
      <c r="I160" s="23"/>
      <c r="J160" s="23"/>
      <c r="K160" s="304"/>
      <c r="L160" s="263">
        <f>SUM(G160:G162)</f>
        <v>3028.52</v>
      </c>
      <c r="M160" s="26">
        <v>3028.52</v>
      </c>
      <c r="N160" s="421"/>
      <c r="O160" s="77"/>
      <c r="P160" s="77"/>
      <c r="Q160" s="384"/>
      <c r="R160" s="422"/>
      <c r="S160" s="399"/>
      <c r="T160" s="399"/>
    </row>
    <row r="161" spans="1:20" s="81" customFormat="1" ht="15.75" customHeight="1">
      <c r="A161" s="468"/>
      <c r="B161" s="469"/>
      <c r="C161" s="48" t="s">
        <v>28</v>
      </c>
      <c r="D161" s="471">
        <v>1.1000000000000001</v>
      </c>
      <c r="E161" s="41">
        <v>6.7431999999999999</v>
      </c>
      <c r="F161" s="473"/>
      <c r="G161" s="449">
        <f>ROUND(D161*E161,2)</f>
        <v>7.42</v>
      </c>
      <c r="H161" s="260"/>
      <c r="I161" s="261"/>
      <c r="J161" s="261"/>
      <c r="K161" s="262"/>
      <c r="L161" s="286"/>
      <c r="M161" s="90"/>
      <c r="N161" s="423"/>
      <c r="O161" s="406"/>
      <c r="P161" s="406"/>
      <c r="Q161" s="407"/>
      <c r="R161" s="422"/>
      <c r="S161" s="399"/>
      <c r="T161" s="399"/>
    </row>
    <row r="162" spans="1:20" s="81" customFormat="1" ht="15.75" customHeight="1" thickBot="1">
      <c r="A162" s="701"/>
      <c r="B162" s="702"/>
      <c r="C162" s="99" t="s">
        <v>29</v>
      </c>
      <c r="D162" s="703">
        <v>468</v>
      </c>
      <c r="E162" s="56">
        <v>6.7431999999999999</v>
      </c>
      <c r="F162" s="704"/>
      <c r="G162" s="39">
        <f t="shared" ref="G162" si="16">ROUND(D162*E162,2)</f>
        <v>3155.82</v>
      </c>
      <c r="H162" s="280"/>
      <c r="I162" s="281"/>
      <c r="J162" s="281"/>
      <c r="K162" s="282"/>
      <c r="L162" s="204"/>
      <c r="M162" s="371"/>
      <c r="N162" s="426"/>
      <c r="O162" s="416"/>
      <c r="P162" s="416"/>
      <c r="Q162" s="417"/>
      <c r="R162" s="422"/>
      <c r="S162" s="399"/>
      <c r="T162" s="399"/>
    </row>
    <row r="163" spans="1:20" s="81" customFormat="1" ht="15.75" customHeight="1">
      <c r="A163" s="468"/>
      <c r="B163" s="699" t="s">
        <v>134</v>
      </c>
      <c r="C163" s="48" t="s">
        <v>27</v>
      </c>
      <c r="D163" s="471">
        <v>624.5</v>
      </c>
      <c r="E163" s="41">
        <f>6.7432-7.0379</f>
        <v>-0.29469999999999974</v>
      </c>
      <c r="F163" s="473"/>
      <c r="G163" s="449">
        <f>ROUND(D163*E163,2)+0.01</f>
        <v>-184.03</v>
      </c>
      <c r="H163" s="303"/>
      <c r="I163" s="23"/>
      <c r="J163" s="23"/>
      <c r="K163" s="304"/>
      <c r="L163" s="263">
        <f>SUM(G163:G165)</f>
        <v>4148.47</v>
      </c>
      <c r="M163" s="26">
        <v>4148.47</v>
      </c>
      <c r="N163" s="421"/>
      <c r="O163" s="77"/>
      <c r="P163" s="77"/>
      <c r="Q163" s="384"/>
      <c r="R163" s="422"/>
      <c r="S163" s="399"/>
      <c r="T163" s="399"/>
    </row>
    <row r="164" spans="1:20" s="81" customFormat="1" ht="15.75" customHeight="1">
      <c r="A164" s="468"/>
      <c r="B164" s="469"/>
      <c r="C164" s="48" t="s">
        <v>28</v>
      </c>
      <c r="D164" s="471">
        <v>1.5</v>
      </c>
      <c r="E164" s="41">
        <v>6.7431999999999999</v>
      </c>
      <c r="F164" s="473"/>
      <c r="G164" s="449">
        <f t="shared" ref="G164:G165" si="17">ROUND(D164*E164,2)</f>
        <v>10.11</v>
      </c>
      <c r="H164" s="260"/>
      <c r="I164" s="261"/>
      <c r="J164" s="261"/>
      <c r="K164" s="262"/>
      <c r="L164" s="286"/>
      <c r="M164" s="90"/>
      <c r="N164" s="423"/>
      <c r="O164" s="406"/>
      <c r="P164" s="406"/>
      <c r="Q164" s="407"/>
      <c r="R164" s="422"/>
      <c r="S164" s="399"/>
      <c r="T164" s="399"/>
    </row>
    <row r="165" spans="1:20" s="81" customFormat="1" ht="15.75" customHeight="1" thickBot="1">
      <c r="A165" s="701"/>
      <c r="B165" s="702"/>
      <c r="C165" s="99" t="s">
        <v>29</v>
      </c>
      <c r="D165" s="703">
        <v>641</v>
      </c>
      <c r="E165" s="56">
        <v>6.7431999999999999</v>
      </c>
      <c r="F165" s="704"/>
      <c r="G165" s="39">
        <f t="shared" si="17"/>
        <v>4322.3900000000003</v>
      </c>
      <c r="H165" s="280"/>
      <c r="I165" s="281"/>
      <c r="J165" s="281"/>
      <c r="K165" s="282"/>
      <c r="L165" s="204"/>
      <c r="M165" s="371"/>
      <c r="N165" s="426"/>
      <c r="O165" s="416"/>
      <c r="P165" s="416"/>
      <c r="Q165" s="417"/>
      <c r="R165" s="422"/>
      <c r="S165" s="399"/>
      <c r="T165" s="399"/>
    </row>
    <row r="166" spans="1:20" s="81" customFormat="1" ht="15.75" customHeight="1">
      <c r="A166" s="468"/>
      <c r="B166" s="699" t="s">
        <v>140</v>
      </c>
      <c r="C166" s="48" t="s">
        <v>27</v>
      </c>
      <c r="D166" s="471">
        <v>726.7</v>
      </c>
      <c r="E166" s="41">
        <f>6.7432-7.0379</f>
        <v>-0.29469999999999974</v>
      </c>
      <c r="F166" s="473"/>
      <c r="G166" s="449">
        <f>ROUND(D166*E166,2)+0.01</f>
        <v>-214.15</v>
      </c>
      <c r="H166" s="303"/>
      <c r="I166" s="23"/>
      <c r="J166" s="23"/>
      <c r="K166" s="304"/>
      <c r="L166" s="263">
        <f>SUM(G166:G168)</f>
        <v>5092.07</v>
      </c>
      <c r="M166" s="26">
        <v>5092.07</v>
      </c>
      <c r="N166" s="421"/>
      <c r="O166" s="77"/>
      <c r="P166" s="77"/>
      <c r="Q166" s="384"/>
      <c r="R166" s="422"/>
      <c r="S166" s="399"/>
      <c r="T166" s="399"/>
    </row>
    <row r="167" spans="1:20" s="81" customFormat="1" ht="15.75" customHeight="1">
      <c r="A167" s="468"/>
      <c r="B167" s="469"/>
      <c r="C167" s="48" t="s">
        <v>28</v>
      </c>
      <c r="D167" s="471">
        <v>1.9</v>
      </c>
      <c r="E167" s="41">
        <v>6.7431999999999999</v>
      </c>
      <c r="F167" s="473"/>
      <c r="G167" s="449">
        <f>ROUND(D167*E167,2)</f>
        <v>12.81</v>
      </c>
      <c r="H167" s="260"/>
      <c r="I167" s="261"/>
      <c r="J167" s="261"/>
      <c r="K167" s="262"/>
      <c r="L167" s="286"/>
      <c r="M167" s="90"/>
      <c r="N167" s="423"/>
      <c r="O167" s="406"/>
      <c r="P167" s="406"/>
      <c r="Q167" s="407"/>
      <c r="R167" s="422"/>
      <c r="S167" s="399"/>
      <c r="T167" s="399"/>
    </row>
    <row r="168" spans="1:20" s="81" customFormat="1" ht="15.75" customHeight="1" thickBot="1">
      <c r="A168" s="701"/>
      <c r="B168" s="702"/>
      <c r="C168" s="99" t="s">
        <v>29</v>
      </c>
      <c r="D168" s="703">
        <v>785</v>
      </c>
      <c r="E168" s="56">
        <v>6.7431999999999999</v>
      </c>
      <c r="F168" s="704"/>
      <c r="G168" s="39">
        <f t="shared" ref="G168" si="18">ROUND(D168*E168,2)</f>
        <v>5293.41</v>
      </c>
      <c r="H168" s="432"/>
      <c r="I168" s="207"/>
      <c r="J168" s="207"/>
      <c r="K168" s="362"/>
      <c r="L168" s="433"/>
      <c r="M168" s="63"/>
      <c r="N168" s="426"/>
      <c r="O168" s="416"/>
      <c r="P168" s="416"/>
      <c r="Q168" s="417"/>
      <c r="R168" s="422"/>
      <c r="S168" s="399"/>
      <c r="T168" s="399"/>
    </row>
    <row r="169" spans="1:20" s="81" customFormat="1" ht="15.75" customHeight="1">
      <c r="A169" s="468"/>
      <c r="B169" s="699" t="s">
        <v>191</v>
      </c>
      <c r="C169" s="429" t="s">
        <v>73</v>
      </c>
      <c r="D169" s="471">
        <v>13</v>
      </c>
      <c r="E169" s="876">
        <v>36.214199999999998</v>
      </c>
      <c r="F169" s="473">
        <v>42.4328</v>
      </c>
      <c r="G169" s="862">
        <f>ROUND(D169*E169+D169*F169,2)</f>
        <v>1022.41</v>
      </c>
      <c r="H169" s="303"/>
      <c r="I169" s="23"/>
      <c r="J169" s="23"/>
      <c r="K169" s="304"/>
      <c r="L169" s="263">
        <f>SUM(G169:G173)</f>
        <v>10734.71</v>
      </c>
      <c r="M169" s="877">
        <v>10734.71</v>
      </c>
      <c r="N169" s="430"/>
      <c r="O169" s="431"/>
      <c r="P169" s="431"/>
      <c r="Q169" s="424"/>
      <c r="R169" s="422"/>
      <c r="S169" s="399"/>
      <c r="T169" s="399"/>
    </row>
    <row r="170" spans="1:20" s="81" customFormat="1" ht="15.75" customHeight="1" thickBot="1">
      <c r="A170" s="468"/>
      <c r="B170" s="469"/>
      <c r="C170" s="429" t="s">
        <v>26</v>
      </c>
      <c r="D170" s="471"/>
      <c r="E170" s="876"/>
      <c r="F170" s="473"/>
      <c r="G170" s="862">
        <f>ROUND(D170*E170+D170*F170,2)</f>
        <v>0</v>
      </c>
      <c r="H170" s="270"/>
      <c r="I170" s="41"/>
      <c r="J170" s="41"/>
      <c r="K170" s="271"/>
      <c r="L170" s="272"/>
      <c r="M170" s="878"/>
      <c r="N170" s="430"/>
      <c r="O170" s="431"/>
      <c r="P170" s="431"/>
      <c r="Q170" s="424"/>
      <c r="R170" s="422"/>
      <c r="S170" s="399"/>
      <c r="T170" s="399"/>
    </row>
    <row r="171" spans="1:20" s="81" customFormat="1" ht="15.75" customHeight="1">
      <c r="A171" s="468"/>
      <c r="B171" s="699"/>
      <c r="C171" s="48" t="s">
        <v>27</v>
      </c>
      <c r="D171" s="471">
        <f>14+307.7+1103.6</f>
        <v>1425.3</v>
      </c>
      <c r="E171" s="41">
        <f>6.7432-7.0379</f>
        <v>-0.29469999999999974</v>
      </c>
      <c r="F171" s="473"/>
      <c r="G171" s="862">
        <f>ROUND(D171*E171,2)</f>
        <v>-420.04</v>
      </c>
      <c r="H171" s="270"/>
      <c r="I171" s="41"/>
      <c r="J171" s="41"/>
      <c r="K171" s="271"/>
      <c r="L171" s="272"/>
      <c r="M171" s="878"/>
      <c r="N171" s="421"/>
      <c r="O171" s="77"/>
      <c r="P171" s="77"/>
      <c r="Q171" s="384"/>
      <c r="R171" s="422"/>
      <c r="S171" s="399"/>
      <c r="T171" s="399"/>
    </row>
    <row r="172" spans="1:20" s="81" customFormat="1" ht="15.75" customHeight="1">
      <c r="A172" s="468"/>
      <c r="B172" s="469"/>
      <c r="C172" s="48" t="s">
        <v>28</v>
      </c>
      <c r="D172" s="471">
        <f>1.4+2.2</f>
        <v>3.6</v>
      </c>
      <c r="E172" s="41">
        <v>6.7431999999999999</v>
      </c>
      <c r="F172" s="473"/>
      <c r="G172" s="862">
        <f>ROUND(D172*E172,2)</f>
        <v>24.28</v>
      </c>
      <c r="H172" s="270"/>
      <c r="I172" s="41"/>
      <c r="J172" s="41"/>
      <c r="K172" s="271"/>
      <c r="L172" s="272"/>
      <c r="M172" s="878"/>
      <c r="N172" s="423"/>
      <c r="O172" s="406"/>
      <c r="P172" s="406"/>
      <c r="Q172" s="407"/>
      <c r="R172" s="422"/>
      <c r="S172" s="399"/>
      <c r="T172" s="399"/>
    </row>
    <row r="173" spans="1:20" s="81" customFormat="1" ht="15.75" customHeight="1" thickBot="1">
      <c r="A173" s="701"/>
      <c r="B173" s="702"/>
      <c r="C173" s="99" t="s">
        <v>29</v>
      </c>
      <c r="D173" s="703">
        <f>567+931+1</f>
        <v>1499</v>
      </c>
      <c r="E173" s="56">
        <v>6.7431999999999999</v>
      </c>
      <c r="F173" s="704"/>
      <c r="G173" s="879">
        <f t="shared" ref="G173" si="19">ROUND(D173*E173,2)</f>
        <v>10108.06</v>
      </c>
      <c r="H173" s="280"/>
      <c r="I173" s="281"/>
      <c r="J173" s="281"/>
      <c r="K173" s="282"/>
      <c r="L173" s="204"/>
      <c r="M173" s="880"/>
      <c r="N173" s="426"/>
      <c r="O173" s="416"/>
      <c r="P173" s="416"/>
      <c r="Q173" s="417"/>
      <c r="R173" s="422"/>
      <c r="S173" s="399"/>
      <c r="T173" s="399"/>
    </row>
    <row r="174" spans="1:20" s="81" customFormat="1" ht="15.75" customHeight="1">
      <c r="A174" s="468"/>
      <c r="B174" s="699" t="s">
        <v>147</v>
      </c>
      <c r="C174" s="48" t="s">
        <v>27</v>
      </c>
      <c r="D174" s="471">
        <v>138.30000000000001</v>
      </c>
      <c r="E174" s="41">
        <f>6.7432-7.0379</f>
        <v>-0.29469999999999974</v>
      </c>
      <c r="F174" s="473"/>
      <c r="G174" s="449">
        <f>ROUND(D174*E174,2)</f>
        <v>-40.76</v>
      </c>
      <c r="H174" s="260"/>
      <c r="I174" s="261"/>
      <c r="J174" s="261"/>
      <c r="K174" s="262"/>
      <c r="L174" s="286">
        <f>SUM(G174:G176)</f>
        <v>953.19</v>
      </c>
      <c r="M174" s="90">
        <v>953.19</v>
      </c>
      <c r="N174" s="421"/>
      <c r="O174" s="77"/>
      <c r="P174" s="77"/>
      <c r="Q174" s="384"/>
      <c r="R174" s="422"/>
      <c r="S174" s="399"/>
      <c r="T174" s="399"/>
    </row>
    <row r="175" spans="1:20" s="81" customFormat="1" ht="15.75" customHeight="1">
      <c r="A175" s="468"/>
      <c r="B175" s="469"/>
      <c r="C175" s="48" t="s">
        <v>28</v>
      </c>
      <c r="D175" s="471">
        <v>0.4</v>
      </c>
      <c r="E175" s="41">
        <v>6.7431999999999999</v>
      </c>
      <c r="F175" s="473"/>
      <c r="G175" s="449">
        <f>ROUND(D175*E175,2)</f>
        <v>2.7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 thickBot="1">
      <c r="A176" s="701"/>
      <c r="B176" s="702"/>
      <c r="C176" s="99" t="s">
        <v>29</v>
      </c>
      <c r="D176" s="703">
        <v>147</v>
      </c>
      <c r="E176" s="56">
        <v>6.7431999999999999</v>
      </c>
      <c r="F176" s="704"/>
      <c r="G176" s="39">
        <f t="shared" ref="G176" si="20">ROUND(D176*E176,2)</f>
        <v>991.25</v>
      </c>
      <c r="H176" s="280"/>
      <c r="I176" s="281"/>
      <c r="J176" s="281"/>
      <c r="K176" s="282"/>
      <c r="L176" s="204"/>
      <c r="M176" s="371"/>
      <c r="N176" s="426"/>
      <c r="O176" s="416"/>
      <c r="P176" s="416"/>
      <c r="Q176" s="417"/>
      <c r="R176" s="422"/>
      <c r="S176" s="399"/>
      <c r="T176" s="399"/>
    </row>
    <row r="177" spans="1:20" s="81" customFormat="1" ht="15.75" customHeight="1">
      <c r="A177" s="468"/>
      <c r="B177" s="699" t="s">
        <v>154</v>
      </c>
      <c r="C177" s="48" t="s">
        <v>27</v>
      </c>
      <c r="D177" s="471">
        <v>325.8</v>
      </c>
      <c r="E177" s="41">
        <f>6.7432-7.0379</f>
        <v>-0.29469999999999974</v>
      </c>
      <c r="F177" s="473"/>
      <c r="G177" s="449">
        <f>ROUND(D177*E177,2)</f>
        <v>-96.01</v>
      </c>
      <c r="H177" s="303"/>
      <c r="I177" s="23"/>
      <c r="J177" s="23"/>
      <c r="K177" s="304"/>
      <c r="L177" s="263">
        <f>SUM(G177:G179)</f>
        <v>2161.61</v>
      </c>
      <c r="M177" s="26">
        <v>2161.61</v>
      </c>
      <c r="N177" s="421"/>
      <c r="O177" s="77"/>
      <c r="P177" s="77"/>
      <c r="Q177" s="384"/>
      <c r="R177" s="422"/>
      <c r="S177" s="399"/>
      <c r="T177" s="399"/>
    </row>
    <row r="178" spans="1:20" s="81" customFormat="1" ht="15.75" customHeight="1">
      <c r="A178" s="468"/>
      <c r="B178" s="469"/>
      <c r="C178" s="48" t="s">
        <v>28</v>
      </c>
      <c r="D178" s="471">
        <v>0.8</v>
      </c>
      <c r="E178" s="41">
        <v>6.7431999999999999</v>
      </c>
      <c r="F178" s="473"/>
      <c r="G178" s="449">
        <f>ROUND(D178*E178,2)</f>
        <v>5.39</v>
      </c>
      <c r="H178" s="260"/>
      <c r="I178" s="261"/>
      <c r="J178" s="261"/>
      <c r="K178" s="262"/>
      <c r="L178" s="286"/>
      <c r="M178" s="90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 thickBot="1">
      <c r="A179" s="701"/>
      <c r="B179" s="702"/>
      <c r="C179" s="99" t="s">
        <v>29</v>
      </c>
      <c r="D179" s="703">
        <v>334</v>
      </c>
      <c r="E179" s="56">
        <v>6.7431999999999999</v>
      </c>
      <c r="F179" s="704"/>
      <c r="G179" s="39">
        <f t="shared" ref="G179" si="21">ROUND(D179*E179,2)</f>
        <v>2252.23</v>
      </c>
      <c r="H179" s="280"/>
      <c r="I179" s="281"/>
      <c r="J179" s="281"/>
      <c r="K179" s="282"/>
      <c r="L179" s="204"/>
      <c r="M179" s="371"/>
      <c r="N179" s="426"/>
      <c r="O179" s="416"/>
      <c r="P179" s="416"/>
      <c r="Q179" s="417"/>
      <c r="R179" s="422"/>
      <c r="S179" s="399"/>
      <c r="T179" s="399"/>
    </row>
    <row r="180" spans="1:20" s="81" customFormat="1" ht="15.75" hidden="1" customHeight="1" outlineLevel="1">
      <c r="A180" s="686"/>
      <c r="B180" s="699" t="s">
        <v>155</v>
      </c>
      <c r="C180" s="48" t="s">
        <v>115</v>
      </c>
      <c r="D180" s="471"/>
      <c r="E180" s="41">
        <f>7.0379-7.0426</f>
        <v>-4.7000000000005926E-3</v>
      </c>
      <c r="F180" s="473"/>
      <c r="G180" s="449">
        <f>ROUND(D180*E180,2)</f>
        <v>0</v>
      </c>
      <c r="H180" s="303"/>
      <c r="I180" s="23"/>
      <c r="J180" s="23"/>
      <c r="K180" s="304"/>
      <c r="L180" s="263">
        <f>SUM(G180:G182)</f>
        <v>0</v>
      </c>
      <c r="M180" s="26"/>
      <c r="N180" s="421"/>
      <c r="O180" s="77"/>
      <c r="P180" s="77"/>
      <c r="Q180" s="384"/>
      <c r="R180" s="422"/>
      <c r="S180" s="399"/>
      <c r="T180" s="399"/>
    </row>
    <row r="181" spans="1:20" s="81" customFormat="1" ht="15.75" hidden="1" customHeight="1" outlineLevel="1">
      <c r="A181" s="686"/>
      <c r="B181" s="469"/>
      <c r="C181" s="48" t="s">
        <v>114</v>
      </c>
      <c r="D181" s="471"/>
      <c r="E181" s="41">
        <v>7.0378999999999996</v>
      </c>
      <c r="F181" s="473"/>
      <c r="G181" s="449">
        <f>ROUND(D181*E181,2)</f>
        <v>0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0" s="81" customFormat="1" ht="15.75" hidden="1" customHeight="1" outlineLevel="1" thickBot="1">
      <c r="A182" s="834"/>
      <c r="B182" s="702"/>
      <c r="C182" s="99" t="s">
        <v>29</v>
      </c>
      <c r="D182" s="703"/>
      <c r="E182" s="56">
        <v>7.0378999999999996</v>
      </c>
      <c r="F182" s="704"/>
      <c r="G182" s="39">
        <f t="shared" ref="G182" si="22">ROUND(D182*E182,2)</f>
        <v>0</v>
      </c>
      <c r="H182" s="280"/>
      <c r="I182" s="281"/>
      <c r="J182" s="281"/>
      <c r="K182" s="282"/>
      <c r="L182" s="204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.75" customHeight="1" collapsed="1">
      <c r="A183" s="468"/>
      <c r="B183" s="699" t="s">
        <v>160</v>
      </c>
      <c r="C183" s="48" t="s">
        <v>27</v>
      </c>
      <c r="D183" s="471">
        <v>30.07</v>
      </c>
      <c r="E183" s="41">
        <f>6.7432-7.0379</f>
        <v>-0.29469999999999974</v>
      </c>
      <c r="F183" s="473"/>
      <c r="G183" s="449">
        <f>ROUND(D183*E183,2)-0.02</f>
        <v>-8.879999999999999</v>
      </c>
      <c r="H183" s="303"/>
      <c r="I183" s="23"/>
      <c r="J183" s="23"/>
      <c r="K183" s="304"/>
      <c r="L183" s="263">
        <f>SUM(G183:G185)</f>
        <v>65.510000000000005</v>
      </c>
      <c r="M183" s="26">
        <v>65.510000000000005</v>
      </c>
      <c r="N183" s="421"/>
      <c r="O183" s="77"/>
      <c r="P183" s="77"/>
      <c r="Q183" s="384"/>
      <c r="R183" s="422"/>
      <c r="S183" s="399"/>
      <c r="T183" s="399"/>
    </row>
    <row r="184" spans="1:20" s="81" customFormat="1" ht="15.75" customHeight="1">
      <c r="A184" s="468"/>
      <c r="B184" s="469"/>
      <c r="C184" s="48" t="s">
        <v>28</v>
      </c>
      <c r="D184" s="471">
        <v>0.03</v>
      </c>
      <c r="E184" s="41">
        <v>6.7431999999999999</v>
      </c>
      <c r="F184" s="473"/>
      <c r="G184" s="449">
        <f>ROUND(D184*E184,2)+0.01</f>
        <v>0.21000000000000002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 thickBot="1">
      <c r="A185" s="701"/>
      <c r="B185" s="702"/>
      <c r="C185" s="99" t="s">
        <v>29</v>
      </c>
      <c r="D185" s="703">
        <v>11</v>
      </c>
      <c r="E185" s="56">
        <v>6.7431999999999999</v>
      </c>
      <c r="F185" s="704"/>
      <c r="G185" s="39">
        <f t="shared" ref="G185" si="23">ROUND(D185*E185,2)</f>
        <v>74.180000000000007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0" s="81" customFormat="1" ht="15.75" customHeight="1">
      <c r="A186" s="468"/>
      <c r="B186" s="699" t="s">
        <v>161</v>
      </c>
      <c r="C186" s="48" t="s">
        <v>27</v>
      </c>
      <c r="D186" s="471">
        <v>819</v>
      </c>
      <c r="E186" s="41">
        <f>6.7432-7.0379</f>
        <v>-0.29469999999999974</v>
      </c>
      <c r="F186" s="473"/>
      <c r="G186" s="449">
        <f>ROUND(D186*E186,2)-0.01</f>
        <v>-241.37</v>
      </c>
      <c r="H186" s="303"/>
      <c r="I186" s="23"/>
      <c r="J186" s="23"/>
      <c r="K186" s="304"/>
      <c r="L186" s="263">
        <f>SUM(G186:G188)</f>
        <v>5903.04</v>
      </c>
      <c r="M186" s="26">
        <v>5903.04</v>
      </c>
      <c r="N186" s="421"/>
      <c r="O186" s="77"/>
      <c r="P186" s="77"/>
      <c r="Q186" s="384"/>
      <c r="R186" s="422"/>
      <c r="S186" s="399"/>
      <c r="T186" s="399"/>
    </row>
    <row r="187" spans="1:20" s="81" customFormat="1" ht="15.75" customHeight="1">
      <c r="A187" s="468"/>
      <c r="B187" s="469"/>
      <c r="C187" s="48" t="s">
        <v>28</v>
      </c>
      <c r="D187" s="471">
        <v>2.2000000000000002</v>
      </c>
      <c r="E187" s="41">
        <v>6.7431999999999999</v>
      </c>
      <c r="F187" s="473"/>
      <c r="G187" s="449">
        <f>ROUND(D187*E187,2)</f>
        <v>14.84</v>
      </c>
      <c r="H187" s="260"/>
      <c r="I187" s="261"/>
      <c r="J187" s="261"/>
      <c r="K187" s="262"/>
      <c r="L187" s="286"/>
      <c r="M187" s="90"/>
      <c r="N187" s="423"/>
      <c r="O187" s="406"/>
      <c r="P187" s="406"/>
      <c r="Q187" s="407"/>
      <c r="R187" s="422"/>
      <c r="S187" s="399"/>
      <c r="T187" s="399"/>
    </row>
    <row r="188" spans="1:20" s="81" customFormat="1" ht="15.75" customHeight="1" thickBot="1">
      <c r="A188" s="701"/>
      <c r="B188" s="702"/>
      <c r="C188" s="99" t="s">
        <v>29</v>
      </c>
      <c r="D188" s="703">
        <v>909</v>
      </c>
      <c r="E188" s="56">
        <v>6.7431999999999999</v>
      </c>
      <c r="F188" s="704"/>
      <c r="G188" s="39">
        <f t="shared" ref="G188" si="24">ROUND(D188*E188,2)</f>
        <v>6129.57</v>
      </c>
      <c r="H188" s="280"/>
      <c r="I188" s="281"/>
      <c r="J188" s="281"/>
      <c r="K188" s="282"/>
      <c r="L188" s="204"/>
      <c r="M188" s="371"/>
      <c r="N188" s="426"/>
      <c r="O188" s="416"/>
      <c r="P188" s="416"/>
      <c r="Q188" s="417"/>
      <c r="R188" s="422"/>
      <c r="S188" s="399"/>
      <c r="T188" s="399"/>
    </row>
    <row r="189" spans="1:20" s="81" customFormat="1" ht="15.75" customHeight="1">
      <c r="A189" s="468"/>
      <c r="B189" s="699" t="s">
        <v>162</v>
      </c>
      <c r="C189" s="48" t="s">
        <v>27</v>
      </c>
      <c r="D189" s="471">
        <v>1030.5</v>
      </c>
      <c r="E189" s="41">
        <f>6.7432-7.0379</f>
        <v>-0.29469999999999974</v>
      </c>
      <c r="F189" s="473"/>
      <c r="G189" s="449">
        <f>ROUND(D189*E189,2)</f>
        <v>-303.69</v>
      </c>
      <c r="H189" s="303"/>
      <c r="I189" s="23"/>
      <c r="J189" s="23"/>
      <c r="K189" s="304"/>
      <c r="L189" s="263">
        <f>SUM(G189:G191)</f>
        <v>5847.46</v>
      </c>
      <c r="M189" s="26">
        <v>5847.46</v>
      </c>
      <c r="N189" s="421"/>
      <c r="O189" s="77"/>
      <c r="P189" s="77"/>
      <c r="Q189" s="384"/>
      <c r="R189" s="422"/>
      <c r="S189" s="399"/>
      <c r="T189" s="399"/>
    </row>
    <row r="190" spans="1:20" s="81" customFormat="1" ht="15.75" customHeight="1">
      <c r="A190" s="468"/>
      <c r="B190" s="469"/>
      <c r="C190" s="48" t="s">
        <v>28</v>
      </c>
      <c r="D190" s="471">
        <v>2.2000000000000002</v>
      </c>
      <c r="E190" s="41">
        <v>6.7431999999999999</v>
      </c>
      <c r="F190" s="473"/>
      <c r="G190" s="449">
        <f>ROUND(D190*E190,2)</f>
        <v>14.84</v>
      </c>
      <c r="H190" s="260"/>
      <c r="I190" s="261"/>
      <c r="J190" s="261"/>
      <c r="K190" s="262"/>
      <c r="L190" s="286"/>
      <c r="M190" s="90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 thickBot="1">
      <c r="A191" s="701"/>
      <c r="B191" s="702"/>
      <c r="C191" s="99" t="s">
        <v>29</v>
      </c>
      <c r="D191" s="703">
        <v>910</v>
      </c>
      <c r="E191" s="56">
        <v>6.7431999999999999</v>
      </c>
      <c r="F191" s="704"/>
      <c r="G191" s="39">
        <f t="shared" ref="G191" si="25">ROUND(D191*E191,2)</f>
        <v>6136.31</v>
      </c>
      <c r="H191" s="280"/>
      <c r="I191" s="281"/>
      <c r="J191" s="281"/>
      <c r="K191" s="282"/>
      <c r="L191" s="204"/>
      <c r="M191" s="371"/>
      <c r="N191" s="426"/>
      <c r="O191" s="416"/>
      <c r="P191" s="416"/>
      <c r="Q191" s="417"/>
      <c r="R191" s="422"/>
      <c r="S191" s="399"/>
      <c r="T191" s="399"/>
    </row>
    <row r="192" spans="1:20" s="81" customFormat="1" ht="15.75" customHeight="1">
      <c r="A192" s="468"/>
      <c r="B192" s="699" t="s">
        <v>167</v>
      </c>
      <c r="C192" s="48" t="s">
        <v>27</v>
      </c>
      <c r="D192" s="471">
        <v>51.1</v>
      </c>
      <c r="E192" s="41">
        <f>6.7432-7.0379</f>
        <v>-0.29469999999999974</v>
      </c>
      <c r="F192" s="473"/>
      <c r="G192" s="449">
        <f>ROUND(D192*E192,2)+0.01</f>
        <v>-15.05</v>
      </c>
      <c r="H192" s="303"/>
      <c r="I192" s="23"/>
      <c r="J192" s="23"/>
      <c r="K192" s="304"/>
      <c r="L192" s="263">
        <f>SUM(G192:G194)</f>
        <v>309.29000000000002</v>
      </c>
      <c r="M192" s="26">
        <v>309.29000000000002</v>
      </c>
      <c r="N192" s="421"/>
      <c r="O192" s="77"/>
      <c r="P192" s="77"/>
      <c r="Q192" s="384"/>
      <c r="R192" s="422"/>
      <c r="S192" s="399"/>
      <c r="T192" s="399"/>
    </row>
    <row r="193" spans="1:20" s="81" customFormat="1" ht="15.75" customHeight="1">
      <c r="A193" s="468"/>
      <c r="B193" s="469"/>
      <c r="C193" s="48" t="s">
        <v>28</v>
      </c>
      <c r="D193" s="471">
        <v>0.1</v>
      </c>
      <c r="E193" s="41">
        <v>6.7431999999999999</v>
      </c>
      <c r="F193" s="473"/>
      <c r="G193" s="449">
        <f>ROUND(D193*E193,2)</f>
        <v>0.67</v>
      </c>
      <c r="H193" s="260"/>
      <c r="I193" s="261"/>
      <c r="J193" s="261"/>
      <c r="K193" s="262"/>
      <c r="L193" s="286"/>
      <c r="M193" s="90"/>
      <c r="N193" s="423"/>
      <c r="O193" s="406"/>
      <c r="P193" s="406"/>
      <c r="Q193" s="407"/>
      <c r="R193" s="422"/>
      <c r="S193" s="399"/>
      <c r="T193" s="399"/>
    </row>
    <row r="194" spans="1:20" s="81" customFormat="1" ht="15.75" customHeight="1" thickBot="1">
      <c r="A194" s="701"/>
      <c r="B194" s="702"/>
      <c r="C194" s="99" t="s">
        <v>29</v>
      </c>
      <c r="D194" s="703">
        <v>48</v>
      </c>
      <c r="E194" s="56">
        <v>6.7431999999999999</v>
      </c>
      <c r="F194" s="704"/>
      <c r="G194" s="39">
        <f t="shared" ref="G194" si="26">ROUND(D194*E194,2)</f>
        <v>323.67</v>
      </c>
      <c r="H194" s="280"/>
      <c r="I194" s="281"/>
      <c r="J194" s="281"/>
      <c r="K194" s="282"/>
      <c r="L194" s="204"/>
      <c r="M194" s="371"/>
      <c r="N194" s="426"/>
      <c r="O194" s="416"/>
      <c r="P194" s="416"/>
      <c r="Q194" s="417"/>
      <c r="R194" s="422"/>
      <c r="S194" s="399"/>
      <c r="T194" s="399"/>
    </row>
    <row r="195" spans="1:20" s="81" customFormat="1" ht="15.75" customHeight="1">
      <c r="A195" s="468"/>
      <c r="B195" s="699" t="s">
        <v>168</v>
      </c>
      <c r="C195" s="48" t="s">
        <v>27</v>
      </c>
      <c r="D195" s="471">
        <v>144.30000000000001</v>
      </c>
      <c r="E195" s="41">
        <f>6.7432-7.0379</f>
        <v>-0.29469999999999974</v>
      </c>
      <c r="F195" s="473"/>
      <c r="G195" s="449">
        <f>ROUND(D195*E195,2)+0.01</f>
        <v>-42.52</v>
      </c>
      <c r="H195" s="303"/>
      <c r="I195" s="23"/>
      <c r="J195" s="23"/>
      <c r="K195" s="304"/>
      <c r="L195" s="263">
        <f>SUM(G195:G197)</f>
        <v>937.26</v>
      </c>
      <c r="M195" s="26">
        <v>937.26</v>
      </c>
      <c r="N195" s="421"/>
      <c r="O195" s="77"/>
      <c r="P195" s="77"/>
      <c r="Q195" s="384"/>
      <c r="R195" s="422"/>
      <c r="S195" s="399"/>
      <c r="T195" s="399"/>
    </row>
    <row r="196" spans="1:20" s="81" customFormat="1" ht="15.75" customHeight="1">
      <c r="A196" s="468"/>
      <c r="B196" s="469"/>
      <c r="C196" s="48" t="s">
        <v>28</v>
      </c>
      <c r="D196" s="471">
        <v>0.3</v>
      </c>
      <c r="E196" s="41">
        <v>6.7431999999999999</v>
      </c>
      <c r="F196" s="473"/>
      <c r="G196" s="449">
        <f>ROUND(D196*E196,2)</f>
        <v>2.02</v>
      </c>
      <c r="H196" s="260"/>
      <c r="I196" s="261"/>
      <c r="J196" s="261"/>
      <c r="K196" s="262"/>
      <c r="L196" s="286"/>
      <c r="M196" s="90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 thickBot="1">
      <c r="A197" s="858"/>
      <c r="B197" s="859"/>
      <c r="C197" s="54" t="s">
        <v>29</v>
      </c>
      <c r="D197" s="860">
        <v>145</v>
      </c>
      <c r="E197" s="56">
        <v>6.7431999999999999</v>
      </c>
      <c r="F197" s="861"/>
      <c r="G197" s="414">
        <f t="shared" ref="G197" si="27">ROUND(D197*E197,2)</f>
        <v>977.76</v>
      </c>
      <c r="H197" s="280"/>
      <c r="I197" s="281"/>
      <c r="J197" s="281"/>
      <c r="K197" s="282"/>
      <c r="L197" s="204"/>
      <c r="M197" s="371"/>
      <c r="N197" s="426"/>
      <c r="O197" s="416"/>
      <c r="P197" s="416"/>
      <c r="Q197" s="417"/>
      <c r="R197" s="422"/>
      <c r="S197" s="399"/>
      <c r="T197" s="399"/>
    </row>
    <row r="198" spans="1:20" s="81" customFormat="1" ht="15.75" customHeight="1">
      <c r="A198" s="468"/>
      <c r="B198" s="699" t="s">
        <v>175</v>
      </c>
      <c r="C198" s="48" t="s">
        <v>27</v>
      </c>
      <c r="D198" s="471">
        <v>1543.7</v>
      </c>
      <c r="E198" s="261">
        <f>6.7432-7.0379</f>
        <v>-0.29469999999999974</v>
      </c>
      <c r="F198" s="473"/>
      <c r="G198" s="862">
        <f>ROUND(D198*E198,2)</f>
        <v>-454.93</v>
      </c>
      <c r="H198" s="261"/>
      <c r="I198" s="261"/>
      <c r="J198" s="261"/>
      <c r="K198" s="261"/>
      <c r="L198" s="261">
        <f>SUM(G198:G201)</f>
        <v>12179.984</v>
      </c>
      <c r="M198" s="863">
        <v>12179.98</v>
      </c>
      <c r="N198" s="443"/>
      <c r="O198" s="94"/>
      <c r="P198" s="94"/>
      <c r="Q198" s="396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28</v>
      </c>
      <c r="D199" s="471">
        <v>4.4000000000000004</v>
      </c>
      <c r="E199" s="207">
        <v>6.7431999999999999</v>
      </c>
      <c r="F199" s="473"/>
      <c r="G199" s="864">
        <f>ROUND(D199*E199,2)</f>
        <v>29.67</v>
      </c>
      <c r="H199" s="41"/>
      <c r="I199" s="41"/>
      <c r="J199" s="41"/>
      <c r="K199" s="41"/>
      <c r="L199" s="199"/>
      <c r="M199" s="865"/>
      <c r="N199" s="434"/>
      <c r="O199" s="435"/>
      <c r="P199" s="435"/>
      <c r="Q199" s="425"/>
      <c r="R199" s="422"/>
      <c r="S199" s="399"/>
      <c r="T199" s="399"/>
    </row>
    <row r="200" spans="1:20" s="81" customFormat="1" ht="15.75" customHeight="1">
      <c r="A200" s="701"/>
      <c r="B200" s="702"/>
      <c r="C200" s="99" t="s">
        <v>29</v>
      </c>
      <c r="D200" s="703">
        <v>1846</v>
      </c>
      <c r="E200" s="472">
        <v>6.7431999999999999</v>
      </c>
      <c r="F200" s="473"/>
      <c r="G200" s="474">
        <f t="shared" ref="G200" si="28">ROUND(D200*E200,2)</f>
        <v>12447.95</v>
      </c>
      <c r="H200" s="41"/>
      <c r="I200" s="41"/>
      <c r="J200" s="41"/>
      <c r="K200" s="41"/>
      <c r="L200" s="199"/>
      <c r="M200" s="865"/>
      <c r="N200" s="399"/>
      <c r="O200" s="399"/>
      <c r="P200" s="399"/>
      <c r="Q200" s="399"/>
      <c r="R200" s="422"/>
      <c r="S200" s="399"/>
      <c r="T200" s="399"/>
    </row>
    <row r="201" spans="1:20" s="81" customFormat="1" ht="15.75" customHeight="1" thickBot="1">
      <c r="A201" s="858"/>
      <c r="B201" s="859"/>
      <c r="C201" s="54" t="s">
        <v>73</v>
      </c>
      <c r="D201" s="860">
        <v>2</v>
      </c>
      <c r="E201" s="56">
        <v>36.214199999999998</v>
      </c>
      <c r="F201" s="861">
        <v>42.4328</v>
      </c>
      <c r="G201" s="866">
        <f>+D201*(E201+F201)</f>
        <v>157.29399999999998</v>
      </c>
      <c r="H201" s="281"/>
      <c r="I201" s="281"/>
      <c r="J201" s="281"/>
      <c r="K201" s="281"/>
      <c r="L201" s="281"/>
      <c r="M201" s="867"/>
      <c r="N201" s="426"/>
      <c r="O201" s="416"/>
      <c r="P201" s="416"/>
      <c r="Q201" s="417"/>
      <c r="R201" s="422"/>
      <c r="S201" s="399"/>
      <c r="T201" s="399"/>
    </row>
    <row r="202" spans="1:20" s="81" customFormat="1" ht="15.75" customHeight="1" thickBot="1">
      <c r="A202" s="441"/>
      <c r="B202" s="868" t="s">
        <v>182</v>
      </c>
      <c r="C202" s="390" t="s">
        <v>73</v>
      </c>
      <c r="D202" s="869">
        <v>16</v>
      </c>
      <c r="E202" s="86">
        <v>36.214199999999998</v>
      </c>
      <c r="F202" s="86">
        <v>42.4328</v>
      </c>
      <c r="G202" s="449">
        <f>+D202*(E202+F202)</f>
        <v>1258.3519999999999</v>
      </c>
      <c r="H202" s="260"/>
      <c r="I202" s="392"/>
      <c r="J202" s="392"/>
      <c r="K202" s="870"/>
      <c r="L202" s="286">
        <f>SUM(G202:G206,J202:J206)</f>
        <v>19852.862000000001</v>
      </c>
      <c r="M202" s="90">
        <v>19852.86</v>
      </c>
      <c r="N202" s="443"/>
      <c r="O202" s="94"/>
      <c r="P202" s="94"/>
      <c r="Q202" s="396"/>
      <c r="R202" s="422"/>
      <c r="S202" s="399"/>
      <c r="T202" s="399"/>
    </row>
    <row r="203" spans="1:20" s="81" customFormat="1" ht="15.75" customHeight="1">
      <c r="A203" s="441"/>
      <c r="B203" s="442"/>
      <c r="C203" s="36" t="s">
        <v>26</v>
      </c>
      <c r="D203" s="37"/>
      <c r="E203" s="38"/>
      <c r="F203" s="38"/>
      <c r="G203" s="39">
        <f>ROUND(D203*(E203+F203),2)</f>
        <v>0</v>
      </c>
      <c r="H203" s="457"/>
      <c r="I203" s="392"/>
      <c r="J203" s="381"/>
      <c r="K203" s="393"/>
      <c r="L203" s="459"/>
      <c r="M203" s="44"/>
      <c r="N203" s="430"/>
      <c r="O203" s="431"/>
      <c r="P203" s="431"/>
      <c r="Q203" s="424"/>
      <c r="R203" s="422"/>
      <c r="S203" s="399"/>
      <c r="T203" s="399"/>
    </row>
    <row r="204" spans="1:20" s="81" customFormat="1" ht="15.75" customHeight="1">
      <c r="A204" s="441"/>
      <c r="B204" s="442"/>
      <c r="C204" s="48" t="s">
        <v>27</v>
      </c>
      <c r="D204" s="37">
        <v>1516.6</v>
      </c>
      <c r="E204" s="41">
        <f>6.7432-7.0379</f>
        <v>-0.29469999999999974</v>
      </c>
      <c r="F204" s="38"/>
      <c r="G204" s="39">
        <f>ROUND(D204*(E204),2)+0.01</f>
        <v>-446.93</v>
      </c>
      <c r="H204" s="270"/>
      <c r="I204" s="41"/>
      <c r="J204" s="41"/>
      <c r="K204" s="271"/>
      <c r="L204" s="272"/>
      <c r="M204" s="102"/>
      <c r="N204" s="430"/>
      <c r="O204" s="431"/>
      <c r="P204" s="431"/>
      <c r="Q204" s="424"/>
      <c r="R204" s="422"/>
      <c r="S204" s="399"/>
      <c r="T204" s="399"/>
    </row>
    <row r="205" spans="1:20" s="81" customFormat="1" ht="15.75" customHeight="1">
      <c r="A205" s="441"/>
      <c r="B205" s="442"/>
      <c r="C205" s="48" t="s">
        <v>28</v>
      </c>
      <c r="D205" s="37">
        <v>6.8</v>
      </c>
      <c r="E205" s="41">
        <v>6.7431999999999999</v>
      </c>
      <c r="F205" s="38"/>
      <c r="G205" s="39">
        <f>ROUND(D205*(E205),2)</f>
        <v>45.85</v>
      </c>
      <c r="H205" s="270"/>
      <c r="I205" s="41"/>
      <c r="J205" s="41"/>
      <c r="K205" s="271"/>
      <c r="L205" s="272"/>
      <c r="M205" s="102"/>
      <c r="N205" s="434"/>
      <c r="O205" s="435"/>
      <c r="P205" s="435"/>
      <c r="Q205" s="425"/>
      <c r="R205" s="422"/>
      <c r="S205" s="399"/>
      <c r="T205" s="399"/>
    </row>
    <row r="206" spans="1:20" s="81" customFormat="1" ht="15.75" customHeight="1" thickBot="1">
      <c r="A206" s="460"/>
      <c r="B206" s="461"/>
      <c r="C206" s="99" t="s">
        <v>29</v>
      </c>
      <c r="D206" s="462">
        <v>2817</v>
      </c>
      <c r="E206" s="56">
        <v>6.7431999999999999</v>
      </c>
      <c r="F206" s="311"/>
      <c r="G206" s="110">
        <f>ROUND(D206*(E206),2)</f>
        <v>18995.59</v>
      </c>
      <c r="H206" s="310"/>
      <c r="I206" s="311"/>
      <c r="J206" s="311"/>
      <c r="K206" s="312"/>
      <c r="L206" s="313"/>
      <c r="M206" s="115"/>
      <c r="N206" s="463"/>
      <c r="O206" s="464"/>
      <c r="P206" s="464"/>
      <c r="Q206" s="465"/>
      <c r="R206" s="422"/>
      <c r="S206" s="399"/>
      <c r="T206" s="399"/>
    </row>
    <row r="207" spans="1:20" s="81" customFormat="1" ht="15.75" customHeight="1" thickTop="1" thickBot="1">
      <c r="A207" s="686"/>
      <c r="B207" s="469"/>
      <c r="C207" s="470"/>
      <c r="D207" s="471"/>
      <c r="E207" s="472"/>
      <c r="F207" s="473"/>
      <c r="G207" s="474"/>
      <c r="H207" s="473"/>
      <c r="I207" s="473"/>
      <c r="J207" s="473"/>
      <c r="K207" s="473"/>
      <c r="L207" s="473"/>
      <c r="M207" s="475"/>
      <c r="N207" s="399"/>
      <c r="O207" s="399"/>
      <c r="P207" s="399"/>
      <c r="Q207" s="399"/>
      <c r="R207" s="422"/>
      <c r="S207" s="399"/>
      <c r="T207" s="399"/>
    </row>
    <row r="208" spans="1:20" s="81" customFormat="1" ht="15" customHeight="1" thickTop="1">
      <c r="A208" s="476"/>
      <c r="B208" s="158"/>
      <c r="C208" s="322"/>
      <c r="D208" s="477"/>
      <c r="E208" s="163"/>
      <c r="F208" s="163"/>
      <c r="G208" s="478"/>
      <c r="H208" s="163"/>
      <c r="I208" s="163"/>
      <c r="J208" s="163"/>
      <c r="K208" s="163"/>
      <c r="L208" s="163"/>
      <c r="M208" s="164"/>
      <c r="N208" s="479"/>
      <c r="O208" s="479"/>
      <c r="P208" s="479"/>
      <c r="Q208" s="479"/>
      <c r="R208" s="480"/>
      <c r="S208" s="479"/>
      <c r="T208" s="399"/>
    </row>
    <row r="209" spans="1:21" ht="21.75" thickBot="1">
      <c r="A209" s="171" t="s">
        <v>84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  <c r="N209" s="2"/>
      <c r="O209" s="2"/>
      <c r="P209" s="2"/>
      <c r="Q209" s="2"/>
      <c r="R209" s="2"/>
      <c r="S209" s="2"/>
      <c r="T209" s="2"/>
    </row>
    <row r="210" spans="1:21" ht="15.75" customHeight="1" thickTop="1" thickBot="1">
      <c r="A210" s="1540" t="s">
        <v>1</v>
      </c>
      <c r="B210" s="1542" t="s">
        <v>2</v>
      </c>
      <c r="C210" s="1544" t="s">
        <v>3</v>
      </c>
      <c r="D210" s="1546" t="s">
        <v>4</v>
      </c>
      <c r="E210" s="1546"/>
      <c r="F210" s="1546"/>
      <c r="G210" s="1546"/>
      <c r="H210" s="1547" t="s">
        <v>5</v>
      </c>
      <c r="I210" s="1548"/>
      <c r="J210" s="1548"/>
      <c r="K210" s="1549"/>
      <c r="L210" s="1524" t="s">
        <v>6</v>
      </c>
      <c r="M210" s="1511" t="s">
        <v>7</v>
      </c>
      <c r="N210" s="1551" t="s">
        <v>8</v>
      </c>
      <c r="O210" s="1551"/>
      <c r="P210" s="1551"/>
      <c r="Q210" s="1552" t="s">
        <v>18</v>
      </c>
      <c r="R210" s="481" t="s">
        <v>85</v>
      </c>
      <c r="S210" s="482" t="s">
        <v>20</v>
      </c>
      <c r="T210" s="482" t="s">
        <v>21</v>
      </c>
    </row>
    <row r="211" spans="1:21" ht="40.5" customHeight="1" thickTop="1" thickBot="1">
      <c r="A211" s="1541"/>
      <c r="B211" s="1543"/>
      <c r="C211" s="1545" t="s">
        <v>10</v>
      </c>
      <c r="D211" s="483" t="s">
        <v>11</v>
      </c>
      <c r="E211" s="484" t="s">
        <v>12</v>
      </c>
      <c r="F211" s="484" t="s">
        <v>13</v>
      </c>
      <c r="G211" s="485" t="s">
        <v>14</v>
      </c>
      <c r="H211" s="483" t="s">
        <v>11</v>
      </c>
      <c r="I211" s="486" t="s">
        <v>15</v>
      </c>
      <c r="J211" s="485"/>
      <c r="K211" s="487" t="s">
        <v>16</v>
      </c>
      <c r="L211" s="1525"/>
      <c r="M211" s="1550"/>
      <c r="N211" s="488" t="s">
        <v>14</v>
      </c>
      <c r="O211" s="485"/>
      <c r="P211" s="489" t="s">
        <v>18</v>
      </c>
      <c r="Q211" s="490" t="s">
        <v>19</v>
      </c>
      <c r="R211" s="491"/>
      <c r="S211" s="492"/>
      <c r="T211" s="492"/>
    </row>
    <row r="212" spans="1:21">
      <c r="A212" s="493">
        <v>501</v>
      </c>
      <c r="B212" s="494" t="s">
        <v>86</v>
      </c>
      <c r="C212" s="71"/>
      <c r="D212" s="495">
        <v>48</v>
      </c>
      <c r="E212" s="21">
        <v>36.214199999999998</v>
      </c>
      <c r="F212" s="21">
        <v>42.4328</v>
      </c>
      <c r="G212" s="185">
        <f>ROUND(D212*(E212+F212),2)</f>
        <v>3775.06</v>
      </c>
      <c r="H212" s="496"/>
      <c r="I212" s="73"/>
      <c r="J212" s="73"/>
      <c r="K212" s="497"/>
      <c r="L212" s="498">
        <f>+SUM(G212:G219,C219)</f>
        <v>53879.655599999998</v>
      </c>
      <c r="M212" s="26">
        <v>53879.66</v>
      </c>
      <c r="N212" s="499"/>
      <c r="O212" s="500"/>
      <c r="P212" s="501" t="s">
        <v>87</v>
      </c>
      <c r="Q212" s="304">
        <f t="shared" ref="Q212:Q230" si="29">C212+G212+J212-M212-N212-O212</f>
        <v>-50104.600000000006</v>
      </c>
      <c r="R212" s="502" t="s">
        <v>88</v>
      </c>
      <c r="S212" s="503"/>
      <c r="T212" s="504"/>
      <c r="U212" s="33"/>
    </row>
    <row r="213" spans="1:21" ht="15.75" thickBot="1">
      <c r="A213" s="505"/>
      <c r="B213" s="506"/>
      <c r="C213" s="507"/>
      <c r="D213" s="508"/>
      <c r="E213" s="38"/>
      <c r="F213" s="38"/>
      <c r="G213" s="50">
        <f>ROUND(D213*(E213+F213),2)</f>
        <v>0</v>
      </c>
      <c r="H213" s="448"/>
      <c r="I213" s="509"/>
      <c r="J213" s="409"/>
      <c r="K213" s="510"/>
      <c r="L213" s="511"/>
      <c r="M213" s="512"/>
      <c r="N213" s="513"/>
      <c r="O213" s="514"/>
      <c r="P213" s="515"/>
      <c r="Q213" s="262"/>
      <c r="R213" s="502"/>
      <c r="S213" s="503"/>
      <c r="T213" s="504"/>
      <c r="U213" s="33"/>
    </row>
    <row r="214" spans="1:21">
      <c r="A214" s="505"/>
      <c r="B214" s="516" t="s">
        <v>89</v>
      </c>
      <c r="C214" s="512" t="s">
        <v>90</v>
      </c>
      <c r="D214" s="508">
        <v>2</v>
      </c>
      <c r="E214" s="101">
        <v>304.86</v>
      </c>
      <c r="F214" s="21">
        <v>42.4328</v>
      </c>
      <c r="G214" s="50">
        <f>D214*(E214+F214)</f>
        <v>694.5856</v>
      </c>
      <c r="H214" s="270"/>
      <c r="I214" s="41"/>
      <c r="J214" s="409"/>
      <c r="K214" s="510"/>
      <c r="L214" s="517"/>
      <c r="M214" s="99"/>
      <c r="N214" s="518"/>
      <c r="O214" s="519"/>
      <c r="P214" s="515" t="s">
        <v>87</v>
      </c>
      <c r="Q214" s="271">
        <f>+G214+J214-M214-N214-O214</f>
        <v>694.5856</v>
      </c>
      <c r="R214" s="502" t="s">
        <v>88</v>
      </c>
      <c r="S214" s="503"/>
      <c r="T214" s="504"/>
    </row>
    <row r="215" spans="1:21">
      <c r="A215" s="505"/>
      <c r="B215" s="506" t="s">
        <v>91</v>
      </c>
      <c r="C215" s="507"/>
      <c r="D215" s="508"/>
      <c r="E215" s="41"/>
      <c r="F215" s="38"/>
      <c r="G215" s="50">
        <f>ROUND(D215*(E215+F215),2)</f>
        <v>0</v>
      </c>
      <c r="H215" s="432"/>
      <c r="I215" s="362"/>
      <c r="J215" s="409"/>
      <c r="K215" s="510"/>
      <c r="L215" s="517"/>
      <c r="M215" s="520"/>
      <c r="N215" s="521"/>
      <c r="O215" s="522"/>
      <c r="P215" s="523"/>
      <c r="Q215" s="362"/>
      <c r="R215" s="502"/>
      <c r="S215" s="503"/>
      <c r="T215" s="504"/>
    </row>
    <row r="216" spans="1:21">
      <c r="A216" s="505"/>
      <c r="B216" s="506" t="s">
        <v>91</v>
      </c>
      <c r="C216" s="507"/>
      <c r="D216" s="508"/>
      <c r="E216" s="38"/>
      <c r="F216" s="41"/>
      <c r="G216" s="50">
        <f>D216*(E216+F216)</f>
        <v>0</v>
      </c>
      <c r="H216" s="432"/>
      <c r="I216" s="362"/>
      <c r="J216" s="409"/>
      <c r="K216" s="510"/>
      <c r="L216" s="517"/>
      <c r="M216" s="520"/>
      <c r="N216" s="521"/>
      <c r="O216" s="522"/>
      <c r="P216" s="523"/>
      <c r="Q216" s="362"/>
      <c r="R216" s="502"/>
      <c r="S216" s="503"/>
      <c r="T216" s="504"/>
    </row>
    <row r="217" spans="1:21">
      <c r="A217" s="505"/>
      <c r="B217" s="506" t="s">
        <v>92</v>
      </c>
      <c r="C217" s="48" t="s">
        <v>27</v>
      </c>
      <c r="D217" s="508">
        <v>7648</v>
      </c>
      <c r="E217" s="41">
        <f>6.505-6.8021</f>
        <v>-0.29710000000000036</v>
      </c>
      <c r="F217" s="41">
        <f>+E217</f>
        <v>-0.29710000000000036</v>
      </c>
      <c r="G217" s="39">
        <f>ROUNDDOWN(D217*E217,2)</f>
        <v>-2272.2199999999998</v>
      </c>
      <c r="H217" s="432"/>
      <c r="I217" s="362"/>
      <c r="J217" s="41"/>
      <c r="K217" s="510"/>
      <c r="L217" s="517"/>
      <c r="M217" s="520"/>
      <c r="N217" s="521"/>
      <c r="O217" s="522"/>
      <c r="P217" s="523"/>
      <c r="Q217" s="362"/>
      <c r="R217" s="502"/>
      <c r="S217" s="503"/>
      <c r="T217" s="504"/>
    </row>
    <row r="218" spans="1:21">
      <c r="A218" s="505"/>
      <c r="B218" s="506"/>
      <c r="C218" s="48" t="s">
        <v>28</v>
      </c>
      <c r="D218" s="508">
        <v>337</v>
      </c>
      <c r="E218" s="41">
        <v>6.5049999999999999</v>
      </c>
      <c r="F218" s="41">
        <f>+E218</f>
        <v>6.5049999999999999</v>
      </c>
      <c r="G218" s="39">
        <f>ROUND(D218*E218,2)</f>
        <v>2192.19</v>
      </c>
      <c r="H218" s="432"/>
      <c r="I218" s="362"/>
      <c r="J218" s="207"/>
      <c r="K218" s="524"/>
      <c r="L218" s="517"/>
      <c r="M218" s="520"/>
      <c r="N218" s="521"/>
      <c r="O218" s="522"/>
      <c r="P218" s="523"/>
      <c r="Q218" s="362"/>
      <c r="R218" s="502"/>
      <c r="S218" s="503"/>
      <c r="T218" s="504"/>
    </row>
    <row r="219" spans="1:21" ht="15.75" thickBot="1">
      <c r="A219" s="525"/>
      <c r="B219" s="526"/>
      <c r="C219" s="99" t="s">
        <v>29</v>
      </c>
      <c r="D219" s="55">
        <v>7608</v>
      </c>
      <c r="E219" s="56">
        <v>6.5049999999999999</v>
      </c>
      <c r="F219" s="57">
        <f>+E219</f>
        <v>6.5049999999999999</v>
      </c>
      <c r="G219" s="58">
        <f>ROUND(D219*E219,2)</f>
        <v>49490.04</v>
      </c>
      <c r="H219" s="248"/>
      <c r="I219" s="203"/>
      <c r="J219" s="60"/>
      <c r="K219" s="61"/>
      <c r="L219" s="249"/>
      <c r="M219" s="54"/>
      <c r="N219" s="527"/>
      <c r="O219" s="528"/>
      <c r="P219" s="529" t="s">
        <v>87</v>
      </c>
      <c r="Q219" s="282">
        <f>+G219+J219-M219-N219-O219</f>
        <v>49490.04</v>
      </c>
      <c r="R219" s="530" t="s">
        <v>88</v>
      </c>
      <c r="S219" s="531">
        <f>SUM(N212:N219)+O212:O219</f>
        <v>0</v>
      </c>
      <c r="T219" s="531">
        <f>SUM(Q212:Q219)</f>
        <v>80.025599999993574</v>
      </c>
      <c r="U219" s="33"/>
    </row>
    <row r="220" spans="1:21" ht="15.75" thickTop="1">
      <c r="A220" s="339" t="s">
        <v>93</v>
      </c>
      <c r="B220" s="532" t="s">
        <v>192</v>
      </c>
      <c r="C220" s="71">
        <f>+[1]дек!U51</f>
        <v>-6.0000000303261913E-4</v>
      </c>
      <c r="D220" s="213">
        <v>38</v>
      </c>
      <c r="E220" s="21">
        <v>36.214199999999998</v>
      </c>
      <c r="F220" s="21">
        <v>42.4328</v>
      </c>
      <c r="G220" s="214">
        <f>ROUND(D220*(E220+F220),2)</f>
        <v>2988.59</v>
      </c>
      <c r="H220" s="496"/>
      <c r="I220" s="73"/>
      <c r="J220" s="73"/>
      <c r="K220" s="497"/>
      <c r="L220" s="533">
        <f>+SUM(G220:G227,)+J220+J222</f>
        <v>52761.14</v>
      </c>
      <c r="M220" s="26">
        <v>52761.14</v>
      </c>
      <c r="N220" s="534"/>
      <c r="O220" s="535"/>
      <c r="P220" s="536" t="s">
        <v>87</v>
      </c>
      <c r="Q220" s="537">
        <f t="shared" si="29"/>
        <v>-49772.550600000002</v>
      </c>
      <c r="R220" s="538" t="s">
        <v>95</v>
      </c>
      <c r="S220" s="539"/>
      <c r="T220" s="540"/>
      <c r="U220" s="33"/>
    </row>
    <row r="221" spans="1:21" ht="15.75" thickBot="1">
      <c r="A221" s="353"/>
      <c r="B221" s="541"/>
      <c r="C221" s="542" t="s">
        <v>96</v>
      </c>
      <c r="D221" s="234"/>
      <c r="E221" s="38"/>
      <c r="F221" s="38"/>
      <c r="G221" s="235">
        <f>ROUND(D221*(E221+F221),2)</f>
        <v>0</v>
      </c>
      <c r="H221" s="448"/>
      <c r="I221" s="509"/>
      <c r="J221" s="509"/>
      <c r="K221" s="543"/>
      <c r="L221" s="544"/>
      <c r="M221" s="545"/>
      <c r="N221" s="546"/>
      <c r="O221" s="547"/>
      <c r="P221" s="548"/>
      <c r="Q221" s="549"/>
      <c r="R221" s="550"/>
      <c r="S221" s="551"/>
      <c r="T221" s="552"/>
      <c r="U221" s="33"/>
    </row>
    <row r="222" spans="1:21">
      <c r="A222" s="353"/>
      <c r="B222" s="516" t="s">
        <v>32</v>
      </c>
      <c r="C222" s="99" t="s">
        <v>90</v>
      </c>
      <c r="D222" s="234">
        <v>30</v>
      </c>
      <c r="E222" s="101">
        <v>304.86</v>
      </c>
      <c r="F222" s="21">
        <v>42.4328</v>
      </c>
      <c r="G222" s="235">
        <f>ROUND(D222*(E222+F222),2)</f>
        <v>10418.780000000001</v>
      </c>
      <c r="H222" s="270"/>
      <c r="I222" s="41"/>
      <c r="J222" s="41"/>
      <c r="K222" s="510"/>
      <c r="L222" s="553"/>
      <c r="M222" s="554"/>
      <c r="N222" s="555"/>
      <c r="O222" s="556"/>
      <c r="P222" s="557" t="s">
        <v>87</v>
      </c>
      <c r="Q222" s="558">
        <f>+G222+J222-M222-N222-O222</f>
        <v>10418.780000000001</v>
      </c>
      <c r="R222" s="550" t="s">
        <v>95</v>
      </c>
      <c r="S222" s="551"/>
      <c r="T222" s="552"/>
    </row>
    <row r="223" spans="1:21">
      <c r="A223" s="353"/>
      <c r="B223" s="541"/>
      <c r="C223" s="84" t="s">
        <v>97</v>
      </c>
      <c r="D223" s="234"/>
      <c r="E223" s="41"/>
      <c r="F223" s="38"/>
      <c r="G223" s="50">
        <f>ROUND(D223*E223,2)</f>
        <v>0</v>
      </c>
      <c r="H223" s="432"/>
      <c r="I223" s="362"/>
      <c r="J223" s="41"/>
      <c r="K223" s="510"/>
      <c r="L223" s="559"/>
      <c r="M223" s="560"/>
      <c r="N223" s="561"/>
      <c r="O223" s="562"/>
      <c r="P223" s="563"/>
      <c r="Q223" s="564"/>
      <c r="R223" s="550"/>
      <c r="S223" s="551"/>
      <c r="T223" s="552"/>
    </row>
    <row r="224" spans="1:21">
      <c r="A224" s="353"/>
      <c r="B224" s="541"/>
      <c r="C224" s="84" t="s">
        <v>97</v>
      </c>
      <c r="D224" s="234"/>
      <c r="E224" s="38"/>
      <c r="F224" s="240"/>
      <c r="G224" s="50">
        <f>D224*(E224+F224)</f>
        <v>0</v>
      </c>
      <c r="H224" s="432"/>
      <c r="I224" s="362"/>
      <c r="J224" s="41"/>
      <c r="K224" s="510"/>
      <c r="L224" s="559"/>
      <c r="M224" s="560"/>
      <c r="N224" s="561"/>
      <c r="O224" s="562"/>
      <c r="P224" s="563"/>
      <c r="Q224" s="564"/>
      <c r="R224" s="550"/>
      <c r="S224" s="551"/>
      <c r="T224" s="552"/>
    </row>
    <row r="225" spans="1:21">
      <c r="A225" s="353"/>
      <c r="B225" s="541"/>
      <c r="C225" s="48" t="s">
        <v>27</v>
      </c>
      <c r="D225" s="37">
        <v>5216</v>
      </c>
      <c r="E225" s="41">
        <f>6.505-6.8021</f>
        <v>-0.29710000000000036</v>
      </c>
      <c r="F225" s="41">
        <f>+E225</f>
        <v>-0.29710000000000036</v>
      </c>
      <c r="G225" s="235">
        <f>ROUND(D225*E225,2)-0.01</f>
        <v>-1549.68</v>
      </c>
      <c r="H225" s="565"/>
      <c r="I225" s="564"/>
      <c r="J225" s="566"/>
      <c r="K225" s="567"/>
      <c r="L225" s="559"/>
      <c r="M225" s="560"/>
      <c r="N225" s="561"/>
      <c r="O225" s="562"/>
      <c r="P225" s="563"/>
      <c r="Q225" s="564"/>
      <c r="R225" s="550"/>
      <c r="S225" s="551"/>
      <c r="T225" s="552"/>
      <c r="U225" s="352"/>
    </row>
    <row r="226" spans="1:21">
      <c r="A226" s="353"/>
      <c r="B226" s="541"/>
      <c r="C226" s="48" t="s">
        <v>28</v>
      </c>
      <c r="D226" s="37">
        <v>267</v>
      </c>
      <c r="E226" s="41">
        <v>6.5049999999999999</v>
      </c>
      <c r="F226" s="41">
        <f>+E226</f>
        <v>6.5049999999999999</v>
      </c>
      <c r="G226" s="235">
        <f>ROUND(D226*E226,2)</f>
        <v>1736.84</v>
      </c>
      <c r="H226" s="565"/>
      <c r="I226" s="564"/>
      <c r="J226" s="566"/>
      <c r="K226" s="567"/>
      <c r="L226" s="559"/>
      <c r="M226" s="560"/>
      <c r="N226" s="561"/>
      <c r="O226" s="562"/>
      <c r="P226" s="563"/>
      <c r="Q226" s="564"/>
      <c r="R226" s="550"/>
      <c r="S226" s="551"/>
      <c r="T226" s="552"/>
      <c r="U226" s="33"/>
    </row>
    <row r="227" spans="1:21" ht="15.75" thickBot="1">
      <c r="A227" s="369"/>
      <c r="B227" s="568"/>
      <c r="C227" s="99" t="s">
        <v>29</v>
      </c>
      <c r="D227" s="246">
        <v>6021</v>
      </c>
      <c r="E227" s="56">
        <v>6.5049999999999999</v>
      </c>
      <c r="F227" s="57">
        <f>+E227</f>
        <v>6.5049999999999999</v>
      </c>
      <c r="G227" s="247">
        <f>ROUND(D227*E227,2)</f>
        <v>39166.61</v>
      </c>
      <c r="H227" s="248"/>
      <c r="I227" s="203"/>
      <c r="J227" s="60"/>
      <c r="K227" s="61"/>
      <c r="L227" s="204"/>
      <c r="M227" s="560"/>
      <c r="N227" s="561"/>
      <c r="O227" s="528"/>
      <c r="P227" s="529" t="s">
        <v>87</v>
      </c>
      <c r="Q227" s="564">
        <f>+G227+J227-M227-N227-O227</f>
        <v>39166.61</v>
      </c>
      <c r="R227" s="550" t="s">
        <v>95</v>
      </c>
      <c r="S227" s="569">
        <f>SUM(N220:N227)+O220:O227</f>
        <v>0</v>
      </c>
      <c r="T227" s="570">
        <f>SUM(Q222:Q227)</f>
        <v>49585.39</v>
      </c>
    </row>
    <row r="228" spans="1:21" ht="15.75" hidden="1" outlineLevel="1" thickBot="1">
      <c r="A228" s="571"/>
      <c r="B228" s="572" t="s">
        <v>98</v>
      </c>
      <c r="C228" s="573" t="s">
        <v>99</v>
      </c>
      <c r="D228" s="574"/>
      <c r="E228" s="575">
        <f>3.193-2.9732</f>
        <v>0.21980000000000022</v>
      </c>
      <c r="F228" s="575">
        <f>3.193-2.9732</f>
        <v>0.21980000000000022</v>
      </c>
      <c r="G228" s="576">
        <f>D228*E228*70%+D228*F228*30%</f>
        <v>0</v>
      </c>
      <c r="H228" s="577"/>
      <c r="I228" s="578"/>
      <c r="J228" s="579"/>
      <c r="K228" s="579"/>
      <c r="L228" s="580"/>
      <c r="M228" s="581"/>
      <c r="N228" s="582"/>
      <c r="O228" s="535"/>
      <c r="P228" s="536"/>
      <c r="Q228" s="583"/>
      <c r="R228" s="584"/>
      <c r="S228" s="569"/>
      <c r="T228" s="585"/>
    </row>
    <row r="229" spans="1:21" s="81" customFormat="1" ht="16.5" hidden="1" customHeight="1" outlineLevel="1" thickBot="1">
      <c r="A229" s="586" t="s">
        <v>100</v>
      </c>
      <c r="B229" s="587" t="s">
        <v>98</v>
      </c>
      <c r="C229" s="588">
        <f>+[1]авг!C52</f>
        <v>0</v>
      </c>
      <c r="D229" s="589"/>
      <c r="E229" s="575">
        <v>3.1930000000000001</v>
      </c>
      <c r="F229" s="575">
        <f>+E229</f>
        <v>3.1930000000000001</v>
      </c>
      <c r="G229" s="576">
        <f>D229*E229*70%+D229*F229*30%</f>
        <v>0</v>
      </c>
      <c r="H229" s="579"/>
      <c r="I229" s="579"/>
      <c r="J229" s="579"/>
      <c r="K229" s="579"/>
      <c r="L229" s="579">
        <f>+C229+G229+G228</f>
        <v>0</v>
      </c>
      <c r="M229" s="590"/>
      <c r="N229" s="500"/>
      <c r="O229" s="528"/>
      <c r="P229" s="529" t="s">
        <v>87</v>
      </c>
      <c r="Q229" s="591">
        <f t="shared" si="29"/>
        <v>0</v>
      </c>
      <c r="R229" s="592" t="s">
        <v>101</v>
      </c>
      <c r="S229" s="77">
        <f>SUM(N229:N229)+SUM(O229:O229)</f>
        <v>0</v>
      </c>
      <c r="T229" s="593">
        <f>SUM(Q229:Q229)</f>
        <v>0</v>
      </c>
    </row>
    <row r="230" spans="1:21" ht="15.75" collapsed="1" thickTop="1">
      <c r="A230" s="505">
        <v>115</v>
      </c>
      <c r="B230" s="494" t="s">
        <v>102</v>
      </c>
      <c r="C230" s="71">
        <f>+[1]дек!U57</f>
        <v>0</v>
      </c>
      <c r="D230" s="495">
        <v>19</v>
      </c>
      <c r="E230" s="21">
        <v>36.214199999999998</v>
      </c>
      <c r="F230" s="21">
        <v>42.4328</v>
      </c>
      <c r="G230" s="185">
        <f>ROUND(D230*(E230+F230),2)</f>
        <v>1494.29</v>
      </c>
      <c r="H230" s="496"/>
      <c r="I230" s="73"/>
      <c r="J230" s="73"/>
      <c r="K230" s="497"/>
      <c r="L230" s="498">
        <f>SUM(G230:G236)+SUM(J230:J235)</f>
        <v>24141.14</v>
      </c>
      <c r="M230" s="26">
        <v>24141.14</v>
      </c>
      <c r="N230" s="594"/>
      <c r="O230" s="535"/>
      <c r="P230" s="536" t="s">
        <v>87</v>
      </c>
      <c r="Q230" s="595">
        <f t="shared" si="29"/>
        <v>-22646.85</v>
      </c>
      <c r="R230" s="502" t="s">
        <v>88</v>
      </c>
      <c r="S230" s="503"/>
      <c r="T230" s="504"/>
      <c r="U230" s="33">
        <f>+M230-L230</f>
        <v>0</v>
      </c>
    </row>
    <row r="231" spans="1:21" ht="15.75" thickBot="1">
      <c r="A231" s="505"/>
      <c r="B231" s="506"/>
      <c r="C231" s="542"/>
      <c r="D231" s="508"/>
      <c r="E231" s="38"/>
      <c r="F231" s="38"/>
      <c r="G231" s="50">
        <f>ROUND(D231*(E231+F231),2)</f>
        <v>0</v>
      </c>
      <c r="H231" s="596"/>
      <c r="I231" s="409"/>
      <c r="J231" s="509"/>
      <c r="K231" s="543"/>
      <c r="L231" s="511"/>
      <c r="M231" s="99"/>
      <c r="N231" s="513"/>
      <c r="O231" s="514"/>
      <c r="P231" s="515"/>
      <c r="Q231" s="262"/>
      <c r="R231" s="502"/>
      <c r="S231" s="503"/>
      <c r="T231" s="504"/>
    </row>
    <row r="232" spans="1:21">
      <c r="A232" s="505"/>
      <c r="B232" s="516" t="s">
        <v>103</v>
      </c>
      <c r="C232" s="99" t="s">
        <v>90</v>
      </c>
      <c r="D232" s="508">
        <v>12</v>
      </c>
      <c r="E232" s="101">
        <v>304.86</v>
      </c>
      <c r="F232" s="21">
        <v>42.4328</v>
      </c>
      <c r="G232" s="50">
        <f>ROUND(D232*(E232+F232),2)</f>
        <v>4167.51</v>
      </c>
      <c r="H232" s="270"/>
      <c r="I232" s="41"/>
      <c r="J232" s="409"/>
      <c r="K232" s="510"/>
      <c r="L232" s="597"/>
      <c r="M232" s="99"/>
      <c r="N232" s="518"/>
      <c r="O232" s="519"/>
      <c r="P232" s="515" t="s">
        <v>87</v>
      </c>
      <c r="Q232" s="271">
        <f>+G232+J232-M232-N232-O232</f>
        <v>4167.51</v>
      </c>
      <c r="R232" s="502" t="s">
        <v>88</v>
      </c>
      <c r="S232" s="503"/>
      <c r="T232" s="504"/>
    </row>
    <row r="233" spans="1:21">
      <c r="A233" s="505"/>
      <c r="B233" s="506"/>
      <c r="C233" s="390" t="s">
        <v>97</v>
      </c>
      <c r="D233" s="508"/>
      <c r="E233" s="41"/>
      <c r="F233" s="38"/>
      <c r="G233" s="50">
        <f>D233*(E233+F233)</f>
        <v>0</v>
      </c>
      <c r="H233" s="432"/>
      <c r="I233" s="362"/>
      <c r="J233" s="41"/>
      <c r="K233" s="510"/>
      <c r="L233" s="597"/>
      <c r="M233" s="99"/>
      <c r="N233" s="521"/>
      <c r="O233" s="522"/>
      <c r="P233" s="523"/>
      <c r="Q233" s="362"/>
      <c r="R233" s="502"/>
      <c r="S233" s="503"/>
      <c r="T233" s="504"/>
    </row>
    <row r="234" spans="1:21">
      <c r="A234" s="505"/>
      <c r="B234" s="506"/>
      <c r="C234" s="48" t="s">
        <v>27</v>
      </c>
      <c r="D234" s="37">
        <v>3048</v>
      </c>
      <c r="E234" s="41">
        <f>6.505-6.8021</f>
        <v>-0.29710000000000036</v>
      </c>
      <c r="F234" s="297">
        <f t="shared" ref="F234:F236" si="30">+E234</f>
        <v>-0.29710000000000036</v>
      </c>
      <c r="G234" s="39">
        <f>ROUND(D234*(E234+F234)/2,2)</f>
        <v>-905.56</v>
      </c>
      <c r="H234" s="432"/>
      <c r="I234" s="362"/>
      <c r="J234" s="41"/>
      <c r="K234" s="510"/>
      <c r="L234" s="597"/>
      <c r="M234" s="99"/>
      <c r="N234" s="521"/>
      <c r="O234" s="522"/>
      <c r="P234" s="523"/>
      <c r="Q234" s="362"/>
      <c r="R234" s="502"/>
      <c r="S234" s="503"/>
      <c r="T234" s="504"/>
    </row>
    <row r="235" spans="1:21">
      <c r="A235" s="505"/>
      <c r="B235" s="506"/>
      <c r="C235" s="48" t="s">
        <v>28</v>
      </c>
      <c r="D235" s="37">
        <v>126</v>
      </c>
      <c r="E235" s="41">
        <v>6.5049999999999999</v>
      </c>
      <c r="F235" s="298">
        <f t="shared" si="30"/>
        <v>6.5049999999999999</v>
      </c>
      <c r="G235" s="39">
        <f>ROUND(D235*E235,2)</f>
        <v>819.63</v>
      </c>
      <c r="H235" s="432"/>
      <c r="I235" s="362"/>
      <c r="J235" s="41"/>
      <c r="K235" s="510"/>
      <c r="L235" s="597"/>
      <c r="M235" s="99"/>
      <c r="N235" s="521"/>
      <c r="O235" s="522"/>
      <c r="P235" s="523"/>
      <c r="Q235" s="362"/>
      <c r="R235" s="502"/>
      <c r="S235" s="503"/>
      <c r="T235" s="504"/>
    </row>
    <row r="236" spans="1:21" ht="15.75" thickBot="1">
      <c r="A236" s="505"/>
      <c r="B236" s="526"/>
      <c r="C236" s="99" t="s">
        <v>29</v>
      </c>
      <c r="D236" s="55">
        <v>2854</v>
      </c>
      <c r="E236" s="56">
        <v>6.5049999999999999</v>
      </c>
      <c r="F236" s="57">
        <f t="shared" si="30"/>
        <v>6.5049999999999999</v>
      </c>
      <c r="G236" s="414">
        <f>ROUND(D236*E236,2)</f>
        <v>18565.27</v>
      </c>
      <c r="H236" s="248"/>
      <c r="I236" s="203"/>
      <c r="J236" s="60"/>
      <c r="K236" s="61"/>
      <c r="L236" s="249"/>
      <c r="M236" s="54"/>
      <c r="N236" s="527"/>
      <c r="O236" s="528"/>
      <c r="P236" s="529" t="s">
        <v>87</v>
      </c>
      <c r="Q236" s="58">
        <f>+G236+J236-M236-N236-O236</f>
        <v>18565.27</v>
      </c>
      <c r="R236" s="502" t="s">
        <v>88</v>
      </c>
      <c r="S236" s="598">
        <f>SUM(N230:N236)+O230:O236</f>
        <v>0</v>
      </c>
      <c r="T236" s="598">
        <f>SUM(Q230:Q236)</f>
        <v>85.930000000003929</v>
      </c>
    </row>
    <row r="237" spans="1:21">
      <c r="A237" s="645"/>
      <c r="B237" s="494" t="s">
        <v>104</v>
      </c>
      <c r="C237" s="71">
        <f>+[1]дек!U66</f>
        <v>0</v>
      </c>
      <c r="D237" s="495">
        <v>26</v>
      </c>
      <c r="E237" s="21">
        <v>36.214199999999998</v>
      </c>
      <c r="F237" s="21">
        <v>42.4328</v>
      </c>
      <c r="G237" s="185">
        <f>ROUND(D237*(E237+F237),2)</f>
        <v>2044.82</v>
      </c>
      <c r="H237" s="496"/>
      <c r="I237" s="73"/>
      <c r="J237" s="73"/>
      <c r="K237" s="497"/>
      <c r="L237" s="439">
        <f>SUM(G237:G244)+SUM(J237:J243)</f>
        <v>20376.990000000002</v>
      </c>
      <c r="M237" s="26">
        <v>20376.990000000002</v>
      </c>
      <c r="N237" s="499"/>
      <c r="O237" s="500"/>
      <c r="P237" s="501" t="s">
        <v>87</v>
      </c>
      <c r="Q237" s="185">
        <f t="shared" ref="Q237" si="31">C237+G237+J237-M237-N237-O237</f>
        <v>-18332.170000000002</v>
      </c>
      <c r="R237" s="502" t="s">
        <v>88</v>
      </c>
      <c r="S237" s="503"/>
      <c r="T237" s="504"/>
    </row>
    <row r="238" spans="1:21" ht="15.75" thickBot="1">
      <c r="A238" s="645"/>
      <c r="B238" s="506"/>
      <c r="C238" s="599" t="s">
        <v>96</v>
      </c>
      <c r="D238" s="234"/>
      <c r="E238" s="38"/>
      <c r="F238" s="38"/>
      <c r="G238" s="235">
        <f>ROUND(D238*(E238+F238),2)</f>
        <v>0</v>
      </c>
      <c r="H238" s="448"/>
      <c r="I238" s="509"/>
      <c r="J238" s="409"/>
      <c r="K238" s="510"/>
      <c r="L238" s="48"/>
      <c r="M238" s="512"/>
      <c r="N238" s="513"/>
      <c r="O238" s="514"/>
      <c r="P238" s="515"/>
      <c r="Q238" s="262"/>
      <c r="R238" s="502"/>
      <c r="S238" s="503"/>
      <c r="T238" s="504"/>
    </row>
    <row r="239" spans="1:21">
      <c r="A239" s="645"/>
      <c r="B239" s="516" t="s">
        <v>89</v>
      </c>
      <c r="C239" s="512" t="s">
        <v>90</v>
      </c>
      <c r="D239" s="508">
        <v>4</v>
      </c>
      <c r="E239" s="101">
        <v>304.86</v>
      </c>
      <c r="F239" s="21">
        <v>42.4328</v>
      </c>
      <c r="G239" s="50">
        <f>ROUND(D239*(E239+F239),2)</f>
        <v>1389.17</v>
      </c>
      <c r="H239" s="270"/>
      <c r="I239" s="41"/>
      <c r="J239" s="409"/>
      <c r="K239" s="510"/>
      <c r="L239" s="600"/>
      <c r="M239" s="99"/>
      <c r="N239" s="518"/>
      <c r="O239" s="519"/>
      <c r="P239" s="515" t="s">
        <v>87</v>
      </c>
      <c r="Q239" s="271">
        <f>+G239+J239-M239-N239-O239</f>
        <v>1389.17</v>
      </c>
      <c r="R239" s="502" t="s">
        <v>88</v>
      </c>
      <c r="S239" s="503"/>
      <c r="T239" s="504"/>
    </row>
    <row r="240" spans="1:21">
      <c r="A240" s="645"/>
      <c r="B240" s="541"/>
      <c r="C240" s="84" t="s">
        <v>97</v>
      </c>
      <c r="D240" s="508"/>
      <c r="E240" s="41"/>
      <c r="F240" s="38"/>
      <c r="G240" s="50">
        <f>ROUND(D240*(E240+F240),2)</f>
        <v>0</v>
      </c>
      <c r="H240" s="432"/>
      <c r="I240" s="362"/>
      <c r="J240" s="41"/>
      <c r="K240" s="510"/>
      <c r="L240" s="600"/>
      <c r="M240" s="520"/>
      <c r="N240" s="521"/>
      <c r="O240" s="522"/>
      <c r="P240" s="523"/>
      <c r="Q240" s="362"/>
      <c r="R240" s="502"/>
      <c r="S240" s="503"/>
      <c r="T240" s="504"/>
    </row>
    <row r="241" spans="1:21">
      <c r="A241" s="645"/>
      <c r="B241" s="541"/>
      <c r="C241" s="84" t="s">
        <v>97</v>
      </c>
      <c r="D241" s="508"/>
      <c r="E241" s="41"/>
      <c r="F241" s="41"/>
      <c r="G241" s="50">
        <f>D241*(E241+F241)</f>
        <v>0</v>
      </c>
      <c r="H241" s="432"/>
      <c r="I241" s="362"/>
      <c r="J241" s="41"/>
      <c r="K241" s="510"/>
      <c r="L241" s="600"/>
      <c r="M241" s="520"/>
      <c r="N241" s="521"/>
      <c r="O241" s="522"/>
      <c r="P241" s="523"/>
      <c r="Q241" s="362"/>
      <c r="R241" s="502"/>
      <c r="S241" s="503"/>
      <c r="T241" s="504"/>
    </row>
    <row r="242" spans="1:21">
      <c r="A242" s="645"/>
      <c r="B242" s="506"/>
      <c r="C242" s="48" t="s">
        <v>27</v>
      </c>
      <c r="D242" s="37">
        <v>2198</v>
      </c>
      <c r="E242" s="41">
        <f>6.505-6.8021</f>
        <v>-0.29710000000000036</v>
      </c>
      <c r="F242" s="297">
        <f t="shared" ref="F242:F244" si="32">+E242</f>
        <v>-0.29710000000000036</v>
      </c>
      <c r="G242" s="39">
        <f>ROUND(D242*(E242),2)</f>
        <v>-653.03</v>
      </c>
      <c r="H242" s="432"/>
      <c r="I242" s="362"/>
      <c r="J242" s="41"/>
      <c r="K242" s="510"/>
      <c r="L242" s="600"/>
      <c r="M242" s="520"/>
      <c r="N242" s="521"/>
      <c r="O242" s="522"/>
      <c r="P242" s="523"/>
      <c r="Q242" s="362"/>
      <c r="R242" s="502"/>
      <c r="S242" s="503"/>
      <c r="T242" s="504"/>
    </row>
    <row r="243" spans="1:21">
      <c r="A243" s="645"/>
      <c r="B243" s="506"/>
      <c r="C243" s="48" t="s">
        <v>28</v>
      </c>
      <c r="D243" s="37">
        <v>115</v>
      </c>
      <c r="E243" s="41">
        <v>6.5049999999999999</v>
      </c>
      <c r="F243" s="298">
        <f t="shared" si="32"/>
        <v>6.5049999999999999</v>
      </c>
      <c r="G243" s="39">
        <f>ROUND(D243*(E243),2)</f>
        <v>748.08</v>
      </c>
      <c r="H243" s="432"/>
      <c r="I243" s="362"/>
      <c r="J243" s="41"/>
      <c r="K243" s="510"/>
      <c r="L243" s="600"/>
      <c r="M243" s="520"/>
      <c r="N243" s="521"/>
      <c r="O243" s="522"/>
      <c r="P243" s="523"/>
      <c r="Q243" s="362"/>
      <c r="R243" s="502"/>
      <c r="S243" s="503"/>
      <c r="T243" s="504"/>
      <c r="U243" s="33"/>
    </row>
    <row r="244" spans="1:21" ht="15.75" thickBot="1">
      <c r="A244" s="645"/>
      <c r="B244" s="526"/>
      <c r="C244" s="99" t="s">
        <v>29</v>
      </c>
      <c r="D244" s="55">
        <v>2590</v>
      </c>
      <c r="E244" s="56">
        <v>6.5049999999999999</v>
      </c>
      <c r="F244" s="57">
        <f t="shared" si="32"/>
        <v>6.5049999999999999</v>
      </c>
      <c r="G244" s="414">
        <f>ROUND(D244*(E244),2)</f>
        <v>16847.95</v>
      </c>
      <c r="H244" s="248"/>
      <c r="I244" s="203"/>
      <c r="J244" s="60"/>
      <c r="K244" s="61"/>
      <c r="L244" s="204"/>
      <c r="M244" s="54"/>
      <c r="N244" s="527"/>
      <c r="O244" s="528"/>
      <c r="P244" s="529" t="s">
        <v>87</v>
      </c>
      <c r="Q244" s="362">
        <f>+G244+J244-M244-N244-O244</f>
        <v>16847.95</v>
      </c>
      <c r="R244" s="502" t="s">
        <v>88</v>
      </c>
      <c r="S244" s="598">
        <f>SUM(N237:N244)+O237:O244</f>
        <v>0</v>
      </c>
      <c r="T244" s="598">
        <f>SUM(Q237:Q244)</f>
        <v>-95.049999999999272</v>
      </c>
    </row>
    <row r="245" spans="1:21" ht="15.75" thickTop="1">
      <c r="A245" s="493">
        <v>115</v>
      </c>
      <c r="B245" s="494" t="s">
        <v>193</v>
      </c>
      <c r="C245" s="71">
        <f>+[1]дек!U72</f>
        <v>0</v>
      </c>
      <c r="D245" s="495">
        <v>15</v>
      </c>
      <c r="E245" s="21">
        <v>36.214199999999998</v>
      </c>
      <c r="F245" s="21">
        <v>42.4328</v>
      </c>
      <c r="G245" s="185">
        <f>ROUND(D245*(E245+F245),2)</f>
        <v>1179.71</v>
      </c>
      <c r="H245" s="496"/>
      <c r="I245" s="73"/>
      <c r="J245" s="73"/>
      <c r="K245" s="601"/>
      <c r="L245" s="498">
        <f>SUM(G245:G252)+SUM(J245:J251)</f>
        <v>29375.24</v>
      </c>
      <c r="M245" s="26">
        <v>29375.24</v>
      </c>
      <c r="N245" s="499"/>
      <c r="O245" s="500"/>
      <c r="P245" s="501" t="s">
        <v>87</v>
      </c>
      <c r="Q245" s="595">
        <f t="shared" ref="Q245" si="33">C245+G245+J245-M245-N245-O245</f>
        <v>-28195.530000000002</v>
      </c>
    </row>
    <row r="246" spans="1:21" ht="15.75" thickBot="1">
      <c r="A246" s="505"/>
      <c r="B246" s="506"/>
      <c r="C246" s="507" t="s">
        <v>96</v>
      </c>
      <c r="D246" s="234"/>
      <c r="E246" s="38"/>
      <c r="F246" s="38"/>
      <c r="G246" s="235">
        <f>ROUND(D246*(E246+F246),2)</f>
        <v>0</v>
      </c>
      <c r="H246" s="448"/>
      <c r="I246" s="509"/>
      <c r="J246" s="199"/>
      <c r="K246" s="517"/>
      <c r="L246" s="511"/>
      <c r="M246" s="512"/>
      <c r="N246" s="513"/>
      <c r="O246" s="514"/>
      <c r="P246" s="515"/>
      <c r="Q246" s="262"/>
      <c r="U246" s="33"/>
    </row>
    <row r="247" spans="1:21">
      <c r="A247" s="505"/>
      <c r="B247" s="516" t="s">
        <v>89</v>
      </c>
      <c r="C247" s="512" t="s">
        <v>90</v>
      </c>
      <c r="D247" s="508">
        <v>2</v>
      </c>
      <c r="E247" s="101">
        <v>444.53</v>
      </c>
      <c r="F247" s="21">
        <v>42.4328</v>
      </c>
      <c r="G247" s="50">
        <f>ROUND(D247*(E247+F247),2)</f>
        <v>973.93</v>
      </c>
      <c r="H247" s="270"/>
      <c r="I247" s="41"/>
      <c r="J247" s="207"/>
      <c r="K247" s="517"/>
      <c r="L247" s="517"/>
      <c r="M247" s="99"/>
      <c r="N247" s="518"/>
      <c r="O247" s="519"/>
      <c r="P247" s="515" t="s">
        <v>87</v>
      </c>
      <c r="Q247" s="271">
        <f>+G247+J247-M247-N247-O247</f>
        <v>973.93</v>
      </c>
    </row>
    <row r="248" spans="1:21">
      <c r="A248" s="505"/>
      <c r="B248" s="541"/>
      <c r="C248" s="84" t="s">
        <v>97</v>
      </c>
      <c r="D248" s="508"/>
      <c r="E248" s="41"/>
      <c r="F248" s="38">
        <v>0</v>
      </c>
      <c r="G248" s="50">
        <f>ROUND(D248*(E248+F248),2)</f>
        <v>0</v>
      </c>
      <c r="H248" s="432"/>
      <c r="I248" s="362"/>
      <c r="J248" s="207"/>
      <c r="K248" s="517"/>
      <c r="L248" s="517"/>
      <c r="M248" s="520"/>
      <c r="N248" s="521"/>
      <c r="O248" s="522"/>
      <c r="P248" s="523"/>
      <c r="Q248" s="362"/>
    </row>
    <row r="249" spans="1:21">
      <c r="A249" s="505"/>
      <c r="B249" s="541" t="s">
        <v>194</v>
      </c>
      <c r="C249" s="84"/>
      <c r="D249" s="508"/>
      <c r="E249" s="41"/>
      <c r="F249" s="41"/>
      <c r="G249" s="50"/>
      <c r="H249" s="432"/>
      <c r="I249" s="362"/>
      <c r="J249" s="207"/>
      <c r="K249" s="517"/>
      <c r="L249" s="517"/>
      <c r="M249" s="520"/>
      <c r="N249" s="521"/>
      <c r="O249" s="522"/>
      <c r="P249" s="523"/>
      <c r="Q249" s="362"/>
    </row>
    <row r="250" spans="1:21">
      <c r="A250" s="505"/>
      <c r="B250" s="506"/>
      <c r="C250" s="48" t="s">
        <v>27</v>
      </c>
      <c r="D250" s="37">
        <v>3520</v>
      </c>
      <c r="E250" s="41">
        <f>6.505-6.8021</f>
        <v>-0.29710000000000036</v>
      </c>
      <c r="F250" s="41">
        <f t="shared" ref="F250:F255" si="34">+E250</f>
        <v>-0.29710000000000036</v>
      </c>
      <c r="G250" s="39">
        <f>ROUND(D250*E250,2)</f>
        <v>-1045.79</v>
      </c>
      <c r="H250" s="432"/>
      <c r="I250" s="362"/>
      <c r="J250" s="207"/>
      <c r="K250" s="517"/>
      <c r="L250" s="517"/>
      <c r="M250" s="520"/>
      <c r="N250" s="521"/>
      <c r="O250" s="522"/>
      <c r="P250" s="523"/>
      <c r="Q250" s="362"/>
    </row>
    <row r="251" spans="1:21">
      <c r="A251" s="505"/>
      <c r="B251" s="506"/>
      <c r="C251" s="48" t="s">
        <v>28</v>
      </c>
      <c r="D251" s="37">
        <v>181</v>
      </c>
      <c r="E251" s="41">
        <v>6.6231</v>
      </c>
      <c r="F251" s="41">
        <f t="shared" si="34"/>
        <v>6.6231</v>
      </c>
      <c r="G251" s="39">
        <f>ROUND(D251*E251,2)</f>
        <v>1198.78</v>
      </c>
      <c r="H251" s="432"/>
      <c r="I251" s="362"/>
      <c r="J251" s="207"/>
      <c r="K251" s="517"/>
      <c r="L251" s="517"/>
      <c r="M251" s="520"/>
      <c r="N251" s="521"/>
      <c r="O251" s="522"/>
      <c r="P251" s="523"/>
      <c r="Q251" s="362"/>
      <c r="U251" s="33"/>
    </row>
    <row r="252" spans="1:21" ht="15.75" thickBot="1">
      <c r="A252" s="525"/>
      <c r="B252" s="526"/>
      <c r="C252" s="99" t="s">
        <v>29</v>
      </c>
      <c r="D252" s="55">
        <v>4087</v>
      </c>
      <c r="E252" s="56">
        <v>6.6231</v>
      </c>
      <c r="F252" s="281">
        <f t="shared" si="34"/>
        <v>6.6231</v>
      </c>
      <c r="G252" s="58">
        <f>ROUND(D252*E252,2)</f>
        <v>27068.61</v>
      </c>
      <c r="H252" s="248"/>
      <c r="I252" s="203"/>
      <c r="J252" s="60"/>
      <c r="K252" s="61"/>
      <c r="L252" s="249"/>
      <c r="M252" s="54"/>
      <c r="N252" s="521"/>
      <c r="O252" s="528"/>
      <c r="P252" s="529" t="s">
        <v>87</v>
      </c>
      <c r="Q252" s="362">
        <f>+G252+J252-M252-N252-O252</f>
        <v>27068.61</v>
      </c>
    </row>
    <row r="253" spans="1:21">
      <c r="A253" s="493">
        <v>301</v>
      </c>
      <c r="B253" s="602" t="s">
        <v>106</v>
      </c>
      <c r="C253" s="48" t="s">
        <v>27</v>
      </c>
      <c r="D253" s="184">
        <v>784.27</v>
      </c>
      <c r="E253" s="41">
        <f>6.505-6.8021</f>
        <v>-0.29710000000000036</v>
      </c>
      <c r="F253" s="23">
        <f t="shared" si="34"/>
        <v>-0.29710000000000036</v>
      </c>
      <c r="G253" s="185">
        <f>ROUND(D253*(E253),2)-0.01</f>
        <v>-233.01999999999998</v>
      </c>
      <c r="H253" s="23"/>
      <c r="I253" s="23"/>
      <c r="J253" s="23"/>
      <c r="K253" s="23"/>
      <c r="L253" s="603">
        <f>SUM(G253:G255)</f>
        <v>4284.45</v>
      </c>
      <c r="M253" s="187">
        <v>4284.45</v>
      </c>
      <c r="N253" s="604"/>
      <c r="O253" s="500"/>
      <c r="P253" s="501"/>
      <c r="Q253" s="605"/>
    </row>
    <row r="254" spans="1:21">
      <c r="A254" s="505"/>
      <c r="B254" s="506"/>
      <c r="C254" s="48" t="s">
        <v>28</v>
      </c>
      <c r="D254" s="49">
        <v>29.46</v>
      </c>
      <c r="E254" s="41">
        <v>6.5049999999999999</v>
      </c>
      <c r="F254" s="41">
        <f t="shared" si="34"/>
        <v>6.5049999999999999</v>
      </c>
      <c r="G254" s="50">
        <f>ROUND(D254*(E254),2)</f>
        <v>191.64</v>
      </c>
      <c r="H254" s="41"/>
      <c r="I254" s="41"/>
      <c r="J254" s="41"/>
      <c r="K254" s="41"/>
      <c r="L254" s="606"/>
      <c r="M254" s="606"/>
      <c r="N254" s="607"/>
      <c r="O254" s="608"/>
      <c r="P254" s="609"/>
      <c r="Q254" s="610"/>
    </row>
    <row r="255" spans="1:21" ht="15.75" thickBot="1">
      <c r="A255" s="611"/>
      <c r="B255" s="612"/>
      <c r="C255" s="99" t="s">
        <v>29</v>
      </c>
      <c r="D255" s="613">
        <v>665</v>
      </c>
      <c r="E255" s="56">
        <v>6.5049999999999999</v>
      </c>
      <c r="F255" s="281">
        <f t="shared" si="34"/>
        <v>6.5049999999999999</v>
      </c>
      <c r="G255" s="58">
        <f>ROUND(D255*(E255),2)</f>
        <v>4325.83</v>
      </c>
      <c r="H255" s="57"/>
      <c r="I255" s="57"/>
      <c r="J255" s="57"/>
      <c r="K255" s="57"/>
      <c r="L255" s="614"/>
      <c r="M255" s="606"/>
      <c r="N255" s="615"/>
      <c r="O255" s="615"/>
      <c r="P255" s="615"/>
      <c r="Q255" s="616"/>
    </row>
    <row r="256" spans="1:21">
      <c r="A256" s="617"/>
      <c r="B256" s="602" t="s">
        <v>107</v>
      </c>
      <c r="C256" s="618" t="s">
        <v>73</v>
      </c>
      <c r="D256" s="619">
        <v>2</v>
      </c>
      <c r="E256" s="21">
        <v>36.214199999999998</v>
      </c>
      <c r="F256" s="21">
        <v>42.4328</v>
      </c>
      <c r="G256" s="185">
        <f>ROUND(D256*(E256+F256),2)</f>
        <v>157.29</v>
      </c>
      <c r="H256" s="620"/>
      <c r="I256" s="620"/>
      <c r="J256" s="620"/>
      <c r="K256" s="620"/>
      <c r="L256" s="603">
        <f>SUM(G256:G260,J256:J260)</f>
        <v>5408.01</v>
      </c>
      <c r="M256" s="187">
        <v>5408.01</v>
      </c>
      <c r="N256" s="621"/>
      <c r="O256" s="621"/>
      <c r="P256" s="621"/>
      <c r="Q256" s="622"/>
    </row>
    <row r="257" spans="1:17">
      <c r="A257" s="611"/>
      <c r="B257" s="612"/>
      <c r="C257" s="542" t="s">
        <v>96</v>
      </c>
      <c r="D257" s="234"/>
      <c r="E257" s="38"/>
      <c r="F257" s="38"/>
      <c r="G257" s="235">
        <f>ROUND(D257*(E257+F257),2)</f>
        <v>0</v>
      </c>
      <c r="H257" s="298"/>
      <c r="I257" s="298"/>
      <c r="J257" s="298"/>
      <c r="K257" s="298"/>
      <c r="L257" s="606"/>
      <c r="M257" s="606"/>
      <c r="N257" s="615"/>
      <c r="O257" s="615"/>
      <c r="P257" s="615"/>
      <c r="Q257" s="616"/>
    </row>
    <row r="258" spans="1:17">
      <c r="A258" s="611"/>
      <c r="B258" s="612"/>
      <c r="C258" s="48" t="s">
        <v>27</v>
      </c>
      <c r="D258" s="623">
        <v>828</v>
      </c>
      <c r="E258" s="41">
        <f>6.505-6.8021</f>
        <v>-0.29710000000000036</v>
      </c>
      <c r="F258" s="41">
        <f>+E258</f>
        <v>-0.29710000000000036</v>
      </c>
      <c r="G258" s="50">
        <f>ROUND(D258*(E258),2)-0.01</f>
        <v>-246.01</v>
      </c>
      <c r="H258" s="298"/>
      <c r="I258" s="298"/>
      <c r="J258" s="298"/>
      <c r="K258" s="298"/>
      <c r="L258" s="614"/>
      <c r="M258" s="606"/>
      <c r="N258" s="615"/>
      <c r="O258" s="615"/>
      <c r="P258" s="615"/>
      <c r="Q258" s="616"/>
    </row>
    <row r="259" spans="1:17">
      <c r="A259" s="611"/>
      <c r="B259" s="612"/>
      <c r="C259" s="48" t="s">
        <v>28</v>
      </c>
      <c r="D259" s="623">
        <v>36</v>
      </c>
      <c r="E259" s="41">
        <v>6.5049999999999999</v>
      </c>
      <c r="F259" s="41">
        <f>+E259</f>
        <v>6.5049999999999999</v>
      </c>
      <c r="G259" s="39">
        <f>ROUND(D259*(E259),2)</f>
        <v>234.18</v>
      </c>
      <c r="H259" s="298"/>
      <c r="I259" s="298"/>
      <c r="J259" s="298"/>
      <c r="K259" s="298"/>
      <c r="L259" s="614"/>
      <c r="M259" s="273"/>
      <c r="N259" s="615"/>
      <c r="O259" s="615"/>
      <c r="P259" s="615"/>
      <c r="Q259" s="616"/>
    </row>
    <row r="260" spans="1:17" ht="15.75" thickBot="1">
      <c r="A260" s="624"/>
      <c r="B260" s="526"/>
      <c r="C260" s="99" t="s">
        <v>29</v>
      </c>
      <c r="D260" s="625">
        <v>809</v>
      </c>
      <c r="E260" s="56">
        <v>6.5049999999999999</v>
      </c>
      <c r="F260" s="281">
        <f>+E260</f>
        <v>6.5049999999999999</v>
      </c>
      <c r="G260" s="414">
        <f>ROUND(D260*(E260),2)</f>
        <v>5262.55</v>
      </c>
      <c r="H260" s="41"/>
      <c r="I260" s="41"/>
      <c r="J260" s="41"/>
      <c r="K260" s="41"/>
      <c r="L260" s="606"/>
      <c r="M260" s="606"/>
      <c r="N260" s="626"/>
      <c r="O260" s="626"/>
      <c r="P260" s="626"/>
      <c r="Q260" s="627"/>
    </row>
    <row r="261" spans="1:17" ht="15.75" thickTop="1">
      <c r="A261" s="493"/>
      <c r="B261" s="494" t="s">
        <v>108</v>
      </c>
      <c r="C261" s="71">
        <f>+[1]дек!U87</f>
        <v>0</v>
      </c>
      <c r="D261" s="495">
        <v>5</v>
      </c>
      <c r="E261" s="21">
        <v>36.214199999999998</v>
      </c>
      <c r="F261" s="21">
        <v>42.4328</v>
      </c>
      <c r="G261" s="185">
        <f>ROUND(D261*(E261+F261),2)</f>
        <v>393.24</v>
      </c>
      <c r="H261" s="496"/>
      <c r="I261" s="73"/>
      <c r="J261" s="73"/>
      <c r="K261" s="628"/>
      <c r="L261" s="629">
        <f>SUM(G261:G267)+SUM(J261:J266)</f>
        <v>3489.35</v>
      </c>
      <c r="M261" s="630">
        <v>3489.35</v>
      </c>
      <c r="N261" s="594"/>
      <c r="O261" s="631"/>
      <c r="P261" s="515" t="s">
        <v>87</v>
      </c>
      <c r="Q261" s="595">
        <f t="shared" ref="Q261:Q263" si="35">C261+G261+J261-M261-N261-O261</f>
        <v>-3096.1099999999997</v>
      </c>
    </row>
    <row r="262" spans="1:17" ht="15.75" thickBot="1">
      <c r="A262" s="505"/>
      <c r="B262" s="506"/>
      <c r="C262" s="542" t="s">
        <v>96</v>
      </c>
      <c r="D262" s="234"/>
      <c r="E262" s="38">
        <f>32.332-28.8628</f>
        <v>3.4692000000000007</v>
      </c>
      <c r="F262" s="38">
        <f>37.8898-33.8306</f>
        <v>4.0592000000000041</v>
      </c>
      <c r="G262" s="235">
        <f>ROUND(D262*(E262+F262),2)</f>
        <v>0</v>
      </c>
      <c r="H262" s="448"/>
      <c r="I262" s="509"/>
      <c r="J262" s="409"/>
      <c r="K262" s="510"/>
      <c r="L262" s="632"/>
      <c r="M262" s="512"/>
      <c r="N262" s="513"/>
      <c r="O262" s="514"/>
      <c r="P262" s="515"/>
      <c r="Q262" s="262"/>
    </row>
    <row r="263" spans="1:17">
      <c r="A263" s="505"/>
      <c r="B263" s="516" t="s">
        <v>109</v>
      </c>
      <c r="C263" s="633"/>
      <c r="D263" s="508">
        <v>0</v>
      </c>
      <c r="E263" s="101">
        <v>304.86</v>
      </c>
      <c r="F263" s="21">
        <v>42.4328</v>
      </c>
      <c r="G263" s="50">
        <f>D263*(E263+F263)</f>
        <v>0</v>
      </c>
      <c r="H263" s="270"/>
      <c r="I263" s="41"/>
      <c r="J263" s="409"/>
      <c r="K263" s="510"/>
      <c r="L263" s="597"/>
      <c r="M263" s="99"/>
      <c r="N263" s="518"/>
      <c r="O263" s="519"/>
      <c r="P263" s="515" t="s">
        <v>87</v>
      </c>
      <c r="Q263" s="271">
        <f t="shared" si="35"/>
        <v>0</v>
      </c>
    </row>
    <row r="264" spans="1:17">
      <c r="A264" s="505"/>
      <c r="B264" s="541"/>
      <c r="C264" s="84" t="s">
        <v>97</v>
      </c>
      <c r="D264" s="508"/>
      <c r="E264" s="41"/>
      <c r="F264" s="41"/>
      <c r="G264" s="50">
        <f>D264*(E264+F264)</f>
        <v>0</v>
      </c>
      <c r="H264" s="432"/>
      <c r="I264" s="362"/>
      <c r="J264" s="207"/>
      <c r="K264" s="510"/>
      <c r="L264" s="597"/>
      <c r="M264" s="520"/>
      <c r="N264" s="521"/>
      <c r="O264" s="522"/>
      <c r="P264" s="523"/>
      <c r="Q264" s="362"/>
    </row>
    <row r="265" spans="1:17">
      <c r="A265" s="505"/>
      <c r="B265" s="506"/>
      <c r="C265" s="48" t="s">
        <v>27</v>
      </c>
      <c r="D265" s="37">
        <v>395</v>
      </c>
      <c r="E265" s="41">
        <f>6.505-6.8021</f>
        <v>-0.29710000000000036</v>
      </c>
      <c r="F265" s="41">
        <f>+E265</f>
        <v>-0.29710000000000036</v>
      </c>
      <c r="G265" s="39">
        <f>ROUND(D265*(E265),2)-0.02</f>
        <v>-117.36999999999999</v>
      </c>
      <c r="H265" s="432"/>
      <c r="I265" s="362"/>
      <c r="J265" s="207"/>
      <c r="K265" s="510"/>
      <c r="L265" s="597"/>
      <c r="M265" s="520"/>
      <c r="N265" s="521"/>
      <c r="O265" s="522"/>
      <c r="P265" s="523"/>
      <c r="Q265" s="362"/>
    </row>
    <row r="266" spans="1:17">
      <c r="A266" s="505"/>
      <c r="B266" s="506"/>
      <c r="C266" s="48" t="s">
        <v>28</v>
      </c>
      <c r="D266" s="37">
        <v>21</v>
      </c>
      <c r="E266" s="41">
        <v>6.5049999999999999</v>
      </c>
      <c r="F266" s="41">
        <f>+E266</f>
        <v>6.5049999999999999</v>
      </c>
      <c r="G266" s="39">
        <f t="shared" ref="G266:G270" si="36">ROUND(D266*(E266),2)</f>
        <v>136.61000000000001</v>
      </c>
      <c r="H266" s="432"/>
      <c r="I266" s="362"/>
      <c r="J266" s="207"/>
      <c r="K266" s="510"/>
      <c r="L266" s="597"/>
      <c r="M266" s="520"/>
      <c r="N266" s="521"/>
      <c r="O266" s="522"/>
      <c r="P266" s="523"/>
      <c r="Q266" s="362"/>
    </row>
    <row r="267" spans="1:17" ht="15.75" thickBot="1">
      <c r="A267" s="525"/>
      <c r="B267" s="526"/>
      <c r="C267" s="99" t="s">
        <v>29</v>
      </c>
      <c r="D267" s="55">
        <v>473</v>
      </c>
      <c r="E267" s="56">
        <v>6.5049999999999999</v>
      </c>
      <c r="F267" s="281">
        <f>+E267</f>
        <v>6.5049999999999999</v>
      </c>
      <c r="G267" s="414">
        <f t="shared" si="36"/>
        <v>3076.87</v>
      </c>
      <c r="H267" s="248"/>
      <c r="I267" s="203"/>
      <c r="J267" s="60"/>
      <c r="K267" s="61"/>
      <c r="L267" s="249"/>
      <c r="M267" s="54"/>
      <c r="N267" s="527"/>
      <c r="O267" s="528"/>
      <c r="P267" s="529" t="s">
        <v>87</v>
      </c>
      <c r="Q267" s="282">
        <f>+G267+J267-M267-N267-O267</f>
        <v>3076.87</v>
      </c>
    </row>
    <row r="268" spans="1:17">
      <c r="A268" s="493"/>
      <c r="B268" s="602" t="s">
        <v>110</v>
      </c>
      <c r="C268" s="48" t="s">
        <v>27</v>
      </c>
      <c r="D268" s="184">
        <v>251</v>
      </c>
      <c r="E268" s="41">
        <f>6.505-6.8021</f>
        <v>-0.29710000000000036</v>
      </c>
      <c r="F268" s="23">
        <f t="shared" ref="F268:F270" si="37">+E268</f>
        <v>-0.29710000000000036</v>
      </c>
      <c r="G268" s="185">
        <f>ROUND(D268*(E268),2)</f>
        <v>-74.569999999999993</v>
      </c>
      <c r="H268" s="620"/>
      <c r="I268" s="620"/>
      <c r="J268" s="620"/>
      <c r="K268" s="634"/>
      <c r="L268" s="603">
        <f>SUM(G268:G271)</f>
        <v>1701.3</v>
      </c>
      <c r="M268" s="187">
        <v>1701.3</v>
      </c>
      <c r="N268" s="604"/>
      <c r="O268" s="635"/>
      <c r="P268" s="636"/>
      <c r="Q268" s="605"/>
    </row>
    <row r="269" spans="1:17">
      <c r="A269" s="505"/>
      <c r="B269" s="506" t="s">
        <v>169</v>
      </c>
      <c r="C269" s="48" t="s">
        <v>28</v>
      </c>
      <c r="D269" s="49">
        <v>12</v>
      </c>
      <c r="E269" s="41">
        <v>6.5049999999999999</v>
      </c>
      <c r="F269" s="41">
        <f t="shared" si="37"/>
        <v>6.5049999999999999</v>
      </c>
      <c r="G269" s="50">
        <f>ROUND(D269*(E269),2)</f>
        <v>78.06</v>
      </c>
      <c r="H269" s="296"/>
      <c r="I269" s="298"/>
      <c r="J269" s="298"/>
      <c r="K269" s="637"/>
      <c r="L269" s="606"/>
      <c r="M269" s="606"/>
      <c r="N269" s="607"/>
      <c r="O269" s="608"/>
      <c r="P269" s="609"/>
      <c r="Q269" s="610"/>
    </row>
    <row r="270" spans="1:17" ht="15.75" thickBot="1">
      <c r="A270" s="611"/>
      <c r="B270" s="506"/>
      <c r="C270" s="99" t="s">
        <v>29</v>
      </c>
      <c r="D270" s="296">
        <v>261</v>
      </c>
      <c r="E270" s="56">
        <v>6.5049999999999999</v>
      </c>
      <c r="F270" s="41">
        <f t="shared" si="37"/>
        <v>6.5049999999999999</v>
      </c>
      <c r="G270" s="50">
        <f t="shared" si="36"/>
        <v>1697.81</v>
      </c>
      <c r="H270" s="296"/>
      <c r="I270" s="298"/>
      <c r="J270" s="298"/>
      <c r="K270" s="637"/>
      <c r="L270" s="614"/>
      <c r="M270" s="606"/>
      <c r="N270" s="615"/>
      <c r="O270" s="615"/>
      <c r="P270" s="615"/>
      <c r="Q270" s="616"/>
    </row>
    <row r="271" spans="1:17" ht="15.75" thickBot="1">
      <c r="A271" s="638"/>
      <c r="B271" s="639" t="s">
        <v>111</v>
      </c>
      <c r="C271" s="640"/>
      <c r="D271" s="641"/>
      <c r="E271" s="311"/>
      <c r="F271" s="109"/>
      <c r="G271" s="642">
        <f>ROUND(D271*(E271),2)</f>
        <v>0</v>
      </c>
      <c r="H271" s="643"/>
      <c r="I271" s="109"/>
      <c r="J271" s="109"/>
      <c r="K271" s="644"/>
      <c r="L271" s="640"/>
      <c r="M271" s="640"/>
      <c r="N271" s="2"/>
      <c r="O271" s="2"/>
      <c r="P271" s="2"/>
      <c r="Q271" s="2"/>
    </row>
    <row r="272" spans="1:17" ht="15.75" thickTop="1">
      <c r="A272" s="645"/>
      <c r="B272" s="602" t="s">
        <v>112</v>
      </c>
      <c r="C272" s="48" t="s">
        <v>27</v>
      </c>
      <c r="D272" s="184">
        <v>666</v>
      </c>
      <c r="E272" s="41">
        <f>6.505-6.8021</f>
        <v>-0.29710000000000036</v>
      </c>
      <c r="F272" s="23">
        <f t="shared" ref="F272:F276" si="38">+E272</f>
        <v>-0.29710000000000036</v>
      </c>
      <c r="G272" s="185">
        <f>ROUND(D272*(E272),2)-0.01</f>
        <v>-197.88</v>
      </c>
      <c r="H272" s="620"/>
      <c r="I272" s="620"/>
      <c r="J272" s="620"/>
      <c r="K272" s="634"/>
      <c r="L272" s="603">
        <f>SUM(G272:G275)</f>
        <v>4810.9799999999996</v>
      </c>
      <c r="M272" s="187">
        <v>4810.9799999999996</v>
      </c>
      <c r="N272" s="604"/>
      <c r="O272" s="635"/>
      <c r="P272" s="636"/>
      <c r="Q272" s="605"/>
    </row>
    <row r="273" spans="1:17">
      <c r="A273" s="645"/>
      <c r="B273" s="506"/>
      <c r="C273" s="48" t="s">
        <v>28</v>
      </c>
      <c r="D273" s="49">
        <v>33</v>
      </c>
      <c r="E273" s="41">
        <v>6.5049999999999999</v>
      </c>
      <c r="F273" s="41">
        <f t="shared" si="38"/>
        <v>6.5049999999999999</v>
      </c>
      <c r="G273" s="50">
        <f t="shared" ref="G273:G274" si="39">ROUND(D273*(E273),2)</f>
        <v>214.67</v>
      </c>
      <c r="H273" s="296"/>
      <c r="I273" s="298"/>
      <c r="J273" s="298"/>
      <c r="K273" s="637"/>
      <c r="L273" s="606"/>
      <c r="M273" s="606"/>
      <c r="N273" s="607"/>
      <c r="O273" s="608"/>
      <c r="P273" s="609"/>
      <c r="Q273" s="610"/>
    </row>
    <row r="274" spans="1:17" ht="15.75" thickBot="1">
      <c r="A274" s="645"/>
      <c r="B274" s="506"/>
      <c r="C274" s="99" t="s">
        <v>29</v>
      </c>
      <c r="D274" s="296">
        <v>737</v>
      </c>
      <c r="E274" s="56">
        <v>6.5049999999999999</v>
      </c>
      <c r="F274" s="41">
        <f t="shared" si="38"/>
        <v>6.5049999999999999</v>
      </c>
      <c r="G274" s="50">
        <f t="shared" si="39"/>
        <v>4794.1899999999996</v>
      </c>
      <c r="H274" s="296"/>
      <c r="I274" s="298"/>
      <c r="J274" s="298"/>
      <c r="K274" s="637"/>
      <c r="L274" s="614"/>
      <c r="M274" s="606"/>
      <c r="N274" s="615"/>
      <c r="O274" s="615"/>
      <c r="P274" s="615"/>
      <c r="Q274" s="616"/>
    </row>
    <row r="275" spans="1:17" ht="15.75" thickBot="1">
      <c r="A275" s="645"/>
      <c r="B275" s="639"/>
      <c r="C275" s="646"/>
      <c r="D275" s="647"/>
      <c r="E275" s="648"/>
      <c r="F275" s="646"/>
      <c r="G275" s="648"/>
      <c r="H275" s="646"/>
      <c r="I275" s="646"/>
      <c r="J275" s="646"/>
      <c r="K275" s="646"/>
      <c r="L275" s="646"/>
      <c r="M275" s="646"/>
      <c r="N275" s="615"/>
      <c r="O275" s="615"/>
      <c r="P275" s="615"/>
      <c r="Q275" s="615"/>
    </row>
    <row r="276" spans="1:17" ht="15.75" thickTop="1">
      <c r="A276" s="645"/>
      <c r="B276" s="602" t="s">
        <v>127</v>
      </c>
      <c r="C276" s="48" t="s">
        <v>27</v>
      </c>
      <c r="D276" s="184">
        <v>473.1</v>
      </c>
      <c r="E276" s="41">
        <f>6.505-6.8021</f>
        <v>-0.29710000000000036</v>
      </c>
      <c r="F276" s="23">
        <f t="shared" si="38"/>
        <v>-0.29710000000000036</v>
      </c>
      <c r="G276" s="185">
        <f>ROUND(D276*(E276),2)</f>
        <v>-140.56</v>
      </c>
      <c r="H276" s="620"/>
      <c r="I276" s="620"/>
      <c r="J276" s="620"/>
      <c r="K276" s="634"/>
      <c r="L276" s="603">
        <f>SUM(G276:G279)</f>
        <v>2889.4700000000003</v>
      </c>
      <c r="M276" s="187">
        <v>2889.47</v>
      </c>
      <c r="N276" s="604"/>
      <c r="O276" s="635"/>
      <c r="P276" s="636"/>
      <c r="Q276" s="605"/>
    </row>
    <row r="277" spans="1:17">
      <c r="A277" s="645"/>
      <c r="B277" s="506"/>
      <c r="C277" s="48" t="s">
        <v>28</v>
      </c>
      <c r="D277" s="49">
        <v>19.8</v>
      </c>
      <c r="E277" s="41">
        <v>6.5049999999999999</v>
      </c>
      <c r="F277" s="41">
        <f>+E277</f>
        <v>6.5049999999999999</v>
      </c>
      <c r="G277" s="50">
        <f>ROUND(D277*(E277),2)</f>
        <v>128.80000000000001</v>
      </c>
      <c r="H277" s="296"/>
      <c r="I277" s="298"/>
      <c r="J277" s="298"/>
      <c r="K277" s="637"/>
      <c r="L277" s="606"/>
      <c r="M277" s="606"/>
      <c r="N277" s="607"/>
      <c r="O277" s="608"/>
      <c r="P277" s="609"/>
      <c r="Q277" s="610"/>
    </row>
    <row r="278" spans="1:17" ht="15.75" thickBot="1">
      <c r="A278" s="645"/>
      <c r="B278" s="506"/>
      <c r="C278" s="99" t="s">
        <v>29</v>
      </c>
      <c r="D278" s="296">
        <v>446</v>
      </c>
      <c r="E278" s="56">
        <v>6.5049999999999999</v>
      </c>
      <c r="F278" s="41">
        <f t="shared" ref="F278" si="40">+E278</f>
        <v>6.5049999999999999</v>
      </c>
      <c r="G278" s="50">
        <f t="shared" ref="G278" si="41">ROUND(D278*(E278),2)</f>
        <v>2901.23</v>
      </c>
      <c r="H278" s="296"/>
      <c r="I278" s="298"/>
      <c r="J278" s="298"/>
      <c r="K278" s="637"/>
      <c r="L278" s="614"/>
      <c r="M278" s="606"/>
      <c r="N278" s="615"/>
      <c r="O278" s="615"/>
      <c r="P278" s="615"/>
      <c r="Q278" s="616"/>
    </row>
    <row r="279" spans="1:17" ht="15.75" thickBot="1">
      <c r="A279" s="645"/>
      <c r="B279" s="639"/>
      <c r="C279" s="646"/>
      <c r="D279" s="647"/>
      <c r="E279" s="648"/>
      <c r="F279" s="646"/>
      <c r="G279" s="648"/>
      <c r="H279" s="646"/>
      <c r="I279" s="646"/>
      <c r="J279" s="646"/>
      <c r="K279" s="646"/>
      <c r="L279" s="646"/>
      <c r="M279" s="646"/>
      <c r="N279" s="615"/>
      <c r="O279" s="615"/>
      <c r="P279" s="615"/>
      <c r="Q279" s="615"/>
    </row>
    <row r="280" spans="1:17" ht="16.5" hidden="1" outlineLevel="1" thickTop="1" thickBot="1">
      <c r="A280" s="705"/>
      <c r="B280" s="602" t="s">
        <v>128</v>
      </c>
      <c r="C280" s="48" t="s">
        <v>115</v>
      </c>
      <c r="D280" s="184"/>
      <c r="E280" s="41">
        <f>6.8021-6.8946</f>
        <v>-9.2499999999999361E-2</v>
      </c>
      <c r="F280" s="23">
        <f t="shared" ref="F280" si="42">+E280</f>
        <v>-9.2499999999999361E-2</v>
      </c>
      <c r="G280" s="185">
        <f>ROUND(D280*(E280),2)</f>
        <v>0</v>
      </c>
      <c r="H280" s="620"/>
      <c r="I280" s="620"/>
      <c r="J280" s="620"/>
      <c r="K280" s="634"/>
      <c r="L280" s="603"/>
      <c r="M280" s="187"/>
      <c r="N280" s="604"/>
      <c r="O280" s="635"/>
      <c r="P280" s="636"/>
      <c r="Q280" s="605"/>
    </row>
    <row r="281" spans="1:17" ht="16.5" hidden="1" outlineLevel="1" thickTop="1" thickBot="1">
      <c r="A281" s="705"/>
      <c r="B281" s="506"/>
      <c r="C281" s="48" t="s">
        <v>114</v>
      </c>
      <c r="D281" s="49"/>
      <c r="E281" s="41">
        <v>6.8021000000000003</v>
      </c>
      <c r="F281" s="41">
        <f>+E281</f>
        <v>6.8021000000000003</v>
      </c>
      <c r="G281" s="50">
        <f>ROUND(D281*(E281),2)</f>
        <v>0</v>
      </c>
      <c r="H281" s="296"/>
      <c r="I281" s="298"/>
      <c r="J281" s="298"/>
      <c r="K281" s="637"/>
      <c r="L281" s="606"/>
      <c r="M281" s="606"/>
      <c r="N281" s="607"/>
      <c r="O281" s="608"/>
      <c r="P281" s="609"/>
      <c r="Q281" s="610"/>
    </row>
    <row r="282" spans="1:17" ht="16.5" hidden="1" outlineLevel="1" thickTop="1" thickBot="1">
      <c r="A282" s="705"/>
      <c r="B282" s="506"/>
      <c r="C282" s="99" t="s">
        <v>29</v>
      </c>
      <c r="D282" s="296"/>
      <c r="E282" s="56">
        <v>6.8021000000000003</v>
      </c>
      <c r="F282" s="41">
        <f t="shared" ref="F282" si="43">+E282</f>
        <v>6.8021000000000003</v>
      </c>
      <c r="G282" s="50">
        <f t="shared" ref="G282" si="44">ROUND(D282*(E282),2)</f>
        <v>0</v>
      </c>
      <c r="H282" s="296"/>
      <c r="I282" s="298"/>
      <c r="J282" s="298"/>
      <c r="K282" s="637"/>
      <c r="L282" s="614"/>
      <c r="M282" s="606"/>
      <c r="N282" s="615"/>
      <c r="O282" s="615"/>
      <c r="P282" s="615"/>
      <c r="Q282" s="616"/>
    </row>
    <row r="283" spans="1:17" ht="16.5" hidden="1" outlineLevel="1" thickTop="1" thickBot="1">
      <c r="A283" s="705"/>
      <c r="B283" s="639"/>
      <c r="C283" s="646"/>
      <c r="D283" s="647"/>
      <c r="E283" s="648"/>
      <c r="F283" s="646"/>
      <c r="G283" s="648"/>
      <c r="H283" s="646"/>
      <c r="I283" s="646"/>
      <c r="J283" s="646"/>
      <c r="K283" s="646"/>
      <c r="L283" s="646"/>
      <c r="M283" s="646"/>
      <c r="N283" s="615"/>
      <c r="O283" s="615"/>
      <c r="P283" s="615"/>
      <c r="Q283" s="615"/>
    </row>
    <row r="284" spans="1:17" ht="15.75" collapsed="1" thickTop="1">
      <c r="A284" s="645"/>
      <c r="B284" s="602" t="s">
        <v>163</v>
      </c>
      <c r="C284" s="48" t="s">
        <v>27</v>
      </c>
      <c r="D284" s="184">
        <v>420</v>
      </c>
      <c r="E284" s="41">
        <f>6.505-6.8021</f>
        <v>-0.29710000000000036</v>
      </c>
      <c r="F284" s="23">
        <f t="shared" ref="F284" si="45">+E284</f>
        <v>-0.29710000000000036</v>
      </c>
      <c r="G284" s="185">
        <f>ROUND(D284*(E284),2)-0.01</f>
        <v>-124.79</v>
      </c>
      <c r="H284" s="620"/>
      <c r="I284" s="620"/>
      <c r="J284" s="620"/>
      <c r="K284" s="634"/>
      <c r="L284" s="603">
        <f>SUM(G284:G286)</f>
        <v>2952.08</v>
      </c>
      <c r="M284" s="187">
        <v>2952.08</v>
      </c>
      <c r="N284" s="604"/>
      <c r="O284" s="635"/>
      <c r="P284" s="636"/>
      <c r="Q284" s="605"/>
    </row>
    <row r="285" spans="1:17">
      <c r="A285" s="645"/>
      <c r="B285" s="506"/>
      <c r="C285" s="48" t="s">
        <v>28</v>
      </c>
      <c r="D285" s="49">
        <v>20</v>
      </c>
      <c r="E285" s="41">
        <v>6.5049999999999999</v>
      </c>
      <c r="F285" s="41">
        <f>+E285</f>
        <v>6.5049999999999999</v>
      </c>
      <c r="G285" s="50">
        <f>ROUND(D285*(E285),2)</f>
        <v>130.1</v>
      </c>
      <c r="H285" s="296"/>
      <c r="I285" s="298"/>
      <c r="J285" s="298"/>
      <c r="K285" s="637"/>
      <c r="L285" s="606"/>
      <c r="M285" s="606"/>
      <c r="N285" s="607"/>
      <c r="O285" s="608"/>
      <c r="P285" s="609"/>
      <c r="Q285" s="610"/>
    </row>
    <row r="286" spans="1:17" ht="15.75" thickBot="1">
      <c r="A286" s="645"/>
      <c r="B286" s="506"/>
      <c r="C286" s="99" t="s">
        <v>29</v>
      </c>
      <c r="D286" s="296">
        <v>453</v>
      </c>
      <c r="E286" s="56">
        <v>6.5049999999999999</v>
      </c>
      <c r="F286" s="41">
        <f t="shared" ref="F286:F287" si="46">+E286</f>
        <v>6.5049999999999999</v>
      </c>
      <c r="G286" s="50">
        <f t="shared" ref="G286" si="47">ROUND(D286*(E286),2)</f>
        <v>2946.77</v>
      </c>
      <c r="H286" s="296"/>
      <c r="I286" s="298"/>
      <c r="J286" s="298"/>
      <c r="K286" s="637"/>
      <c r="L286" s="614"/>
      <c r="M286" s="606"/>
      <c r="N286" s="615"/>
      <c r="O286" s="615"/>
      <c r="P286" s="615"/>
      <c r="Q286" s="616"/>
    </row>
    <row r="287" spans="1:17">
      <c r="A287" s="645"/>
      <c r="B287" s="602" t="s">
        <v>183</v>
      </c>
      <c r="C287" s="48" t="s">
        <v>27</v>
      </c>
      <c r="D287" s="184">
        <v>692</v>
      </c>
      <c r="E287" s="41">
        <f>6.505-6.8021</f>
        <v>-0.29710000000000036</v>
      </c>
      <c r="F287" s="23">
        <f t="shared" si="46"/>
        <v>-0.29710000000000036</v>
      </c>
      <c r="G287" s="185">
        <f>ROUND(D287*(E287),2)</f>
        <v>-205.59</v>
      </c>
      <c r="H287" s="620"/>
      <c r="I287" s="620"/>
      <c r="J287" s="620"/>
      <c r="K287" s="634"/>
      <c r="L287" s="603">
        <f>SUM(G287:G289)</f>
        <v>2500.4899999999998</v>
      </c>
      <c r="M287" s="187">
        <v>2500.4899999999998</v>
      </c>
      <c r="N287" s="604"/>
      <c r="O287" s="635"/>
      <c r="P287" s="636"/>
      <c r="Q287" s="605"/>
    </row>
    <row r="288" spans="1:17">
      <c r="A288" s="645"/>
      <c r="B288" s="506"/>
      <c r="C288" s="48" t="s">
        <v>28</v>
      </c>
      <c r="D288" s="49">
        <v>18</v>
      </c>
      <c r="E288" s="41">
        <v>6.5049999999999999</v>
      </c>
      <c r="F288" s="41">
        <f>+E288</f>
        <v>6.5049999999999999</v>
      </c>
      <c r="G288" s="50">
        <f>ROUND(D288*(E288),2)</f>
        <v>117.09</v>
      </c>
      <c r="H288" s="296"/>
      <c r="I288" s="298"/>
      <c r="J288" s="298"/>
      <c r="K288" s="637"/>
      <c r="L288" s="606"/>
      <c r="M288" s="606"/>
      <c r="N288" s="607"/>
      <c r="O288" s="608"/>
      <c r="P288" s="609"/>
      <c r="Q288" s="610"/>
    </row>
    <row r="289" spans="1:20" ht="15.75" thickBot="1">
      <c r="A289" s="645"/>
      <c r="B289" s="506"/>
      <c r="C289" s="99" t="s">
        <v>29</v>
      </c>
      <c r="D289" s="296">
        <v>398</v>
      </c>
      <c r="E289" s="56">
        <v>6.5049999999999999</v>
      </c>
      <c r="F289" s="41">
        <f t="shared" ref="F289:F290" si="48">+E289</f>
        <v>6.5049999999999999</v>
      </c>
      <c r="G289" s="50">
        <f t="shared" ref="G289" si="49">ROUND(D289*(E289),2)</f>
        <v>2588.9899999999998</v>
      </c>
      <c r="H289" s="296"/>
      <c r="I289" s="298"/>
      <c r="J289" s="298"/>
      <c r="K289" s="637"/>
      <c r="L289" s="614"/>
      <c r="M289" s="606"/>
      <c r="N289" s="615"/>
      <c r="O289" s="615"/>
      <c r="P289" s="615"/>
      <c r="Q289" s="616"/>
    </row>
    <row r="290" spans="1:20">
      <c r="A290" s="645"/>
      <c r="B290" s="602" t="s">
        <v>184</v>
      </c>
      <c r="C290" s="48" t="s">
        <v>27</v>
      </c>
      <c r="D290" s="184">
        <v>0</v>
      </c>
      <c r="E290" s="41">
        <f>6.505-6.8021</f>
        <v>-0.29710000000000036</v>
      </c>
      <c r="F290" s="23">
        <f t="shared" si="48"/>
        <v>-0.29710000000000036</v>
      </c>
      <c r="G290" s="185">
        <f>ROUND(D290*(E290),2)</f>
        <v>0</v>
      </c>
      <c r="H290" s="620"/>
      <c r="I290" s="620"/>
      <c r="J290" s="620"/>
      <c r="K290" s="634"/>
      <c r="L290" s="603">
        <f>SUM(G290:G292)</f>
        <v>0</v>
      </c>
      <c r="M290" s="187">
        <v>0</v>
      </c>
      <c r="N290" s="615"/>
      <c r="O290" s="615" t="s">
        <v>188</v>
      </c>
      <c r="P290" s="615"/>
      <c r="Q290" s="615"/>
    </row>
    <row r="291" spans="1:20">
      <c r="A291" s="645"/>
      <c r="B291" s="506"/>
      <c r="C291" s="48" t="s">
        <v>28</v>
      </c>
      <c r="D291" s="49">
        <v>0</v>
      </c>
      <c r="E291" s="41">
        <v>6.5049999999999999</v>
      </c>
      <c r="F291" s="41">
        <f>+E291</f>
        <v>6.5049999999999999</v>
      </c>
      <c r="G291" s="50">
        <f>ROUND(D291*(E291),2)</f>
        <v>0</v>
      </c>
      <c r="H291" s="296"/>
      <c r="I291" s="298"/>
      <c r="J291" s="298"/>
      <c r="K291" s="637"/>
      <c r="L291" s="606"/>
      <c r="M291" s="606"/>
      <c r="N291" s="615"/>
      <c r="O291" s="615"/>
      <c r="P291" s="615"/>
      <c r="Q291" s="615"/>
    </row>
    <row r="292" spans="1:20" ht="15.75" thickBot="1">
      <c r="A292" s="645"/>
      <c r="B292" s="506"/>
      <c r="C292" s="99" t="s">
        <v>29</v>
      </c>
      <c r="D292" s="296">
        <v>0</v>
      </c>
      <c r="E292" s="56">
        <v>6.5049999999999999</v>
      </c>
      <c r="F292" s="41">
        <f t="shared" ref="F292:F293" si="50">+E292</f>
        <v>6.5049999999999999</v>
      </c>
      <c r="G292" s="50">
        <f t="shared" ref="G292" si="51">ROUND(D292*(E292),2)</f>
        <v>0</v>
      </c>
      <c r="H292" s="296"/>
      <c r="I292" s="298"/>
      <c r="J292" s="298"/>
      <c r="K292" s="637"/>
      <c r="L292" s="614"/>
      <c r="M292" s="606"/>
      <c r="N292" s="615"/>
      <c r="O292" s="615"/>
      <c r="P292" s="615"/>
      <c r="Q292" s="615"/>
    </row>
    <row r="293" spans="1:20">
      <c r="A293" s="645"/>
      <c r="B293" s="602" t="s">
        <v>186</v>
      </c>
      <c r="C293" s="48" t="s">
        <v>27</v>
      </c>
      <c r="D293" s="184">
        <v>246</v>
      </c>
      <c r="E293" s="41">
        <f>6.505-6.8021</f>
        <v>-0.29710000000000036</v>
      </c>
      <c r="F293" s="23">
        <f t="shared" si="50"/>
        <v>-0.29710000000000036</v>
      </c>
      <c r="G293" s="185">
        <f>ROUND(D293*(E293),2)</f>
        <v>-73.09</v>
      </c>
      <c r="H293" s="620"/>
      <c r="I293" s="620"/>
      <c r="J293" s="620"/>
      <c r="K293" s="634"/>
      <c r="L293" s="603">
        <f>SUM(G293:G295)</f>
        <v>1136.8400000000001</v>
      </c>
      <c r="M293" s="187">
        <v>1136.8399999999999</v>
      </c>
      <c r="N293" s="615"/>
      <c r="O293" s="615"/>
      <c r="P293" s="615"/>
      <c r="Q293" s="615"/>
    </row>
    <row r="294" spans="1:20">
      <c r="A294" s="645"/>
      <c r="B294" s="506"/>
      <c r="C294" s="48" t="s">
        <v>28</v>
      </c>
      <c r="D294" s="49">
        <v>8</v>
      </c>
      <c r="E294" s="41">
        <v>6.5049999999999999</v>
      </c>
      <c r="F294" s="41">
        <f>+E294</f>
        <v>6.5049999999999999</v>
      </c>
      <c r="G294" s="50">
        <f>ROUND(D294*(E294),2)</f>
        <v>52.04</v>
      </c>
      <c r="H294" s="296"/>
      <c r="I294" s="298"/>
      <c r="J294" s="298"/>
      <c r="K294" s="637"/>
      <c r="L294" s="606"/>
      <c r="M294" s="606"/>
      <c r="N294" s="615"/>
      <c r="O294" s="615"/>
      <c r="P294" s="615"/>
      <c r="Q294" s="615"/>
    </row>
    <row r="295" spans="1:20" ht="15.75" thickBot="1">
      <c r="A295" s="645"/>
      <c r="B295" s="506"/>
      <c r="C295" s="99" t="s">
        <v>29</v>
      </c>
      <c r="D295" s="296">
        <v>178</v>
      </c>
      <c r="E295" s="56">
        <v>6.5049999999999999</v>
      </c>
      <c r="F295" s="41">
        <f t="shared" ref="F295:F296" si="52">+E295</f>
        <v>6.5049999999999999</v>
      </c>
      <c r="G295" s="50">
        <f t="shared" ref="G295" si="53">ROUND(D295*(E295),2)</f>
        <v>1157.8900000000001</v>
      </c>
      <c r="H295" s="296"/>
      <c r="I295" s="298"/>
      <c r="J295" s="298"/>
      <c r="K295" s="637"/>
      <c r="L295" s="614"/>
      <c r="M295" s="606"/>
      <c r="N295" s="615"/>
      <c r="O295" s="615"/>
      <c r="P295" s="615"/>
      <c r="Q295" s="615"/>
    </row>
    <row r="296" spans="1:20">
      <c r="A296" s="645"/>
      <c r="B296" s="602" t="s">
        <v>195</v>
      </c>
      <c r="C296" s="48" t="s">
        <v>27</v>
      </c>
      <c r="D296" s="184"/>
      <c r="E296" s="41">
        <f>6.505-6.8021</f>
        <v>-0.29710000000000036</v>
      </c>
      <c r="F296" s="23">
        <f t="shared" si="52"/>
        <v>-0.29710000000000036</v>
      </c>
      <c r="G296" s="185">
        <f>ROUND(D296*(E296),2)</f>
        <v>0</v>
      </c>
      <c r="H296" s="620"/>
      <c r="I296" s="620"/>
      <c r="J296" s="620"/>
      <c r="K296" s="634"/>
      <c r="L296" s="603">
        <f>SUM(G296:G298)</f>
        <v>104.08</v>
      </c>
      <c r="M296" s="187">
        <v>104.08</v>
      </c>
      <c r="N296" s="615"/>
      <c r="O296" s="615"/>
      <c r="P296" s="615"/>
      <c r="Q296" s="615"/>
    </row>
    <row r="297" spans="1:20">
      <c r="A297" s="645"/>
      <c r="B297" s="506"/>
      <c r="C297" s="48" t="s">
        <v>28</v>
      </c>
      <c r="D297" s="49">
        <v>1</v>
      </c>
      <c r="E297" s="41">
        <v>6.5049999999999999</v>
      </c>
      <c r="F297" s="41">
        <f>+E297</f>
        <v>6.5049999999999999</v>
      </c>
      <c r="G297" s="50">
        <f>ROUND(D297*(E297),2)-0.01</f>
        <v>6.5</v>
      </c>
      <c r="H297" s="296"/>
      <c r="I297" s="298"/>
      <c r="J297" s="298"/>
      <c r="K297" s="637"/>
      <c r="L297" s="606"/>
      <c r="M297" s="606"/>
      <c r="N297" s="615"/>
      <c r="O297" s="615"/>
      <c r="P297" s="615"/>
      <c r="Q297" s="615"/>
    </row>
    <row r="298" spans="1:20" ht="15.75" thickBot="1">
      <c r="A298" s="645"/>
      <c r="B298" s="506"/>
      <c r="C298" s="99" t="s">
        <v>29</v>
      </c>
      <c r="D298" s="296">
        <v>15</v>
      </c>
      <c r="E298" s="56">
        <v>6.5049999999999999</v>
      </c>
      <c r="F298" s="41">
        <f t="shared" ref="F298" si="54">+E298</f>
        <v>6.5049999999999999</v>
      </c>
      <c r="G298" s="50">
        <f t="shared" ref="G298" si="55">ROUND(D298*(E298),2)</f>
        <v>97.58</v>
      </c>
      <c r="H298" s="296"/>
      <c r="I298" s="298"/>
      <c r="J298" s="298"/>
      <c r="K298" s="637"/>
      <c r="L298" s="614"/>
      <c r="M298" s="606"/>
      <c r="N298" s="615"/>
      <c r="O298" s="615"/>
      <c r="P298" s="615"/>
      <c r="Q298" s="615"/>
    </row>
    <row r="299" spans="1:20">
      <c r="A299" s="705"/>
      <c r="B299" s="615"/>
      <c r="C299" s="615"/>
      <c r="D299" s="696"/>
      <c r="E299" s="473"/>
      <c r="F299" s="615"/>
      <c r="G299" s="473"/>
      <c r="H299" s="615"/>
      <c r="I299" s="615"/>
      <c r="J299" s="615"/>
      <c r="K299" s="615"/>
      <c r="L299" s="615"/>
      <c r="M299" s="615"/>
      <c r="N299" s="615"/>
      <c r="O299" s="615"/>
      <c r="P299" s="615"/>
      <c r="Q299" s="615"/>
    </row>
    <row r="300" spans="1:20" ht="15.75" thickBot="1">
      <c r="A300" s="705"/>
      <c r="B300" s="615"/>
      <c r="C300" s="615"/>
      <c r="D300" s="696"/>
      <c r="E300" s="473"/>
      <c r="F300" s="615"/>
      <c r="G300" s="473"/>
      <c r="H300" s="615"/>
      <c r="I300" s="615"/>
      <c r="J300" s="615"/>
      <c r="K300" s="615"/>
      <c r="L300" s="615"/>
      <c r="M300" s="615"/>
      <c r="N300" s="615"/>
      <c r="O300" s="615"/>
      <c r="P300" s="615"/>
      <c r="Q300" s="615"/>
    </row>
    <row r="301" spans="1:20" s="81" customFormat="1" ht="15" customHeight="1" thickTop="1">
      <c r="A301" s="476"/>
      <c r="B301" s="158"/>
      <c r="C301" s="322"/>
      <c r="D301" s="477"/>
      <c r="E301" s="163"/>
      <c r="F301" s="163"/>
      <c r="G301" s="478"/>
      <c r="H301" s="163"/>
      <c r="I301" s="163"/>
      <c r="J301" s="163"/>
      <c r="K301" s="163"/>
      <c r="L301" s="163"/>
      <c r="M301" s="164"/>
      <c r="N301" s="479"/>
      <c r="O301" s="479"/>
      <c r="P301" s="479"/>
      <c r="Q301" s="479"/>
      <c r="R301" s="422"/>
      <c r="S301"/>
      <c r="T301" s="399"/>
    </row>
    <row r="302" spans="1:20" ht="21.75" thickBot="1">
      <c r="A302" s="171" t="s">
        <v>113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3"/>
      <c r="N302" s="2"/>
      <c r="O302" s="2"/>
      <c r="P302" s="2"/>
      <c r="Q302" s="2"/>
    </row>
    <row r="303" spans="1:20" ht="15.75" customHeight="1" thickTop="1" thickBot="1">
      <c r="A303" s="1555" t="s">
        <v>1</v>
      </c>
      <c r="B303" s="1543" t="s">
        <v>2</v>
      </c>
      <c r="C303" s="1545" t="s">
        <v>3</v>
      </c>
      <c r="D303" s="1546" t="s">
        <v>4</v>
      </c>
      <c r="E303" s="1546"/>
      <c r="F303" s="1546"/>
      <c r="G303" s="1546"/>
      <c r="H303" s="1547"/>
      <c r="I303" s="1548"/>
      <c r="J303" s="1548"/>
      <c r="K303" s="1549"/>
      <c r="L303" s="1524" t="s">
        <v>6</v>
      </c>
      <c r="M303" s="1511" t="s">
        <v>7</v>
      </c>
      <c r="N303" s="1551" t="s">
        <v>8</v>
      </c>
      <c r="O303" s="1551"/>
      <c r="P303" s="1551"/>
      <c r="Q303" s="1552"/>
      <c r="R303" s="481"/>
      <c r="S303" s="482" t="s">
        <v>20</v>
      </c>
      <c r="T303" s="482" t="s">
        <v>21</v>
      </c>
    </row>
    <row r="304" spans="1:20" ht="26.25" thickBot="1">
      <c r="A304" s="1556"/>
      <c r="B304" s="1557"/>
      <c r="C304" s="1558" t="s">
        <v>10</v>
      </c>
      <c r="D304" s="483" t="s">
        <v>11</v>
      </c>
      <c r="E304" s="649" t="s">
        <v>12</v>
      </c>
      <c r="F304" s="649" t="s">
        <v>13</v>
      </c>
      <c r="G304" s="650" t="s">
        <v>14</v>
      </c>
      <c r="H304" s="651" t="s">
        <v>11</v>
      </c>
      <c r="I304" s="652" t="s">
        <v>15</v>
      </c>
      <c r="J304" s="653"/>
      <c r="K304" s="654" t="s">
        <v>16</v>
      </c>
      <c r="L304" s="1525"/>
      <c r="M304" s="1554"/>
      <c r="N304" s="655"/>
      <c r="O304" s="653"/>
      <c r="P304" s="656" t="s">
        <v>18</v>
      </c>
      <c r="Q304" s="657" t="s">
        <v>19</v>
      </c>
      <c r="R304" s="491"/>
      <c r="S304" s="492"/>
      <c r="T304" s="492"/>
    </row>
    <row r="305" spans="1:18" ht="15.75">
      <c r="A305" s="658"/>
      <c r="B305" s="659" t="s">
        <v>55</v>
      </c>
      <c r="C305" s="48" t="s">
        <v>27</v>
      </c>
      <c r="D305" s="259">
        <v>2015.8</v>
      </c>
      <c r="E305" s="41">
        <f>6.505-6.8021</f>
        <v>-0.29710000000000036</v>
      </c>
      <c r="F305" s="620">
        <f t="shared" ref="F305:F306" si="56">+E305</f>
        <v>-0.29710000000000036</v>
      </c>
      <c r="G305" s="214">
        <f>ROUND(D305*E305,2)</f>
        <v>-598.89</v>
      </c>
      <c r="H305" s="303"/>
      <c r="I305" s="23"/>
      <c r="J305" s="23"/>
      <c r="K305" s="23"/>
      <c r="L305" s="603">
        <f>SUM(G305:G307)</f>
        <v>14741.85</v>
      </c>
      <c r="M305" s="187">
        <v>14741.85</v>
      </c>
      <c r="N305" s="660"/>
      <c r="O305" s="217"/>
      <c r="P305" s="661"/>
      <c r="Q305" s="219"/>
    </row>
    <row r="306" spans="1:18" ht="15.75">
      <c r="A306" s="662"/>
      <c r="B306" s="35"/>
      <c r="C306" s="48" t="s">
        <v>28</v>
      </c>
      <c r="D306" s="269">
        <v>78.87</v>
      </c>
      <c r="E306" s="41">
        <v>6.5049999999999999</v>
      </c>
      <c r="F306" s="298">
        <f t="shared" si="56"/>
        <v>6.5049999999999999</v>
      </c>
      <c r="G306" s="235">
        <f>ROUND(D306*E306,2)</f>
        <v>513.04999999999995</v>
      </c>
      <c r="H306" s="270"/>
      <c r="I306" s="41"/>
      <c r="J306" s="41"/>
      <c r="K306" s="41"/>
      <c r="L306" s="606"/>
      <c r="M306" s="606"/>
      <c r="N306" s="663"/>
      <c r="O306" s="237"/>
      <c r="P306" s="275"/>
      <c r="Q306" s="238"/>
    </row>
    <row r="307" spans="1:18" ht="15.75" thickBot="1">
      <c r="A307" s="664"/>
      <c r="B307" s="665"/>
      <c r="C307" s="99" t="s">
        <v>29</v>
      </c>
      <c r="D307" s="613">
        <v>2279.4299999999998</v>
      </c>
      <c r="E307" s="56">
        <v>6.5049999999999999</v>
      </c>
      <c r="F307" s="57"/>
      <c r="G307" s="247">
        <f>ROUND(D307*E307,2)</f>
        <v>14827.69</v>
      </c>
      <c r="H307" s="613"/>
      <c r="I307" s="57"/>
      <c r="J307" s="57"/>
      <c r="K307" s="57"/>
      <c r="L307" s="614"/>
      <c r="M307" s="606"/>
      <c r="N307" s="57"/>
      <c r="O307" s="57"/>
      <c r="P307" s="57"/>
      <c r="Q307" s="666"/>
    </row>
    <row r="308" spans="1:18">
      <c r="A308" s="667"/>
      <c r="B308" s="659" t="s">
        <v>116</v>
      </c>
      <c r="C308" s="668" t="s">
        <v>73</v>
      </c>
      <c r="D308" s="669">
        <v>6</v>
      </c>
      <c r="E308" s="21">
        <v>36.214199999999998</v>
      </c>
      <c r="F308" s="21">
        <v>42.4328</v>
      </c>
      <c r="G308" s="214">
        <f>+D308*(E308+F308)</f>
        <v>471.88199999999995</v>
      </c>
      <c r="H308" s="687"/>
      <c r="I308" s="688"/>
      <c r="J308" s="670"/>
      <c r="K308" s="689"/>
      <c r="L308" s="603">
        <f>SUM(G308:G314)+SUM(J308:J312)</f>
        <v>12721.202000000001</v>
      </c>
      <c r="M308" s="187">
        <v>12721.2</v>
      </c>
      <c r="N308" s="670"/>
      <c r="O308" s="670"/>
      <c r="P308" s="670"/>
      <c r="Q308" s="670"/>
    </row>
    <row r="309" spans="1:18">
      <c r="A309" s="671"/>
      <c r="B309" s="672"/>
      <c r="C309" s="48"/>
      <c r="D309" s="673"/>
      <c r="E309" s="41"/>
      <c r="F309" s="298"/>
      <c r="G309" s="235">
        <f>+D309*E309</f>
        <v>0</v>
      </c>
      <c r="H309" s="687"/>
      <c r="I309" s="688"/>
      <c r="J309" s="670"/>
      <c r="K309" s="689"/>
      <c r="L309" s="606"/>
      <c r="M309" s="606"/>
      <c r="N309" s="298"/>
      <c r="O309" s="298"/>
      <c r="P309" s="298"/>
      <c r="Q309" s="298"/>
    </row>
    <row r="310" spans="1:18">
      <c r="A310" s="671"/>
      <c r="B310" s="442"/>
      <c r="C310" s="48"/>
      <c r="D310" s="673"/>
      <c r="E310" s="41"/>
      <c r="F310" s="298"/>
      <c r="G310" s="235">
        <f>ROUND(D310*E310,2)</f>
        <v>0</v>
      </c>
      <c r="H310" s="687"/>
      <c r="I310" s="688"/>
      <c r="J310" s="670"/>
      <c r="K310" s="850"/>
      <c r="L310" s="614"/>
      <c r="M310" s="606"/>
      <c r="N310" s="298"/>
      <c r="O310" s="298"/>
      <c r="P310" s="298"/>
      <c r="Q310" s="298"/>
    </row>
    <row r="311" spans="1:18">
      <c r="A311" s="671"/>
      <c r="B311" s="35"/>
      <c r="C311" s="606"/>
      <c r="D311" s="673"/>
      <c r="E311" s="41"/>
      <c r="F311" s="298"/>
      <c r="G311" s="235">
        <f>ROUND(D311*E311,2)</f>
        <v>0</v>
      </c>
      <c r="H311" s="270"/>
      <c r="I311" s="688"/>
      <c r="J311" s="670"/>
      <c r="K311" s="689"/>
      <c r="L311" s="614"/>
      <c r="M311" s="273"/>
      <c r="N311" s="298"/>
      <c r="O311" s="298"/>
      <c r="P311" s="298"/>
      <c r="Q311" s="298"/>
    </row>
    <row r="312" spans="1:18" ht="15.75">
      <c r="A312" s="674"/>
      <c r="B312" s="672"/>
      <c r="C312" s="48" t="s">
        <v>27</v>
      </c>
      <c r="D312" s="269">
        <v>1653.9</v>
      </c>
      <c r="E312" s="41">
        <f>6.505-6.8021</f>
        <v>-0.29710000000000036</v>
      </c>
      <c r="F312" s="298">
        <f t="shared" ref="F312:F313" si="57">+E312</f>
        <v>-0.29710000000000036</v>
      </c>
      <c r="G312" s="235">
        <f>ROUND(D312*E312,2)-0.01</f>
        <v>-491.38</v>
      </c>
      <c r="H312" s="270"/>
      <c r="I312" s="41"/>
      <c r="J312" s="670"/>
      <c r="K312" s="689"/>
      <c r="L312" s="606"/>
      <c r="M312" s="606"/>
      <c r="N312" s="663"/>
      <c r="O312" s="237"/>
      <c r="P312" s="275"/>
      <c r="Q312" s="237"/>
    </row>
    <row r="313" spans="1:18" ht="15.75">
      <c r="A313" s="674"/>
      <c r="B313" s="35"/>
      <c r="C313" s="48" t="s">
        <v>28</v>
      </c>
      <c r="D313" s="269">
        <v>65.5</v>
      </c>
      <c r="E313" s="41">
        <v>6.5049999999999999</v>
      </c>
      <c r="F313" s="298">
        <f t="shared" si="57"/>
        <v>6.5049999999999999</v>
      </c>
      <c r="G313" s="235">
        <f>ROUND(D313*E313,2)</f>
        <v>426.08</v>
      </c>
      <c r="H313" s="270"/>
      <c r="I313" s="41"/>
      <c r="J313" s="41"/>
      <c r="K313" s="41"/>
      <c r="L313" s="614"/>
      <c r="M313" s="606"/>
      <c r="N313" s="663"/>
      <c r="O313" s="237"/>
      <c r="P313" s="275"/>
      <c r="Q313" s="237"/>
    </row>
    <row r="314" spans="1:18" ht="15.75" thickBot="1">
      <c r="A314" s="675"/>
      <c r="B314" s="676"/>
      <c r="C314" s="107" t="s">
        <v>29</v>
      </c>
      <c r="D314" s="643">
        <v>1893.1</v>
      </c>
      <c r="E314" s="56">
        <v>6.5049999999999999</v>
      </c>
      <c r="F314" s="109"/>
      <c r="G314" s="309">
        <f t="shared" ref="G314:G324" si="58">ROUND(D314*E314,2)</f>
        <v>12314.62</v>
      </c>
      <c r="H314" s="643"/>
      <c r="I314" s="109"/>
      <c r="J314" s="109"/>
      <c r="K314" s="109"/>
      <c r="L314" s="677"/>
      <c r="M314" s="314"/>
      <c r="N314" s="109"/>
      <c r="O314" s="109"/>
      <c r="P314" s="109"/>
      <c r="Q314" s="109"/>
      <c r="R314" s="2"/>
    </row>
    <row r="315" spans="1:18" ht="16.5" thickTop="1">
      <c r="A315" s="658"/>
      <c r="B315" s="659" t="s">
        <v>117</v>
      </c>
      <c r="C315" s="48" t="s">
        <v>27</v>
      </c>
      <c r="D315" s="259">
        <v>388.2</v>
      </c>
      <c r="E315" s="41">
        <f>6.505-6.8021</f>
        <v>-0.29710000000000036</v>
      </c>
      <c r="F315" s="691">
        <f>+E315</f>
        <v>-0.29710000000000036</v>
      </c>
      <c r="G315" s="214">
        <f>ROUND(D315*E315,2)-0.01</f>
        <v>-115.34</v>
      </c>
      <c r="H315" s="303"/>
      <c r="I315" s="23"/>
      <c r="J315" s="23"/>
      <c r="K315" s="23"/>
      <c r="L315" s="603">
        <f>SUM(G315:G317)</f>
        <v>2630.42</v>
      </c>
      <c r="M315" s="187">
        <v>2630.42</v>
      </c>
      <c r="N315" s="660"/>
      <c r="O315" s="217"/>
      <c r="P315" s="661"/>
      <c r="Q315" s="219"/>
      <c r="R315" s="324"/>
    </row>
    <row r="316" spans="1:18" ht="15.75">
      <c r="A316" s="662"/>
      <c r="B316" s="35"/>
      <c r="C316" s="48" t="s">
        <v>28</v>
      </c>
      <c r="D316" s="773">
        <v>14.1</v>
      </c>
      <c r="E316" s="41">
        <v>6.5049999999999999</v>
      </c>
      <c r="F316" s="774">
        <f t="shared" ref="F316" si="59">+E316</f>
        <v>6.5049999999999999</v>
      </c>
      <c r="G316" s="775">
        <f t="shared" si="58"/>
        <v>91.72</v>
      </c>
      <c r="H316" s="432"/>
      <c r="I316" s="207"/>
      <c r="J316" s="207"/>
      <c r="K316" s="207"/>
      <c r="L316" s="776"/>
      <c r="M316" s="776"/>
      <c r="N316" s="777"/>
      <c r="O316" s="778"/>
      <c r="P316" s="779"/>
      <c r="Q316" s="780"/>
    </row>
    <row r="317" spans="1:18" ht="15.75" thickBot="1">
      <c r="A317" s="781"/>
      <c r="B317" s="782"/>
      <c r="C317" s="54" t="s">
        <v>29</v>
      </c>
      <c r="D317" s="613">
        <v>408</v>
      </c>
      <c r="E317" s="56">
        <v>6.5049999999999999</v>
      </c>
      <c r="F317" s="57"/>
      <c r="G317" s="247">
        <f t="shared" si="58"/>
        <v>2654.04</v>
      </c>
      <c r="H317" s="613"/>
      <c r="I317" s="57"/>
      <c r="J317" s="57"/>
      <c r="K317" s="57"/>
      <c r="L317" s="783"/>
      <c r="M317" s="784"/>
      <c r="N317" s="57"/>
      <c r="O317" s="57"/>
      <c r="P317" s="57"/>
      <c r="Q317" s="666"/>
    </row>
    <row r="318" spans="1:18" ht="15.75">
      <c r="A318" s="662"/>
      <c r="B318" s="785" t="s">
        <v>142</v>
      </c>
      <c r="C318" s="786" t="s">
        <v>73</v>
      </c>
      <c r="D318" s="787">
        <v>5</v>
      </c>
      <c r="E318" s="21">
        <v>36.214199999999998</v>
      </c>
      <c r="F318" s="21">
        <v>42.4328</v>
      </c>
      <c r="G318" s="214">
        <f>+D318*(E318+F318)</f>
        <v>393.23499999999996</v>
      </c>
      <c r="H318" s="687"/>
      <c r="I318" s="688"/>
      <c r="J318" s="670"/>
      <c r="K318" s="850"/>
      <c r="L318" s="603">
        <f>SUM(G318:G321,J318:J321)</f>
        <v>16002.965</v>
      </c>
      <c r="M318" s="187">
        <v>16002.97</v>
      </c>
      <c r="N318" s="788"/>
      <c r="O318" s="789"/>
      <c r="P318" s="790"/>
      <c r="Q318" s="791"/>
    </row>
    <row r="319" spans="1:18" ht="15.75">
      <c r="A319" s="792"/>
      <c r="B319" s="793"/>
      <c r="C319" s="48" t="s">
        <v>27</v>
      </c>
      <c r="D319" s="269">
        <v>2538.6999999999998</v>
      </c>
      <c r="E319" s="41">
        <f>6.505-6.8021</f>
        <v>-0.29710000000000036</v>
      </c>
      <c r="F319" s="297">
        <f>+E319</f>
        <v>-0.29710000000000036</v>
      </c>
      <c r="G319" s="235">
        <f t="shared" si="58"/>
        <v>-754.25</v>
      </c>
      <c r="H319" s="270"/>
      <c r="I319" s="688"/>
      <c r="J319" s="670"/>
      <c r="K319" s="689"/>
      <c r="L319" s="614"/>
      <c r="M319" s="273"/>
      <c r="N319" s="663"/>
      <c r="O319" s="237"/>
      <c r="P319" s="275"/>
      <c r="Q319" s="238"/>
    </row>
    <row r="320" spans="1:18" ht="15.75">
      <c r="A320" s="794"/>
      <c r="B320" s="767"/>
      <c r="C320" s="48" t="s">
        <v>28</v>
      </c>
      <c r="D320" s="269">
        <v>84.09</v>
      </c>
      <c r="E320" s="41">
        <v>6.5049999999999999</v>
      </c>
      <c r="F320" s="298">
        <f t="shared" ref="F320" si="60">+E320</f>
        <v>6.5049999999999999</v>
      </c>
      <c r="G320" s="235">
        <f t="shared" si="58"/>
        <v>547.01</v>
      </c>
      <c r="H320" s="270"/>
      <c r="I320" s="41"/>
      <c r="J320" s="670"/>
      <c r="K320" s="689"/>
      <c r="L320" s="606"/>
      <c r="M320" s="606"/>
      <c r="N320" s="663"/>
      <c r="O320" s="237"/>
      <c r="P320" s="275"/>
      <c r="Q320" s="238"/>
    </row>
    <row r="321" spans="1:17" ht="15.75" thickBot="1">
      <c r="A321" s="664"/>
      <c r="B321" s="665"/>
      <c r="C321" s="512" t="s">
        <v>29</v>
      </c>
      <c r="D321" s="795">
        <v>2431.5100000000002</v>
      </c>
      <c r="E321" s="56">
        <v>6.5049999999999999</v>
      </c>
      <c r="F321" s="797"/>
      <c r="G321" s="798">
        <f t="shared" si="58"/>
        <v>15816.97</v>
      </c>
      <c r="H321" s="795"/>
      <c r="I321" s="797"/>
      <c r="J321" s="797"/>
      <c r="K321" s="797"/>
      <c r="L321" s="799"/>
      <c r="M321" s="292"/>
      <c r="N321" s="797"/>
      <c r="O321" s="797"/>
      <c r="P321" s="797"/>
      <c r="Q321" s="800"/>
    </row>
    <row r="322" spans="1:17" ht="15.75">
      <c r="A322" s="658"/>
      <c r="B322" s="659" t="s">
        <v>148</v>
      </c>
      <c r="C322" s="48" t="s">
        <v>27</v>
      </c>
      <c r="D322" s="259">
        <v>205</v>
      </c>
      <c r="E322" s="41">
        <f>6.505-6.8021</f>
        <v>-0.29710000000000036</v>
      </c>
      <c r="F322" s="691">
        <f>+E322</f>
        <v>-0.29710000000000036</v>
      </c>
      <c r="G322" s="214">
        <f>ROUND(D322*E322,2)</f>
        <v>-60.91</v>
      </c>
      <c r="H322" s="303"/>
      <c r="I322" s="23"/>
      <c r="J322" s="23"/>
      <c r="K322" s="23"/>
      <c r="L322" s="603">
        <f>SUM(G322:G324)</f>
        <v>1397.5100000000002</v>
      </c>
      <c r="M322" s="187">
        <v>1397.51</v>
      </c>
      <c r="N322" s="660"/>
      <c r="O322" s="217"/>
      <c r="P322" s="661"/>
      <c r="Q322" s="219"/>
    </row>
    <row r="323" spans="1:17" ht="15.75">
      <c r="A323" s="662"/>
      <c r="B323" s="35"/>
      <c r="C323" s="48" t="s">
        <v>28</v>
      </c>
      <c r="D323" s="269">
        <v>7.5</v>
      </c>
      <c r="E323" s="41">
        <v>6.5049999999999999</v>
      </c>
      <c r="F323" s="298">
        <f t="shared" ref="F323" si="61">+E323</f>
        <v>6.5049999999999999</v>
      </c>
      <c r="G323" s="235">
        <f t="shared" si="58"/>
        <v>48.79</v>
      </c>
      <c r="H323" s="270"/>
      <c r="I323" s="41"/>
      <c r="J323" s="41"/>
      <c r="K323" s="41"/>
      <c r="L323" s="606"/>
      <c r="M323" s="606"/>
      <c r="N323" s="663"/>
      <c r="O323" s="237"/>
      <c r="P323" s="275"/>
      <c r="Q323" s="238"/>
    </row>
    <row r="324" spans="1:17" ht="15.75" thickBot="1">
      <c r="A324" s="664"/>
      <c r="B324" s="665"/>
      <c r="C324" s="99" t="s">
        <v>29</v>
      </c>
      <c r="D324" s="613">
        <v>216.7</v>
      </c>
      <c r="E324" s="56">
        <v>6.5049999999999999</v>
      </c>
      <c r="F324" s="57"/>
      <c r="G324" s="247">
        <f t="shared" si="58"/>
        <v>1409.63</v>
      </c>
      <c r="H324" s="613"/>
      <c r="I324" s="57"/>
      <c r="J324" s="57"/>
      <c r="K324" s="57"/>
      <c r="L324" s="614"/>
      <c r="M324" s="606"/>
      <c r="N324" s="57"/>
      <c r="O324" s="57"/>
      <c r="P324" s="57"/>
      <c r="Q324" s="666"/>
    </row>
  </sheetData>
  <mergeCells count="40">
    <mergeCell ref="M303:M304"/>
    <mergeCell ref="N303:Q303"/>
    <mergeCell ref="A303:A304"/>
    <mergeCell ref="B303:B304"/>
    <mergeCell ref="C303:C304"/>
    <mergeCell ref="D303:G303"/>
    <mergeCell ref="H303:K303"/>
    <mergeCell ref="L303:L304"/>
    <mergeCell ref="M99:M100"/>
    <mergeCell ref="N99:Q99"/>
    <mergeCell ref="A210:A211"/>
    <mergeCell ref="B210:B211"/>
    <mergeCell ref="C210:C211"/>
    <mergeCell ref="D210:G210"/>
    <mergeCell ref="H210:K210"/>
    <mergeCell ref="L210:L211"/>
    <mergeCell ref="M210:M211"/>
    <mergeCell ref="N210:Q210"/>
    <mergeCell ref="A99:A100"/>
    <mergeCell ref="B99:B100"/>
    <mergeCell ref="C99:C100"/>
    <mergeCell ref="D99:G99"/>
    <mergeCell ref="H99:K99"/>
    <mergeCell ref="L99:L100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38"/>
  <sheetViews>
    <sheetView topLeftCell="A231" workbookViewId="0">
      <pane xSplit="3" topLeftCell="D1" activePane="topRight" state="frozen"/>
      <selection pane="topRight" activeCell="H80" sqref="H8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50</v>
      </c>
      <c r="E4" s="21">
        <v>36.214199999999998</v>
      </c>
      <c r="F4" s="21">
        <v>42.4328</v>
      </c>
      <c r="G4" s="22">
        <f>ROUND(D4*(E4+F4),2)</f>
        <v>3932.35</v>
      </c>
      <c r="H4" s="20"/>
      <c r="I4" s="23"/>
      <c r="J4" s="23"/>
      <c r="K4" s="24"/>
      <c r="L4" s="25">
        <f>SUM(G4:G8,J4:J7)</f>
        <v>127899.83</v>
      </c>
      <c r="M4" s="26">
        <v>127899.83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118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123967.48000000001</v>
      </c>
      <c r="S6" s="31"/>
      <c r="T6" s="32"/>
    </row>
    <row r="7" spans="1:22">
      <c r="A7" s="34"/>
      <c r="B7" s="35"/>
      <c r="C7" s="48" t="s">
        <v>119</v>
      </c>
      <c r="D7" s="49">
        <v>539</v>
      </c>
      <c r="E7" s="41">
        <v>6.6986999999999997</v>
      </c>
      <c r="F7" s="41">
        <f>+E7</f>
        <v>6.6986999999999997</v>
      </c>
      <c r="G7" s="50">
        <f>ROUND(D7*E7,2)</f>
        <v>3610.6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123967.48000000001</v>
      </c>
    </row>
    <row r="8" spans="1:22" ht="15.75" thickBot="1">
      <c r="A8" s="52"/>
      <c r="B8" s="53"/>
      <c r="C8" s="99" t="s">
        <v>29</v>
      </c>
      <c r="D8" s="55">
        <v>17967.2</v>
      </c>
      <c r="E8" s="56">
        <v>6.6986999999999997</v>
      </c>
      <c r="F8" s="57">
        <f>+E8</f>
        <v>6.6986999999999997</v>
      </c>
      <c r="G8" s="58">
        <f>ROUND(D8*E8,2)</f>
        <v>120356.88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120356.88</v>
      </c>
      <c r="R8" s="66" t="s">
        <v>25</v>
      </c>
      <c r="S8" s="67">
        <f>SUM(O4:O8)</f>
        <v>0</v>
      </c>
      <c r="T8" s="68">
        <f>SUM(Q4:Q8)</f>
        <v>120356.88</v>
      </c>
    </row>
    <row r="9" spans="1:22" s="140" customFormat="1" collapsed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SUM(G9:G27,J9:J12)</f>
        <v>68916.710000000006</v>
      </c>
      <c r="M9" s="26">
        <v>1852.91</v>
      </c>
      <c r="N9" s="27"/>
      <c r="O9" s="28"/>
      <c r="P9" s="29" t="s">
        <v>24</v>
      </c>
      <c r="Q9" s="28"/>
      <c r="R9" s="30"/>
      <c r="S9" s="31"/>
      <c r="T9" s="32"/>
      <c r="U9" s="33">
        <f>+C9+L9-M9</f>
        <v>67063.8</v>
      </c>
    </row>
    <row r="10" spans="1:22" s="140" customFormat="1">
      <c r="A10" s="34"/>
      <c r="B10" s="35"/>
      <c r="C10" s="48" t="s">
        <v>118</v>
      </c>
      <c r="D10" s="37">
        <f>[2]янв18!D25+[2]янв18!D26</f>
        <v>149.4</v>
      </c>
      <c r="E10" s="41">
        <f>6.6231-6.505</f>
        <v>0.11810000000000009</v>
      </c>
      <c r="F10" s="38"/>
      <c r="G10" s="39">
        <f>ROUND(D10*(E10+F10),2)+0.01</f>
        <v>17.650000000000002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>
      <c r="A11" s="34"/>
      <c r="B11" s="35"/>
      <c r="C11" s="48" t="s">
        <v>119</v>
      </c>
      <c r="D11" s="49">
        <v>8.1</v>
      </c>
      <c r="E11" s="41">
        <v>6.6231</v>
      </c>
      <c r="F11" s="41">
        <f>+E11</f>
        <v>6.6231</v>
      </c>
      <c r="G11" s="50">
        <f>ROUND(D11*E11,2)</f>
        <v>53.65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thickBot="1">
      <c r="A12" s="766"/>
      <c r="B12" s="767"/>
      <c r="C12" s="99" t="s">
        <v>29</v>
      </c>
      <c r="D12" s="49">
        <v>269</v>
      </c>
      <c r="E12" s="56">
        <v>6.6231</v>
      </c>
      <c r="F12" s="41">
        <f>+E12</f>
        <v>6.6231</v>
      </c>
      <c r="G12" s="50">
        <f>ROUND(D12*E12,2)</f>
        <v>1781.61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85</v>
      </c>
      <c r="E13" s="21">
        <v>36.214199999999998</v>
      </c>
      <c r="F13" s="21">
        <v>42.4328</v>
      </c>
      <c r="G13" s="22">
        <f>ROUND(D13*(E13+F13),2)</f>
        <v>6685</v>
      </c>
      <c r="H13" s="72"/>
      <c r="I13" s="21"/>
      <c r="J13" s="73"/>
      <c r="K13" s="24"/>
      <c r="L13" s="74">
        <f>SUM(G13:G20,J13:J19)</f>
        <v>67063.8</v>
      </c>
      <c r="M13" s="26">
        <v>67063.8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47</v>
      </c>
      <c r="E15" s="101">
        <v>444.53</v>
      </c>
      <c r="F15" s="38">
        <v>42.4328</v>
      </c>
      <c r="G15" s="39">
        <f>ROUND(D15*(E15+F15),2)</f>
        <v>22887.25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[2]янв18!D11</f>
        <v>44</v>
      </c>
      <c r="E16" s="41">
        <f>444.53-304.82</f>
        <v>139.70999999999998</v>
      </c>
      <c r="F16" s="38"/>
      <c r="G16" s="50">
        <f>+D16*(E16+F16)</f>
        <v>6147.2399999999989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118</v>
      </c>
      <c r="D18" s="49">
        <f>[2]янв18!D15+[2]янв18!D16</f>
        <v>5371.0999999999995</v>
      </c>
      <c r="E18" s="881">
        <f>6.6231-6.505</f>
        <v>0.11810000000000009</v>
      </c>
      <c r="F18" s="41">
        <f>+E18</f>
        <v>0.11810000000000009</v>
      </c>
      <c r="G18" s="50">
        <f>ROUND(D18*E18*70%+D18*F18*30%,2)-0.01</f>
        <v>634.32000000000005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119</v>
      </c>
      <c r="D19" s="49">
        <v>135</v>
      </c>
      <c r="E19" s="41">
        <v>6.6231</v>
      </c>
      <c r="F19" s="41">
        <f>E19</f>
        <v>6.6231</v>
      </c>
      <c r="G19" s="50">
        <f>ROUND(D19*E19*70%+D19*F19*30%,2)</f>
        <v>894.12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v>4501.8</v>
      </c>
      <c r="E20" s="56">
        <v>6.6231</v>
      </c>
      <c r="F20" s="109">
        <f>+E20</f>
        <v>6.6231</v>
      </c>
      <c r="G20" s="110">
        <f>ROUND(D20*E20*70%+D20*F20*30%,2)</f>
        <v>29815.87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82" t="s">
        <v>100</v>
      </c>
      <c r="B30" s="883" t="s">
        <v>46</v>
      </c>
      <c r="C30" s="71">
        <v>0</v>
      </c>
      <c r="D30" s="184">
        <v>9.52</v>
      </c>
      <c r="E30" s="21">
        <v>36.214199999999998</v>
      </c>
      <c r="F30" s="21">
        <v>42.4328</v>
      </c>
      <c r="G30" s="185">
        <f>ROUND(D30*(E30+F30),2)</f>
        <v>748.72</v>
      </c>
      <c r="H30" s="184">
        <f>янв18!D30</f>
        <v>31.78</v>
      </c>
      <c r="I30">
        <v>55.03</v>
      </c>
      <c r="J30" s="23">
        <f>ROUND(I30*H30,2)</f>
        <v>1748.85</v>
      </c>
      <c r="K30" s="679">
        <v>43101</v>
      </c>
      <c r="L30" s="25">
        <f>SUM(G30:G34)+J30+J32</f>
        <v>23618.569999999996</v>
      </c>
      <c r="M30" s="187">
        <v>23618.57</v>
      </c>
      <c r="N30" s="188"/>
      <c r="O30" s="23">
        <v>3998.87</v>
      </c>
      <c r="P30" s="189" t="s">
        <v>47</v>
      </c>
      <c r="Q30" s="23">
        <f t="shared" ref="Q30:Q52" si="0">C30+G30+J30-M30-N30-O30</f>
        <v>-25119.87</v>
      </c>
      <c r="R30" s="190" t="s">
        <v>48</v>
      </c>
      <c r="S30" s="176"/>
      <c r="U30" s="33">
        <f>+C30+L30-M30</f>
        <v>0</v>
      </c>
    </row>
    <row r="31" spans="1:21">
      <c r="A31" s="884"/>
      <c r="B31" s="885"/>
      <c r="C31" s="36" t="s">
        <v>26</v>
      </c>
      <c r="D31" s="37"/>
      <c r="E31" s="38"/>
      <c r="F31" s="38"/>
      <c r="G31" s="39">
        <f>ROUND(D31*(E31+F31),2)</f>
        <v>0</v>
      </c>
      <c r="H31" s="193"/>
      <c r="I31" s="194"/>
      <c r="J31" s="194"/>
      <c r="K31" s="680"/>
      <c r="L31" s="196"/>
      <c r="M31" s="197"/>
      <c r="N31" s="198"/>
      <c r="O31" s="199"/>
      <c r="P31" s="200"/>
      <c r="Q31" s="199"/>
      <c r="R31" s="190"/>
      <c r="S31" s="176"/>
      <c r="U31" s="33"/>
    </row>
    <row r="32" spans="1:21">
      <c r="A32" s="884"/>
      <c r="B32" s="885"/>
      <c r="C32" s="48" t="s">
        <v>118</v>
      </c>
      <c r="D32" s="49"/>
      <c r="E32" s="41"/>
      <c r="F32" s="41">
        <f t="shared" ref="F32:F40" si="1">+E32</f>
        <v>0</v>
      </c>
      <c r="G32" s="50">
        <f>ROUND(D32*F32,2)</f>
        <v>0</v>
      </c>
      <c r="H32" s="193"/>
      <c r="I32" s="194"/>
      <c r="J32" s="194"/>
      <c r="K32" s="680"/>
      <c r="L32" s="196"/>
      <c r="M32" s="197"/>
      <c r="N32" s="198"/>
      <c r="O32" s="199"/>
      <c r="P32" s="200"/>
      <c r="Q32" s="199"/>
      <c r="R32" s="190"/>
      <c r="S32" s="176"/>
      <c r="U32" s="33"/>
    </row>
    <row r="33" spans="1:21">
      <c r="A33" s="884"/>
      <c r="B33" s="885"/>
      <c r="C33" s="48" t="s">
        <v>119</v>
      </c>
      <c r="D33" s="49">
        <v>33</v>
      </c>
      <c r="E33" s="41">
        <v>6.6986999999999997</v>
      </c>
      <c r="F33" s="41">
        <f t="shared" si="1"/>
        <v>6.6986999999999997</v>
      </c>
      <c r="G33" s="50">
        <f>ROUND(D33*E33,2)</f>
        <v>221.06</v>
      </c>
      <c r="H33" s="193"/>
      <c r="I33" s="194"/>
      <c r="J33" s="194"/>
      <c r="K33" s="680"/>
      <c r="L33" s="196"/>
      <c r="M33" s="197"/>
      <c r="N33" s="198"/>
      <c r="O33" s="199"/>
      <c r="P33" s="200"/>
      <c r="Q33" s="199"/>
      <c r="R33" s="190"/>
      <c r="S33" s="176"/>
      <c r="U33" s="33"/>
    </row>
    <row r="34" spans="1:21" ht="15.75" thickBot="1">
      <c r="A34" s="886"/>
      <c r="B34" s="887" t="s">
        <v>49</v>
      </c>
      <c r="C34" s="99" t="s">
        <v>29</v>
      </c>
      <c r="D34" s="55">
        <v>3120</v>
      </c>
      <c r="E34" s="56">
        <v>6.6986999999999997</v>
      </c>
      <c r="F34" s="57">
        <f t="shared" si="1"/>
        <v>6.6986999999999997</v>
      </c>
      <c r="G34" s="58">
        <f>ROUND(D34*E34,2)</f>
        <v>20899.939999999999</v>
      </c>
      <c r="H34" s="59"/>
      <c r="I34" s="60"/>
      <c r="J34" s="60"/>
      <c r="K34" s="681"/>
      <c r="L34" s="204"/>
      <c r="M34" s="205"/>
      <c r="N34" s="206"/>
      <c r="O34" s="207">
        <v>68710.009999999995</v>
      </c>
      <c r="P34" s="208" t="s">
        <v>47</v>
      </c>
      <c r="Q34" s="207">
        <f>+G34+J34-M34-N34-O34</f>
        <v>-47810.069999999992</v>
      </c>
      <c r="R34" s="209" t="s">
        <v>50</v>
      </c>
      <c r="S34" s="210">
        <f>SUM(O30:O34)</f>
        <v>72708.87999999999</v>
      </c>
      <c r="T34" s="210">
        <f>SUM(Q30:Q34)</f>
        <v>-72929.939999999988</v>
      </c>
    </row>
    <row r="35" spans="1:21">
      <c r="A35" s="892">
        <v>202</v>
      </c>
      <c r="B35" s="183" t="s">
        <v>159</v>
      </c>
      <c r="C35" s="439" t="s">
        <v>118</v>
      </c>
      <c r="D35" s="296">
        <f>[2]янв18!D72+[2]янв18!D73</f>
        <v>125.33</v>
      </c>
      <c r="E35" s="41">
        <f>6.6231-6.505</f>
        <v>0.11810000000000009</v>
      </c>
      <c r="F35" s="41">
        <f t="shared" si="1"/>
        <v>0.11810000000000009</v>
      </c>
      <c r="G35" s="235">
        <f>ROUND(D35*E35,2)</f>
        <v>14.8</v>
      </c>
      <c r="H35" s="270"/>
      <c r="I35" s="41"/>
      <c r="J35" s="41"/>
      <c r="K35" s="271"/>
      <c r="L35" s="294">
        <f>SUM(G35:G37)</f>
        <v>1051.05</v>
      </c>
      <c r="M35" s="227">
        <v>1051.05</v>
      </c>
      <c r="N35" s="274"/>
      <c r="O35" s="237"/>
      <c r="P35" s="275"/>
      <c r="Q35" s="237"/>
      <c r="R35" s="242"/>
      <c r="S35" s="266"/>
      <c r="T35" s="266"/>
    </row>
    <row r="36" spans="1:21" ht="15.75">
      <c r="A36" s="896"/>
      <c r="B36" s="192"/>
      <c r="C36" s="48" t="s">
        <v>119</v>
      </c>
      <c r="D36" s="269">
        <v>1.66</v>
      </c>
      <c r="E36" s="41">
        <v>6.6231</v>
      </c>
      <c r="F36" s="41">
        <f t="shared" si="1"/>
        <v>6.6231</v>
      </c>
      <c r="G36" s="235">
        <f t="shared" ref="G36:G37" si="2">ROUND(D36*E36,2)</f>
        <v>10.99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1" ht="16.5" thickBot="1">
      <c r="A37" s="891"/>
      <c r="B37" s="887"/>
      <c r="C37" s="54" t="s">
        <v>29</v>
      </c>
      <c r="D37" s="279">
        <v>154.80000000000001</v>
      </c>
      <c r="E37" s="56">
        <v>6.6231</v>
      </c>
      <c r="F37" s="57">
        <f t="shared" si="1"/>
        <v>6.6231</v>
      </c>
      <c r="G37" s="247">
        <f t="shared" si="2"/>
        <v>1025.26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1">
      <c r="A38" s="892">
        <v>204</v>
      </c>
      <c r="B38" s="183" t="s">
        <v>137</v>
      </c>
      <c r="C38" s="439" t="s">
        <v>118</v>
      </c>
      <c r="D38" s="296">
        <f>[2]янв18!D60+[2]янв18!D61</f>
        <v>192.54</v>
      </c>
      <c r="E38" s="41">
        <f>6.6231-6.505</f>
        <v>0.11810000000000009</v>
      </c>
      <c r="F38" s="41">
        <f t="shared" si="1"/>
        <v>0.11810000000000009</v>
      </c>
      <c r="G38" s="235">
        <f>ROUND(D38*E38,2)+0.01</f>
        <v>22.75</v>
      </c>
      <c r="H38" s="270"/>
      <c r="I38" s="41"/>
      <c r="J38" s="41"/>
      <c r="K38" s="271"/>
      <c r="L38" s="294">
        <f>SUM(G38:G40)</f>
        <v>1313.3200000000002</v>
      </c>
      <c r="M38" s="227">
        <v>1313.32</v>
      </c>
      <c r="N38" s="274"/>
      <c r="O38" s="237"/>
      <c r="P38" s="275"/>
      <c r="Q38" s="237"/>
      <c r="R38" s="242"/>
      <c r="S38" s="266"/>
      <c r="T38" s="266"/>
    </row>
    <row r="39" spans="1:21" ht="15.75">
      <c r="A39" s="896"/>
      <c r="B39" s="192"/>
      <c r="C39" s="48" t="s">
        <v>119</v>
      </c>
      <c r="D39" s="269">
        <v>2.06</v>
      </c>
      <c r="E39" s="41">
        <v>6.6231</v>
      </c>
      <c r="F39" s="41">
        <f t="shared" si="1"/>
        <v>6.6231</v>
      </c>
      <c r="G39" s="235">
        <f>ROUND(D39*E39,2)</f>
        <v>13.64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1" ht="16.5" thickBot="1">
      <c r="A40" s="891"/>
      <c r="B40" s="887"/>
      <c r="C40" s="54" t="s">
        <v>29</v>
      </c>
      <c r="D40" s="279">
        <v>192.8</v>
      </c>
      <c r="E40" s="56">
        <v>6.6231</v>
      </c>
      <c r="F40" s="57">
        <f t="shared" si="1"/>
        <v>6.6231</v>
      </c>
      <c r="G40" s="247">
        <f>ROUND(D40*E40,2)</f>
        <v>1276.93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1">
      <c r="A41" s="892">
        <v>215</v>
      </c>
      <c r="B41" s="183" t="s">
        <v>189</v>
      </c>
      <c r="C41" s="71">
        <v>0</v>
      </c>
      <c r="D41" s="213">
        <v>0.5</v>
      </c>
      <c r="E41" s="21">
        <v>36.214199999999998</v>
      </c>
      <c r="F41" s="21">
        <v>42.4328</v>
      </c>
      <c r="G41" s="214">
        <f>ROUND(D41*(E41+F41),2)</f>
        <v>39.32</v>
      </c>
      <c r="H41" s="213"/>
      <c r="I41" s="194"/>
      <c r="J41" s="215"/>
      <c r="K41" s="679"/>
      <c r="L41" s="216">
        <f>SUM(G41:G48)+SUM(J41:J48)</f>
        <v>838.62</v>
      </c>
      <c r="M41" s="187">
        <v>838.62</v>
      </c>
      <c r="N41" s="188"/>
      <c r="O41" s="217"/>
      <c r="P41" s="218"/>
      <c r="Q41" s="219"/>
      <c r="R41" s="220"/>
      <c r="S41" s="221"/>
      <c r="T41" s="222"/>
      <c r="U41" s="33"/>
    </row>
    <row r="42" spans="1:21">
      <c r="A42" s="890"/>
      <c r="B42" s="872"/>
      <c r="C42" s="84" t="s">
        <v>26</v>
      </c>
      <c r="D42" s="37"/>
      <c r="E42" s="38"/>
      <c r="F42" s="38"/>
      <c r="G42" s="39">
        <f>ROUND(D42*(E42+F42),2)</f>
        <v>0</v>
      </c>
      <c r="H42" s="225"/>
      <c r="I42" s="194"/>
      <c r="J42" s="194"/>
      <c r="K42" s="226"/>
      <c r="L42" s="196"/>
      <c r="M42" s="227"/>
      <c r="N42" s="228"/>
      <c r="O42" s="229"/>
      <c r="P42" s="230"/>
      <c r="Q42" s="231"/>
      <c r="R42" s="232"/>
      <c r="S42" s="233"/>
      <c r="T42" s="224"/>
      <c r="U42" s="33"/>
    </row>
    <row r="43" spans="1:21">
      <c r="A43" s="890"/>
      <c r="B43" s="873" t="s">
        <v>32</v>
      </c>
      <c r="C43" s="99" t="s">
        <v>33</v>
      </c>
      <c r="D43" s="234">
        <v>0</v>
      </c>
      <c r="E43" s="101">
        <v>190.88</v>
      </c>
      <c r="F43" s="38">
        <v>42.4328</v>
      </c>
      <c r="G43" s="235">
        <f>ROUND(D43*(E43+F43),2)</f>
        <v>0</v>
      </c>
      <c r="H43" s="234"/>
      <c r="I43" s="194"/>
      <c r="J43" s="194"/>
      <c r="K43" s="195"/>
      <c r="L43" s="196"/>
      <c r="M43" s="227"/>
      <c r="N43" s="236"/>
      <c r="O43" s="237"/>
      <c r="P43" s="230"/>
      <c r="Q43" s="238"/>
      <c r="R43" s="232"/>
      <c r="S43" s="233"/>
      <c r="T43" s="224"/>
    </row>
    <row r="44" spans="1:21">
      <c r="A44" s="890"/>
      <c r="B44" s="872" t="s">
        <v>33</v>
      </c>
      <c r="C44" s="239" t="s">
        <v>26</v>
      </c>
      <c r="D44" s="234">
        <f>[2]янв18!D91</f>
        <v>19.100000000000001</v>
      </c>
      <c r="E44" s="240">
        <f>190.88-176.95</f>
        <v>13.930000000000007</v>
      </c>
      <c r="F44" s="240">
        <v>0</v>
      </c>
      <c r="G44" s="235">
        <f>+ROUND(D44*E44,2)</f>
        <v>266.06</v>
      </c>
      <c r="H44" s="241"/>
      <c r="I44" s="194"/>
      <c r="J44" s="194"/>
      <c r="K44" s="195"/>
      <c r="L44" s="196"/>
      <c r="M44" s="227"/>
      <c r="N44" s="236"/>
      <c r="O44" s="237"/>
      <c r="P44" s="230"/>
      <c r="Q44" s="238"/>
      <c r="R44" s="242"/>
      <c r="S44" s="233"/>
      <c r="T44" s="224"/>
    </row>
    <row r="45" spans="1:21">
      <c r="A45" s="890"/>
      <c r="B45" s="872"/>
      <c r="C45" s="239" t="s">
        <v>26</v>
      </c>
      <c r="D45" s="234"/>
      <c r="E45" s="240"/>
      <c r="F45" s="41"/>
      <c r="G45" s="235">
        <f>+ROUND(D45*F45,2)</f>
        <v>0</v>
      </c>
      <c r="H45" s="241"/>
      <c r="I45" s="194"/>
      <c r="J45" s="194"/>
      <c r="K45" s="195"/>
      <c r="L45" s="196"/>
      <c r="M45" s="227"/>
      <c r="N45" s="236"/>
      <c r="O45" s="237"/>
      <c r="P45" s="230"/>
      <c r="Q45" s="238"/>
      <c r="R45" s="242"/>
      <c r="S45" s="233"/>
      <c r="T45" s="224"/>
    </row>
    <row r="46" spans="1:21">
      <c r="A46" s="890"/>
      <c r="B46" s="872"/>
      <c r="C46" s="48" t="s">
        <v>118</v>
      </c>
      <c r="D46" s="49">
        <f>[2]янв18!D95+[2]янв18!D96</f>
        <v>168.9</v>
      </c>
      <c r="E46" s="41">
        <f>6.6231-6.505</f>
        <v>0.11810000000000009</v>
      </c>
      <c r="F46" s="41">
        <f t="shared" ref="F46:F48" si="3">+E46</f>
        <v>0.11810000000000009</v>
      </c>
      <c r="G46" s="50">
        <f>ROUND(D46*E46,2)</f>
        <v>19.95</v>
      </c>
      <c r="H46" s="241"/>
      <c r="I46" s="194"/>
      <c r="J46" s="194"/>
      <c r="K46" s="195"/>
      <c r="L46" s="196"/>
      <c r="M46" s="227"/>
      <c r="N46" s="236"/>
      <c r="O46" s="237"/>
      <c r="P46" s="230"/>
      <c r="Q46" s="238"/>
      <c r="R46" s="242"/>
      <c r="S46" s="233"/>
      <c r="T46" s="224"/>
    </row>
    <row r="47" spans="1:21">
      <c r="A47" s="890"/>
      <c r="B47" s="872"/>
      <c r="C47" s="48" t="s">
        <v>119</v>
      </c>
      <c r="D47" s="49">
        <v>0.8</v>
      </c>
      <c r="E47" s="41">
        <v>6.6231</v>
      </c>
      <c r="F47" s="41">
        <f t="shared" si="3"/>
        <v>6.6231</v>
      </c>
      <c r="G47" s="50">
        <f>ROUND(D47*E47,2)</f>
        <v>5.3</v>
      </c>
      <c r="H47" s="241"/>
      <c r="I47" s="194"/>
      <c r="J47" s="243"/>
      <c r="K47" s="195"/>
      <c r="L47" s="196"/>
      <c r="M47" s="227"/>
      <c r="N47" s="236"/>
      <c r="O47" s="237"/>
      <c r="P47" s="230"/>
      <c r="Q47" s="238"/>
      <c r="R47" s="242"/>
      <c r="S47" s="233"/>
      <c r="T47" s="224"/>
      <c r="U47" s="33"/>
    </row>
    <row r="48" spans="1:21" ht="15.75" thickBot="1">
      <c r="A48" s="897"/>
      <c r="B48" s="875"/>
      <c r="C48" s="99" t="s">
        <v>29</v>
      </c>
      <c r="D48" s="246">
        <v>76.7</v>
      </c>
      <c r="E48" s="56">
        <v>6.6231</v>
      </c>
      <c r="F48" s="57">
        <f t="shared" si="3"/>
        <v>6.6231</v>
      </c>
      <c r="G48" s="247">
        <f>ROUND(D48*E48*70%+D48*F48*30%,2)</f>
        <v>507.99</v>
      </c>
      <c r="H48" s="248"/>
      <c r="I48" s="203"/>
      <c r="J48" s="60"/>
      <c r="K48" s="61"/>
      <c r="L48" s="249"/>
      <c r="M48" s="250"/>
      <c r="N48" s="251"/>
      <c r="O48" s="252"/>
      <c r="P48" s="253"/>
      <c r="Q48" s="254"/>
      <c r="R48" s="255"/>
      <c r="S48" s="256"/>
      <c r="T48" s="256"/>
    </row>
    <row r="49" spans="1:21" ht="16.5" collapsed="1" thickTop="1" thickBot="1">
      <c r="A49" s="891">
        <v>309</v>
      </c>
      <c r="B49" s="887" t="s">
        <v>152</v>
      </c>
      <c r="C49" s="54" t="s">
        <v>118</v>
      </c>
      <c r="D49" s="296">
        <f>[2]янв18!D69+[2]янв18!D70</f>
        <v>313.32</v>
      </c>
      <c r="E49" s="41">
        <f>6.6231-6.505</f>
        <v>0.11810000000000009</v>
      </c>
      <c r="F49" s="41">
        <f>+E49</f>
        <v>0.11810000000000009</v>
      </c>
      <c r="G49" s="235">
        <f>ROUND(D49*E49,2)</f>
        <v>37</v>
      </c>
      <c r="H49" s="270"/>
      <c r="I49" s="41"/>
      <c r="J49" s="41"/>
      <c r="K49" s="271"/>
      <c r="L49" s="294">
        <f>SUM(G49:G51)</f>
        <v>1855.77</v>
      </c>
      <c r="M49" s="227">
        <v>1855.77</v>
      </c>
      <c r="N49" s="274"/>
      <c r="O49" s="237"/>
      <c r="P49" s="275"/>
      <c r="Q49" s="237"/>
      <c r="R49" s="242"/>
      <c r="S49" s="266"/>
      <c r="T49" s="266"/>
    </row>
    <row r="50" spans="1:21" ht="15.75">
      <c r="A50" s="896"/>
      <c r="B50" s="885"/>
      <c r="C50" s="48" t="s">
        <v>119</v>
      </c>
      <c r="D50" s="269">
        <v>2.91</v>
      </c>
      <c r="E50" s="41">
        <v>6.6231</v>
      </c>
      <c r="F50" s="41">
        <f>+E50</f>
        <v>6.6231</v>
      </c>
      <c r="G50" s="235">
        <f t="shared" ref="G50:G51" si="4">ROUND(D50*E50,2)</f>
        <v>19.27</v>
      </c>
      <c r="H50" s="270"/>
      <c r="I50" s="41"/>
      <c r="J50" s="41"/>
      <c r="K50" s="271"/>
      <c r="L50" s="272"/>
      <c r="M50" s="273"/>
      <c r="N50" s="274"/>
      <c r="O50" s="237"/>
      <c r="P50" s="275"/>
      <c r="Q50" s="237"/>
      <c r="R50" s="242"/>
      <c r="S50" s="266"/>
      <c r="T50" s="266"/>
    </row>
    <row r="51" spans="1:21" ht="16.5" thickBot="1">
      <c r="A51" s="891"/>
      <c r="B51" s="887"/>
      <c r="C51" s="54" t="s">
        <v>29</v>
      </c>
      <c r="D51" s="279">
        <v>271.7</v>
      </c>
      <c r="E51" s="56">
        <v>6.6231</v>
      </c>
      <c r="F51" s="57">
        <f>+E51</f>
        <v>6.6231</v>
      </c>
      <c r="G51" s="247">
        <f t="shared" si="4"/>
        <v>1799.5</v>
      </c>
      <c r="H51" s="280"/>
      <c r="I51" s="281"/>
      <c r="J51" s="281"/>
      <c r="K51" s="282"/>
      <c r="L51" s="204"/>
      <c r="M51" s="250"/>
      <c r="N51" s="283"/>
      <c r="O51" s="252"/>
      <c r="P51" s="284"/>
      <c r="Q51" s="252"/>
      <c r="R51" s="242"/>
      <c r="S51" s="266"/>
      <c r="T51" s="266"/>
    </row>
    <row r="52" spans="1:21">
      <c r="A52" s="888">
        <v>314</v>
      </c>
      <c r="B52" s="889" t="s">
        <v>52</v>
      </c>
      <c r="C52" s="71">
        <v>0</v>
      </c>
      <c r="D52" s="213">
        <v>96.36</v>
      </c>
      <c r="E52" s="21">
        <v>36.214199999999998</v>
      </c>
      <c r="F52" s="21">
        <v>42.4328</v>
      </c>
      <c r="G52" s="214">
        <f>ROUND(D52*(E52+F52),2)</f>
        <v>7578.42</v>
      </c>
      <c r="H52" s="213"/>
      <c r="J52" s="215"/>
      <c r="K52" s="679"/>
      <c r="L52" s="216">
        <f>SUM(G52:G59)+SUM(J52:J59)</f>
        <v>61749.29</v>
      </c>
      <c r="M52" s="187">
        <v>61749.29</v>
      </c>
      <c r="N52" s="188"/>
      <c r="O52" s="217">
        <v>4253.6899999999996</v>
      </c>
      <c r="P52" s="218" t="s">
        <v>47</v>
      </c>
      <c r="Q52" s="219">
        <f t="shared" si="0"/>
        <v>-58424.560000000005</v>
      </c>
      <c r="R52" s="220" t="s">
        <v>53</v>
      </c>
      <c r="S52" s="221"/>
      <c r="T52" s="222"/>
      <c r="U52" s="33">
        <f>+C52+L52-M52</f>
        <v>0</v>
      </c>
    </row>
    <row r="53" spans="1:21" ht="15.75" thickBot="1">
      <c r="A53" s="890"/>
      <c r="B53" s="872"/>
      <c r="C53" s="84" t="s">
        <v>26</v>
      </c>
      <c r="D53" s="37"/>
      <c r="E53" s="38"/>
      <c r="F53" s="38"/>
      <c r="G53" s="39">
        <f>ROUND(D53*(E53+F53),2)</f>
        <v>0</v>
      </c>
      <c r="H53" s="225"/>
      <c r="I53" s="194"/>
      <c r="J53" s="194"/>
      <c r="K53" s="226"/>
      <c r="L53" s="196"/>
      <c r="M53" s="227"/>
      <c r="N53" s="228"/>
      <c r="O53" s="229"/>
      <c r="P53" s="230"/>
      <c r="Q53" s="231"/>
      <c r="R53" s="232"/>
      <c r="S53" s="233"/>
      <c r="T53" s="224"/>
      <c r="U53" s="33"/>
    </row>
    <row r="54" spans="1:21">
      <c r="A54" s="890"/>
      <c r="B54" s="873" t="s">
        <v>32</v>
      </c>
      <c r="C54" s="99" t="s">
        <v>33</v>
      </c>
      <c r="D54" s="234">
        <v>48</v>
      </c>
      <c r="E54" s="101">
        <v>190.88</v>
      </c>
      <c r="F54" s="21">
        <v>42.4328</v>
      </c>
      <c r="G54" s="235">
        <f>ROUND(D54*(E54+F54),2)</f>
        <v>11199.01</v>
      </c>
      <c r="H54" s="234"/>
      <c r="I54" s="194"/>
      <c r="J54" s="194"/>
      <c r="K54" s="195"/>
      <c r="L54" s="196"/>
      <c r="M54" s="227"/>
      <c r="N54" s="236"/>
      <c r="O54" s="237">
        <v>5456.6</v>
      </c>
      <c r="P54" s="230" t="s">
        <v>47</v>
      </c>
      <c r="Q54" s="238">
        <f>+G54+J54-M54-N54-O54</f>
        <v>5742.41</v>
      </c>
      <c r="R54" s="232"/>
      <c r="S54" s="233"/>
      <c r="T54" s="224"/>
    </row>
    <row r="55" spans="1:21">
      <c r="A55" s="890"/>
      <c r="B55" s="872" t="s">
        <v>33</v>
      </c>
      <c r="C55" s="239" t="s">
        <v>26</v>
      </c>
      <c r="D55" s="234">
        <f>[2]янв18!D37</f>
        <v>58.46</v>
      </c>
      <c r="E55" s="240">
        <f>190.88-176.95</f>
        <v>13.930000000000007</v>
      </c>
      <c r="F55" s="240">
        <v>0</v>
      </c>
      <c r="G55" s="235">
        <f>+ROUND(D55*E55,2)</f>
        <v>814.35</v>
      </c>
      <c r="H55" s="241"/>
      <c r="I55" s="194"/>
      <c r="J55" s="194"/>
      <c r="K55" s="195"/>
      <c r="L55" s="196"/>
      <c r="M55" s="227"/>
      <c r="N55" s="236"/>
      <c r="O55" s="237"/>
      <c r="P55" s="230"/>
      <c r="Q55" s="238"/>
      <c r="R55" s="242"/>
      <c r="S55" s="233"/>
      <c r="T55" s="224"/>
    </row>
    <row r="56" spans="1:21">
      <c r="A56" s="890"/>
      <c r="B56" s="872"/>
      <c r="C56" s="239" t="s">
        <v>26</v>
      </c>
      <c r="D56" s="234"/>
      <c r="E56" s="240"/>
      <c r="F56" s="41"/>
      <c r="G56" s="235">
        <f>+ROUND(D56*F56,2)</f>
        <v>0</v>
      </c>
      <c r="H56" s="241"/>
      <c r="I56" s="194"/>
      <c r="J56" s="194"/>
      <c r="K56" s="195"/>
      <c r="L56" s="196"/>
      <c r="M56" s="227"/>
      <c r="N56" s="236"/>
      <c r="O56" s="237"/>
      <c r="P56" s="230"/>
      <c r="Q56" s="238"/>
      <c r="R56" s="242"/>
      <c r="S56" s="233"/>
      <c r="T56" s="224"/>
    </row>
    <row r="57" spans="1:21">
      <c r="A57" s="890"/>
      <c r="B57" s="872"/>
      <c r="C57" s="48" t="s">
        <v>118</v>
      </c>
      <c r="D57" s="49">
        <f>[2]янв18!D41+[2]янв18!D42</f>
        <v>6792.5999999999995</v>
      </c>
      <c r="E57" s="41">
        <f>6.6231-6.505</f>
        <v>0.11810000000000009</v>
      </c>
      <c r="F57" s="41">
        <f t="shared" ref="F57:F88" si="5">+E57</f>
        <v>0.11810000000000009</v>
      </c>
      <c r="G57" s="50">
        <f>ROUND(D57*E57,2)</f>
        <v>802.21</v>
      </c>
      <c r="H57" s="241"/>
      <c r="I57" s="194"/>
      <c r="J57" s="194"/>
      <c r="K57" s="195"/>
      <c r="L57" s="196"/>
      <c r="M57" s="227"/>
      <c r="N57" s="236"/>
      <c r="O57" s="237"/>
      <c r="P57" s="230"/>
      <c r="Q57" s="238"/>
      <c r="R57" s="242"/>
      <c r="S57" s="233"/>
      <c r="T57" s="224"/>
    </row>
    <row r="58" spans="1:21">
      <c r="A58" s="890"/>
      <c r="B58" s="872"/>
      <c r="C58" s="48" t="s">
        <v>119</v>
      </c>
      <c r="D58" s="49">
        <v>66.099999999999994</v>
      </c>
      <c r="E58" s="41">
        <v>6.6231</v>
      </c>
      <c r="F58" s="41">
        <f t="shared" si="5"/>
        <v>6.6231</v>
      </c>
      <c r="G58" s="50">
        <f>ROUND(D58*E58,2)</f>
        <v>437.79</v>
      </c>
      <c r="H58" s="241"/>
      <c r="I58" s="194"/>
      <c r="J58" s="243"/>
      <c r="K58" s="195"/>
      <c r="L58" s="196"/>
      <c r="M58" s="227"/>
      <c r="N58" s="236"/>
      <c r="O58" s="237"/>
      <c r="P58" s="230"/>
      <c r="Q58" s="238"/>
      <c r="R58" s="242"/>
      <c r="S58" s="233"/>
      <c r="T58" s="224"/>
      <c r="U58" s="33"/>
    </row>
    <row r="59" spans="1:21" ht="15.75" thickBot="1">
      <c r="A59" s="891"/>
      <c r="B59" s="887"/>
      <c r="C59" s="54" t="s">
        <v>29</v>
      </c>
      <c r="D59" s="246">
        <v>6178</v>
      </c>
      <c r="E59" s="56">
        <v>6.6231</v>
      </c>
      <c r="F59" s="57">
        <f t="shared" si="5"/>
        <v>6.6231</v>
      </c>
      <c r="G59" s="247">
        <f>ROUND(D59*E59*70%+D59*F59*30%,2)</f>
        <v>40917.51</v>
      </c>
      <c r="H59" s="248"/>
      <c r="I59" s="203"/>
      <c r="J59" s="60"/>
      <c r="K59" s="61"/>
      <c r="L59" s="249"/>
      <c r="M59" s="250"/>
      <c r="N59" s="251"/>
      <c r="O59" s="252">
        <v>15777.9</v>
      </c>
      <c r="P59" s="253" t="s">
        <v>47</v>
      </c>
      <c r="Q59" s="254">
        <f>+G59+J59-M59-N59-O59</f>
        <v>25139.61</v>
      </c>
      <c r="R59" s="255" t="s">
        <v>54</v>
      </c>
      <c r="S59" s="256">
        <f>SUM(O52:O59)</f>
        <v>25488.190000000002</v>
      </c>
      <c r="T59" s="256">
        <f>SUM(Q52:Q59)</f>
        <v>-27542.540000000008</v>
      </c>
    </row>
    <row r="60" spans="1:21">
      <c r="A60" s="892">
        <v>402</v>
      </c>
      <c r="B60" s="183" t="s">
        <v>178</v>
      </c>
      <c r="C60" s="439" t="s">
        <v>118</v>
      </c>
      <c r="D60" s="296">
        <f>[2]янв18!D84+[2]янв18!D85</f>
        <v>177.88</v>
      </c>
      <c r="E60" s="41">
        <f>6.6231-6.505</f>
        <v>0.11810000000000009</v>
      </c>
      <c r="F60" s="41">
        <f t="shared" ref="F60:F65" si="6">+E60</f>
        <v>0.11810000000000009</v>
      </c>
      <c r="G60" s="235">
        <f t="shared" ref="G60:G65" si="7">ROUND(D60*E60,2)</f>
        <v>21.01</v>
      </c>
      <c r="H60" s="270"/>
      <c r="I60" s="41"/>
      <c r="J60" s="41"/>
      <c r="K60" s="271"/>
      <c r="L60" s="294">
        <f>SUM(G60:G62)</f>
        <v>1136.3399999999999</v>
      </c>
      <c r="M60" s="227">
        <v>1136.3399999999999</v>
      </c>
      <c r="N60" s="274"/>
      <c r="O60" s="237"/>
      <c r="P60" s="275"/>
      <c r="Q60" s="237"/>
      <c r="R60" s="242"/>
      <c r="S60" s="266"/>
      <c r="T60" s="266"/>
    </row>
    <row r="61" spans="1:21" ht="15.75">
      <c r="A61" s="896"/>
      <c r="B61" s="192"/>
      <c r="C61" s="48" t="s">
        <v>119</v>
      </c>
      <c r="D61" s="269">
        <v>1.78</v>
      </c>
      <c r="E61" s="41">
        <v>6.6231</v>
      </c>
      <c r="F61" s="41">
        <f t="shared" si="6"/>
        <v>6.6231</v>
      </c>
      <c r="G61" s="235">
        <f t="shared" si="7"/>
        <v>11.79</v>
      </c>
      <c r="H61" s="270"/>
      <c r="I61" s="41"/>
      <c r="J61" s="41"/>
      <c r="K61" s="271"/>
      <c r="L61" s="272"/>
      <c r="M61" s="273"/>
      <c r="N61" s="274"/>
      <c r="O61" s="237"/>
      <c r="P61" s="275"/>
      <c r="Q61" s="237"/>
      <c r="R61" s="242"/>
      <c r="S61" s="266"/>
      <c r="T61" s="266"/>
    </row>
    <row r="62" spans="1:21" ht="16.5" thickBot="1">
      <c r="A62" s="891"/>
      <c r="B62" s="202"/>
      <c r="C62" s="54" t="s">
        <v>29</v>
      </c>
      <c r="D62" s="279">
        <v>166.62</v>
      </c>
      <c r="E62" s="56">
        <v>6.6231</v>
      </c>
      <c r="F62" s="57">
        <f t="shared" si="6"/>
        <v>6.6231</v>
      </c>
      <c r="G62" s="247">
        <f t="shared" si="7"/>
        <v>1103.54</v>
      </c>
      <c r="H62" s="280"/>
      <c r="I62" s="281"/>
      <c r="J62" s="281"/>
      <c r="K62" s="282"/>
      <c r="L62" s="204"/>
      <c r="M62" s="250"/>
      <c r="N62" s="283"/>
      <c r="O62" s="252"/>
      <c r="P62" s="284"/>
      <c r="Q62" s="252"/>
      <c r="R62" s="242"/>
      <c r="S62" s="266"/>
      <c r="T62" s="266"/>
    </row>
    <row r="63" spans="1:21">
      <c r="A63" s="892">
        <v>410</v>
      </c>
      <c r="B63" s="183" t="s">
        <v>138</v>
      </c>
      <c r="C63" s="439" t="s">
        <v>118</v>
      </c>
      <c r="D63" s="296">
        <f>[2]янв18!D63+[2]янв18!D64</f>
        <v>254.89999999999998</v>
      </c>
      <c r="E63" s="41">
        <f>6.6231-6.505</f>
        <v>0.11810000000000009</v>
      </c>
      <c r="F63" s="41">
        <f t="shared" si="6"/>
        <v>0.11810000000000009</v>
      </c>
      <c r="G63" s="235">
        <f t="shared" si="7"/>
        <v>30.1</v>
      </c>
      <c r="H63" s="270"/>
      <c r="I63" s="41"/>
      <c r="J63" s="41"/>
      <c r="K63" s="271"/>
      <c r="L63" s="294">
        <f>SUM(G63:G65)</f>
        <v>1646.01</v>
      </c>
      <c r="M63" s="227">
        <v>1646.01</v>
      </c>
      <c r="N63" s="274"/>
      <c r="O63" s="237"/>
      <c r="P63" s="275"/>
      <c r="Q63" s="237"/>
      <c r="R63" s="242"/>
      <c r="S63" s="266"/>
      <c r="T63" s="266"/>
    </row>
    <row r="64" spans="1:21" ht="15.75">
      <c r="A64" s="896"/>
      <c r="B64" s="192"/>
      <c r="C64" s="48" t="s">
        <v>119</v>
      </c>
      <c r="D64" s="269">
        <v>2.58</v>
      </c>
      <c r="E64" s="41">
        <v>6.6231</v>
      </c>
      <c r="F64" s="41">
        <f t="shared" si="6"/>
        <v>6.6231</v>
      </c>
      <c r="G64" s="235">
        <f t="shared" si="7"/>
        <v>17.09</v>
      </c>
      <c r="H64" s="270"/>
      <c r="I64" s="41"/>
      <c r="J64" s="41"/>
      <c r="K64" s="271"/>
      <c r="L64" s="272"/>
      <c r="M64" s="273"/>
      <c r="N64" s="274"/>
      <c r="O64" s="237"/>
      <c r="P64" s="275"/>
      <c r="Q64" s="237"/>
      <c r="R64" s="242"/>
      <c r="S64" s="266"/>
      <c r="T64" s="266"/>
    </row>
    <row r="65" spans="1:20" ht="16.5" thickBot="1">
      <c r="A65" s="891"/>
      <c r="B65" s="887"/>
      <c r="C65" s="54" t="s">
        <v>29</v>
      </c>
      <c r="D65" s="279">
        <v>241.4</v>
      </c>
      <c r="E65" s="56">
        <v>6.6231</v>
      </c>
      <c r="F65" s="57">
        <f t="shared" si="6"/>
        <v>6.6231</v>
      </c>
      <c r="G65" s="247">
        <f t="shared" si="7"/>
        <v>1598.82</v>
      </c>
      <c r="H65" s="280"/>
      <c r="I65" s="281"/>
      <c r="J65" s="281"/>
      <c r="K65" s="282"/>
      <c r="L65" s="204"/>
      <c r="M65" s="250"/>
      <c r="N65" s="283"/>
      <c r="O65" s="252"/>
      <c r="P65" s="284"/>
      <c r="Q65" s="252"/>
      <c r="R65" s="242"/>
      <c r="S65" s="266"/>
      <c r="T65" s="266"/>
    </row>
    <row r="66" spans="1:20" ht="16.5" collapsed="1" thickBot="1">
      <c r="A66" s="891">
        <v>412</v>
      </c>
      <c r="B66" s="887" t="s">
        <v>58</v>
      </c>
      <c r="C66" s="54" t="s">
        <v>59</v>
      </c>
      <c r="D66" s="822">
        <v>0.36</v>
      </c>
      <c r="E66" s="21">
        <v>36.214199999999998</v>
      </c>
      <c r="F66" s="21">
        <v>42.4328</v>
      </c>
      <c r="G66" s="214">
        <f>ROUND(D66*(E66+F66),2)</f>
        <v>28.31</v>
      </c>
      <c r="H66" s="213"/>
      <c r="I66" s="41"/>
      <c r="J66" s="215"/>
      <c r="K66" s="679"/>
      <c r="L66" s="294">
        <f>SUM(G66:G70)+J66</f>
        <v>1245.72</v>
      </c>
      <c r="M66" s="227">
        <v>1245.72</v>
      </c>
      <c r="N66" s="264"/>
      <c r="O66" s="229"/>
      <c r="P66" s="265"/>
      <c r="Q66" s="229"/>
      <c r="R66" s="242"/>
      <c r="S66" s="266"/>
      <c r="T66" s="266"/>
    </row>
    <row r="67" spans="1:20" ht="15.75">
      <c r="A67" s="896"/>
      <c r="B67" s="885"/>
      <c r="C67" s="292"/>
      <c r="D67" s="269"/>
      <c r="E67" s="38"/>
      <c r="F67" s="38"/>
      <c r="G67" s="235">
        <f>ROUND(D67*(E67+F67),2)</f>
        <v>0</v>
      </c>
      <c r="H67" s="225"/>
      <c r="I67" s="41"/>
      <c r="J67" s="194"/>
      <c r="K67" s="295"/>
      <c r="L67" s="294"/>
      <c r="M67" s="227"/>
      <c r="N67" s="264"/>
      <c r="O67" s="229"/>
      <c r="P67" s="265"/>
      <c r="Q67" s="229"/>
      <c r="R67" s="242"/>
      <c r="S67" s="266"/>
      <c r="T67" s="266"/>
    </row>
    <row r="68" spans="1:20">
      <c r="A68" s="896"/>
      <c r="B68" s="885"/>
      <c r="C68" s="48" t="s">
        <v>118</v>
      </c>
      <c r="D68" s="296">
        <f>[2]янв18!D57+[2]янв18!D58</f>
        <v>208.2</v>
      </c>
      <c r="E68" s="41">
        <f>6.6231-6.505</f>
        <v>0.11810000000000009</v>
      </c>
      <c r="F68" s="41">
        <f t="shared" ref="F68:F85" si="8">+E68</f>
        <v>0.11810000000000009</v>
      </c>
      <c r="G68" s="235">
        <f>ROUND(D68*E68,2)</f>
        <v>24.59</v>
      </c>
      <c r="H68" s="270"/>
      <c r="I68" s="41"/>
      <c r="J68" s="41"/>
      <c r="K68" s="271"/>
      <c r="L68" s="272"/>
      <c r="M68" s="273"/>
      <c r="N68" s="274"/>
      <c r="O68" s="237"/>
      <c r="P68" s="275"/>
      <c r="Q68" s="237"/>
      <c r="R68" s="242"/>
      <c r="S68" s="266"/>
      <c r="T68" s="266"/>
    </row>
    <row r="69" spans="1:20" ht="15.75">
      <c r="A69" s="896"/>
      <c r="B69" s="885"/>
      <c r="C69" s="48" t="s">
        <v>119</v>
      </c>
      <c r="D69" s="269">
        <v>1.9</v>
      </c>
      <c r="E69" s="41">
        <v>6.6231</v>
      </c>
      <c r="F69" s="41">
        <f t="shared" si="8"/>
        <v>6.6231</v>
      </c>
      <c r="G69" s="235">
        <f t="shared" ref="G69:G70" si="9">ROUND(D69*E69,2)</f>
        <v>12.58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91"/>
      <c r="B70" s="887"/>
      <c r="C70" s="54" t="s">
        <v>29</v>
      </c>
      <c r="D70" s="279">
        <v>178.2</v>
      </c>
      <c r="E70" s="56">
        <v>6.6231</v>
      </c>
      <c r="F70" s="57">
        <f t="shared" si="8"/>
        <v>6.6231</v>
      </c>
      <c r="G70" s="247">
        <f t="shared" si="9"/>
        <v>1180.24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 ht="15" customHeight="1">
      <c r="A71" s="892">
        <v>413</v>
      </c>
      <c r="B71" s="883" t="s">
        <v>56</v>
      </c>
      <c r="C71" s="439" t="s">
        <v>118</v>
      </c>
      <c r="D71" s="894">
        <f>[2]янв18!D47+[2]янв18!D48</f>
        <v>338.20000000000005</v>
      </c>
      <c r="E71" s="41">
        <f>6.6231-6.505</f>
        <v>0.11810000000000009</v>
      </c>
      <c r="F71" s="41">
        <f t="shared" si="8"/>
        <v>0.11810000000000009</v>
      </c>
      <c r="G71" s="214">
        <f>ROUND(D71*E71,2)</f>
        <v>39.94</v>
      </c>
      <c r="H71" s="260"/>
      <c r="I71" s="261"/>
      <c r="J71" s="261"/>
      <c r="K71" s="262"/>
      <c r="L71" s="286">
        <f>SUM(G71:G73)</f>
        <v>2300.4</v>
      </c>
      <c r="M71" s="227">
        <v>2300.4</v>
      </c>
      <c r="N71" s="264"/>
      <c r="O71" s="229"/>
      <c r="P71" s="265"/>
      <c r="Q71" s="229"/>
      <c r="R71" s="287"/>
      <c r="S71" s="288"/>
      <c r="T71" s="288"/>
    </row>
    <row r="72" spans="1:20" ht="15.75">
      <c r="A72" s="893"/>
      <c r="B72" s="885"/>
      <c r="C72" s="48" t="s">
        <v>119</v>
      </c>
      <c r="D72" s="895">
        <v>3.6</v>
      </c>
      <c r="E72" s="41">
        <v>6.6231</v>
      </c>
      <c r="F72" s="41">
        <f t="shared" si="8"/>
        <v>6.6231</v>
      </c>
      <c r="G72" s="235">
        <f>ROUND(D72*E72,2)</f>
        <v>23.84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87"/>
      <c r="S72" s="288"/>
      <c r="T72" s="288"/>
    </row>
    <row r="73" spans="1:20" ht="16.5" thickBot="1">
      <c r="A73" s="891"/>
      <c r="B73" s="887"/>
      <c r="C73" s="54" t="s">
        <v>29</v>
      </c>
      <c r="D73" s="279">
        <v>337.7</v>
      </c>
      <c r="E73" s="56">
        <v>6.6231</v>
      </c>
      <c r="F73" s="57">
        <f t="shared" si="8"/>
        <v>6.6231</v>
      </c>
      <c r="G73" s="247">
        <f>ROUND(D73*E73,2)</f>
        <v>2236.62</v>
      </c>
      <c r="H73" s="280"/>
      <c r="I73" s="281"/>
      <c r="J73" s="281"/>
      <c r="K73" s="682"/>
      <c r="L73" s="204"/>
      <c r="M73" s="250"/>
      <c r="N73" s="283"/>
      <c r="O73" s="252"/>
      <c r="P73" s="284"/>
      <c r="Q73" s="252"/>
      <c r="R73" s="287"/>
      <c r="S73" s="288"/>
      <c r="T73" s="288"/>
    </row>
    <row r="74" spans="1:20">
      <c r="A74" s="892">
        <v>414</v>
      </c>
      <c r="B74" s="183" t="s">
        <v>179</v>
      </c>
      <c r="C74" s="439" t="s">
        <v>118</v>
      </c>
      <c r="D74" s="296">
        <f>[2]янв18!D87+[2]янв18!D88</f>
        <v>14.35</v>
      </c>
      <c r="E74" s="41">
        <f>6.6231-6.505</f>
        <v>0.11810000000000009</v>
      </c>
      <c r="F74" s="41">
        <f t="shared" si="8"/>
        <v>0.11810000000000009</v>
      </c>
      <c r="G74" s="235">
        <f>ROUND(D74*E74,2)+0.01</f>
        <v>1.7</v>
      </c>
      <c r="H74" s="270"/>
      <c r="I74" s="41"/>
      <c r="J74" s="41"/>
      <c r="K74" s="271"/>
      <c r="L74" s="294">
        <f>SUM(G74:G76)</f>
        <v>181.12</v>
      </c>
      <c r="M74" s="227">
        <v>181.12</v>
      </c>
      <c r="N74" s="274"/>
      <c r="O74" s="237"/>
      <c r="P74" s="275"/>
      <c r="Q74" s="237"/>
      <c r="R74" s="242"/>
      <c r="S74" s="266"/>
      <c r="T74" s="266"/>
    </row>
    <row r="75" spans="1:20" ht="15.75">
      <c r="A75" s="896"/>
      <c r="B75" s="192"/>
      <c r="C75" s="48" t="s">
        <v>119</v>
      </c>
      <c r="D75" s="269">
        <v>0.28999999999999998</v>
      </c>
      <c r="E75" s="41">
        <v>6.6231</v>
      </c>
      <c r="F75" s="41">
        <f t="shared" si="8"/>
        <v>6.6231</v>
      </c>
      <c r="G75" s="235">
        <f>ROUND(D75*E75,2)</f>
        <v>1.92</v>
      </c>
      <c r="H75" s="270"/>
      <c r="I75" s="41"/>
      <c r="J75" s="41"/>
      <c r="K75" s="271"/>
      <c r="L75" s="272"/>
      <c r="M75" s="273"/>
      <c r="N75" s="274"/>
      <c r="O75" s="237"/>
      <c r="P75" s="275"/>
      <c r="Q75" s="237"/>
      <c r="R75" s="242"/>
      <c r="S75" s="266"/>
      <c r="T75" s="266"/>
    </row>
    <row r="76" spans="1:20" ht="16.5" thickBot="1">
      <c r="A76" s="891"/>
      <c r="B76" s="887"/>
      <c r="C76" s="99" t="s">
        <v>29</v>
      </c>
      <c r="D76" s="279">
        <v>26.8</v>
      </c>
      <c r="E76" s="56">
        <v>6.6231</v>
      </c>
      <c r="F76" s="57">
        <f t="shared" si="8"/>
        <v>6.6231</v>
      </c>
      <c r="G76" s="247">
        <f>ROUND(D76*E76,2)</f>
        <v>177.5</v>
      </c>
      <c r="H76" s="280"/>
      <c r="I76" s="281"/>
      <c r="J76" s="281"/>
      <c r="K76" s="282"/>
      <c r="L76" s="204"/>
      <c r="M76" s="250"/>
      <c r="N76" s="283"/>
      <c r="O76" s="252"/>
      <c r="P76" s="284"/>
      <c r="Q76" s="252"/>
      <c r="R76" s="242"/>
      <c r="S76" s="266"/>
      <c r="T76" s="266"/>
    </row>
    <row r="77" spans="1:20" collapsed="1">
      <c r="A77" s="892">
        <v>415</v>
      </c>
      <c r="B77" s="183" t="s">
        <v>166</v>
      </c>
      <c r="C77" s="439" t="s">
        <v>118</v>
      </c>
      <c r="D77" s="296">
        <f>[2]янв18!D75+[2]янв18!D76</f>
        <v>153.72999999999999</v>
      </c>
      <c r="E77" s="41">
        <f>6.6231-6.505</f>
        <v>0.11810000000000009</v>
      </c>
      <c r="F77" s="41">
        <f t="shared" si="8"/>
        <v>0.11810000000000009</v>
      </c>
      <c r="G77" s="235">
        <f>ROUND(D77*E77,2)</f>
        <v>18.16</v>
      </c>
      <c r="H77" s="270"/>
      <c r="I77" s="41"/>
      <c r="J77" s="41"/>
      <c r="K77" s="271"/>
      <c r="L77" s="294">
        <f>SUM(G77:G79)</f>
        <v>1024.27</v>
      </c>
      <c r="M77" s="227">
        <v>1024.27</v>
      </c>
      <c r="N77" s="274"/>
      <c r="O77" s="237"/>
      <c r="P77" s="275"/>
      <c r="Q77" s="237"/>
      <c r="R77" s="242"/>
      <c r="S77" s="266"/>
      <c r="T77" s="266"/>
    </row>
    <row r="78" spans="1:20" ht="15.75">
      <c r="A78" s="896"/>
      <c r="B78" s="192"/>
      <c r="C78" s="48" t="s">
        <v>119</v>
      </c>
      <c r="D78" s="269">
        <v>1.61</v>
      </c>
      <c r="E78" s="41">
        <v>6.6231</v>
      </c>
      <c r="F78" s="41">
        <f t="shared" si="8"/>
        <v>6.6231</v>
      </c>
      <c r="G78" s="235">
        <f t="shared" ref="G78:G79" si="10">ROUND(D78*E78,2)</f>
        <v>10.66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91"/>
      <c r="B79" s="887"/>
      <c r="C79" s="54" t="s">
        <v>29</v>
      </c>
      <c r="D79" s="279">
        <v>150.30000000000001</v>
      </c>
      <c r="E79" s="56">
        <v>6.6231</v>
      </c>
      <c r="F79" s="57">
        <f t="shared" si="8"/>
        <v>6.6231</v>
      </c>
      <c r="G79" s="247">
        <f t="shared" si="10"/>
        <v>995.45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>
      <c r="A80" s="892">
        <v>416</v>
      </c>
      <c r="B80" s="183" t="s">
        <v>173</v>
      </c>
      <c r="C80" s="439" t="s">
        <v>118</v>
      </c>
      <c r="D80" s="296">
        <f>[2]янв18!D78+[2]янв18!D79</f>
        <v>475.03</v>
      </c>
      <c r="E80" s="41">
        <f>6.6231-6.505</f>
        <v>0.11810000000000009</v>
      </c>
      <c r="F80" s="41">
        <f t="shared" si="8"/>
        <v>0.11810000000000009</v>
      </c>
      <c r="G80" s="235">
        <f>ROUND(D80*E80,2)</f>
        <v>56.1</v>
      </c>
      <c r="H80" s="270"/>
      <c r="I80" s="41"/>
      <c r="J80" s="41"/>
      <c r="K80" s="271"/>
      <c r="L80" s="294">
        <f>SUM(G80:G82)</f>
        <v>3420.5</v>
      </c>
      <c r="M80" s="227">
        <v>3420.5</v>
      </c>
      <c r="N80" s="274"/>
      <c r="O80" s="237"/>
      <c r="P80" s="275"/>
      <c r="Q80" s="237"/>
      <c r="R80" s="242"/>
      <c r="S80" s="266"/>
      <c r="T80" s="266"/>
    </row>
    <row r="81" spans="1:20" ht="15.75">
      <c r="A81" s="896"/>
      <c r="B81" s="192"/>
      <c r="C81" s="48" t="s">
        <v>119</v>
      </c>
      <c r="D81" s="269">
        <v>5.38</v>
      </c>
      <c r="E81" s="41">
        <v>6.6231</v>
      </c>
      <c r="F81" s="41">
        <f t="shared" si="8"/>
        <v>6.6231</v>
      </c>
      <c r="G81" s="235">
        <f>ROUND(D81*E81,2)</f>
        <v>35.630000000000003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0" ht="16.5" thickBot="1">
      <c r="A82" s="891"/>
      <c r="B82" s="887"/>
      <c r="C82" s="54" t="s">
        <v>29</v>
      </c>
      <c r="D82" s="279">
        <v>502.6</v>
      </c>
      <c r="E82" s="56">
        <v>6.6231</v>
      </c>
      <c r="F82" s="57">
        <f t="shared" si="8"/>
        <v>6.6231</v>
      </c>
      <c r="G82" s="247">
        <f>ROUND(D82*E82,2)</f>
        <v>3328.77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0">
      <c r="A83" s="892">
        <v>417</v>
      </c>
      <c r="B83" s="183" t="s">
        <v>174</v>
      </c>
      <c r="C83" s="439" t="s">
        <v>118</v>
      </c>
      <c r="D83" s="296">
        <f>[2]янв18!D81+[2]янв18!D82</f>
        <v>155.04</v>
      </c>
      <c r="E83" s="41">
        <f>6.6231-6.505</f>
        <v>0.11810000000000009</v>
      </c>
      <c r="F83" s="41">
        <f t="shared" si="8"/>
        <v>0.11810000000000009</v>
      </c>
      <c r="G83" s="235">
        <f>ROUND(D83*E83,2)</f>
        <v>18.309999999999999</v>
      </c>
      <c r="H83" s="270"/>
      <c r="I83" s="41"/>
      <c r="J83" s="41"/>
      <c r="K83" s="271"/>
      <c r="L83" s="294">
        <f>SUM(G83:G85)</f>
        <v>1179.74</v>
      </c>
      <c r="M83" s="227">
        <v>1179.74</v>
      </c>
      <c r="N83" s="274"/>
      <c r="O83" s="237"/>
      <c r="P83" s="275"/>
      <c r="Q83" s="237"/>
      <c r="R83" s="242"/>
      <c r="S83" s="266"/>
      <c r="T83" s="266"/>
    </row>
    <row r="84" spans="1:20" ht="15.75">
      <c r="A84" s="896"/>
      <c r="B84" s="192"/>
      <c r="C84" s="48" t="s">
        <v>119</v>
      </c>
      <c r="D84" s="269">
        <v>1.86</v>
      </c>
      <c r="E84" s="41">
        <v>6.6231</v>
      </c>
      <c r="F84" s="41">
        <f t="shared" si="8"/>
        <v>6.6231</v>
      </c>
      <c r="G84" s="235">
        <f t="shared" ref="G84:G85" si="11">ROUND(D84*E84,2)</f>
        <v>12.32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0" ht="16.5" thickBot="1">
      <c r="A85" s="891"/>
      <c r="B85" s="202"/>
      <c r="C85" s="54" t="s">
        <v>29</v>
      </c>
      <c r="D85" s="279">
        <v>173.5</v>
      </c>
      <c r="E85" s="56">
        <v>6.6231</v>
      </c>
      <c r="F85" s="57">
        <f t="shared" si="8"/>
        <v>6.6231</v>
      </c>
      <c r="G85" s="247">
        <f t="shared" si="11"/>
        <v>1149.1099999999999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0" ht="15.75">
      <c r="A86" s="892">
        <v>500</v>
      </c>
      <c r="B86" s="883" t="s">
        <v>55</v>
      </c>
      <c r="C86" s="439" t="s">
        <v>118</v>
      </c>
      <c r="D86" s="259">
        <f>[2]янв18!D44+[2]янв18!D45</f>
        <v>2760.7400000000002</v>
      </c>
      <c r="E86" s="41">
        <f>6.6231-6.505</f>
        <v>0.11810000000000009</v>
      </c>
      <c r="F86" s="41">
        <f t="shared" si="5"/>
        <v>0.11810000000000009</v>
      </c>
      <c r="G86" s="214">
        <f>ROUND(D86*E86,2)+0.01</f>
        <v>326.05</v>
      </c>
      <c r="H86" s="260"/>
      <c r="I86" s="261"/>
      <c r="J86" s="261"/>
      <c r="K86" s="262"/>
      <c r="L86" s="263">
        <f>SUM(G86:G88)</f>
        <v>16734.25</v>
      </c>
      <c r="M86" s="187">
        <v>16734.25</v>
      </c>
      <c r="N86" s="264"/>
      <c r="O86" s="229"/>
      <c r="P86" s="265"/>
      <c r="Q86" s="229"/>
      <c r="R86" s="242"/>
      <c r="S86" s="266"/>
      <c r="T86" s="266"/>
    </row>
    <row r="87" spans="1:20" ht="15.75">
      <c r="A87" s="893" t="s">
        <v>197</v>
      </c>
      <c r="B87" s="885"/>
      <c r="C87" s="48" t="s">
        <v>119</v>
      </c>
      <c r="D87" s="269">
        <v>26.23</v>
      </c>
      <c r="E87" s="41">
        <v>6.6231</v>
      </c>
      <c r="F87" s="41">
        <f t="shared" si="5"/>
        <v>6.6231</v>
      </c>
      <c r="G87" s="235">
        <f>ROUND(D87*E87,2)</f>
        <v>173.72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0" ht="16.5" thickBot="1">
      <c r="A88" s="891"/>
      <c r="B88" s="887"/>
      <c r="C88" s="54" t="s">
        <v>29</v>
      </c>
      <c r="D88" s="279">
        <v>2451.19</v>
      </c>
      <c r="E88" s="56">
        <v>6.6231</v>
      </c>
      <c r="F88" s="57">
        <f t="shared" si="5"/>
        <v>6.6231</v>
      </c>
      <c r="G88" s="247">
        <f t="shared" ref="G88" si="12">ROUND(D88*E88,2)</f>
        <v>16234.48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0" ht="15.75" hidden="1" outlineLevel="1">
      <c r="A89" s="892"/>
      <c r="B89" s="883" t="s">
        <v>57</v>
      </c>
      <c r="C89" s="439"/>
      <c r="D89" s="259"/>
      <c r="E89" s="21">
        <v>36.214199999999998</v>
      </c>
      <c r="F89" s="21">
        <v>42.4328</v>
      </c>
      <c r="G89" s="214">
        <f>ROUND(D89*(E89+F89),2)</f>
        <v>0</v>
      </c>
      <c r="H89" s="213">
        <v>0</v>
      </c>
      <c r="I89">
        <v>22.478999999999999</v>
      </c>
      <c r="J89" s="215">
        <f t="shared" ref="J89" si="13">H89*I89</f>
        <v>0</v>
      </c>
      <c r="K89" s="679">
        <v>42705</v>
      </c>
      <c r="L89" s="294">
        <f>SUM(G89:G93)+J89+J91</f>
        <v>0</v>
      </c>
      <c r="M89" s="227"/>
      <c r="N89" s="264"/>
      <c r="O89" s="229"/>
      <c r="P89" s="265"/>
      <c r="Q89" s="229"/>
      <c r="R89" s="242"/>
      <c r="S89" s="266"/>
      <c r="T89" s="266"/>
    </row>
    <row r="90" spans="1:20" ht="16.5" hidden="1" outlineLevel="1" thickBot="1">
      <c r="A90" s="891"/>
      <c r="B90" s="887"/>
      <c r="C90" s="54"/>
      <c r="D90" s="269"/>
      <c r="E90" s="38">
        <f>32.332-28.8628</f>
        <v>3.4692000000000007</v>
      </c>
      <c r="F90" s="38">
        <f>37.8898-33.8306</f>
        <v>4.0592000000000041</v>
      </c>
      <c r="G90" s="235">
        <f>ROUND(D90*(E90+F90),2)</f>
        <v>0</v>
      </c>
      <c r="H90" s="225"/>
      <c r="J90" s="194"/>
      <c r="K90" s="683"/>
      <c r="L90" s="294"/>
      <c r="M90" s="227"/>
      <c r="N90" s="264"/>
      <c r="O90" s="229"/>
      <c r="P90" s="265"/>
      <c r="Q90" s="229"/>
      <c r="R90" s="242"/>
      <c r="S90" s="266"/>
      <c r="T90" s="266"/>
    </row>
    <row r="91" spans="1:20" hidden="1" outlineLevel="1">
      <c r="A91" s="892"/>
      <c r="B91" s="883"/>
      <c r="C91" s="439" t="s">
        <v>170</v>
      </c>
      <c r="D91" s="296"/>
      <c r="E91" s="41">
        <f>7.0207-6.6426</f>
        <v>0.37809999999999988</v>
      </c>
      <c r="F91" s="41">
        <f>+E91</f>
        <v>0.37809999999999988</v>
      </c>
      <c r="G91" s="235">
        <f>ROUND(D91*E91,2)</f>
        <v>0</v>
      </c>
      <c r="H91" s="270"/>
      <c r="I91" s="41"/>
      <c r="J91" s="41"/>
      <c r="K91" s="684"/>
      <c r="L91" s="272"/>
      <c r="M91" s="273"/>
      <c r="N91" s="274"/>
      <c r="O91" s="237"/>
      <c r="P91" s="275"/>
      <c r="Q91" s="237"/>
      <c r="R91" s="242"/>
      <c r="S91" s="266"/>
      <c r="T91" s="266"/>
    </row>
    <row r="92" spans="1:20" ht="16.5" hidden="1" outlineLevel="1" thickBot="1">
      <c r="A92" s="891"/>
      <c r="B92" s="887"/>
      <c r="C92" s="54" t="s">
        <v>171</v>
      </c>
      <c r="D92" s="269"/>
      <c r="E92" s="41">
        <v>7.0206999999999997</v>
      </c>
      <c r="F92" s="41">
        <f>+E92</f>
        <v>7.0206999999999997</v>
      </c>
      <c r="G92" s="235">
        <f>ROUND(D92*E92,2)</f>
        <v>0</v>
      </c>
      <c r="H92" s="270"/>
      <c r="I92" s="41"/>
      <c r="J92" s="41"/>
      <c r="K92" s="684"/>
      <c r="L92" s="272"/>
      <c r="M92" s="273"/>
      <c r="N92" s="274"/>
      <c r="O92" s="237"/>
      <c r="P92" s="275"/>
      <c r="Q92" s="237"/>
      <c r="R92" s="242"/>
      <c r="S92" s="266"/>
      <c r="T92" s="266"/>
    </row>
    <row r="93" spans="1:20" ht="16.5" hidden="1" outlineLevel="1" thickBot="1">
      <c r="A93" s="892"/>
      <c r="B93" s="883"/>
      <c r="C93" s="439" t="s">
        <v>29</v>
      </c>
      <c r="D93" s="279"/>
      <c r="E93" s="56">
        <v>7.0206999999999997</v>
      </c>
      <c r="F93" s="57">
        <f>+E93</f>
        <v>7.0206999999999997</v>
      </c>
      <c r="G93" s="247">
        <f>ROUND(D93*E93,2)</f>
        <v>0</v>
      </c>
      <c r="H93" s="280"/>
      <c r="I93" s="281"/>
      <c r="J93" s="281"/>
      <c r="K93" s="682"/>
      <c r="L93" s="204"/>
      <c r="M93" s="250"/>
      <c r="N93" s="283"/>
      <c r="O93" s="252"/>
      <c r="P93" s="284"/>
      <c r="Q93" s="252"/>
      <c r="R93" s="242"/>
      <c r="S93" s="266"/>
      <c r="T93" s="266"/>
    </row>
    <row r="94" spans="1:20" hidden="1" outlineLevel="1">
      <c r="A94" s="892"/>
      <c r="B94" s="183" t="s">
        <v>145</v>
      </c>
      <c r="C94" s="439" t="s">
        <v>170</v>
      </c>
      <c r="D94" s="296"/>
      <c r="E94" s="41">
        <f>7.0207-6.6426</f>
        <v>0.37809999999999988</v>
      </c>
      <c r="F94" s="41">
        <f t="shared" ref="F94:F96" si="14">+E94</f>
        <v>0.37809999999999988</v>
      </c>
      <c r="G94" s="235">
        <f>ROUND(D94*E94,2)</f>
        <v>0</v>
      </c>
      <c r="H94" s="270"/>
      <c r="I94" s="41"/>
      <c r="J94" s="41"/>
      <c r="K94" s="271"/>
      <c r="L94" s="294">
        <f>SUM(G94:G96)</f>
        <v>0</v>
      </c>
      <c r="M94" s="227"/>
      <c r="N94" s="274"/>
      <c r="O94" s="237"/>
      <c r="P94" s="275"/>
      <c r="Q94" s="237"/>
      <c r="R94" s="242"/>
      <c r="S94" s="266"/>
      <c r="T94" s="266"/>
    </row>
    <row r="95" spans="1:20" ht="16.5" hidden="1" outlineLevel="1" thickBot="1">
      <c r="A95" s="891"/>
      <c r="B95" s="887"/>
      <c r="C95" s="54" t="s">
        <v>171</v>
      </c>
      <c r="D95" s="269"/>
      <c r="E95" s="41">
        <v>7.0206999999999997</v>
      </c>
      <c r="F95" s="41">
        <f t="shared" si="14"/>
        <v>7.0206999999999997</v>
      </c>
      <c r="G95" s="235">
        <f t="shared" ref="G95:G96" si="15">ROUND(D95*E95,2)</f>
        <v>0</v>
      </c>
      <c r="H95" s="270"/>
      <c r="I95" s="41"/>
      <c r="J95" s="41"/>
      <c r="K95" s="271"/>
      <c r="L95" s="272"/>
      <c r="M95" s="273"/>
      <c r="N95" s="274"/>
      <c r="O95" s="237"/>
      <c r="P95" s="275"/>
      <c r="Q95" s="237"/>
      <c r="R95" s="242"/>
      <c r="S95" s="266"/>
      <c r="T95" s="266"/>
    </row>
    <row r="96" spans="1:20" ht="16.5" hidden="1" outlineLevel="1" thickBot="1">
      <c r="A96" s="892"/>
      <c r="B96" s="183"/>
      <c r="C96" s="439" t="s">
        <v>29</v>
      </c>
      <c r="D96" s="279"/>
      <c r="E96" s="56">
        <v>7.0206999999999997</v>
      </c>
      <c r="F96" s="57">
        <f t="shared" si="14"/>
        <v>7.0206999999999997</v>
      </c>
      <c r="G96" s="247">
        <f t="shared" si="15"/>
        <v>0</v>
      </c>
      <c r="H96" s="280"/>
      <c r="I96" s="281"/>
      <c r="J96" s="281"/>
      <c r="K96" s="282"/>
      <c r="L96" s="204"/>
      <c r="M96" s="250"/>
      <c r="N96" s="283"/>
      <c r="O96" s="252"/>
      <c r="P96" s="284"/>
      <c r="Q96" s="252"/>
      <c r="R96" s="242"/>
      <c r="S96" s="266"/>
      <c r="T96" s="266"/>
    </row>
    <row r="97" spans="1:21" ht="16.5" collapsed="1" thickTop="1">
      <c r="A97" s="898"/>
      <c r="B97" s="321"/>
      <c r="C97" s="322"/>
      <c r="D97" s="323"/>
      <c r="E97" s="163"/>
      <c r="F97" s="324"/>
      <c r="G97" s="325"/>
      <c r="H97" s="163"/>
      <c r="I97" s="163"/>
      <c r="J97" s="163"/>
      <c r="K97" s="163"/>
      <c r="L97" s="163"/>
      <c r="M97" s="326"/>
      <c r="N97" s="327"/>
      <c r="O97" s="328"/>
      <c r="P97" s="329"/>
      <c r="Q97" s="328"/>
      <c r="R97" s="330"/>
      <c r="S97" s="331"/>
      <c r="T97" s="266"/>
    </row>
    <row r="98" spans="1:21" ht="21.75" thickBot="1">
      <c r="A98" s="171" t="s">
        <v>60</v>
      </c>
      <c r="B98" s="2"/>
      <c r="C98" s="3"/>
      <c r="D98" s="2"/>
      <c r="E98" s="2"/>
      <c r="F98" s="2"/>
      <c r="G98" s="332"/>
      <c r="H98" s="332"/>
      <c r="I98" s="332"/>
      <c r="J98" s="2"/>
      <c r="K98" s="2"/>
      <c r="L98" s="2"/>
      <c r="M98" s="3"/>
      <c r="N98" s="2"/>
      <c r="O98" s="2"/>
      <c r="P98" s="2"/>
      <c r="Q98" s="2"/>
      <c r="R98" s="2"/>
      <c r="S98" s="2"/>
    </row>
    <row r="99" spans="1:21" ht="15" customHeight="1" thickTop="1">
      <c r="A99" s="1553" t="s">
        <v>1</v>
      </c>
      <c r="B99" s="1516" t="s">
        <v>2</v>
      </c>
      <c r="C99" s="1518" t="s">
        <v>3</v>
      </c>
      <c r="D99" s="1532" t="s">
        <v>4</v>
      </c>
      <c r="E99" s="1532"/>
      <c r="F99" s="1532"/>
      <c r="G99" s="1532"/>
      <c r="H99" s="1533" t="s">
        <v>5</v>
      </c>
      <c r="I99" s="1534"/>
      <c r="J99" s="1534"/>
      <c r="K99" s="1534"/>
      <c r="L99" s="1524" t="s">
        <v>6</v>
      </c>
      <c r="M99" s="1537" t="s">
        <v>7</v>
      </c>
      <c r="N99" s="1538" t="s">
        <v>8</v>
      </c>
      <c r="O99" s="1538"/>
      <c r="P99" s="1538"/>
      <c r="Q99" s="1539"/>
      <c r="R99" s="5"/>
      <c r="S99" s="5"/>
      <c r="T99" s="5" t="s">
        <v>61</v>
      </c>
      <c r="U99" t="s">
        <v>21</v>
      </c>
    </row>
    <row r="100" spans="1:21" ht="27" customHeight="1" thickBot="1">
      <c r="A100" s="1531"/>
      <c r="B100" s="1517"/>
      <c r="C100" s="1519" t="s">
        <v>10</v>
      </c>
      <c r="D100" s="333" t="s">
        <v>11</v>
      </c>
      <c r="E100" s="7" t="s">
        <v>12</v>
      </c>
      <c r="F100" s="7" t="s">
        <v>13</v>
      </c>
      <c r="G100" s="334" t="s">
        <v>14</v>
      </c>
      <c r="H100" s="335" t="s">
        <v>11</v>
      </c>
      <c r="I100" s="333" t="s">
        <v>15</v>
      </c>
      <c r="J100" s="336" t="s">
        <v>14</v>
      </c>
      <c r="K100" s="11" t="s">
        <v>16</v>
      </c>
      <c r="L100" s="1525"/>
      <c r="M100" s="1511"/>
      <c r="N100" s="337" t="s">
        <v>62</v>
      </c>
      <c r="O100" s="338" t="s">
        <v>44</v>
      </c>
      <c r="P100" s="13" t="s">
        <v>18</v>
      </c>
      <c r="Q100" s="14" t="s">
        <v>19</v>
      </c>
    </row>
    <row r="101" spans="1:21" ht="14.25" customHeight="1">
      <c r="A101" s="339" t="s">
        <v>63</v>
      </c>
      <c r="B101" s="18" t="s">
        <v>64</v>
      </c>
      <c r="C101" s="71"/>
      <c r="D101" s="340">
        <v>51</v>
      </c>
      <c r="E101" s="21">
        <v>36.214199999999998</v>
      </c>
      <c r="F101" s="21">
        <v>42.4328</v>
      </c>
      <c r="G101" s="185">
        <f>ROUND(D101*(E101+F101),2)</f>
        <v>4011</v>
      </c>
      <c r="H101" s="184">
        <f>[1]нояб17!D93</f>
        <v>63</v>
      </c>
      <c r="I101" s="23">
        <v>16.166</v>
      </c>
      <c r="J101" s="341">
        <f>ROUND(H101*I101,2)-0.01</f>
        <v>1018.45</v>
      </c>
      <c r="K101" s="342">
        <v>43040</v>
      </c>
      <c r="L101" s="343">
        <f>SUM(G101:G106,J101:J105)</f>
        <v>254841.56</v>
      </c>
      <c r="M101" s="344">
        <v>254841.56</v>
      </c>
      <c r="N101" s="345"/>
      <c r="O101" s="346">
        <v>7157.88</v>
      </c>
      <c r="P101" s="347" t="s">
        <v>24</v>
      </c>
      <c r="Q101" s="348">
        <f t="shared" ref="Q101:Q161" si="16">C101+G101+J101-M101-N101-O101</f>
        <v>-256969.99</v>
      </c>
      <c r="R101" s="349" t="s">
        <v>65</v>
      </c>
      <c r="S101" s="350" t="s">
        <v>20</v>
      </c>
      <c r="T101" s="351" t="s">
        <v>21</v>
      </c>
      <c r="U101" s="352">
        <f>+L101-M101+C101</f>
        <v>0</v>
      </c>
    </row>
    <row r="102" spans="1:21" ht="14.25" customHeight="1">
      <c r="A102" s="353"/>
      <c r="B102" s="35"/>
      <c r="C102" s="84" t="s">
        <v>26</v>
      </c>
      <c r="D102" s="37"/>
      <c r="E102" s="38"/>
      <c r="F102" s="38"/>
      <c r="G102" s="39">
        <f>ROUND(D102*(E102+F102),2)</f>
        <v>0</v>
      </c>
      <c r="H102" s="49"/>
      <c r="I102" s="271"/>
      <c r="J102" s="101"/>
      <c r="K102" s="354"/>
      <c r="L102" s="355"/>
      <c r="M102" s="356"/>
      <c r="N102" s="357"/>
      <c r="O102" s="358"/>
      <c r="P102" s="359"/>
      <c r="Q102" s="358"/>
      <c r="R102" s="349"/>
      <c r="S102" s="350"/>
      <c r="T102" s="351"/>
      <c r="U102" s="352"/>
    </row>
    <row r="103" spans="1:21">
      <c r="A103" s="353"/>
      <c r="B103" s="35"/>
      <c r="C103" s="48"/>
      <c r="D103" s="49"/>
      <c r="E103" s="41">
        <f>4.4128-4.4153</f>
        <v>-2.5000000000003908E-3</v>
      </c>
      <c r="F103" s="41">
        <f>+E103</f>
        <v>-2.5000000000003908E-3</v>
      </c>
      <c r="G103" s="50">
        <f>ROUND(D103*E103*70%+D103*F103*30%,2)</f>
        <v>0</v>
      </c>
      <c r="H103" s="49"/>
      <c r="I103" s="271"/>
      <c r="J103" s="41"/>
      <c r="K103" s="354"/>
      <c r="L103" s="355"/>
      <c r="M103" s="356"/>
      <c r="N103" s="357"/>
      <c r="O103" s="358"/>
      <c r="P103" s="359"/>
      <c r="Q103" s="358"/>
      <c r="R103" s="349"/>
      <c r="S103" s="350"/>
      <c r="T103" s="351"/>
      <c r="U103" s="352"/>
    </row>
    <row r="104" spans="1:21">
      <c r="A104" s="353"/>
      <c r="B104" s="35"/>
      <c r="C104" s="48" t="s">
        <v>118</v>
      </c>
      <c r="D104" s="49"/>
      <c r="E104" s="41">
        <f>7.0379-7.0426</f>
        <v>-4.7000000000005926E-3</v>
      </c>
      <c r="F104" s="38">
        <f>+E104</f>
        <v>-4.7000000000005926E-3</v>
      </c>
      <c r="G104" s="50">
        <f>ROUND(+D104*E104,2)</f>
        <v>0</v>
      </c>
      <c r="H104" s="49"/>
      <c r="I104" s="271"/>
      <c r="J104" s="41"/>
      <c r="K104" s="354"/>
      <c r="L104" s="355"/>
      <c r="M104" s="356"/>
      <c r="N104" s="357"/>
      <c r="O104" s="358"/>
      <c r="P104" s="359"/>
      <c r="Q104" s="358"/>
      <c r="R104" s="349"/>
      <c r="S104" s="350"/>
      <c r="T104" s="351"/>
      <c r="U104" s="352"/>
    </row>
    <row r="105" spans="1:21">
      <c r="A105" s="353"/>
      <c r="B105" s="35"/>
      <c r="C105" s="48" t="s">
        <v>119</v>
      </c>
      <c r="D105" s="49">
        <f>58+29</f>
        <v>87</v>
      </c>
      <c r="E105" s="41">
        <v>6.8263999999999996</v>
      </c>
      <c r="F105" s="41">
        <f>+E105</f>
        <v>6.8263999999999996</v>
      </c>
      <c r="G105" s="50">
        <f>ROUND(D105*E105,2)</f>
        <v>593.9</v>
      </c>
      <c r="H105" s="361"/>
      <c r="I105" s="362"/>
      <c r="J105" s="207"/>
      <c r="K105" s="363"/>
      <c r="L105" s="364"/>
      <c r="M105" s="365"/>
      <c r="N105" s="366"/>
      <c r="O105" s="367"/>
      <c r="P105" s="368"/>
      <c r="Q105" s="358"/>
      <c r="R105" s="349"/>
      <c r="S105" s="350"/>
      <c r="T105" s="351"/>
      <c r="U105" s="352"/>
    </row>
    <row r="106" spans="1:21" ht="15.75" thickBot="1">
      <c r="A106" s="369"/>
      <c r="B106" s="53" t="s">
        <v>66</v>
      </c>
      <c r="C106" s="99" t="s">
        <v>29</v>
      </c>
      <c r="D106" s="55">
        <v>36508</v>
      </c>
      <c r="E106" s="56">
        <v>6.8263999999999996</v>
      </c>
      <c r="F106" s="370">
        <f>+E106</f>
        <v>6.8263999999999996</v>
      </c>
      <c r="G106" s="58">
        <f>ROUND(D106*E106,2)</f>
        <v>249218.21</v>
      </c>
      <c r="H106" s="248"/>
      <c r="I106" s="203"/>
      <c r="J106" s="60"/>
      <c r="K106" s="203"/>
      <c r="L106" s="204"/>
      <c r="M106" s="371"/>
      <c r="N106" s="372"/>
      <c r="O106" s="373">
        <v>165882.5</v>
      </c>
      <c r="P106" s="374" t="s">
        <v>24</v>
      </c>
      <c r="Q106" s="373">
        <f>G106+J106-M106-N106-O106</f>
        <v>83335.709999999992</v>
      </c>
      <c r="R106" s="349" t="s">
        <v>65</v>
      </c>
      <c r="S106" s="375">
        <f>SUM(O101:O106)</f>
        <v>173040.38</v>
      </c>
      <c r="T106" s="375">
        <f>SUM(Q101:Q106)</f>
        <v>-173634.28</v>
      </c>
    </row>
    <row r="107" spans="1:21" s="81" customFormat="1" ht="15" customHeight="1">
      <c r="A107" s="437">
        <v>101</v>
      </c>
      <c r="B107" s="438" t="s">
        <v>82</v>
      </c>
      <c r="C107" s="377" t="s">
        <v>73</v>
      </c>
      <c r="D107" s="378">
        <v>29</v>
      </c>
      <c r="E107" s="21">
        <v>36.214199999999998</v>
      </c>
      <c r="F107" s="21">
        <v>42.4328</v>
      </c>
      <c r="G107" s="22">
        <f>+D107*(E107+F107)</f>
        <v>2280.7629999999999</v>
      </c>
      <c r="H107" s="303">
        <f>[1]нояб17!D139</f>
        <v>28</v>
      </c>
      <c r="I107" s="381">
        <v>16.166</v>
      </c>
      <c r="J107" s="381">
        <f>ROUND(I107*H107,2)</f>
        <v>452.65</v>
      </c>
      <c r="K107" s="342">
        <v>43040</v>
      </c>
      <c r="L107" s="263">
        <f>SUM(G107:G111,J107:J111)</f>
        <v>97727.713000000003</v>
      </c>
      <c r="M107" s="26">
        <v>97727.71</v>
      </c>
      <c r="N107" s="421"/>
      <c r="O107" s="77"/>
      <c r="P107" s="77"/>
      <c r="Q107" s="384"/>
      <c r="R107" s="422"/>
      <c r="S107" s="399"/>
      <c r="T107" s="399"/>
    </row>
    <row r="108" spans="1:21" s="81" customFormat="1" ht="15" customHeight="1">
      <c r="A108" s="441"/>
      <c r="B108" s="442"/>
      <c r="C108" s="36" t="s">
        <v>26</v>
      </c>
      <c r="D108" s="37"/>
      <c r="E108" s="38"/>
      <c r="F108" s="38"/>
      <c r="G108" s="39">
        <f>ROUND(D108*(E108+F108),2)</f>
        <v>0</v>
      </c>
      <c r="H108" s="457"/>
      <c r="I108" s="392"/>
      <c r="J108" s="402"/>
      <c r="K108" s="393"/>
      <c r="L108" s="459"/>
      <c r="M108" s="44"/>
      <c r="N108" s="430"/>
      <c r="O108" s="435"/>
      <c r="P108" s="435"/>
      <c r="Q108" s="425"/>
      <c r="R108" s="422"/>
      <c r="S108" s="399"/>
      <c r="T108" s="399"/>
    </row>
    <row r="109" spans="1:21" s="81" customFormat="1" ht="15" customHeight="1">
      <c r="A109" s="441"/>
      <c r="B109" s="442"/>
      <c r="C109" s="48" t="s">
        <v>118</v>
      </c>
      <c r="D109" s="37">
        <f>[2]янв18!D150+[2]янв18!D151</f>
        <v>14379</v>
      </c>
      <c r="E109" s="41">
        <f>6.8416-6.7432</f>
        <v>9.8399999999999821E-2</v>
      </c>
      <c r="F109" s="38"/>
      <c r="G109" s="39">
        <f>ROUND(D109*(E109),2)+0.01</f>
        <v>1414.9</v>
      </c>
      <c r="H109" s="270"/>
      <c r="I109" s="41"/>
      <c r="J109" s="41"/>
      <c r="K109" s="271"/>
      <c r="L109" s="272"/>
      <c r="M109" s="102"/>
      <c r="N109" s="430"/>
      <c r="O109" s="435"/>
      <c r="P109" s="435"/>
      <c r="Q109" s="425"/>
      <c r="R109" s="422"/>
      <c r="S109" s="399"/>
      <c r="T109" s="399"/>
    </row>
    <row r="110" spans="1:21" s="81" customFormat="1" ht="15" customHeight="1">
      <c r="A110" s="441"/>
      <c r="B110" s="442"/>
      <c r="C110" s="48" t="s">
        <v>119</v>
      </c>
      <c r="D110" s="37">
        <v>33</v>
      </c>
      <c r="E110" s="41">
        <v>6.8415999999999997</v>
      </c>
      <c r="F110" s="38"/>
      <c r="G110" s="39">
        <f>ROUND(D110*(E110),2)</f>
        <v>225.77</v>
      </c>
      <c r="H110" s="270"/>
      <c r="I110" s="41"/>
      <c r="J110" s="41"/>
      <c r="K110" s="271"/>
      <c r="L110" s="272"/>
      <c r="M110" s="102"/>
      <c r="N110" s="434"/>
      <c r="O110" s="435"/>
      <c r="P110" s="435"/>
      <c r="Q110" s="425"/>
      <c r="R110" s="422"/>
      <c r="S110" s="399"/>
      <c r="T110" s="399"/>
    </row>
    <row r="111" spans="1:21" s="81" customFormat="1" ht="15" customHeight="1" thickBot="1">
      <c r="A111" s="445"/>
      <c r="B111" s="446"/>
      <c r="C111" s="54" t="s">
        <v>29</v>
      </c>
      <c r="D111" s="413">
        <v>13645</v>
      </c>
      <c r="E111" s="56">
        <v>6.8415999999999997</v>
      </c>
      <c r="F111" s="281"/>
      <c r="G111" s="414">
        <f>ROUND(D111*(E111),2)</f>
        <v>93353.63</v>
      </c>
      <c r="H111" s="280"/>
      <c r="I111" s="281"/>
      <c r="J111" s="281"/>
      <c r="K111" s="282"/>
      <c r="L111" s="204"/>
      <c r="M111" s="371"/>
      <c r="N111" s="426"/>
      <c r="O111" s="416"/>
      <c r="P111" s="416"/>
      <c r="Q111" s="417"/>
      <c r="R111" s="899"/>
      <c r="S111" s="399"/>
      <c r="T111" s="399"/>
    </row>
    <row r="112" spans="1:21" s="81" customFormat="1" ht="15.75" customHeight="1">
      <c r="A112" s="902">
        <v>107</v>
      </c>
      <c r="B112" s="903" t="s">
        <v>162</v>
      </c>
      <c r="C112" s="439" t="s">
        <v>118</v>
      </c>
      <c r="D112" s="904">
        <f>[2]янв18!D190+[2]янв18!D191</f>
        <v>912.2</v>
      </c>
      <c r="E112" s="23">
        <f>6.8416-6.7432</f>
        <v>9.8399999999999821E-2</v>
      </c>
      <c r="F112" s="905"/>
      <c r="G112" s="22">
        <f>ROUND(D112*E112,2)-0.01</f>
        <v>89.75</v>
      </c>
      <c r="H112" s="303"/>
      <c r="I112" s="23"/>
      <c r="J112" s="23"/>
      <c r="K112" s="304"/>
      <c r="L112" s="263">
        <f>SUM(G112:G114)</f>
        <v>6213.67</v>
      </c>
      <c r="M112" s="26">
        <v>6213.67</v>
      </c>
      <c r="N112" s="421"/>
      <c r="O112" s="77"/>
      <c r="P112" s="77"/>
      <c r="Q112" s="384"/>
      <c r="R112" s="422"/>
      <c r="S112" s="399"/>
      <c r="T112" s="399"/>
    </row>
    <row r="113" spans="1:20" s="81" customFormat="1" ht="15.75" customHeight="1">
      <c r="A113" s="468"/>
      <c r="B113" s="469"/>
      <c r="C113" s="48" t="s">
        <v>119</v>
      </c>
      <c r="D113" s="471">
        <v>2.1</v>
      </c>
      <c r="E113" s="41">
        <v>6.8415999999999997</v>
      </c>
      <c r="F113" s="473"/>
      <c r="G113" s="449">
        <f>ROUND(D113*E113,2)</f>
        <v>14.37</v>
      </c>
      <c r="H113" s="260"/>
      <c r="I113" s="261"/>
      <c r="J113" s="261"/>
      <c r="K113" s="262"/>
      <c r="L113" s="286"/>
      <c r="M113" s="90"/>
      <c r="N113" s="423"/>
      <c r="O113" s="406"/>
      <c r="P113" s="406"/>
      <c r="Q113" s="407"/>
      <c r="R113" s="422"/>
      <c r="S113" s="399"/>
      <c r="T113" s="399"/>
    </row>
    <row r="114" spans="1:20" s="81" customFormat="1" ht="15.75" customHeight="1" thickBot="1">
      <c r="A114" s="858"/>
      <c r="B114" s="859"/>
      <c r="C114" s="54" t="s">
        <v>29</v>
      </c>
      <c r="D114" s="860">
        <v>893</v>
      </c>
      <c r="E114" s="56">
        <v>6.8415999999999997</v>
      </c>
      <c r="F114" s="861"/>
      <c r="G114" s="414">
        <f t="shared" ref="G114" si="17">ROUND(D114*E114,2)</f>
        <v>6109.55</v>
      </c>
      <c r="H114" s="280"/>
      <c r="I114" s="281"/>
      <c r="J114" s="281"/>
      <c r="K114" s="282"/>
      <c r="L114" s="204"/>
      <c r="M114" s="371"/>
      <c r="N114" s="426"/>
      <c r="O114" s="416"/>
      <c r="P114" s="416"/>
      <c r="Q114" s="417"/>
      <c r="R114" s="422"/>
      <c r="S114" s="399"/>
      <c r="T114" s="399"/>
    </row>
    <row r="115" spans="1:20" s="81" customFormat="1" ht="15.75" customHeight="1">
      <c r="A115" s="902">
        <v>108</v>
      </c>
      <c r="B115" s="903" t="s">
        <v>168</v>
      </c>
      <c r="C115" s="439" t="s">
        <v>118</v>
      </c>
      <c r="D115" s="904">
        <f>[2]янв18!D196+[2]янв18!D197</f>
        <v>145.30000000000001</v>
      </c>
      <c r="E115" s="23">
        <f>6.8416-6.7432</f>
        <v>9.8399999999999821E-2</v>
      </c>
      <c r="F115" s="905"/>
      <c r="G115" s="22">
        <f>ROUND(D115*E115,2)</f>
        <v>14.3</v>
      </c>
      <c r="H115" s="303"/>
      <c r="I115" s="23"/>
      <c r="J115" s="23"/>
      <c r="K115" s="304"/>
      <c r="L115" s="263">
        <f>SUM(G115:G117)</f>
        <v>1454.46</v>
      </c>
      <c r="M115" s="26">
        <v>1454.46</v>
      </c>
      <c r="N115" s="421"/>
      <c r="O115" s="77"/>
      <c r="P115" s="77"/>
      <c r="Q115" s="384"/>
      <c r="R115" s="422"/>
      <c r="S115" s="399"/>
      <c r="T115" s="399"/>
    </row>
    <row r="116" spans="1:20" s="81" customFormat="1" ht="15.75" customHeight="1">
      <c r="A116" s="468"/>
      <c r="B116" s="469"/>
      <c r="C116" s="48" t="s">
        <v>119</v>
      </c>
      <c r="D116" s="471">
        <v>0.5</v>
      </c>
      <c r="E116" s="41">
        <v>6.8415999999999997</v>
      </c>
      <c r="F116" s="473"/>
      <c r="G116" s="449">
        <f>ROUND(D116*E116,2)</f>
        <v>3.42</v>
      </c>
      <c r="H116" s="260"/>
      <c r="I116" s="261"/>
      <c r="J116" s="261"/>
      <c r="K116" s="262"/>
      <c r="L116" s="286"/>
      <c r="M116" s="90"/>
      <c r="N116" s="423"/>
      <c r="O116" s="406"/>
      <c r="P116" s="406"/>
      <c r="Q116" s="407"/>
      <c r="R116" s="422"/>
      <c r="S116" s="399"/>
      <c r="T116" s="399"/>
    </row>
    <row r="117" spans="1:20" s="81" customFormat="1" ht="15.75" customHeight="1" thickBot="1">
      <c r="A117" s="858"/>
      <c r="B117" s="859"/>
      <c r="C117" s="54" t="s">
        <v>29</v>
      </c>
      <c r="D117" s="860">
        <v>210</v>
      </c>
      <c r="E117" s="56">
        <v>6.8415999999999997</v>
      </c>
      <c r="F117" s="861"/>
      <c r="G117" s="414">
        <f t="shared" ref="G117" si="18">ROUND(D117*E117,2)</f>
        <v>1436.74</v>
      </c>
      <c r="H117" s="280"/>
      <c r="I117" s="281"/>
      <c r="J117" s="281"/>
      <c r="K117" s="282"/>
      <c r="L117" s="204"/>
      <c r="M117" s="371"/>
      <c r="N117" s="426"/>
      <c r="O117" s="416"/>
      <c r="P117" s="416"/>
      <c r="Q117" s="417"/>
      <c r="R117" s="422"/>
      <c r="S117" s="399"/>
      <c r="T117" s="399"/>
    </row>
    <row r="118" spans="1:20" s="81" customFormat="1" ht="15.75" customHeight="1">
      <c r="A118" s="468">
        <v>109</v>
      </c>
      <c r="B118" s="699" t="s">
        <v>175</v>
      </c>
      <c r="C118" s="439" t="s">
        <v>118</v>
      </c>
      <c r="D118" s="918">
        <f>[2]янв18!D199+[2]янв18!D200</f>
        <v>1850.4</v>
      </c>
      <c r="E118" s="23">
        <f>6.8416-6.7432</f>
        <v>9.8399999999999821E-2</v>
      </c>
      <c r="F118" s="473"/>
      <c r="G118" s="862">
        <f>ROUND(D118*E118,2)-0.01</f>
        <v>182.07000000000002</v>
      </c>
      <c r="H118" s="261"/>
      <c r="I118" s="261"/>
      <c r="J118" s="261"/>
      <c r="K118" s="185"/>
      <c r="L118" s="263">
        <f>SUM(G118:G121)</f>
        <v>18108.374000000003</v>
      </c>
      <c r="M118" s="26">
        <v>18108.37</v>
      </c>
      <c r="N118" s="443"/>
      <c r="O118" s="94"/>
      <c r="P118" s="94"/>
      <c r="Q118" s="396"/>
      <c r="R118" s="422"/>
      <c r="S118" s="399"/>
      <c r="T118" s="399"/>
    </row>
    <row r="119" spans="1:20" s="81" customFormat="1" ht="15.75" customHeight="1">
      <c r="A119" s="468"/>
      <c r="B119" s="469"/>
      <c r="C119" s="48" t="s">
        <v>119</v>
      </c>
      <c r="D119" s="919">
        <v>6.2</v>
      </c>
      <c r="E119" s="41">
        <v>6.8415999999999997</v>
      </c>
      <c r="F119" s="473"/>
      <c r="G119" s="409">
        <f>ROUND(D119*E119,2)</f>
        <v>42.42</v>
      </c>
      <c r="H119" s="41"/>
      <c r="I119" s="41"/>
      <c r="J119" s="41"/>
      <c r="K119" s="50"/>
      <c r="L119" s="286"/>
      <c r="M119" s="90"/>
      <c r="N119" s="423"/>
      <c r="O119" s="406"/>
      <c r="P119" s="406"/>
      <c r="Q119" s="407"/>
      <c r="R119" s="422"/>
      <c r="S119" s="399"/>
      <c r="T119" s="399"/>
    </row>
    <row r="120" spans="1:20" s="81" customFormat="1" ht="15.75" customHeight="1">
      <c r="A120" s="468"/>
      <c r="B120" s="920"/>
      <c r="C120" s="99" t="s">
        <v>29</v>
      </c>
      <c r="D120" s="919">
        <v>2591</v>
      </c>
      <c r="E120" s="101">
        <v>6.8415999999999997</v>
      </c>
      <c r="F120" s="473"/>
      <c r="G120" s="409">
        <f t="shared" ref="G120" si="19">ROUND(D120*E120,2)</f>
        <v>17726.59</v>
      </c>
      <c r="H120" s="41"/>
      <c r="I120" s="41"/>
      <c r="J120" s="41"/>
      <c r="K120" s="50"/>
      <c r="L120" s="286"/>
      <c r="M120" s="90"/>
      <c r="N120" s="423"/>
      <c r="O120" s="406"/>
      <c r="P120" s="406"/>
      <c r="Q120" s="407"/>
      <c r="R120" s="422"/>
      <c r="S120" s="399"/>
      <c r="T120" s="399"/>
    </row>
    <row r="121" spans="1:20" s="81" customFormat="1" ht="15.75" customHeight="1" thickBot="1">
      <c r="A121" s="858"/>
      <c r="B121" s="921"/>
      <c r="C121" s="54" t="s">
        <v>73</v>
      </c>
      <c r="D121" s="922">
        <v>2</v>
      </c>
      <c r="E121" s="56">
        <v>36.214199999999998</v>
      </c>
      <c r="F121" s="861">
        <v>42.4328</v>
      </c>
      <c r="G121" s="923">
        <f>+D121*(E121+F121)</f>
        <v>157.29399999999998</v>
      </c>
      <c r="H121" s="281"/>
      <c r="I121" s="281"/>
      <c r="J121" s="281"/>
      <c r="K121" s="58"/>
      <c r="L121" s="204"/>
      <c r="M121" s="371"/>
      <c r="N121" s="426"/>
      <c r="O121" s="416"/>
      <c r="P121" s="416"/>
      <c r="Q121" s="417"/>
      <c r="R121" s="422"/>
      <c r="S121" s="399"/>
      <c r="T121" s="399"/>
    </row>
    <row r="122" spans="1:20" s="81" customFormat="1" ht="15.75" customHeight="1">
      <c r="A122" s="376">
        <v>117</v>
      </c>
      <c r="B122" s="420" t="s">
        <v>72</v>
      </c>
      <c r="C122" s="377" t="s">
        <v>73</v>
      </c>
      <c r="D122" s="378">
        <v>145</v>
      </c>
      <c r="E122" s="21">
        <v>36.214199999999998</v>
      </c>
      <c r="F122" s="21">
        <v>42.4328</v>
      </c>
      <c r="G122" s="22">
        <f>+D122*(E122+F122)</f>
        <v>11403.814999999999</v>
      </c>
      <c r="H122" s="303">
        <f>[1]нояб17!D109</f>
        <v>144</v>
      </c>
      <c r="I122" s="381">
        <v>16.166</v>
      </c>
      <c r="J122" s="381">
        <f>ROUND(I122*H122,2)</f>
        <v>2327.9</v>
      </c>
      <c r="K122" s="342">
        <v>43040</v>
      </c>
      <c r="L122" s="263">
        <f>SUM(G122:G126,J122:J126)</f>
        <v>295808.435</v>
      </c>
      <c r="M122" s="26">
        <v>295808.44</v>
      </c>
      <c r="N122" s="421"/>
      <c r="O122" s="77"/>
      <c r="P122" s="77"/>
      <c r="Q122" s="384"/>
      <c r="R122" s="422"/>
      <c r="S122" s="399"/>
      <c r="T122" s="399"/>
    </row>
    <row r="123" spans="1:20" s="81" customFormat="1" ht="15.75" customHeight="1">
      <c r="A123" s="389"/>
      <c r="B123" s="83"/>
      <c r="C123" s="84" t="s">
        <v>26</v>
      </c>
      <c r="D123" s="37"/>
      <c r="E123" s="38"/>
      <c r="F123" s="38"/>
      <c r="G123" s="39">
        <f>ROUND(D123*(E123+F123),2)</f>
        <v>0</v>
      </c>
      <c r="H123" s="270"/>
      <c r="I123" s="392"/>
      <c r="J123" s="402"/>
      <c r="K123" s="393"/>
      <c r="L123" s="272"/>
      <c r="M123" s="102"/>
      <c r="N123" s="423"/>
      <c r="O123" s="406"/>
      <c r="P123" s="406"/>
      <c r="Q123" s="407"/>
      <c r="R123" s="422"/>
      <c r="S123" s="399"/>
      <c r="T123" s="399"/>
    </row>
    <row r="124" spans="1:20" s="81" customFormat="1" ht="15.75" customHeight="1">
      <c r="A124" s="389"/>
      <c r="B124" s="83"/>
      <c r="C124" s="48" t="s">
        <v>118</v>
      </c>
      <c r="D124" s="37">
        <f>[2]янв18!D120+[2]янв18!D121</f>
        <v>39815</v>
      </c>
      <c r="E124" s="41">
        <f>6.8416-6.7432</f>
        <v>9.8399999999999821E-2</v>
      </c>
      <c r="F124" s="38"/>
      <c r="G124" s="39">
        <f>ROUND(D124*(E124),2)-0.02</f>
        <v>3917.78</v>
      </c>
      <c r="H124" s="270"/>
      <c r="I124" s="41"/>
      <c r="J124" s="41"/>
      <c r="K124" s="271"/>
      <c r="L124" s="272"/>
      <c r="M124" s="102"/>
      <c r="N124" s="423"/>
      <c r="O124" s="406"/>
      <c r="P124" s="406"/>
      <c r="Q124" s="407"/>
      <c r="R124" s="422"/>
      <c r="S124" s="399"/>
      <c r="T124" s="399"/>
    </row>
    <row r="125" spans="1:20" s="81" customFormat="1" ht="15.75" customHeight="1">
      <c r="A125" s="389"/>
      <c r="B125" s="83"/>
      <c r="C125" s="48" t="s">
        <v>119</v>
      </c>
      <c r="D125" s="37">
        <v>97</v>
      </c>
      <c r="E125" s="41">
        <v>6.8415999999999997</v>
      </c>
      <c r="F125" s="38"/>
      <c r="G125" s="39">
        <f>ROUND(D125*(E125),2)</f>
        <v>663.64</v>
      </c>
      <c r="H125" s="270"/>
      <c r="I125" s="41"/>
      <c r="J125" s="41"/>
      <c r="K125" s="271"/>
      <c r="L125" s="272"/>
      <c r="M125" s="102"/>
      <c r="N125" s="423"/>
      <c r="O125" s="406"/>
      <c r="P125" s="406"/>
      <c r="Q125" s="425"/>
      <c r="R125" s="422"/>
      <c r="S125" s="399"/>
      <c r="T125" s="399"/>
    </row>
    <row r="126" spans="1:20" s="81" customFormat="1" ht="15.75" customHeight="1" thickBot="1">
      <c r="A126" s="411"/>
      <c r="B126" s="412"/>
      <c r="C126" s="99" t="s">
        <v>29</v>
      </c>
      <c r="D126" s="413">
        <v>40560</v>
      </c>
      <c r="E126" s="56">
        <v>6.8415999999999997</v>
      </c>
      <c r="F126" s="281"/>
      <c r="G126" s="414">
        <f>ROUND(D126*(E126),2)</f>
        <v>277495.3</v>
      </c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0" s="81" customFormat="1" ht="15.75" customHeight="1">
      <c r="A127" s="902">
        <v>118</v>
      </c>
      <c r="B127" s="924" t="s">
        <v>201</v>
      </c>
      <c r="C127" s="377" t="s">
        <v>73</v>
      </c>
      <c r="D127" s="378">
        <v>14</v>
      </c>
      <c r="E127" s="21">
        <v>36.214199999999998</v>
      </c>
      <c r="F127" s="21">
        <v>42.4328</v>
      </c>
      <c r="G127" s="22">
        <f>+D127*(E127+F127)</f>
        <v>1101.058</v>
      </c>
      <c r="H127" s="303"/>
      <c r="I127" s="381"/>
      <c r="J127" s="41"/>
      <c r="K127" s="342"/>
      <c r="L127" s="263">
        <f>SUM(G127:G131,J127:J131)</f>
        <v>17039.248</v>
      </c>
      <c r="M127" s="26">
        <v>17039.25</v>
      </c>
      <c r="N127" s="421"/>
      <c r="O127" s="77"/>
      <c r="P127" s="77"/>
      <c r="Q127" s="384"/>
      <c r="R127" s="422"/>
      <c r="S127" s="399"/>
      <c r="T127" s="399"/>
    </row>
    <row r="128" spans="1:20" s="81" customFormat="1" ht="15.75" customHeight="1">
      <c r="A128" s="468"/>
      <c r="B128" s="920"/>
      <c r="C128" s="36" t="s">
        <v>26</v>
      </c>
      <c r="D128" s="37"/>
      <c r="E128" s="38"/>
      <c r="F128" s="38"/>
      <c r="G128" s="39">
        <f>ROUND(D128*(E128+F128),2)</f>
        <v>0</v>
      </c>
      <c r="H128" s="457"/>
      <c r="I128" s="392"/>
      <c r="J128" s="41"/>
      <c r="K128" s="393"/>
      <c r="L128" s="459"/>
      <c r="M128" s="44"/>
      <c r="N128" s="430"/>
      <c r="O128" s="406"/>
      <c r="P128" s="406"/>
      <c r="Q128" s="407"/>
      <c r="R128" s="422"/>
      <c r="S128" s="399"/>
      <c r="T128" s="399"/>
    </row>
    <row r="129" spans="1:20" s="81" customFormat="1" ht="15.75" customHeight="1">
      <c r="A129" s="468"/>
      <c r="B129" s="920"/>
      <c r="C129" s="48" t="s">
        <v>118</v>
      </c>
      <c r="D129" s="37"/>
      <c r="E129" s="41">
        <f>6.8416-6.7432</f>
        <v>9.8399999999999821E-2</v>
      </c>
      <c r="F129" s="38"/>
      <c r="G129" s="39">
        <f>ROUND(D129*(E129),2)</f>
        <v>0</v>
      </c>
      <c r="H129" s="270"/>
      <c r="I129" s="41"/>
      <c r="J129" s="41"/>
      <c r="K129" s="271"/>
      <c r="L129" s="272"/>
      <c r="M129" s="102"/>
      <c r="N129" s="430"/>
      <c r="O129" s="406"/>
      <c r="P129" s="406"/>
      <c r="Q129" s="407"/>
      <c r="R129" s="422"/>
      <c r="S129" s="399"/>
      <c r="T129" s="399"/>
    </row>
    <row r="130" spans="1:20" s="81" customFormat="1" ht="15.75" customHeight="1">
      <c r="A130" s="468"/>
      <c r="B130" s="920"/>
      <c r="C130" s="48" t="s">
        <v>119</v>
      </c>
      <c r="D130" s="37">
        <v>5.6</v>
      </c>
      <c r="E130" s="41">
        <v>6.8415999999999997</v>
      </c>
      <c r="F130" s="38"/>
      <c r="G130" s="39">
        <f>ROUND(D130*(E130),2)</f>
        <v>38.31</v>
      </c>
      <c r="H130" s="270"/>
      <c r="I130" s="41"/>
      <c r="J130" s="41"/>
      <c r="K130" s="271"/>
      <c r="L130" s="272"/>
      <c r="M130" s="102"/>
      <c r="N130" s="434"/>
      <c r="O130" s="435"/>
      <c r="P130" s="435"/>
      <c r="Q130" s="425"/>
      <c r="R130" s="422"/>
      <c r="S130" s="399"/>
      <c r="T130" s="399"/>
    </row>
    <row r="131" spans="1:20" s="81" customFormat="1" ht="15.75" customHeight="1" thickBot="1">
      <c r="A131" s="468"/>
      <c r="B131" s="920"/>
      <c r="C131" s="520" t="s">
        <v>29</v>
      </c>
      <c r="D131" s="925">
        <v>2324</v>
      </c>
      <c r="E131" s="876">
        <v>6.8415999999999997</v>
      </c>
      <c r="F131" s="207"/>
      <c r="G131" s="453">
        <f>ROUND(D131*(E131),2)</f>
        <v>15899.88</v>
      </c>
      <c r="H131" s="432"/>
      <c r="I131" s="207"/>
      <c r="J131" s="207"/>
      <c r="K131" s="362"/>
      <c r="L131" s="433"/>
      <c r="M131" s="63"/>
      <c r="N131" s="434"/>
      <c r="O131" s="435"/>
      <c r="P131" s="435"/>
      <c r="Q131" s="425"/>
      <c r="R131" s="422"/>
      <c r="S131" s="399"/>
      <c r="T131" s="399"/>
    </row>
    <row r="132" spans="1:20" s="81" customFormat="1" ht="15.75" customHeight="1">
      <c r="A132" s="468">
        <v>121</v>
      </c>
      <c r="B132" s="699" t="s">
        <v>154</v>
      </c>
      <c r="C132" s="48" t="s">
        <v>118</v>
      </c>
      <c r="D132" s="471">
        <f>[2]янв18!D178+[2]янв18!D179</f>
        <v>334.8</v>
      </c>
      <c r="E132" s="41">
        <f>6.8416-6.7432</f>
        <v>9.8399999999999821E-2</v>
      </c>
      <c r="F132" s="473"/>
      <c r="G132" s="449">
        <f>ROUND(D132*E132,2)+0.01</f>
        <v>32.949999999999996</v>
      </c>
      <c r="H132" s="303"/>
      <c r="I132" s="23"/>
      <c r="J132" s="23"/>
      <c r="K132" s="304"/>
      <c r="L132" s="263">
        <f>SUM(G132:G134)</f>
        <v>2316.67</v>
      </c>
      <c r="M132" s="26">
        <v>2316.67</v>
      </c>
      <c r="N132" s="421"/>
      <c r="O132" s="77"/>
      <c r="P132" s="77"/>
      <c r="Q132" s="384"/>
      <c r="R132" s="422"/>
      <c r="S132" s="399"/>
      <c r="T132" s="399"/>
    </row>
    <row r="133" spans="1:20" s="81" customFormat="1" ht="15.75" customHeight="1">
      <c r="A133" s="468"/>
      <c r="B133" s="469"/>
      <c r="C133" s="48" t="s">
        <v>119</v>
      </c>
      <c r="D133" s="471">
        <v>0.8</v>
      </c>
      <c r="E133" s="41">
        <v>6.8415999999999997</v>
      </c>
      <c r="F133" s="473"/>
      <c r="G133" s="449">
        <f>ROUND(D133*E133,2)</f>
        <v>5.47</v>
      </c>
      <c r="H133" s="260"/>
      <c r="I133" s="261"/>
      <c r="J133" s="261"/>
      <c r="K133" s="262"/>
      <c r="L133" s="286"/>
      <c r="M133" s="90"/>
      <c r="N133" s="423"/>
      <c r="O133" s="406"/>
      <c r="P133" s="406"/>
      <c r="Q133" s="407"/>
      <c r="R133" s="422"/>
      <c r="S133" s="399"/>
      <c r="T133" s="399"/>
    </row>
    <row r="134" spans="1:20" s="81" customFormat="1" ht="15.75" customHeight="1" thickBot="1">
      <c r="A134" s="858"/>
      <c r="B134" s="859"/>
      <c r="C134" s="54" t="s">
        <v>29</v>
      </c>
      <c r="D134" s="860">
        <v>333</v>
      </c>
      <c r="E134" s="56">
        <v>6.8415999999999997</v>
      </c>
      <c r="F134" s="861"/>
      <c r="G134" s="414">
        <f t="shared" ref="G134" si="20">ROUND(D134*E134,2)</f>
        <v>2278.25</v>
      </c>
      <c r="H134" s="280"/>
      <c r="I134" s="281"/>
      <c r="J134" s="281"/>
      <c r="K134" s="282"/>
      <c r="L134" s="204"/>
      <c r="M134" s="371"/>
      <c r="N134" s="426"/>
      <c r="O134" s="416"/>
      <c r="P134" s="416"/>
      <c r="Q134" s="417"/>
      <c r="R134" s="422"/>
      <c r="S134" s="399"/>
      <c r="T134" s="399"/>
    </row>
    <row r="135" spans="1:20" s="81" customFormat="1" ht="15.75" customHeight="1">
      <c r="A135" s="376">
        <v>202</v>
      </c>
      <c r="B135" s="420" t="s">
        <v>74</v>
      </c>
      <c r="C135" s="377" t="s">
        <v>73</v>
      </c>
      <c r="D135" s="378">
        <v>15</v>
      </c>
      <c r="E135" s="21">
        <v>36.214199999999998</v>
      </c>
      <c r="F135" s="21">
        <v>42.4328</v>
      </c>
      <c r="G135" s="22">
        <f>ROUND(D135*(E135+F135),2)</f>
        <v>1179.71</v>
      </c>
      <c r="H135" s="303">
        <f>[1]нояб17!D114+[1]нояб17!D116</f>
        <v>19</v>
      </c>
      <c r="I135" s="381">
        <v>16.166</v>
      </c>
      <c r="J135" s="381">
        <f>ROUND(I135*H135,2)</f>
        <v>307.14999999999998</v>
      </c>
      <c r="K135" s="342">
        <v>43040</v>
      </c>
      <c r="L135" s="263">
        <f>SUM(G135:G141,J135:J141)</f>
        <v>25385.279999999999</v>
      </c>
      <c r="M135" s="26">
        <v>25385.279999999999</v>
      </c>
      <c r="N135" s="421"/>
      <c r="O135" s="77"/>
      <c r="P135" s="77"/>
      <c r="Q135" s="384"/>
      <c r="R135" s="422"/>
      <c r="S135" s="399"/>
      <c r="T135" s="399"/>
    </row>
    <row r="136" spans="1:20" s="81" customFormat="1" ht="15.75" customHeight="1">
      <c r="A136" s="389"/>
      <c r="B136" s="98"/>
      <c r="C136" s="84" t="s">
        <v>26</v>
      </c>
      <c r="D136" s="37"/>
      <c r="E136" s="38"/>
      <c r="F136" s="38"/>
      <c r="G136" s="39">
        <f>ROUND(D136*(E136+F136),2)</f>
        <v>0</v>
      </c>
      <c r="H136" s="270"/>
      <c r="I136" s="392"/>
      <c r="J136" s="402"/>
      <c r="K136" s="393"/>
      <c r="L136" s="272"/>
      <c r="M136" s="102"/>
      <c r="N136" s="423"/>
      <c r="O136" s="406"/>
      <c r="P136" s="406"/>
      <c r="Q136" s="407"/>
      <c r="R136" s="422"/>
      <c r="S136" s="399"/>
      <c r="T136" s="399"/>
    </row>
    <row r="137" spans="1:20" s="81" customFormat="1" ht="15.75" customHeight="1">
      <c r="A137" s="389"/>
      <c r="B137" s="98" t="s">
        <v>32</v>
      </c>
      <c r="C137" s="99" t="s">
        <v>33</v>
      </c>
      <c r="D137" s="428">
        <v>8</v>
      </c>
      <c r="E137" s="101">
        <v>444.53</v>
      </c>
      <c r="F137" s="38">
        <v>42.43</v>
      </c>
      <c r="G137" s="39">
        <f>ROUND(D137*(E137+F137),2)</f>
        <v>3895.68</v>
      </c>
      <c r="H137" s="270"/>
      <c r="I137" s="41"/>
      <c r="J137" s="41"/>
      <c r="K137" s="271"/>
      <c r="L137" s="272"/>
      <c r="M137" s="102"/>
      <c r="N137" s="423"/>
      <c r="O137" s="406"/>
      <c r="P137" s="406"/>
      <c r="Q137" s="407"/>
      <c r="R137" s="422"/>
      <c r="S137" s="399"/>
      <c r="T137" s="399"/>
    </row>
    <row r="138" spans="1:20" s="81" customFormat="1" ht="15.75" customHeight="1">
      <c r="A138" s="389"/>
      <c r="B138" s="83"/>
      <c r="C138" s="48" t="s">
        <v>76</v>
      </c>
      <c r="D138" s="37">
        <f>[2]янв18!D124</f>
        <v>6</v>
      </c>
      <c r="E138" s="41">
        <f>444.53-304.86</f>
        <v>139.66999999999996</v>
      </c>
      <c r="F138" s="38"/>
      <c r="G138" s="39">
        <f>ROUND(D138*(E138+F138),2)</f>
        <v>838.02</v>
      </c>
      <c r="H138" s="270"/>
      <c r="I138" s="41"/>
      <c r="J138" s="41"/>
      <c r="K138" s="271"/>
      <c r="L138" s="272"/>
      <c r="M138" s="102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>
      <c r="A139" s="389"/>
      <c r="B139" s="83"/>
      <c r="C139" s="48" t="s">
        <v>118</v>
      </c>
      <c r="D139" s="37">
        <f>[2]янв18!D127+[2]янв18!D128</f>
        <v>2405.8000000000002</v>
      </c>
      <c r="E139" s="41">
        <f>6.8416-6.7432</f>
        <v>9.8399999999999821E-2</v>
      </c>
      <c r="F139" s="38"/>
      <c r="G139" s="39">
        <f>ROUND(D139*(E139+F139),2)+0.02</f>
        <v>236.75</v>
      </c>
      <c r="H139" s="270"/>
      <c r="I139" s="41"/>
      <c r="J139" s="41"/>
      <c r="K139" s="271"/>
      <c r="L139" s="272"/>
      <c r="M139" s="102"/>
      <c r="N139" s="423"/>
      <c r="O139" s="406"/>
      <c r="P139" s="406"/>
      <c r="Q139" s="407"/>
      <c r="R139" s="422"/>
      <c r="S139" s="399"/>
      <c r="T139" s="399"/>
    </row>
    <row r="140" spans="1:20" s="81" customFormat="1" ht="15.75" customHeight="1">
      <c r="A140" s="389"/>
      <c r="B140" s="83"/>
      <c r="C140" s="48" t="s">
        <v>119</v>
      </c>
      <c r="D140" s="37">
        <v>6.6</v>
      </c>
      <c r="E140" s="41">
        <v>6.8415999999999997</v>
      </c>
      <c r="F140" s="38"/>
      <c r="G140" s="39">
        <f>ROUND(D140*E140,2)</f>
        <v>45.15</v>
      </c>
      <c r="H140" s="270"/>
      <c r="I140" s="41"/>
      <c r="J140" s="41"/>
      <c r="K140" s="271"/>
      <c r="L140" s="272"/>
      <c r="M140" s="102"/>
      <c r="N140" s="423"/>
      <c r="O140" s="406"/>
      <c r="P140" s="406"/>
      <c r="Q140" s="425"/>
      <c r="R140" s="422"/>
      <c r="S140" s="399"/>
      <c r="T140" s="399"/>
    </row>
    <row r="141" spans="1:20" s="81" customFormat="1" ht="15" customHeight="1" thickBot="1">
      <c r="A141" s="411"/>
      <c r="B141" s="412"/>
      <c r="C141" s="99" t="s">
        <v>29</v>
      </c>
      <c r="D141" s="413">
        <v>2760</v>
      </c>
      <c r="E141" s="56">
        <v>6.8415999999999997</v>
      </c>
      <c r="F141" s="281"/>
      <c r="G141" s="414">
        <f>ROUND(D141*(E141+F141),2)</f>
        <v>18882.82</v>
      </c>
      <c r="H141" s="280"/>
      <c r="I141" s="281"/>
      <c r="J141" s="281"/>
      <c r="K141" s="282"/>
      <c r="L141" s="204"/>
      <c r="M141" s="371"/>
      <c r="N141" s="426"/>
      <c r="O141" s="416"/>
      <c r="P141" s="416"/>
      <c r="Q141" s="417"/>
      <c r="R141" s="422"/>
      <c r="S141" s="399"/>
      <c r="T141" s="399"/>
    </row>
    <row r="142" spans="1:20" s="81" customFormat="1" ht="15.75" customHeight="1">
      <c r="A142" s="902">
        <v>203</v>
      </c>
      <c r="B142" s="903" t="s">
        <v>167</v>
      </c>
      <c r="C142" s="439" t="s">
        <v>118</v>
      </c>
      <c r="D142" s="904">
        <f>[2]янв18!D193+[2]янв18!D194</f>
        <v>48.1</v>
      </c>
      <c r="E142" s="23">
        <f>6.8416-6.7432</f>
        <v>9.8399999999999821E-2</v>
      </c>
      <c r="F142" s="905"/>
      <c r="G142" s="22">
        <f>ROUND(D142*E142,2)</f>
        <v>4.7300000000000004</v>
      </c>
      <c r="H142" s="303"/>
      <c r="I142" s="23"/>
      <c r="J142" s="23"/>
      <c r="K142" s="304"/>
      <c r="L142" s="263">
        <f>SUM(G142:G144)</f>
        <v>354.33000000000004</v>
      </c>
      <c r="M142" s="26">
        <v>354.33</v>
      </c>
      <c r="N142" s="421"/>
      <c r="O142" s="77"/>
      <c r="P142" s="77"/>
      <c r="Q142" s="384"/>
      <c r="R142" s="422"/>
      <c r="S142" s="399"/>
      <c r="T142" s="399"/>
    </row>
    <row r="143" spans="1:20" s="81" customFormat="1" ht="15.75" customHeight="1">
      <c r="A143" s="468"/>
      <c r="B143" s="469"/>
      <c r="C143" s="48" t="s">
        <v>119</v>
      </c>
      <c r="D143" s="471">
        <v>0.1</v>
      </c>
      <c r="E143" s="41">
        <v>6.8415999999999997</v>
      </c>
      <c r="F143" s="473"/>
      <c r="G143" s="449">
        <f>ROUND(D143*E143,2)</f>
        <v>0.68</v>
      </c>
      <c r="H143" s="260"/>
      <c r="I143" s="261"/>
      <c r="J143" s="261"/>
      <c r="K143" s="262"/>
      <c r="L143" s="286"/>
      <c r="M143" s="90"/>
      <c r="N143" s="423"/>
      <c r="O143" s="406"/>
      <c r="P143" s="406"/>
      <c r="Q143" s="407"/>
      <c r="R143" s="422"/>
      <c r="S143" s="399"/>
      <c r="T143" s="399"/>
    </row>
    <row r="144" spans="1:20" s="81" customFormat="1" ht="15.75" customHeight="1" thickBot="1">
      <c r="A144" s="858"/>
      <c r="B144" s="859"/>
      <c r="C144" s="54" t="s">
        <v>29</v>
      </c>
      <c r="D144" s="860">
        <v>51</v>
      </c>
      <c r="E144" s="56">
        <v>6.8415999999999997</v>
      </c>
      <c r="F144" s="861"/>
      <c r="G144" s="414">
        <f t="shared" ref="G144" si="21">ROUND(D144*E144,2)</f>
        <v>348.92</v>
      </c>
      <c r="H144" s="280"/>
      <c r="I144" s="281"/>
      <c r="J144" s="281"/>
      <c r="K144" s="282"/>
      <c r="L144" s="204"/>
      <c r="M144" s="371"/>
      <c r="N144" s="426"/>
      <c r="O144" s="416"/>
      <c r="P144" s="416"/>
      <c r="Q144" s="417"/>
      <c r="R144" s="422"/>
      <c r="S144" s="399"/>
      <c r="T144" s="399"/>
    </row>
    <row r="145" spans="1:20" s="81" customFormat="1" ht="15.75" customHeight="1">
      <c r="A145" s="902">
        <v>207</v>
      </c>
      <c r="B145" s="903" t="s">
        <v>133</v>
      </c>
      <c r="C145" s="439" t="s">
        <v>118</v>
      </c>
      <c r="D145" s="904">
        <f>[2]янв18!D161+[2]янв18!D162</f>
        <v>469.1</v>
      </c>
      <c r="E145" s="23">
        <f>6.8416-6.7432</f>
        <v>9.8399999999999821E-2</v>
      </c>
      <c r="F145" s="905"/>
      <c r="G145" s="22">
        <f>ROUND(D145*E145,2)</f>
        <v>46.16</v>
      </c>
      <c r="H145" s="303"/>
      <c r="I145" s="23"/>
      <c r="J145" s="23"/>
      <c r="K145" s="304"/>
      <c r="L145" s="263">
        <f>SUM(G145:G147)</f>
        <v>1925.55</v>
      </c>
      <c r="M145" s="26">
        <v>1925.55</v>
      </c>
      <c r="N145" s="421"/>
      <c r="O145" s="77"/>
      <c r="P145" s="77"/>
      <c r="Q145" s="384"/>
      <c r="R145" s="422"/>
      <c r="S145" s="399"/>
      <c r="T145" s="399"/>
    </row>
    <row r="146" spans="1:20" s="81" customFormat="1" ht="15.75" customHeight="1">
      <c r="A146" s="468"/>
      <c r="B146" s="469"/>
      <c r="C146" s="48" t="s">
        <v>119</v>
      </c>
      <c r="D146" s="471">
        <v>0.7</v>
      </c>
      <c r="E146" s="41">
        <v>6.8415999999999997</v>
      </c>
      <c r="F146" s="473"/>
      <c r="G146" s="449">
        <f>ROUND(D146*E146,2)</f>
        <v>4.79</v>
      </c>
      <c r="H146" s="260"/>
      <c r="I146" s="261"/>
      <c r="J146" s="261"/>
      <c r="K146" s="262"/>
      <c r="L146" s="286"/>
      <c r="M146" s="90"/>
      <c r="N146" s="423"/>
      <c r="O146" s="406"/>
      <c r="P146" s="406"/>
      <c r="Q146" s="407"/>
      <c r="R146" s="422"/>
      <c r="S146" s="399"/>
      <c r="T146" s="399"/>
    </row>
    <row r="147" spans="1:20" s="81" customFormat="1" ht="15.75" customHeight="1" thickBot="1">
      <c r="A147" s="858"/>
      <c r="B147" s="859"/>
      <c r="C147" s="54" t="s">
        <v>29</v>
      </c>
      <c r="D147" s="860">
        <v>274</v>
      </c>
      <c r="E147" s="56">
        <v>6.8415999999999997</v>
      </c>
      <c r="F147" s="861"/>
      <c r="G147" s="414">
        <f t="shared" ref="G147" si="22">ROUND(D147*E147,2)</f>
        <v>1874.6</v>
      </c>
      <c r="H147" s="280"/>
      <c r="I147" s="281"/>
      <c r="J147" s="281"/>
      <c r="K147" s="282"/>
      <c r="L147" s="204"/>
      <c r="M147" s="371"/>
      <c r="N147" s="426"/>
      <c r="O147" s="416"/>
      <c r="P147" s="416"/>
      <c r="Q147" s="417"/>
      <c r="R147" s="422"/>
      <c r="S147" s="399"/>
      <c r="T147" s="399"/>
    </row>
    <row r="148" spans="1:20" s="81" customFormat="1" ht="15" customHeight="1">
      <c r="A148" s="376">
        <v>210</v>
      </c>
      <c r="B148" s="420" t="s">
        <v>77</v>
      </c>
      <c r="C148" s="377" t="s">
        <v>73</v>
      </c>
      <c r="D148" s="378">
        <v>2</v>
      </c>
      <c r="E148" s="21">
        <v>36.214199999999998</v>
      </c>
      <c r="F148" s="21">
        <v>42.4328</v>
      </c>
      <c r="G148" s="22">
        <f t="shared" ref="G148:G154" si="23">ROUND(D148*(E148+F148),2)</f>
        <v>157.29</v>
      </c>
      <c r="H148" s="303">
        <f>[1]нояб17!D121+[1]нояб17!D123</f>
        <v>7</v>
      </c>
      <c r="I148" s="381">
        <v>16.166</v>
      </c>
      <c r="J148" s="381">
        <f>ROUND(I148*H148,2)</f>
        <v>113.16</v>
      </c>
      <c r="K148" s="342">
        <v>43040</v>
      </c>
      <c r="L148" s="382">
        <f>+SUM(G148:G154,J148:J154)</f>
        <v>4156.4799999999996</v>
      </c>
      <c r="M148" s="26">
        <v>4156.4799999999996</v>
      </c>
      <c r="N148" s="421"/>
      <c r="O148" s="77"/>
      <c r="P148" s="77"/>
      <c r="Q148" s="384"/>
      <c r="R148" s="422"/>
      <c r="S148" s="399"/>
      <c r="T148" s="399"/>
    </row>
    <row r="149" spans="1:20" s="81" customFormat="1" ht="15" customHeight="1">
      <c r="A149" s="389"/>
      <c r="B149" s="83"/>
      <c r="C149" s="84" t="s">
        <v>26</v>
      </c>
      <c r="D149" s="37"/>
      <c r="E149" s="38"/>
      <c r="F149" s="38"/>
      <c r="G149" s="39">
        <f t="shared" si="23"/>
        <v>0</v>
      </c>
      <c r="H149" s="270"/>
      <c r="I149" s="392"/>
      <c r="J149" s="402"/>
      <c r="K149" s="393"/>
      <c r="L149" s="429"/>
      <c r="M149" s="102"/>
      <c r="N149" s="430"/>
      <c r="O149" s="406"/>
      <c r="P149" s="406"/>
      <c r="Q149" s="407"/>
      <c r="R149" s="422"/>
      <c r="S149" s="399"/>
      <c r="T149" s="399"/>
    </row>
    <row r="150" spans="1:20" s="81" customFormat="1" ht="15" customHeight="1">
      <c r="A150" s="389"/>
      <c r="B150" s="98" t="s">
        <v>32</v>
      </c>
      <c r="C150" s="99" t="s">
        <v>33</v>
      </c>
      <c r="D150" s="37">
        <v>3</v>
      </c>
      <c r="E150" s="101">
        <v>444.53</v>
      </c>
      <c r="F150" s="38">
        <v>42.4328</v>
      </c>
      <c r="G150" s="39">
        <f t="shared" si="23"/>
        <v>1460.89</v>
      </c>
      <c r="H150" s="270"/>
      <c r="I150" s="41"/>
      <c r="J150" s="41"/>
      <c r="K150" s="271"/>
      <c r="L150" s="272"/>
      <c r="M150" s="102"/>
      <c r="N150" s="430"/>
      <c r="O150" s="406"/>
      <c r="P150" s="406"/>
      <c r="Q150" s="407"/>
      <c r="R150" s="422"/>
      <c r="S150" s="399"/>
      <c r="T150" s="399"/>
    </row>
    <row r="151" spans="1:20" s="81" customFormat="1" ht="15" customHeight="1">
      <c r="A151" s="389"/>
      <c r="B151" s="83"/>
      <c r="C151" s="48" t="s">
        <v>190</v>
      </c>
      <c r="D151" s="37">
        <f>[2]янв18!D131</f>
        <v>4</v>
      </c>
      <c r="E151" s="41">
        <f>444.53-304.86</f>
        <v>139.66999999999996</v>
      </c>
      <c r="F151" s="38"/>
      <c r="G151" s="39">
        <f>ROUND(D151*(E151+F151),2)</f>
        <v>558.67999999999995</v>
      </c>
      <c r="H151" s="270"/>
      <c r="I151" s="41"/>
      <c r="J151" s="41"/>
      <c r="K151" s="271"/>
      <c r="L151" s="272"/>
      <c r="M151" s="102"/>
      <c r="N151" s="430"/>
      <c r="O151" s="406"/>
      <c r="P151" s="406"/>
      <c r="Q151" s="407"/>
      <c r="R151" s="422"/>
      <c r="S151" s="399"/>
      <c r="T151" s="399"/>
    </row>
    <row r="152" spans="1:20" s="81" customFormat="1" ht="15" customHeight="1">
      <c r="A152" s="389"/>
      <c r="B152" s="83"/>
      <c r="C152" s="48" t="s">
        <v>118</v>
      </c>
      <c r="D152" s="37">
        <f>[2]янв18!D134+[2]янв18!D135</f>
        <v>292.7</v>
      </c>
      <c r="E152" s="41">
        <f>6.8416-6.7432</f>
        <v>9.8399999999999821E-2</v>
      </c>
      <c r="F152" s="38"/>
      <c r="G152" s="39">
        <f>ROUND(D152*(E152+F152),2)+0.01</f>
        <v>28.810000000000002</v>
      </c>
      <c r="H152" s="270"/>
      <c r="I152" s="41"/>
      <c r="J152" s="41"/>
      <c r="K152" s="271"/>
      <c r="L152" s="272"/>
      <c r="M152" s="102"/>
      <c r="N152" s="430"/>
      <c r="O152" s="406"/>
      <c r="P152" s="406"/>
      <c r="Q152" s="407"/>
      <c r="R152" s="899"/>
      <c r="S152" s="399"/>
      <c r="T152" s="399"/>
    </row>
    <row r="153" spans="1:20" s="81" customFormat="1" ht="15" customHeight="1">
      <c r="A153" s="389"/>
      <c r="B153" s="83"/>
      <c r="C153" s="48" t="s">
        <v>119</v>
      </c>
      <c r="D153" s="37">
        <v>0.6</v>
      </c>
      <c r="E153" s="41">
        <v>6.8415999999999997</v>
      </c>
      <c r="F153" s="38"/>
      <c r="G153" s="39">
        <f t="shared" si="23"/>
        <v>4.0999999999999996</v>
      </c>
      <c r="H153" s="432"/>
      <c r="I153" s="207"/>
      <c r="J153" s="207"/>
      <c r="K153" s="362"/>
      <c r="L153" s="433"/>
      <c r="M153" s="63"/>
      <c r="N153" s="434"/>
      <c r="O153" s="435"/>
      <c r="P153" s="435"/>
      <c r="Q153" s="425"/>
      <c r="R153" s="899"/>
      <c r="S153" s="399"/>
      <c r="T153" s="399"/>
    </row>
    <row r="154" spans="1:20" s="81" customFormat="1" ht="15" customHeight="1" thickBot="1">
      <c r="A154" s="411"/>
      <c r="B154" s="412"/>
      <c r="C154" s="99" t="s">
        <v>29</v>
      </c>
      <c r="D154" s="413">
        <v>268</v>
      </c>
      <c r="E154" s="56">
        <v>6.8415999999999997</v>
      </c>
      <c r="F154" s="281"/>
      <c r="G154" s="414">
        <f t="shared" si="23"/>
        <v>1833.55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899"/>
      <c r="S154" s="399"/>
      <c r="T154" s="399"/>
    </row>
    <row r="155" spans="1:20" s="81" customFormat="1" ht="15.75" customHeight="1">
      <c r="A155" s="902">
        <v>212</v>
      </c>
      <c r="B155" s="903" t="s">
        <v>140</v>
      </c>
      <c r="C155" s="439" t="s">
        <v>118</v>
      </c>
      <c r="D155" s="904">
        <f>[2]янв18!D167+[2]янв18!D168</f>
        <v>786.9</v>
      </c>
      <c r="E155" s="23">
        <f>6.8416-6.7432</f>
        <v>9.8399999999999821E-2</v>
      </c>
      <c r="F155" s="905"/>
      <c r="G155" s="22">
        <f>ROUND(D155*E155,2)+0.01</f>
        <v>77.440000000000012</v>
      </c>
      <c r="H155" s="303"/>
      <c r="I155" s="23"/>
      <c r="J155" s="23"/>
      <c r="K155" s="304"/>
      <c r="L155" s="263">
        <f>SUM(G155:G157)</f>
        <v>5227.79</v>
      </c>
      <c r="M155" s="26">
        <v>5227.79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468"/>
      <c r="B156" s="469"/>
      <c r="C156" s="48" t="s">
        <v>119</v>
      </c>
      <c r="D156" s="471">
        <v>1.8</v>
      </c>
      <c r="E156" s="41">
        <v>6.8415999999999997</v>
      </c>
      <c r="F156" s="473"/>
      <c r="G156" s="449">
        <f>ROUND(D156*E156,2)</f>
        <v>12.31</v>
      </c>
      <c r="H156" s="260"/>
      <c r="I156" s="261"/>
      <c r="J156" s="261"/>
      <c r="K156" s="262"/>
      <c r="L156" s="286"/>
      <c r="M156" s="90"/>
      <c r="N156" s="423"/>
      <c r="O156" s="406"/>
      <c r="P156" s="406"/>
      <c r="Q156" s="407"/>
      <c r="R156" s="422"/>
      <c r="S156" s="399"/>
      <c r="T156" s="399"/>
    </row>
    <row r="157" spans="1:20" s="81" customFormat="1" ht="15.75" customHeight="1" thickBot="1">
      <c r="A157" s="858"/>
      <c r="B157" s="859"/>
      <c r="C157" s="54" t="s">
        <v>29</v>
      </c>
      <c r="D157" s="860">
        <v>751</v>
      </c>
      <c r="E157" s="56">
        <v>6.8415999999999997</v>
      </c>
      <c r="F157" s="861"/>
      <c r="G157" s="414">
        <f t="shared" ref="G157" si="24">ROUND(D157*E157,2)</f>
        <v>5138.04</v>
      </c>
      <c r="H157" s="280"/>
      <c r="I157" s="281"/>
      <c r="J157" s="207"/>
      <c r="K157" s="362"/>
      <c r="L157" s="433"/>
      <c r="M157" s="63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902">
        <v>213</v>
      </c>
      <c r="B158" s="903" t="s">
        <v>134</v>
      </c>
      <c r="C158" s="439" t="s">
        <v>118</v>
      </c>
      <c r="D158" s="904">
        <f>[2]янв18!D164+[2]янв18!D165</f>
        <v>642.5</v>
      </c>
      <c r="E158" s="23">
        <f>6.8416-6.7432</f>
        <v>9.8399999999999821E-2</v>
      </c>
      <c r="F158" s="905"/>
      <c r="G158" s="22">
        <f>ROUND(D158*E158,2)</f>
        <v>63.22</v>
      </c>
      <c r="H158" s="303"/>
      <c r="I158" s="23"/>
      <c r="J158" s="23"/>
      <c r="K158" s="304"/>
      <c r="L158" s="263">
        <f>SUM(G158:G160)</f>
        <v>4623.83</v>
      </c>
      <c r="M158" s="26">
        <v>4623.83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119</v>
      </c>
      <c r="D159" s="471">
        <v>1.6</v>
      </c>
      <c r="E159" s="41">
        <v>6.8415999999999997</v>
      </c>
      <c r="F159" s="473"/>
      <c r="G159" s="449">
        <f t="shared" ref="G159:G160" si="25">ROUND(D159*E159,2)</f>
        <v>10.95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858"/>
      <c r="B160" s="859"/>
      <c r="C160" s="54" t="s">
        <v>29</v>
      </c>
      <c r="D160" s="860">
        <v>665</v>
      </c>
      <c r="E160" s="56">
        <v>6.8415999999999997</v>
      </c>
      <c r="F160" s="861"/>
      <c r="G160" s="414">
        <f t="shared" si="25"/>
        <v>4549.66</v>
      </c>
      <c r="H160" s="280"/>
      <c r="I160" s="281"/>
      <c r="J160" s="281"/>
      <c r="K160" s="282"/>
      <c r="L160" s="204"/>
      <c r="M160" s="371"/>
      <c r="N160" s="426"/>
      <c r="O160" s="416"/>
      <c r="P160" s="416"/>
      <c r="Q160" s="417"/>
      <c r="R160" s="422"/>
      <c r="S160" s="399"/>
      <c r="T160" s="399"/>
    </row>
    <row r="161" spans="1:21" s="81" customFormat="1" ht="15" customHeight="1">
      <c r="A161" s="376">
        <v>301</v>
      </c>
      <c r="B161" s="70" t="s">
        <v>67</v>
      </c>
      <c r="C161" s="377"/>
      <c r="D161" s="378">
        <v>635</v>
      </c>
      <c r="E161" s="21">
        <v>36.214199999999998</v>
      </c>
      <c r="F161" s="21">
        <v>42.4328</v>
      </c>
      <c r="G161" s="379">
        <f>ROUND(D161*(E161+F161),2)</f>
        <v>49940.85</v>
      </c>
      <c r="H161" s="380">
        <f>[1]нояб17!D99+[1]нояб17!D101</f>
        <v>631</v>
      </c>
      <c r="I161" s="381">
        <v>16.166</v>
      </c>
      <c r="J161" s="381">
        <f>ROUND(I161*H161,2)</f>
        <v>10200.75</v>
      </c>
      <c r="K161" s="342">
        <v>43040</v>
      </c>
      <c r="L161" s="382">
        <f>+SUM(G161:G170,J161:J169)</f>
        <v>214274.77</v>
      </c>
      <c r="M161" s="26">
        <v>214274.77</v>
      </c>
      <c r="N161" s="383"/>
      <c r="O161" s="77"/>
      <c r="P161" s="77" t="s">
        <v>68</v>
      </c>
      <c r="Q161" s="384">
        <f t="shared" si="16"/>
        <v>-154133.16999999998</v>
      </c>
      <c r="R161" s="385" t="s">
        <v>69</v>
      </c>
      <c r="S161" s="386"/>
      <c r="T161" s="387"/>
      <c r="U161" s="388"/>
    </row>
    <row r="162" spans="1:21" s="81" customFormat="1" ht="12.75">
      <c r="A162" s="389"/>
      <c r="B162" s="83"/>
      <c r="C162" s="390" t="s">
        <v>26</v>
      </c>
      <c r="D162" s="37"/>
      <c r="E162" s="38"/>
      <c r="F162" s="38"/>
      <c r="G162" s="39">
        <f>ROUND(D162*(E162+F162),2)</f>
        <v>0</v>
      </c>
      <c r="H162" s="391"/>
      <c r="I162" s="392"/>
      <c r="J162" s="402"/>
      <c r="K162" s="393"/>
      <c r="L162" s="394"/>
      <c r="M162" s="90"/>
      <c r="N162" s="395"/>
      <c r="O162" s="94"/>
      <c r="P162" s="94"/>
      <c r="Q162" s="396"/>
      <c r="R162" s="397"/>
      <c r="S162" s="398"/>
      <c r="T162" s="399"/>
    </row>
    <row r="163" spans="1:21" s="81" customFormat="1" ht="12.75">
      <c r="A163" s="389"/>
      <c r="B163" s="98" t="s">
        <v>32</v>
      </c>
      <c r="C163" s="99" t="s">
        <v>33</v>
      </c>
      <c r="D163" s="37">
        <v>107</v>
      </c>
      <c r="E163" s="101">
        <v>444.53</v>
      </c>
      <c r="F163" s="38">
        <v>42.4328</v>
      </c>
      <c r="G163" s="400">
        <f>ROUND(D163*(E163+F163),2)</f>
        <v>52105.02</v>
      </c>
      <c r="H163" s="401"/>
      <c r="I163" s="402"/>
      <c r="J163" s="402"/>
      <c r="K163" s="403"/>
      <c r="L163" s="404"/>
      <c r="M163" s="102"/>
      <c r="N163" s="405"/>
      <c r="O163" s="406"/>
      <c r="P163" s="406" t="s">
        <v>68</v>
      </c>
      <c r="Q163" s="407">
        <f>+G163+J163-M163-N163-O163</f>
        <v>52105.02</v>
      </c>
      <c r="R163" s="397" t="s">
        <v>69</v>
      </c>
      <c r="S163" s="398"/>
      <c r="T163" s="399"/>
    </row>
    <row r="164" spans="1:21" s="81" customFormat="1" ht="15" customHeight="1">
      <c r="A164" s="389"/>
      <c r="B164" s="98"/>
      <c r="C164" s="84"/>
      <c r="D164" s="37">
        <f>[2]янв18!D109</f>
        <v>111</v>
      </c>
      <c r="E164" s="41">
        <f>444.53-304.86</f>
        <v>139.66999999999996</v>
      </c>
      <c r="F164" s="38"/>
      <c r="G164" s="400">
        <f>+D164*(E164+F164)</f>
        <v>15503.369999999995</v>
      </c>
      <c r="H164" s="401"/>
      <c r="I164" s="402"/>
      <c r="J164" s="402"/>
      <c r="K164" s="408"/>
      <c r="L164" s="404"/>
      <c r="M164" s="102"/>
      <c r="N164" s="405"/>
      <c r="O164" s="406"/>
      <c r="P164" s="406"/>
      <c r="Q164" s="407"/>
      <c r="R164" s="397"/>
      <c r="S164" s="398"/>
      <c r="T164" s="399"/>
    </row>
    <row r="165" spans="1:21" s="81" customFormat="1" ht="15" customHeight="1">
      <c r="A165" s="389"/>
      <c r="B165" s="83"/>
      <c r="C165" s="84"/>
      <c r="D165" s="37"/>
      <c r="E165" s="41"/>
      <c r="F165" s="38"/>
      <c r="G165" s="400"/>
      <c r="H165" s="401"/>
      <c r="I165" s="402"/>
      <c r="J165" s="402"/>
      <c r="K165" s="408"/>
      <c r="L165" s="404"/>
      <c r="M165" s="102"/>
      <c r="N165" s="405"/>
      <c r="O165" s="406"/>
      <c r="P165" s="406"/>
      <c r="Q165" s="407"/>
      <c r="R165" s="397"/>
      <c r="S165" s="398"/>
      <c r="T165" s="399"/>
    </row>
    <row r="166" spans="1:21" s="81" customFormat="1" ht="15" customHeight="1">
      <c r="A166" s="389"/>
      <c r="B166" s="83" t="s">
        <v>70</v>
      </c>
      <c r="C166" s="84"/>
      <c r="D166" s="37"/>
      <c r="E166" s="41"/>
      <c r="F166" s="38"/>
      <c r="G166" s="400"/>
      <c r="H166" s="401"/>
      <c r="I166" s="402"/>
      <c r="J166" s="402"/>
      <c r="K166" s="408"/>
      <c r="L166" s="404"/>
      <c r="M166" s="102"/>
      <c r="N166" s="405"/>
      <c r="O166" s="406"/>
      <c r="P166" s="406"/>
      <c r="Q166" s="407"/>
      <c r="R166" s="397"/>
      <c r="S166" s="398"/>
      <c r="T166" s="399"/>
    </row>
    <row r="167" spans="1:21" s="81" customFormat="1" ht="15" customHeight="1">
      <c r="A167" s="389"/>
      <c r="B167" s="83"/>
      <c r="C167" s="48"/>
      <c r="D167" s="37"/>
      <c r="E167" s="41">
        <f>4.4128-4.4153</f>
        <v>-2.5000000000003908E-3</v>
      </c>
      <c r="F167" s="38"/>
      <c r="G167" s="39">
        <f>ROUND(D167*(E167+F167),2)</f>
        <v>0</v>
      </c>
      <c r="H167" s="37"/>
      <c r="I167" s="409"/>
      <c r="J167" s="409"/>
      <c r="K167" s="408"/>
      <c r="L167" s="404"/>
      <c r="M167" s="102"/>
      <c r="N167" s="405"/>
      <c r="O167" s="406"/>
      <c r="P167" s="406"/>
      <c r="Q167" s="407"/>
      <c r="R167" s="397"/>
      <c r="S167" s="398"/>
      <c r="T167" s="399"/>
    </row>
    <row r="168" spans="1:21" s="81" customFormat="1" ht="15" customHeight="1">
      <c r="A168" s="389"/>
      <c r="B168" s="83"/>
      <c r="C168" s="48" t="s">
        <v>118</v>
      </c>
      <c r="D168" s="37">
        <f>[2]янв18!D115+[2]янв18!D116</f>
        <v>13479</v>
      </c>
      <c r="E168" s="41">
        <f>6.8416-6.7432</f>
        <v>9.8399999999999821E-2</v>
      </c>
      <c r="F168" s="38">
        <f>+E168</f>
        <v>9.8399999999999821E-2</v>
      </c>
      <c r="G168" s="39">
        <f>ROUND(D168*E168,2)</f>
        <v>1326.33</v>
      </c>
      <c r="H168" s="37"/>
      <c r="I168" s="409"/>
      <c r="J168" s="409"/>
      <c r="K168" s="408"/>
      <c r="L168" s="404"/>
      <c r="M168" s="102"/>
      <c r="N168" s="405"/>
      <c r="O168" s="406"/>
      <c r="P168" s="406"/>
      <c r="Q168" s="407"/>
      <c r="R168" s="397"/>
      <c r="S168" s="398"/>
      <c r="T168" s="399"/>
    </row>
    <row r="169" spans="1:21" s="81" customFormat="1" ht="15" customHeight="1">
      <c r="A169" s="389"/>
      <c r="B169" s="83"/>
      <c r="C169" s="48" t="s">
        <v>119</v>
      </c>
      <c r="D169" s="37">
        <v>30</v>
      </c>
      <c r="E169" s="41">
        <v>6.8415999999999997</v>
      </c>
      <c r="F169" s="41">
        <f>+E169</f>
        <v>6.8415999999999997</v>
      </c>
      <c r="G169" s="39">
        <f>ROUND(D169*E169,2)</f>
        <v>205.25</v>
      </c>
      <c r="H169" s="37"/>
      <c r="I169" s="409"/>
      <c r="J169" s="409"/>
      <c r="K169" s="410"/>
      <c r="L169" s="404"/>
      <c r="M169" s="102"/>
      <c r="N169" s="405"/>
      <c r="O169" s="406"/>
      <c r="P169" s="406"/>
      <c r="Q169" s="407"/>
      <c r="R169" s="397"/>
      <c r="S169" s="398"/>
      <c r="T169" s="399"/>
    </row>
    <row r="170" spans="1:21" s="81" customFormat="1" ht="15.75" customHeight="1" thickBot="1">
      <c r="A170" s="411"/>
      <c r="B170" s="412"/>
      <c r="C170" s="99" t="s">
        <v>29</v>
      </c>
      <c r="D170" s="413">
        <v>12423</v>
      </c>
      <c r="E170" s="56">
        <v>6.8415999999999997</v>
      </c>
      <c r="F170" s="370">
        <f>+E170</f>
        <v>6.8415999999999997</v>
      </c>
      <c r="G170" s="414">
        <f>ROUND(D170*E170,2)</f>
        <v>84993.2</v>
      </c>
      <c r="H170" s="248"/>
      <c r="I170" s="60"/>
      <c r="J170" s="60"/>
      <c r="K170" s="203"/>
      <c r="L170" s="204"/>
      <c r="M170" s="371"/>
      <c r="N170" s="415"/>
      <c r="O170" s="416"/>
      <c r="P170" s="416" t="s">
        <v>68</v>
      </c>
      <c r="Q170" s="417">
        <f>+G170+J170-M170-N170-O170</f>
        <v>84993.2</v>
      </c>
      <c r="R170" s="418" t="s">
        <v>69</v>
      </c>
      <c r="S170" s="419">
        <f>SUM(O161:O170)</f>
        <v>0</v>
      </c>
      <c r="T170" s="419">
        <f>SUM(Q161:Q170)</f>
        <v>-17034.949999999997</v>
      </c>
    </row>
    <row r="171" spans="1:21" s="81" customFormat="1" ht="15.75" customHeight="1">
      <c r="A171" s="902">
        <v>303</v>
      </c>
      <c r="B171" s="903" t="s">
        <v>161</v>
      </c>
      <c r="C171" s="439" t="s">
        <v>118</v>
      </c>
      <c r="D171" s="904">
        <f>[2]янв18!D187+[2]янв18!D188</f>
        <v>911.2</v>
      </c>
      <c r="E171" s="23">
        <f>6.8416-6.7432</f>
        <v>9.8399999999999821E-2</v>
      </c>
      <c r="F171" s="905"/>
      <c r="G171" s="22">
        <f>ROUND(D171*E171,2)</f>
        <v>89.66</v>
      </c>
      <c r="H171" s="303"/>
      <c r="I171" s="23"/>
      <c r="J171" s="23"/>
      <c r="K171" s="304"/>
      <c r="L171" s="263">
        <f>SUM(G171:G173)</f>
        <v>8943.380000000001</v>
      </c>
      <c r="M171" s="26">
        <v>8943.3799999999992</v>
      </c>
      <c r="N171" s="421"/>
      <c r="O171" s="77"/>
      <c r="P171" s="77"/>
      <c r="Q171" s="384"/>
      <c r="R171" s="422"/>
      <c r="S171" s="399"/>
      <c r="T171" s="399"/>
    </row>
    <row r="172" spans="1:21" s="81" customFormat="1" ht="15.75" customHeight="1">
      <c r="A172" s="468"/>
      <c r="B172" s="469"/>
      <c r="C172" s="48" t="s">
        <v>119</v>
      </c>
      <c r="D172" s="471">
        <v>3.1</v>
      </c>
      <c r="E172" s="41">
        <v>6.8415999999999997</v>
      </c>
      <c r="F172" s="473"/>
      <c r="G172" s="449">
        <f>ROUND(D172*E172,2)</f>
        <v>21.21</v>
      </c>
      <c r="H172" s="260"/>
      <c r="I172" s="261"/>
      <c r="J172" s="261"/>
      <c r="K172" s="262"/>
      <c r="L172" s="286"/>
      <c r="M172" s="90"/>
      <c r="N172" s="423"/>
      <c r="O172" s="406"/>
      <c r="P172" s="406"/>
      <c r="Q172" s="407"/>
      <c r="R172" s="422"/>
      <c r="S172" s="399"/>
      <c r="T172" s="399"/>
    </row>
    <row r="173" spans="1:21" s="81" customFormat="1" ht="15.75" customHeight="1" thickBot="1">
      <c r="A173" s="858"/>
      <c r="B173" s="859"/>
      <c r="C173" s="54" t="s">
        <v>29</v>
      </c>
      <c r="D173" s="860">
        <v>1291</v>
      </c>
      <c r="E173" s="56">
        <v>6.8415999999999997</v>
      </c>
      <c r="F173" s="861"/>
      <c r="G173" s="414">
        <f t="shared" ref="G173" si="26">ROUND(D173*E173,2)</f>
        <v>8832.51</v>
      </c>
      <c r="H173" s="280"/>
      <c r="I173" s="281"/>
      <c r="J173" s="281"/>
      <c r="K173" s="282"/>
      <c r="L173" s="204"/>
      <c r="M173" s="371"/>
      <c r="N173" s="426"/>
      <c r="O173" s="416"/>
      <c r="P173" s="416"/>
      <c r="Q173" s="417"/>
      <c r="R173" s="422"/>
      <c r="S173" s="399"/>
      <c r="T173" s="399"/>
    </row>
    <row r="174" spans="1:21" s="81" customFormat="1" ht="15" customHeight="1">
      <c r="A174" s="437">
        <v>304</v>
      </c>
      <c r="B174" s="438" t="s">
        <v>83</v>
      </c>
      <c r="C174" s="377" t="s">
        <v>73</v>
      </c>
      <c r="D174" s="378">
        <v>0</v>
      </c>
      <c r="E174" s="21">
        <v>36.214199999999998</v>
      </c>
      <c r="F174" s="21">
        <v>42.4328</v>
      </c>
      <c r="G174" s="22">
        <f>+D174*(E174+F174)</f>
        <v>0</v>
      </c>
      <c r="H174" s="303">
        <f>[1]нояб17!D144</f>
        <v>1</v>
      </c>
      <c r="I174" s="381">
        <v>16.166</v>
      </c>
      <c r="J174" s="381">
        <f>ROUND(I174*H174,2)</f>
        <v>16.170000000000002</v>
      </c>
      <c r="K174" s="342">
        <v>43040</v>
      </c>
      <c r="L174" s="263">
        <f>SUM(G174:G178,J174:J178)</f>
        <v>419.09000000000003</v>
      </c>
      <c r="M174" s="26">
        <v>419.09</v>
      </c>
      <c r="N174" s="421"/>
      <c r="O174" s="77"/>
      <c r="P174" s="77"/>
      <c r="Q174" s="384"/>
      <c r="R174" s="899"/>
      <c r="S174" s="399"/>
      <c r="T174" s="399"/>
    </row>
    <row r="175" spans="1:21" s="81" customFormat="1" ht="15" customHeight="1">
      <c r="A175" s="441"/>
      <c r="B175" s="442"/>
      <c r="C175" s="36" t="s">
        <v>26</v>
      </c>
      <c r="D175" s="37"/>
      <c r="E175" s="38"/>
      <c r="F175" s="38"/>
      <c r="G175" s="39">
        <f>ROUND(D175*(E175+F175),2)</f>
        <v>0</v>
      </c>
      <c r="H175" s="457"/>
      <c r="I175" s="392"/>
      <c r="J175" s="402"/>
      <c r="K175" s="393"/>
      <c r="L175" s="459"/>
      <c r="M175" s="44"/>
      <c r="N175" s="430"/>
      <c r="O175" s="435"/>
      <c r="P175" s="435"/>
      <c r="Q175" s="425"/>
      <c r="R175" s="422"/>
      <c r="S175" s="399"/>
      <c r="T175" s="399"/>
    </row>
    <row r="176" spans="1:21" s="81" customFormat="1" ht="15" customHeight="1">
      <c r="A176" s="441"/>
      <c r="B176" s="442"/>
      <c r="C176" s="48" t="s">
        <v>118</v>
      </c>
      <c r="D176" s="37">
        <f>[2]янв18!D155+[2]янв18!D156</f>
        <v>55.1</v>
      </c>
      <c r="E176" s="41">
        <f>6.8416-6.7432</f>
        <v>9.8399999999999821E-2</v>
      </c>
      <c r="F176" s="38"/>
      <c r="G176" s="39">
        <f>ROUND(D176*(E176),2)+0.01</f>
        <v>5.43</v>
      </c>
      <c r="H176" s="270"/>
      <c r="I176" s="41"/>
      <c r="J176" s="41"/>
      <c r="K176" s="271"/>
      <c r="L176" s="272"/>
      <c r="M176" s="102"/>
      <c r="N176" s="430"/>
      <c r="O176" s="435"/>
      <c r="P176" s="435"/>
      <c r="Q176" s="425"/>
      <c r="R176" s="422"/>
      <c r="S176" s="399"/>
      <c r="T176" s="399"/>
    </row>
    <row r="177" spans="1:20" s="81" customFormat="1" ht="15" customHeight="1">
      <c r="A177" s="441"/>
      <c r="B177" s="442"/>
      <c r="C177" s="48" t="s">
        <v>119</v>
      </c>
      <c r="D177" s="37">
        <v>0.1</v>
      </c>
      <c r="E177" s="41">
        <v>6.8415999999999997</v>
      </c>
      <c r="F177" s="38"/>
      <c r="G177" s="39">
        <f>ROUND(D177*(E177),2)</f>
        <v>0.68</v>
      </c>
      <c r="H177" s="270"/>
      <c r="I177" s="41"/>
      <c r="J177" s="41"/>
      <c r="K177" s="271"/>
      <c r="L177" s="272"/>
      <c r="M177" s="102"/>
      <c r="N177" s="434"/>
      <c r="O177" s="435"/>
      <c r="P177" s="435"/>
      <c r="Q177" s="425"/>
      <c r="R177" s="422"/>
      <c r="S177" s="399"/>
      <c r="T177" s="399"/>
    </row>
    <row r="178" spans="1:20" s="81" customFormat="1" ht="15.75" customHeight="1" thickBot="1">
      <c r="A178" s="445"/>
      <c r="B178" s="446"/>
      <c r="C178" s="54" t="s">
        <v>29</v>
      </c>
      <c r="D178" s="413">
        <v>58</v>
      </c>
      <c r="E178" s="56">
        <v>6.8415999999999997</v>
      </c>
      <c r="F178" s="281"/>
      <c r="G178" s="414">
        <f>ROUND(D178*(E178),2)</f>
        <v>396.81</v>
      </c>
      <c r="H178" s="280"/>
      <c r="I178" s="281"/>
      <c r="J178" s="281"/>
      <c r="K178" s="282"/>
      <c r="L178" s="204"/>
      <c r="M178" s="371"/>
      <c r="N178" s="426"/>
      <c r="O178" s="416"/>
      <c r="P178" s="416"/>
      <c r="Q178" s="417"/>
      <c r="R178" s="422"/>
      <c r="S178" s="399"/>
      <c r="T178" s="399"/>
    </row>
    <row r="179" spans="1:20" s="81" customFormat="1" ht="15" customHeight="1">
      <c r="A179" s="447">
        <v>400</v>
      </c>
      <c r="B179" s="438" t="s">
        <v>79</v>
      </c>
      <c r="C179" s="48" t="s">
        <v>118</v>
      </c>
      <c r="D179" s="448">
        <f>[2]янв18!D145+[2]янв18!D146</f>
        <v>4231</v>
      </c>
      <c r="E179" s="41">
        <f>6.8416-6.7432</f>
        <v>9.8399999999999821E-2</v>
      </c>
      <c r="F179" s="261"/>
      <c r="G179" s="449">
        <f>ROUND(D179*E179,2)</f>
        <v>416.33</v>
      </c>
      <c r="H179" s="303"/>
      <c r="I179" s="23"/>
      <c r="J179" s="23"/>
      <c r="K179" s="304"/>
      <c r="L179" s="263">
        <f>SUM(G179:G181)</f>
        <v>29616.28</v>
      </c>
      <c r="M179" s="26">
        <v>29616.28</v>
      </c>
      <c r="N179" s="421"/>
      <c r="O179" s="77"/>
      <c r="P179" s="77"/>
      <c r="Q179" s="384"/>
      <c r="R179" s="899"/>
      <c r="S179" s="399"/>
      <c r="T179" s="399"/>
    </row>
    <row r="180" spans="1:20" s="81" customFormat="1" ht="15" customHeight="1">
      <c r="A180" s="450"/>
      <c r="B180" s="442"/>
      <c r="C180" s="48" t="s">
        <v>119</v>
      </c>
      <c r="D180" s="448">
        <v>10</v>
      </c>
      <c r="E180" s="41">
        <v>6.8415999999999997</v>
      </c>
      <c r="F180" s="261"/>
      <c r="G180" s="449">
        <f>ROUND(D180*E180,2)</f>
        <v>68.42</v>
      </c>
      <c r="H180" s="260"/>
      <c r="I180" s="261"/>
      <c r="J180" s="261"/>
      <c r="K180" s="262"/>
      <c r="L180" s="286"/>
      <c r="M180" s="90"/>
      <c r="N180" s="423"/>
      <c r="O180" s="406"/>
      <c r="P180" s="406"/>
      <c r="Q180" s="407"/>
      <c r="R180" s="422"/>
      <c r="S180" s="399"/>
      <c r="T180" s="399"/>
    </row>
    <row r="181" spans="1:20" s="81" customFormat="1" ht="15" customHeight="1" thickBot="1">
      <c r="A181" s="451"/>
      <c r="B181" s="446"/>
      <c r="C181" s="99" t="s">
        <v>29</v>
      </c>
      <c r="D181" s="452">
        <v>4258</v>
      </c>
      <c r="E181" s="56">
        <v>6.8415999999999997</v>
      </c>
      <c r="F181" s="207"/>
      <c r="G181" s="453">
        <f>ROUND(D181*E181,2)</f>
        <v>29131.53</v>
      </c>
      <c r="H181" s="280"/>
      <c r="I181" s="281"/>
      <c r="J181" s="281"/>
      <c r="K181" s="282"/>
      <c r="L181" s="204"/>
      <c r="M181" s="371"/>
      <c r="N181" s="426"/>
      <c r="O181" s="416"/>
      <c r="P181" s="416"/>
      <c r="Q181" s="417"/>
      <c r="R181" s="422"/>
      <c r="S181" s="399"/>
      <c r="T181" s="399"/>
    </row>
    <row r="182" spans="1:20" s="81" customFormat="1" ht="15" customHeight="1">
      <c r="A182" s="437">
        <v>402</v>
      </c>
      <c r="B182" s="438" t="s">
        <v>122</v>
      </c>
      <c r="C182" s="439"/>
      <c r="D182" s="378"/>
      <c r="E182" s="23"/>
      <c r="F182" s="23"/>
      <c r="G182" s="22"/>
      <c r="H182" s="303"/>
      <c r="I182" s="23"/>
      <c r="J182" s="23"/>
      <c r="K182" s="304"/>
      <c r="L182" s="382">
        <f>+SUM(G182:G185,J182:J185)</f>
        <v>1437.0900000000001</v>
      </c>
      <c r="M182" s="26">
        <v>1437.09</v>
      </c>
      <c r="N182" s="421"/>
      <c r="O182" s="77"/>
      <c r="P182" s="77"/>
      <c r="Q182" s="384"/>
      <c r="R182" s="899"/>
      <c r="S182" s="399"/>
      <c r="T182" s="399"/>
    </row>
    <row r="183" spans="1:20" s="81" customFormat="1" ht="15" customHeight="1" thickBot="1">
      <c r="A183" s="441"/>
      <c r="B183" s="442"/>
      <c r="C183" s="48" t="s">
        <v>118</v>
      </c>
      <c r="D183" s="37">
        <f>[2]янв18!D142+[2]янв18!D143</f>
        <v>177.42</v>
      </c>
      <c r="E183" s="41">
        <f>6.8416-6.7432</f>
        <v>9.8399999999999821E-2</v>
      </c>
      <c r="F183" s="41"/>
      <c r="G183" s="414">
        <f>ROUND(D183*E183,2)</f>
        <v>17.46</v>
      </c>
      <c r="H183" s="260"/>
      <c r="I183" s="261"/>
      <c r="J183" s="261"/>
      <c r="K183" s="262"/>
      <c r="L183" s="394"/>
      <c r="M183" s="90"/>
      <c r="N183" s="443"/>
      <c r="O183" s="94"/>
      <c r="P183" s="94"/>
      <c r="Q183" s="396"/>
      <c r="R183" s="899"/>
      <c r="S183" s="399"/>
      <c r="T183" s="399"/>
    </row>
    <row r="184" spans="1:20" s="81" customFormat="1" ht="15" customHeight="1" thickBot="1">
      <c r="A184" s="441"/>
      <c r="B184" s="444"/>
      <c r="C184" s="48" t="s">
        <v>119</v>
      </c>
      <c r="D184" s="37">
        <v>0.5</v>
      </c>
      <c r="E184" s="41">
        <v>6.8415999999999997</v>
      </c>
      <c r="F184" s="41"/>
      <c r="G184" s="414">
        <f>ROUND(D184*E184,2)</f>
        <v>3.42</v>
      </c>
      <c r="H184" s="432"/>
      <c r="I184" s="207"/>
      <c r="J184" s="207"/>
      <c r="K184" s="362"/>
      <c r="L184" s="433"/>
      <c r="M184" s="63"/>
      <c r="N184" s="423"/>
      <c r="O184" s="406"/>
      <c r="P184" s="406"/>
      <c r="Q184" s="407"/>
      <c r="R184" s="899"/>
      <c r="S184" s="399"/>
      <c r="T184" s="399"/>
    </row>
    <row r="185" spans="1:20" s="81" customFormat="1" ht="15" customHeight="1" thickBot="1">
      <c r="A185" s="445"/>
      <c r="B185" s="446"/>
      <c r="C185" s="99" t="s">
        <v>29</v>
      </c>
      <c r="D185" s="413">
        <v>207</v>
      </c>
      <c r="E185" s="56">
        <v>6.8415999999999997</v>
      </c>
      <c r="F185" s="281"/>
      <c r="G185" s="414">
        <f>ROUND(D185*E185,2)</f>
        <v>1416.21</v>
      </c>
      <c r="H185" s="280"/>
      <c r="I185" s="281"/>
      <c r="J185" s="281"/>
      <c r="K185" s="282"/>
      <c r="L185" s="204"/>
      <c r="M185" s="371"/>
      <c r="N185" s="434"/>
      <c r="O185" s="435"/>
      <c r="P185" s="435"/>
      <c r="Q185" s="425"/>
      <c r="R185" s="899"/>
      <c r="S185" s="399"/>
      <c r="T185" s="399"/>
    </row>
    <row r="186" spans="1:20" s="81" customFormat="1" ht="15.75" customHeight="1">
      <c r="A186" s="447">
        <v>403</v>
      </c>
      <c r="B186" s="438" t="s">
        <v>126</v>
      </c>
      <c r="C186" s="439" t="s">
        <v>118</v>
      </c>
      <c r="D186" s="900">
        <f>[2]янв18!D158+[2]янв18!D159</f>
        <v>127.3</v>
      </c>
      <c r="E186" s="23">
        <f>6.8416-6.7432</f>
        <v>9.8399999999999821E-2</v>
      </c>
      <c r="F186" s="23"/>
      <c r="G186" s="22">
        <f>ROUND(D186*E186,2)</f>
        <v>12.53</v>
      </c>
      <c r="H186" s="303"/>
      <c r="I186" s="23"/>
      <c r="J186" s="23"/>
      <c r="K186" s="304"/>
      <c r="L186" s="263">
        <f>SUM(G186:G188)</f>
        <v>670.68999999999994</v>
      </c>
      <c r="M186" s="26">
        <v>670.69</v>
      </c>
      <c r="N186" s="421"/>
      <c r="O186" s="77"/>
      <c r="P186" s="77"/>
      <c r="Q186" s="384"/>
      <c r="R186" s="422"/>
      <c r="S186" s="399"/>
      <c r="T186" s="399"/>
    </row>
    <row r="187" spans="1:20" s="81" customFormat="1" ht="15.75" customHeight="1">
      <c r="A187" s="450"/>
      <c r="B187" s="442"/>
      <c r="C187" s="48" t="s">
        <v>119</v>
      </c>
      <c r="D187" s="448">
        <v>0.2</v>
      </c>
      <c r="E187" s="41">
        <v>6.8415999999999997</v>
      </c>
      <c r="F187" s="261"/>
      <c r="G187" s="449">
        <f t="shared" ref="G187:G188" si="27">ROUND(D187*E187,2)</f>
        <v>1.37</v>
      </c>
      <c r="H187" s="260"/>
      <c r="I187" s="261"/>
      <c r="J187" s="261"/>
      <c r="K187" s="262"/>
      <c r="L187" s="286"/>
      <c r="M187" s="90"/>
      <c r="N187" s="423"/>
      <c r="O187" s="406"/>
      <c r="P187" s="406"/>
      <c r="Q187" s="407"/>
      <c r="R187" s="422"/>
      <c r="S187" s="399"/>
      <c r="T187" s="399"/>
    </row>
    <row r="188" spans="1:20" s="81" customFormat="1" ht="15.75" customHeight="1" thickBot="1">
      <c r="A188" s="451"/>
      <c r="B188" s="446"/>
      <c r="C188" s="54" t="s">
        <v>29</v>
      </c>
      <c r="D188" s="901">
        <v>96</v>
      </c>
      <c r="E188" s="56">
        <v>6.8415999999999997</v>
      </c>
      <c r="F188" s="281"/>
      <c r="G188" s="414">
        <f t="shared" si="27"/>
        <v>656.79</v>
      </c>
      <c r="H188" s="280"/>
      <c r="I188" s="281"/>
      <c r="J188" s="281"/>
      <c r="K188" s="282"/>
      <c r="L188" s="204"/>
      <c r="M188" s="371"/>
      <c r="N188" s="426"/>
      <c r="O188" s="416"/>
      <c r="P188" s="416"/>
      <c r="Q188" s="417"/>
      <c r="R188" s="422"/>
      <c r="S188" s="399"/>
      <c r="T188" s="399"/>
    </row>
    <row r="189" spans="1:20" s="81" customFormat="1" ht="15.75" customHeight="1">
      <c r="A189" s="906" t="s">
        <v>199</v>
      </c>
      <c r="B189" s="903" t="s">
        <v>191</v>
      </c>
      <c r="C189" s="382" t="s">
        <v>73</v>
      </c>
      <c r="D189" s="904">
        <v>15</v>
      </c>
      <c r="E189" s="907">
        <v>36.214199999999998</v>
      </c>
      <c r="F189" s="905">
        <v>42.4328</v>
      </c>
      <c r="G189" s="908">
        <f>ROUND(D189*E189+D189*F189,2)</f>
        <v>1179.71</v>
      </c>
      <c r="H189" s="303"/>
      <c r="I189" s="23"/>
      <c r="J189" s="23"/>
      <c r="K189" s="304"/>
      <c r="L189" s="263">
        <f>SUM(G189:G193)</f>
        <v>11737.75</v>
      </c>
      <c r="M189" s="877">
        <v>11737.75</v>
      </c>
      <c r="N189" s="430"/>
      <c r="O189" s="77"/>
      <c r="P189" s="77"/>
      <c r="Q189" s="384"/>
      <c r="R189" s="422"/>
      <c r="S189" s="399"/>
      <c r="T189" s="399"/>
    </row>
    <row r="190" spans="1:20" s="81" customFormat="1" ht="15.75" customHeight="1" thickBot="1">
      <c r="A190" s="909">
        <v>408</v>
      </c>
      <c r="B190" s="469"/>
      <c r="C190" s="429" t="s">
        <v>26</v>
      </c>
      <c r="D190" s="471"/>
      <c r="E190" s="876"/>
      <c r="F190" s="473"/>
      <c r="G190" s="862">
        <f>ROUND(D190*E190+D190*F190,2)</f>
        <v>0</v>
      </c>
      <c r="H190" s="270"/>
      <c r="I190" s="41"/>
      <c r="J190" s="41"/>
      <c r="K190" s="271"/>
      <c r="L190" s="272"/>
      <c r="M190" s="878"/>
      <c r="N190" s="430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468"/>
      <c r="B191" s="699"/>
      <c r="C191" s="48" t="s">
        <v>118</v>
      </c>
      <c r="D191" s="471">
        <f>[2]янв18!D172+[2]янв18!D173</f>
        <v>1502.6</v>
      </c>
      <c r="E191" s="41">
        <f>6.8416-6.7432</f>
        <v>9.8399999999999821E-2</v>
      </c>
      <c r="F191" s="473"/>
      <c r="G191" s="862">
        <f>ROUND(D191*E191,2)</f>
        <v>147.86000000000001</v>
      </c>
      <c r="H191" s="270"/>
      <c r="I191" s="41"/>
      <c r="J191" s="41"/>
      <c r="K191" s="271"/>
      <c r="L191" s="272"/>
      <c r="M191" s="878"/>
      <c r="N191" s="421"/>
      <c r="O191" s="406"/>
      <c r="P191" s="406"/>
      <c r="Q191" s="407"/>
      <c r="R191" s="422"/>
      <c r="S191" s="399"/>
      <c r="T191" s="399"/>
    </row>
    <row r="192" spans="1:20" s="81" customFormat="1" ht="15.75" customHeight="1">
      <c r="A192" s="468"/>
      <c r="B192" s="469"/>
      <c r="C192" s="48" t="s">
        <v>119</v>
      </c>
      <c r="D192" s="471">
        <f>1.3+2.3</f>
        <v>3.5999999999999996</v>
      </c>
      <c r="E192" s="41">
        <v>6.8415999999999997</v>
      </c>
      <c r="F192" s="473"/>
      <c r="G192" s="862">
        <f>ROUND(D192*E192,2)</f>
        <v>24.63</v>
      </c>
      <c r="H192" s="270"/>
      <c r="I192" s="41"/>
      <c r="J192" s="41"/>
      <c r="K192" s="271"/>
      <c r="L192" s="272"/>
      <c r="M192" s="878"/>
      <c r="N192" s="423"/>
      <c r="O192" s="406"/>
      <c r="P192" s="406"/>
      <c r="Q192" s="407"/>
      <c r="R192" s="422"/>
      <c r="S192" s="399"/>
      <c r="T192" s="399"/>
    </row>
    <row r="193" spans="1:20" s="81" customFormat="1" ht="15.75" customHeight="1" thickBot="1">
      <c r="A193" s="858"/>
      <c r="B193" s="859"/>
      <c r="C193" s="54" t="s">
        <v>29</v>
      </c>
      <c r="D193" s="860">
        <v>1518</v>
      </c>
      <c r="E193" s="56">
        <v>6.8415999999999997</v>
      </c>
      <c r="F193" s="861"/>
      <c r="G193" s="866">
        <f t="shared" ref="G193" si="28">ROUND(D193*E193,2)</f>
        <v>10385.549999999999</v>
      </c>
      <c r="H193" s="280"/>
      <c r="I193" s="281"/>
      <c r="J193" s="281"/>
      <c r="K193" s="282"/>
      <c r="L193" s="204"/>
      <c r="M193" s="880"/>
      <c r="N193" s="426"/>
      <c r="O193" s="416"/>
      <c r="P193" s="416"/>
      <c r="Q193" s="417"/>
      <c r="R193" s="422"/>
      <c r="S193" s="399"/>
      <c r="T193" s="399"/>
    </row>
    <row r="194" spans="1:20" s="81" customFormat="1" ht="15.75" customHeight="1">
      <c r="A194" s="902">
        <v>405</v>
      </c>
      <c r="B194" s="903" t="s">
        <v>147</v>
      </c>
      <c r="C194" s="439" t="s">
        <v>118</v>
      </c>
      <c r="D194" s="904">
        <f>[2]янв18!D175+[2]янв18!D176</f>
        <v>147.4</v>
      </c>
      <c r="E194" s="23">
        <f>6.8416-6.7432</f>
        <v>9.8399999999999821E-2</v>
      </c>
      <c r="F194" s="905"/>
      <c r="G194" s="22">
        <f>ROUND(D194*E194,2)</f>
        <v>14.5</v>
      </c>
      <c r="H194" s="303"/>
      <c r="I194" s="261"/>
      <c r="J194" s="261"/>
      <c r="K194" s="262"/>
      <c r="L194" s="286">
        <f>SUM(G194:G196)</f>
        <v>981.21999999999991</v>
      </c>
      <c r="M194" s="90">
        <v>981.22</v>
      </c>
      <c r="N194" s="421"/>
      <c r="O194" s="77"/>
      <c r="P194" s="77"/>
      <c r="Q194" s="384"/>
      <c r="R194" s="422"/>
      <c r="S194" s="399"/>
      <c r="T194" s="399"/>
    </row>
    <row r="195" spans="1:20" s="81" customFormat="1" ht="15.75" customHeight="1">
      <c r="A195" s="468"/>
      <c r="B195" s="469"/>
      <c r="C195" s="48" t="s">
        <v>119</v>
      </c>
      <c r="D195" s="471">
        <v>0.3</v>
      </c>
      <c r="E195" s="41">
        <v>6.8415999999999997</v>
      </c>
      <c r="F195" s="473"/>
      <c r="G195" s="449">
        <f>ROUND(D195*E195,2)</f>
        <v>2.0499999999999998</v>
      </c>
      <c r="H195" s="260"/>
      <c r="I195" s="261"/>
      <c r="J195" s="261"/>
      <c r="K195" s="262"/>
      <c r="L195" s="286"/>
      <c r="M195" s="90"/>
      <c r="N195" s="423"/>
      <c r="O195" s="406"/>
      <c r="P195" s="406"/>
      <c r="Q195" s="407"/>
      <c r="R195" s="422"/>
      <c r="S195" s="399"/>
      <c r="T195" s="399"/>
    </row>
    <row r="196" spans="1:20" s="81" customFormat="1" ht="15.75" customHeight="1" thickBot="1">
      <c r="A196" s="701"/>
      <c r="B196" s="702"/>
      <c r="C196" s="99" t="s">
        <v>29</v>
      </c>
      <c r="D196" s="703">
        <v>141</v>
      </c>
      <c r="E196" s="56">
        <v>6.8415999999999997</v>
      </c>
      <c r="F196" s="704"/>
      <c r="G196" s="39">
        <f t="shared" ref="G196" si="29">ROUND(D196*E196,2)</f>
        <v>964.67</v>
      </c>
      <c r="H196" s="280"/>
      <c r="I196" s="281"/>
      <c r="J196" s="281"/>
      <c r="K196" s="282"/>
      <c r="L196" s="204"/>
      <c r="M196" s="371"/>
      <c r="N196" s="426"/>
      <c r="O196" s="416"/>
      <c r="P196" s="416"/>
      <c r="Q196" s="417"/>
      <c r="R196" s="422"/>
      <c r="S196" s="399"/>
      <c r="T196" s="399"/>
    </row>
    <row r="197" spans="1:20" s="81" customFormat="1" ht="15.75" hidden="1" customHeight="1" outlineLevel="1" thickBot="1">
      <c r="A197" s="910"/>
      <c r="B197" s="911" t="s">
        <v>155</v>
      </c>
      <c r="C197" s="573" t="s">
        <v>115</v>
      </c>
      <c r="D197" s="912"/>
      <c r="E197" s="579">
        <f>7.0379-7.0426</f>
        <v>-4.7000000000005926E-3</v>
      </c>
      <c r="F197" s="580"/>
      <c r="G197" s="913">
        <f>ROUND(D197*E197,2)</f>
        <v>0</v>
      </c>
      <c r="H197" s="914"/>
      <c r="I197" s="23"/>
      <c r="J197" s="23"/>
      <c r="K197" s="304"/>
      <c r="L197" s="263">
        <f>SUM(G197:G199)</f>
        <v>0</v>
      </c>
      <c r="M197" s="26"/>
      <c r="N197" s="421"/>
      <c r="O197" s="77"/>
      <c r="P197" s="77"/>
      <c r="Q197" s="384"/>
      <c r="R197" s="422"/>
      <c r="S197" s="399"/>
      <c r="T197" s="399"/>
    </row>
    <row r="198" spans="1:20" s="81" customFormat="1" ht="15.75" hidden="1" customHeight="1" outlineLevel="1" thickBot="1">
      <c r="A198" s="910"/>
      <c r="B198" s="915"/>
      <c r="C198" s="573" t="s">
        <v>114</v>
      </c>
      <c r="D198" s="912"/>
      <c r="E198" s="579">
        <v>7.0378999999999996</v>
      </c>
      <c r="F198" s="580"/>
      <c r="G198" s="913">
        <f>ROUND(D198*E198,2)</f>
        <v>0</v>
      </c>
      <c r="H198" s="914"/>
      <c r="I198" s="261"/>
      <c r="J198" s="261"/>
      <c r="K198" s="262"/>
      <c r="L198" s="286"/>
      <c r="M198" s="90"/>
      <c r="N198" s="423"/>
      <c r="O198" s="406"/>
      <c r="P198" s="406"/>
      <c r="Q198" s="407"/>
      <c r="R198" s="422"/>
      <c r="S198" s="399"/>
      <c r="T198" s="399"/>
    </row>
    <row r="199" spans="1:20" s="81" customFormat="1" ht="15.75" hidden="1" customHeight="1" outlineLevel="1" thickBot="1">
      <c r="A199" s="910"/>
      <c r="B199" s="915"/>
      <c r="C199" s="916" t="s">
        <v>29</v>
      </c>
      <c r="D199" s="912"/>
      <c r="E199" s="917">
        <v>7.0378999999999996</v>
      </c>
      <c r="F199" s="580"/>
      <c r="G199" s="913">
        <f t="shared" ref="G199" si="30">ROUND(D199*E199,2)</f>
        <v>0</v>
      </c>
      <c r="H199" s="914"/>
      <c r="I199" s="281"/>
      <c r="J199" s="281"/>
      <c r="K199" s="282"/>
      <c r="L199" s="204"/>
      <c r="M199" s="371"/>
      <c r="N199" s="426"/>
      <c r="O199" s="416"/>
      <c r="P199" s="416"/>
      <c r="Q199" s="417"/>
      <c r="R199" s="422"/>
      <c r="S199" s="399"/>
      <c r="T199" s="399"/>
    </row>
    <row r="200" spans="1:20" s="81" customFormat="1" ht="15.75" customHeight="1" collapsed="1">
      <c r="A200" s="902">
        <v>407</v>
      </c>
      <c r="B200" s="903" t="s">
        <v>160</v>
      </c>
      <c r="C200" s="439" t="s">
        <v>118</v>
      </c>
      <c r="D200" s="904">
        <f>[2]янв18!D184+[2]янв18!D185</f>
        <v>11.03</v>
      </c>
      <c r="E200" s="23">
        <f>6.8416-6.7432</f>
        <v>9.8399999999999821E-2</v>
      </c>
      <c r="F200" s="905"/>
      <c r="G200" s="22">
        <f>ROUND(D200*E200,2)</f>
        <v>1.0900000000000001</v>
      </c>
      <c r="H200" s="303"/>
      <c r="I200" s="23"/>
      <c r="J200" s="23"/>
      <c r="K200" s="304"/>
      <c r="L200" s="263">
        <f>SUM(G200:G202)</f>
        <v>145.10999999999999</v>
      </c>
      <c r="M200" s="26">
        <v>145.11000000000001</v>
      </c>
      <c r="N200" s="421"/>
      <c r="O200" s="77"/>
      <c r="P200" s="77"/>
      <c r="Q200" s="384"/>
      <c r="R200" s="422"/>
      <c r="S200" s="399"/>
      <c r="T200" s="399"/>
    </row>
    <row r="201" spans="1:20" s="81" customFormat="1" ht="15.75" customHeight="1">
      <c r="A201" s="468"/>
      <c r="B201" s="469"/>
      <c r="C201" s="48" t="s">
        <v>119</v>
      </c>
      <c r="D201" s="471">
        <v>0.05</v>
      </c>
      <c r="E201" s="41">
        <v>6.8415999999999997</v>
      </c>
      <c r="F201" s="473"/>
      <c r="G201" s="449">
        <f>ROUND(D201*E201,2)+0.01</f>
        <v>0.35000000000000003</v>
      </c>
      <c r="H201" s="260"/>
      <c r="I201" s="261"/>
      <c r="J201" s="261"/>
      <c r="K201" s="262"/>
      <c r="L201" s="286"/>
      <c r="M201" s="90"/>
      <c r="N201" s="423"/>
      <c r="O201" s="406"/>
      <c r="P201" s="406"/>
      <c r="Q201" s="407"/>
      <c r="R201" s="422"/>
      <c r="S201" s="399"/>
      <c r="T201" s="399"/>
    </row>
    <row r="202" spans="1:20" s="81" customFormat="1" ht="15.75" customHeight="1" thickBot="1">
      <c r="A202" s="858"/>
      <c r="B202" s="859"/>
      <c r="C202" s="54" t="s">
        <v>29</v>
      </c>
      <c r="D202" s="860">
        <v>21</v>
      </c>
      <c r="E202" s="56">
        <v>6.8415999999999997</v>
      </c>
      <c r="F202" s="861"/>
      <c r="G202" s="414">
        <f t="shared" ref="G202" si="31">ROUND(D202*E202,2)</f>
        <v>143.66999999999999</v>
      </c>
      <c r="H202" s="280"/>
      <c r="I202" s="281"/>
      <c r="J202" s="281"/>
      <c r="K202" s="282"/>
      <c r="L202" s="204"/>
      <c r="M202" s="371"/>
      <c r="N202" s="426"/>
      <c r="O202" s="416"/>
      <c r="P202" s="416"/>
      <c r="Q202" s="417"/>
      <c r="R202" s="422"/>
      <c r="S202" s="399"/>
      <c r="T202" s="399"/>
    </row>
    <row r="203" spans="1:20" s="81" customFormat="1" ht="15" hidden="1" customHeight="1">
      <c r="A203" s="437">
        <v>129</v>
      </c>
      <c r="B203" s="438" t="s">
        <v>38</v>
      </c>
      <c r="C203" s="439"/>
      <c r="D203" s="378"/>
      <c r="E203" s="23"/>
      <c r="F203" s="23"/>
      <c r="G203" s="22"/>
      <c r="H203" s="303"/>
      <c r="I203" s="23"/>
      <c r="J203" s="23"/>
      <c r="K203" s="304"/>
      <c r="L203" s="382">
        <f>+SUM(G203:G206,J203:J206)</f>
        <v>0</v>
      </c>
      <c r="M203" s="26"/>
      <c r="N203" s="421"/>
      <c r="O203" s="77"/>
      <c r="P203" s="77"/>
      <c r="Q203" s="384">
        <f>+L203-M203</f>
        <v>0</v>
      </c>
      <c r="R203" s="899"/>
      <c r="S203" s="399"/>
      <c r="T203" s="399"/>
    </row>
    <row r="204" spans="1:20" s="81" customFormat="1" ht="15" hidden="1" customHeight="1">
      <c r="A204" s="441"/>
      <c r="B204" s="442" t="s">
        <v>198</v>
      </c>
      <c r="C204" s="48" t="s">
        <v>118</v>
      </c>
      <c r="D204" s="37"/>
      <c r="E204" s="41">
        <f>6.8416-6.7432</f>
        <v>9.8399999999999821E-2</v>
      </c>
      <c r="F204" s="41"/>
      <c r="G204" s="39">
        <f>ROUND(D204*E204,2)</f>
        <v>0</v>
      </c>
      <c r="H204" s="260"/>
      <c r="I204" s="261"/>
      <c r="J204" s="261"/>
      <c r="K204" s="262"/>
      <c r="L204" s="394"/>
      <c r="M204" s="90"/>
      <c r="N204" s="443"/>
      <c r="O204" s="94"/>
      <c r="P204" s="94"/>
      <c r="Q204" s="396"/>
      <c r="R204" s="899"/>
      <c r="S204" s="399"/>
      <c r="T204" s="399"/>
    </row>
    <row r="205" spans="1:20" s="81" customFormat="1" ht="15.75" hidden="1" thickBot="1">
      <c r="A205" s="441"/>
      <c r="B205" s="444"/>
      <c r="C205" s="48" t="s">
        <v>119</v>
      </c>
      <c r="D205" s="37"/>
      <c r="E205" s="41">
        <v>6.8415999999999997</v>
      </c>
      <c r="F205" s="41"/>
      <c r="G205" s="39">
        <f t="shared" ref="G205:G206" si="32">ROUND(D205*E205,2)</f>
        <v>0</v>
      </c>
      <c r="H205" s="432"/>
      <c r="I205" s="207"/>
      <c r="J205" s="207"/>
      <c r="K205" s="362"/>
      <c r="L205" s="433"/>
      <c r="M205" s="63"/>
      <c r="N205" s="423"/>
      <c r="O205" s="406"/>
      <c r="P205" s="406"/>
      <c r="Q205" s="407"/>
      <c r="R205" s="899"/>
      <c r="S205" s="399"/>
      <c r="T205" s="399"/>
    </row>
    <row r="206" spans="1:20" s="81" customFormat="1" ht="15" hidden="1" customHeight="1" thickBot="1">
      <c r="A206" s="445"/>
      <c r="B206" s="446"/>
      <c r="C206" s="99" t="s">
        <v>29</v>
      </c>
      <c r="D206" s="413"/>
      <c r="E206" s="56">
        <v>6.8415999999999997</v>
      </c>
      <c r="F206" s="281"/>
      <c r="G206" s="414">
        <f t="shared" si="32"/>
        <v>0</v>
      </c>
      <c r="H206" s="280"/>
      <c r="I206" s="281"/>
      <c r="J206" s="281"/>
      <c r="K206" s="282"/>
      <c r="L206" s="204"/>
      <c r="M206" s="371"/>
      <c r="N206" s="434"/>
      <c r="O206" s="435"/>
      <c r="P206" s="435"/>
      <c r="Q206" s="425"/>
      <c r="R206" s="899"/>
      <c r="S206" s="399"/>
      <c r="T206" s="399"/>
    </row>
    <row r="207" spans="1:20" s="81" customFormat="1" ht="15.75" customHeight="1">
      <c r="A207" s="902">
        <v>118</v>
      </c>
      <c r="B207" s="924" t="s">
        <v>200</v>
      </c>
      <c r="C207" s="390" t="s">
        <v>73</v>
      </c>
      <c r="D207" s="869">
        <v>2</v>
      </c>
      <c r="E207" s="86">
        <v>36.214199999999998</v>
      </c>
      <c r="F207" s="86">
        <v>42.4328</v>
      </c>
      <c r="G207" s="449">
        <f>+D207*(E207+F207)</f>
        <v>157.29399999999998</v>
      </c>
      <c r="H207" s="260"/>
      <c r="I207" s="392"/>
      <c r="J207" s="41"/>
      <c r="K207" s="870"/>
      <c r="L207" s="286">
        <f>SUM(G207:G211,J207:J211)</f>
        <v>1941.5440000000001</v>
      </c>
      <c r="M207" s="90">
        <v>1941.54</v>
      </c>
      <c r="N207" s="443"/>
      <c r="O207" s="94"/>
      <c r="P207" s="94"/>
      <c r="Q207" s="396"/>
      <c r="R207" s="422"/>
      <c r="S207" s="399"/>
      <c r="T207" s="399"/>
    </row>
    <row r="208" spans="1:20" s="81" customFormat="1" ht="15.75" customHeight="1">
      <c r="A208" s="468"/>
      <c r="B208" s="920"/>
      <c r="C208" s="36" t="s">
        <v>26</v>
      </c>
      <c r="D208" s="37"/>
      <c r="E208" s="38"/>
      <c r="F208" s="38"/>
      <c r="G208" s="39">
        <f>ROUND(D208*(E208+F208),2)</f>
        <v>0</v>
      </c>
      <c r="H208" s="457"/>
      <c r="I208" s="392"/>
      <c r="J208" s="41"/>
      <c r="K208" s="393"/>
      <c r="L208" s="459"/>
      <c r="M208" s="44"/>
      <c r="N208" s="430"/>
      <c r="O208" s="406"/>
      <c r="P208" s="406"/>
      <c r="Q208" s="407"/>
      <c r="R208" s="422"/>
      <c r="S208" s="399"/>
      <c r="T208" s="399"/>
    </row>
    <row r="209" spans="1:21" s="81" customFormat="1" ht="15.75" customHeight="1">
      <c r="A209" s="468"/>
      <c r="B209" s="920"/>
      <c r="C209" s="48" t="s">
        <v>118</v>
      </c>
      <c r="D209" s="37"/>
      <c r="E209" s="41"/>
      <c r="F209" s="38"/>
      <c r="G209" s="39">
        <f>ROUND(D209*(E209),2)</f>
        <v>0</v>
      </c>
      <c r="H209" s="270"/>
      <c r="I209" s="41"/>
      <c r="J209" s="41"/>
      <c r="K209" s="271"/>
      <c r="L209" s="272"/>
      <c r="M209" s="102"/>
      <c r="N209" s="430"/>
      <c r="O209" s="406"/>
      <c r="P209" s="406"/>
      <c r="Q209" s="407"/>
      <c r="R209" s="422"/>
      <c r="S209" s="399"/>
      <c r="T209" s="399"/>
    </row>
    <row r="210" spans="1:21" s="81" customFormat="1" ht="15.75" customHeight="1">
      <c r="A210" s="468"/>
      <c r="B210" s="920"/>
      <c r="C210" s="48" t="s">
        <v>119</v>
      </c>
      <c r="D210" s="37">
        <v>0.6</v>
      </c>
      <c r="E210" s="41">
        <v>6.7431999999999999</v>
      </c>
      <c r="F210" s="38"/>
      <c r="G210" s="39">
        <f>ROUND(D210*(E210),2)</f>
        <v>4.05</v>
      </c>
      <c r="H210" s="270"/>
      <c r="I210" s="41"/>
      <c r="J210" s="41"/>
      <c r="K210" s="271"/>
      <c r="L210" s="272"/>
      <c r="M210" s="102"/>
      <c r="N210" s="434"/>
      <c r="O210" s="435"/>
      <c r="P210" s="435"/>
      <c r="Q210" s="425"/>
      <c r="R210" s="422"/>
      <c r="S210" s="399"/>
      <c r="T210" s="399"/>
    </row>
    <row r="211" spans="1:21" s="81" customFormat="1" ht="15.75" customHeight="1" thickBot="1">
      <c r="A211" s="858"/>
      <c r="B211" s="921"/>
      <c r="C211" s="54" t="s">
        <v>29</v>
      </c>
      <c r="D211" s="413">
        <v>264</v>
      </c>
      <c r="E211" s="56">
        <v>6.7431999999999999</v>
      </c>
      <c r="F211" s="281"/>
      <c r="G211" s="414">
        <f>ROUND(D211*(E211),2)</f>
        <v>1780.2</v>
      </c>
      <c r="H211" s="280"/>
      <c r="I211" s="281"/>
      <c r="J211" s="281"/>
      <c r="K211" s="282"/>
      <c r="L211" s="204"/>
      <c r="M211" s="371"/>
      <c r="N211" s="426"/>
      <c r="O211" s="416"/>
      <c r="P211" s="416"/>
      <c r="Q211" s="417"/>
      <c r="R211" s="422"/>
      <c r="S211" s="399"/>
      <c r="T211" s="399"/>
    </row>
    <row r="212" spans="1:21" s="81" customFormat="1" ht="15.75" customHeight="1">
      <c r="A212" s="926"/>
      <c r="B212" s="927"/>
      <c r="C212" s="928"/>
      <c r="D212" s="904"/>
      <c r="E212" s="929"/>
      <c r="F212" s="905"/>
      <c r="G212" s="930"/>
      <c r="H212" s="905"/>
      <c r="I212" s="905"/>
      <c r="J212" s="905"/>
      <c r="K212" s="905"/>
      <c r="L212" s="905"/>
      <c r="M212" s="931"/>
      <c r="N212" s="387"/>
      <c r="O212" s="387"/>
      <c r="P212" s="387"/>
      <c r="Q212" s="387"/>
      <c r="R212" s="422"/>
      <c r="S212" s="399"/>
      <c r="T212" s="399"/>
    </row>
    <row r="213" spans="1:21" s="81" customFormat="1" ht="15" customHeight="1">
      <c r="A213" s="686"/>
      <c r="B213" s="469"/>
      <c r="C213" s="932"/>
      <c r="D213" s="471"/>
      <c r="E213" s="473"/>
      <c r="F213" s="473"/>
      <c r="G213" s="474"/>
      <c r="H213" s="473"/>
      <c r="I213" s="473"/>
      <c r="J213" s="473"/>
      <c r="K213" s="473"/>
      <c r="L213" s="473"/>
      <c r="M213" s="470"/>
      <c r="N213" s="399"/>
      <c r="O213" s="399"/>
      <c r="P213" s="399"/>
      <c r="Q213" s="399"/>
      <c r="R213" s="422"/>
      <c r="S213" s="399"/>
      <c r="T213" s="399"/>
    </row>
    <row r="214" spans="1:21" ht="21.75" thickBot="1">
      <c r="A214" s="171" t="s">
        <v>84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3"/>
      <c r="N214" s="2"/>
      <c r="O214" s="2"/>
      <c r="P214" s="2"/>
      <c r="Q214" s="2"/>
      <c r="R214" s="2"/>
      <c r="S214" s="2"/>
      <c r="T214" s="2"/>
    </row>
    <row r="215" spans="1:21" ht="15.75" customHeight="1" thickTop="1" thickBot="1">
      <c r="A215" s="1540" t="s">
        <v>1</v>
      </c>
      <c r="B215" s="1542" t="s">
        <v>2</v>
      </c>
      <c r="C215" s="1544" t="s">
        <v>3</v>
      </c>
      <c r="D215" s="1546" t="s">
        <v>4</v>
      </c>
      <c r="E215" s="1546"/>
      <c r="F215" s="1546"/>
      <c r="G215" s="1546"/>
      <c r="H215" s="1547" t="s">
        <v>5</v>
      </c>
      <c r="I215" s="1548"/>
      <c r="J215" s="1548"/>
      <c r="K215" s="1549"/>
      <c r="L215" s="1524" t="s">
        <v>6</v>
      </c>
      <c r="M215" s="1511" t="s">
        <v>7</v>
      </c>
      <c r="N215" s="1551" t="s">
        <v>8</v>
      </c>
      <c r="O215" s="1551"/>
      <c r="P215" s="1551"/>
      <c r="Q215" s="1552" t="s">
        <v>18</v>
      </c>
      <c r="R215" s="481" t="s">
        <v>85</v>
      </c>
      <c r="S215" s="482" t="s">
        <v>20</v>
      </c>
      <c r="T215" s="482" t="s">
        <v>21</v>
      </c>
    </row>
    <row r="216" spans="1:21" ht="40.5" customHeight="1" thickTop="1" thickBot="1">
      <c r="A216" s="1541"/>
      <c r="B216" s="1543"/>
      <c r="C216" s="1545" t="s">
        <v>10</v>
      </c>
      <c r="D216" s="483" t="s">
        <v>11</v>
      </c>
      <c r="E216" s="484" t="s">
        <v>12</v>
      </c>
      <c r="F216" s="484" t="s">
        <v>13</v>
      </c>
      <c r="G216" s="485" t="s">
        <v>14</v>
      </c>
      <c r="H216" s="483" t="s">
        <v>11</v>
      </c>
      <c r="I216" s="486" t="s">
        <v>15</v>
      </c>
      <c r="J216" s="485"/>
      <c r="K216" s="487" t="s">
        <v>16</v>
      </c>
      <c r="L216" s="1525"/>
      <c r="M216" s="1550"/>
      <c r="N216" s="488" t="s">
        <v>14</v>
      </c>
      <c r="O216" s="485"/>
      <c r="P216" s="489" t="s">
        <v>18</v>
      </c>
      <c r="Q216" s="490" t="s">
        <v>19</v>
      </c>
      <c r="R216" s="491"/>
      <c r="S216" s="492"/>
      <c r="T216" s="492"/>
    </row>
    <row r="217" spans="1:21">
      <c r="A217" s="961" t="s">
        <v>207</v>
      </c>
      <c r="B217" s="602" t="s">
        <v>184</v>
      </c>
      <c r="C217" s="439" t="s">
        <v>118</v>
      </c>
      <c r="D217" s="184">
        <f>[2]янв18!D291+[2]янв18!D292</f>
        <v>0</v>
      </c>
      <c r="E217" s="41">
        <f>6.6231-6.505</f>
        <v>0.11810000000000009</v>
      </c>
      <c r="F217" s="23">
        <f>+E217</f>
        <v>0.11810000000000009</v>
      </c>
      <c r="G217" s="185">
        <f>ROUND(D217*(E217),2)</f>
        <v>0</v>
      </c>
      <c r="H217" s="620"/>
      <c r="I217" s="620"/>
      <c r="J217" s="620"/>
      <c r="K217" s="634"/>
      <c r="L217" s="603">
        <f>SUM(G217:G219)</f>
        <v>6.8900000000000006</v>
      </c>
      <c r="M217" s="187"/>
      <c r="N217" s="615"/>
      <c r="O217" s="962" t="s">
        <v>188</v>
      </c>
      <c r="P217" s="615"/>
      <c r="Q217" s="615"/>
    </row>
    <row r="218" spans="1:21">
      <c r="A218" s="934"/>
      <c r="B218" s="506"/>
      <c r="C218" s="48" t="s">
        <v>119</v>
      </c>
      <c r="D218" s="49">
        <v>0.04</v>
      </c>
      <c r="E218" s="41">
        <v>6.6231</v>
      </c>
      <c r="F218" s="41">
        <f>+E218</f>
        <v>6.6231</v>
      </c>
      <c r="G218" s="50">
        <f>ROUND(D218*(E218),2)+0.01</f>
        <v>0.27</v>
      </c>
      <c r="H218" s="296"/>
      <c r="I218" s="298"/>
      <c r="J218" s="298"/>
      <c r="K218" s="637"/>
      <c r="L218" s="606"/>
      <c r="M218" s="935"/>
      <c r="N218" s="615"/>
      <c r="O218" s="615"/>
      <c r="P218" s="615"/>
      <c r="Q218" s="615"/>
    </row>
    <row r="219" spans="1:21" ht="15.75" thickBot="1">
      <c r="A219" s="934"/>
      <c r="B219" s="506"/>
      <c r="C219" s="54" t="s">
        <v>29</v>
      </c>
      <c r="D219" s="296">
        <v>1</v>
      </c>
      <c r="E219" s="56">
        <v>6.6231</v>
      </c>
      <c r="F219" s="41">
        <f>+E219</f>
        <v>6.6231</v>
      </c>
      <c r="G219" s="50">
        <f t="shared" ref="G219" si="33">ROUND(D219*(E219),2)</f>
        <v>6.62</v>
      </c>
      <c r="H219" s="296"/>
      <c r="I219" s="298"/>
      <c r="J219" s="298"/>
      <c r="K219" s="637"/>
      <c r="L219" s="614"/>
      <c r="M219" s="935"/>
      <c r="N219" s="615"/>
      <c r="O219" s="615"/>
      <c r="P219" s="615"/>
      <c r="Q219" s="615"/>
    </row>
    <row r="220" spans="1:21" ht="15.75" thickTop="1">
      <c r="A220" s="376">
        <v>100</v>
      </c>
      <c r="B220" s="494" t="s">
        <v>193</v>
      </c>
      <c r="C220" s="71">
        <f>+[1]дек!U72</f>
        <v>0</v>
      </c>
      <c r="D220" s="495">
        <v>8</v>
      </c>
      <c r="E220" s="21">
        <v>36.214199999999998</v>
      </c>
      <c r="F220" s="21">
        <v>42.4328</v>
      </c>
      <c r="G220" s="185">
        <f>ROUND(D220*(E220+F220),2)</f>
        <v>629.17999999999995</v>
      </c>
      <c r="H220" s="496"/>
      <c r="I220" s="73"/>
      <c r="J220" s="73"/>
      <c r="K220" s="601"/>
      <c r="L220" s="498">
        <f>SUM(G220:G227)+SUM(J220:J226)</f>
        <v>25495.339999999997</v>
      </c>
      <c r="M220" s="26">
        <v>25495.34</v>
      </c>
      <c r="N220" s="499"/>
      <c r="O220" s="500"/>
      <c r="P220" s="501" t="s">
        <v>87</v>
      </c>
      <c r="Q220" s="595">
        <f t="shared" ref="Q220" si="34">C220+G220+J220-M220-N220-O220</f>
        <v>-24866.16</v>
      </c>
    </row>
    <row r="221" spans="1:21" ht="15.75" thickBot="1">
      <c r="A221" s="389"/>
      <c r="B221" s="506"/>
      <c r="C221" s="507" t="s">
        <v>96</v>
      </c>
      <c r="D221" s="234"/>
      <c r="E221" s="38"/>
      <c r="F221" s="38"/>
      <c r="G221" s="235">
        <f>ROUND(D221*(E221+F221),2)</f>
        <v>0</v>
      </c>
      <c r="H221" s="448"/>
      <c r="I221" s="509"/>
      <c r="J221" s="199"/>
      <c r="K221" s="517"/>
      <c r="L221" s="511"/>
      <c r="M221" s="512"/>
      <c r="N221" s="513"/>
      <c r="O221" s="514"/>
      <c r="P221" s="515"/>
      <c r="Q221" s="262"/>
      <c r="U221" s="33"/>
    </row>
    <row r="222" spans="1:21">
      <c r="A222" s="389"/>
      <c r="B222" s="516" t="s">
        <v>89</v>
      </c>
      <c r="C222" s="512" t="s">
        <v>90</v>
      </c>
      <c r="D222" s="508">
        <v>1</v>
      </c>
      <c r="E222" s="101">
        <v>326.58</v>
      </c>
      <c r="F222" s="21">
        <v>42.4328</v>
      </c>
      <c r="G222" s="50">
        <f>ROUND(D222*(E222+F222),2)</f>
        <v>369.01</v>
      </c>
      <c r="H222" s="270"/>
      <c r="I222" s="41"/>
      <c r="J222" s="207"/>
      <c r="K222" s="517"/>
      <c r="L222" s="517"/>
      <c r="M222" s="99"/>
      <c r="N222" s="518"/>
      <c r="O222" s="519"/>
      <c r="P222" s="515" t="s">
        <v>87</v>
      </c>
      <c r="Q222" s="271">
        <f>+G222+J222-M222-N222-O222</f>
        <v>369.01</v>
      </c>
    </row>
    <row r="223" spans="1:21">
      <c r="A223" s="389"/>
      <c r="B223" s="541"/>
      <c r="C223" s="84" t="s">
        <v>97</v>
      </c>
      <c r="D223" s="508"/>
      <c r="E223" s="41"/>
      <c r="F223" s="38"/>
      <c r="G223" s="50">
        <f>ROUND(D223*(E223+F223),2)</f>
        <v>0</v>
      </c>
      <c r="H223" s="432"/>
      <c r="I223" s="362"/>
      <c r="J223" s="207"/>
      <c r="K223" s="517"/>
      <c r="L223" s="517"/>
      <c r="M223" s="520"/>
      <c r="N223" s="521"/>
      <c r="O223" s="522"/>
      <c r="P223" s="523"/>
      <c r="Q223" s="362"/>
    </row>
    <row r="224" spans="1:21">
      <c r="A224" s="389"/>
      <c r="B224" s="541" t="s">
        <v>194</v>
      </c>
      <c r="C224" s="84"/>
      <c r="D224" s="508"/>
      <c r="E224" s="41"/>
      <c r="F224" s="41"/>
      <c r="G224" s="50"/>
      <c r="H224" s="432"/>
      <c r="I224" s="362"/>
      <c r="J224" s="207"/>
      <c r="K224" s="517"/>
      <c r="L224" s="517"/>
      <c r="M224" s="520"/>
      <c r="N224" s="521"/>
      <c r="O224" s="522"/>
      <c r="P224" s="523"/>
      <c r="Q224" s="362"/>
    </row>
    <row r="225" spans="1:21">
      <c r="A225" s="389"/>
      <c r="B225" s="506"/>
      <c r="C225" s="48" t="s">
        <v>118</v>
      </c>
      <c r="D225" s="37"/>
      <c r="E225" s="41"/>
      <c r="F225" s="41">
        <f>+E225</f>
        <v>0</v>
      </c>
      <c r="G225" s="39">
        <f>ROUND(D225*E225,2)</f>
        <v>0</v>
      </c>
      <c r="H225" s="432"/>
      <c r="I225" s="362"/>
      <c r="J225" s="207"/>
      <c r="K225" s="517"/>
      <c r="L225" s="517"/>
      <c r="M225" s="520"/>
      <c r="N225" s="521"/>
      <c r="O225" s="522"/>
      <c r="P225" s="523"/>
      <c r="Q225" s="362"/>
    </row>
    <row r="226" spans="1:21">
      <c r="A226" s="389"/>
      <c r="B226" s="506"/>
      <c r="C226" s="48" t="s">
        <v>119</v>
      </c>
      <c r="D226" s="37">
        <v>155</v>
      </c>
      <c r="E226" s="41">
        <v>6.6986999999999997</v>
      </c>
      <c r="F226" s="41">
        <f>+E226</f>
        <v>6.6986999999999997</v>
      </c>
      <c r="G226" s="39">
        <f>ROUND(D226*E226,2)</f>
        <v>1038.3</v>
      </c>
      <c r="H226" s="432"/>
      <c r="I226" s="362"/>
      <c r="J226" s="207"/>
      <c r="K226" s="517"/>
      <c r="L226" s="517"/>
      <c r="M226" s="520"/>
      <c r="N226" s="521"/>
      <c r="O226" s="522"/>
      <c r="P226" s="523"/>
      <c r="Q226" s="362"/>
      <c r="U226" s="33"/>
    </row>
    <row r="227" spans="1:21" ht="15.75" thickBot="1">
      <c r="A227" s="411"/>
      <c r="B227" s="526"/>
      <c r="C227" s="99" t="s">
        <v>29</v>
      </c>
      <c r="D227" s="55">
        <v>3502</v>
      </c>
      <c r="E227" s="56">
        <v>6.6986999999999997</v>
      </c>
      <c r="F227" s="281">
        <f>+E227</f>
        <v>6.6986999999999997</v>
      </c>
      <c r="G227" s="58">
        <f>ROUND(D227*E227,2)</f>
        <v>23458.85</v>
      </c>
      <c r="H227" s="248"/>
      <c r="I227" s="203"/>
      <c r="J227" s="60"/>
      <c r="K227" s="61"/>
      <c r="L227" s="249"/>
      <c r="M227" s="54"/>
      <c r="N227" s="521"/>
      <c r="O227" s="528"/>
      <c r="P227" s="529" t="s">
        <v>87</v>
      </c>
      <c r="Q227" s="362">
        <f>+G227+J227-M227-N227-O227</f>
        <v>23458.85</v>
      </c>
    </row>
    <row r="228" spans="1:21" ht="15.75" collapsed="1" thickTop="1">
      <c r="A228" s="389">
        <v>113</v>
      </c>
      <c r="B228" s="494" t="s">
        <v>102</v>
      </c>
      <c r="C228" s="71">
        <f>+[1]дек!U57</f>
        <v>0</v>
      </c>
      <c r="D228" s="495">
        <v>19</v>
      </c>
      <c r="E228" s="21">
        <v>36.214199999999998</v>
      </c>
      <c r="F228" s="21">
        <v>42.4328</v>
      </c>
      <c r="G228" s="185">
        <f>ROUND(D228*(E228+F228),2)</f>
        <v>1494.29</v>
      </c>
      <c r="H228" s="496"/>
      <c r="I228" s="73"/>
      <c r="J228" s="73"/>
      <c r="K228" s="497"/>
      <c r="L228" s="498">
        <f>SUM(G228:G234)+SUM(J228:J233)</f>
        <v>32400.959999999999</v>
      </c>
      <c r="M228" s="26">
        <v>32400.959999999999</v>
      </c>
      <c r="N228" s="594"/>
      <c r="O228" s="535"/>
      <c r="P228" s="536" t="s">
        <v>87</v>
      </c>
      <c r="Q228" s="595">
        <f>C228+G228+J228-M228-N228-O228</f>
        <v>-30906.67</v>
      </c>
      <c r="R228" s="502" t="s">
        <v>88</v>
      </c>
      <c r="S228" s="503"/>
      <c r="T228" s="504"/>
      <c r="U228" s="33">
        <f>+M228-L228</f>
        <v>0</v>
      </c>
    </row>
    <row r="229" spans="1:21">
      <c r="A229" s="389"/>
      <c r="B229" s="506"/>
      <c r="C229" s="542"/>
      <c r="D229" s="508"/>
      <c r="E229" s="38"/>
      <c r="F229" s="38"/>
      <c r="G229" s="50">
        <f>ROUND(D229*(E229+F229),2)</f>
        <v>0</v>
      </c>
      <c r="H229" s="596"/>
      <c r="I229" s="409"/>
      <c r="J229" s="509"/>
      <c r="K229" s="543"/>
      <c r="L229" s="511"/>
      <c r="M229" s="99"/>
      <c r="N229" s="513"/>
      <c r="O229" s="514"/>
      <c r="P229" s="515"/>
      <c r="Q229" s="262"/>
      <c r="R229" s="502"/>
      <c r="S229" s="503"/>
      <c r="T229" s="504"/>
    </row>
    <row r="230" spans="1:21">
      <c r="A230" s="389"/>
      <c r="B230" s="516" t="s">
        <v>103</v>
      </c>
      <c r="C230" s="99" t="s">
        <v>90</v>
      </c>
      <c r="D230" s="508">
        <v>12</v>
      </c>
      <c r="E230" s="101">
        <v>444.53</v>
      </c>
      <c r="F230" s="38">
        <v>42.4328</v>
      </c>
      <c r="G230" s="50">
        <f>ROUND(D230*(E230+F230),2)</f>
        <v>5843.55</v>
      </c>
      <c r="H230" s="270"/>
      <c r="I230" s="41"/>
      <c r="J230" s="409"/>
      <c r="K230" s="510"/>
      <c r="L230" s="597"/>
      <c r="M230" s="99"/>
      <c r="N230" s="518"/>
      <c r="O230" s="519"/>
      <c r="P230" s="515" t="s">
        <v>87</v>
      </c>
      <c r="Q230" s="271">
        <f>+G230+J230-M230-N230-O230</f>
        <v>5843.55</v>
      </c>
      <c r="R230" s="502" t="s">
        <v>88</v>
      </c>
      <c r="S230" s="503"/>
      <c r="T230" s="504"/>
    </row>
    <row r="231" spans="1:21">
      <c r="A231" s="389"/>
      <c r="B231" s="506"/>
      <c r="C231" s="390" t="s">
        <v>97</v>
      </c>
      <c r="D231" s="508">
        <f>[2]янв18!D232</f>
        <v>12</v>
      </c>
      <c r="E231" s="41">
        <f>444.53-304.86</f>
        <v>139.66999999999996</v>
      </c>
      <c r="F231" s="38"/>
      <c r="G231" s="50">
        <f>D231*(E231+F231)</f>
        <v>1676.0399999999995</v>
      </c>
      <c r="H231" s="432"/>
      <c r="I231" s="362"/>
      <c r="J231" s="41"/>
      <c r="K231" s="510"/>
      <c r="L231" s="597"/>
      <c r="M231" s="99"/>
      <c r="N231" s="521"/>
      <c r="O231" s="522"/>
      <c r="P231" s="523"/>
      <c r="Q231" s="362"/>
      <c r="R231" s="502"/>
      <c r="S231" s="503"/>
      <c r="T231" s="504"/>
    </row>
    <row r="232" spans="1:21">
      <c r="A232" s="389"/>
      <c r="B232" s="506"/>
      <c r="C232" s="48" t="s">
        <v>118</v>
      </c>
      <c r="D232" s="37">
        <f>[2]янв18!D235+[2]янв18!D236</f>
        <v>2980</v>
      </c>
      <c r="E232" s="41">
        <f>6.6231-6.505</f>
        <v>0.11810000000000009</v>
      </c>
      <c r="F232" s="297">
        <f t="shared" ref="F232:F234" si="35">+E232</f>
        <v>0.11810000000000009</v>
      </c>
      <c r="G232" s="39">
        <f>ROUND(D232*(E232+F232)/2,2)</f>
        <v>351.94</v>
      </c>
      <c r="H232" s="432"/>
      <c r="I232" s="362"/>
      <c r="J232" s="41"/>
      <c r="K232" s="510"/>
      <c r="L232" s="597"/>
      <c r="M232" s="99"/>
      <c r="N232" s="521"/>
      <c r="O232" s="522"/>
      <c r="P232" s="523"/>
      <c r="Q232" s="362"/>
      <c r="R232" s="502"/>
      <c r="S232" s="503"/>
      <c r="T232" s="504"/>
    </row>
    <row r="233" spans="1:21">
      <c r="A233" s="389"/>
      <c r="B233" s="506"/>
      <c r="C233" s="48" t="s">
        <v>119</v>
      </c>
      <c r="D233" s="37">
        <f>65+83</f>
        <v>148</v>
      </c>
      <c r="E233" s="41">
        <v>6.6231</v>
      </c>
      <c r="F233" s="298">
        <f t="shared" si="35"/>
        <v>6.6231</v>
      </c>
      <c r="G233" s="39">
        <f>ROUND(D233*E233,2)</f>
        <v>980.22</v>
      </c>
      <c r="H233" s="432"/>
      <c r="I233" s="362"/>
      <c r="J233" s="41"/>
      <c r="K233" s="510"/>
      <c r="L233" s="597"/>
      <c r="M233" s="99"/>
      <c r="N233" s="521"/>
      <c r="O233" s="522"/>
      <c r="P233" s="523"/>
      <c r="Q233" s="362"/>
      <c r="R233" s="502"/>
      <c r="S233" s="503"/>
      <c r="T233" s="504"/>
    </row>
    <row r="234" spans="1:21" ht="15.75" thickBot="1">
      <c r="A234" s="369"/>
      <c r="B234" s="526"/>
      <c r="C234" s="99" t="s">
        <v>29</v>
      </c>
      <c r="D234" s="55">
        <v>3330</v>
      </c>
      <c r="E234" s="56">
        <v>6.6231</v>
      </c>
      <c r="F234" s="57">
        <f t="shared" si="35"/>
        <v>6.6231</v>
      </c>
      <c r="G234" s="414">
        <f>ROUND(D234*E234,2)</f>
        <v>22054.92</v>
      </c>
      <c r="H234" s="248"/>
      <c r="I234" s="203"/>
      <c r="J234" s="60"/>
      <c r="K234" s="61"/>
      <c r="L234" s="249"/>
      <c r="M234" s="54"/>
      <c r="N234" s="527"/>
      <c r="O234" s="528"/>
      <c r="P234" s="529" t="s">
        <v>87</v>
      </c>
      <c r="Q234" s="58">
        <f>+G234+J234-M234-N234-O234</f>
        <v>22054.92</v>
      </c>
      <c r="R234" s="502" t="s">
        <v>88</v>
      </c>
      <c r="S234" s="598">
        <f>SUM(N228:N234)+O228:O234</f>
        <v>0</v>
      </c>
      <c r="T234" s="598">
        <f>SUM(Q228:Q234)</f>
        <v>-3008.2000000000007</v>
      </c>
    </row>
    <row r="235" spans="1:21">
      <c r="A235" s="376">
        <v>200</v>
      </c>
      <c r="B235" s="602" t="s">
        <v>186</v>
      </c>
      <c r="C235" s="439" t="s">
        <v>118</v>
      </c>
      <c r="D235" s="184">
        <f>[2]янв18!D294+[2]янв18!D295</f>
        <v>186</v>
      </c>
      <c r="E235" s="41">
        <f>6.6231-6.505</f>
        <v>0.11810000000000009</v>
      </c>
      <c r="F235" s="23">
        <f t="shared" ref="F235" si="36">+E235</f>
        <v>0.11810000000000009</v>
      </c>
      <c r="G235" s="185">
        <f>ROUND(D235*(E235),2)+0.01</f>
        <v>21.98</v>
      </c>
      <c r="H235" s="620"/>
      <c r="I235" s="620"/>
      <c r="J235" s="620"/>
      <c r="K235" s="634"/>
      <c r="L235" s="603">
        <f>SUM(G235:G237)</f>
        <v>1704.24</v>
      </c>
      <c r="M235" s="187">
        <v>1704.24</v>
      </c>
      <c r="N235" s="615"/>
      <c r="O235" s="615"/>
      <c r="P235" s="615"/>
      <c r="Q235" s="615"/>
    </row>
    <row r="236" spans="1:21">
      <c r="A236" s="934"/>
      <c r="B236" s="506"/>
      <c r="C236" s="48" t="s">
        <v>119</v>
      </c>
      <c r="D236" s="49">
        <v>11</v>
      </c>
      <c r="E236" s="41">
        <v>6.6231</v>
      </c>
      <c r="F236" s="41">
        <f>+E236</f>
        <v>6.6231</v>
      </c>
      <c r="G236" s="50">
        <f>ROUND(D236*(E236),2)</f>
        <v>72.849999999999994</v>
      </c>
      <c r="H236" s="296"/>
      <c r="I236" s="298"/>
      <c r="J236" s="298"/>
      <c r="K236" s="637"/>
      <c r="L236" s="606"/>
      <c r="M236" s="935"/>
      <c r="N236" s="615"/>
      <c r="O236" s="615"/>
      <c r="P236" s="615"/>
      <c r="Q236" s="615"/>
    </row>
    <row r="237" spans="1:21" ht="15.75" thickBot="1">
      <c r="A237" s="934"/>
      <c r="B237" s="506"/>
      <c r="C237" s="54" t="s">
        <v>29</v>
      </c>
      <c r="D237" s="296">
        <v>243</v>
      </c>
      <c r="E237" s="56">
        <v>6.6231</v>
      </c>
      <c r="F237" s="41">
        <f>+E237</f>
        <v>6.6231</v>
      </c>
      <c r="G237" s="50">
        <f t="shared" ref="G237" si="37">ROUND(D237*(E237),2)</f>
        <v>1609.41</v>
      </c>
      <c r="H237" s="296"/>
      <c r="I237" s="298"/>
      <c r="J237" s="298"/>
      <c r="K237" s="637"/>
      <c r="L237" s="614"/>
      <c r="M237" s="935"/>
      <c r="N237" s="615"/>
      <c r="O237" s="615"/>
      <c r="P237" s="615"/>
      <c r="Q237" s="615"/>
    </row>
    <row r="238" spans="1:21">
      <c r="A238" s="376" t="s">
        <v>208</v>
      </c>
      <c r="B238" s="602" t="s">
        <v>209</v>
      </c>
      <c r="C238" s="439" t="s">
        <v>118</v>
      </c>
      <c r="D238" s="184"/>
      <c r="E238" s="41">
        <f>6.6231-6.505</f>
        <v>0.11810000000000009</v>
      </c>
      <c r="F238" s="23">
        <f>+E238</f>
        <v>0.11810000000000009</v>
      </c>
      <c r="G238" s="185">
        <f>ROUND(D238*(E238),2)</f>
        <v>0</v>
      </c>
      <c r="H238" s="620"/>
      <c r="I238" s="620"/>
      <c r="J238" s="620"/>
      <c r="K238" s="634"/>
      <c r="L238" s="603">
        <f>SUM(G238:G240)</f>
        <v>470.24</v>
      </c>
      <c r="M238" s="187">
        <v>470.24</v>
      </c>
      <c r="N238" s="615"/>
      <c r="O238" s="615"/>
      <c r="P238" s="615"/>
      <c r="Q238" s="615"/>
    </row>
    <row r="239" spans="1:21">
      <c r="A239" s="934"/>
      <c r="B239" s="506"/>
      <c r="C239" s="48" t="s">
        <v>119</v>
      </c>
      <c r="D239" s="49">
        <v>3</v>
      </c>
      <c r="E239" s="41">
        <v>6.6231</v>
      </c>
      <c r="F239" s="41">
        <f>+E239</f>
        <v>6.6231</v>
      </c>
      <c r="G239" s="50">
        <f>ROUND(D239*(E239),2)</f>
        <v>19.87</v>
      </c>
      <c r="H239" s="296"/>
      <c r="I239" s="298"/>
      <c r="J239" s="298"/>
      <c r="K239" s="637"/>
      <c r="L239" s="606"/>
      <c r="M239" s="935"/>
      <c r="N239" s="615"/>
      <c r="O239" s="615"/>
      <c r="P239" s="615"/>
      <c r="Q239" s="615"/>
    </row>
    <row r="240" spans="1:21" ht="15.75" thickBot="1">
      <c r="A240" s="934"/>
      <c r="B240" s="506"/>
      <c r="C240" s="54" t="s">
        <v>29</v>
      </c>
      <c r="D240" s="296">
        <v>68</v>
      </c>
      <c r="E240" s="56">
        <v>6.6231</v>
      </c>
      <c r="F240" s="41">
        <f>+E240</f>
        <v>6.6231</v>
      </c>
      <c r="G240" s="50">
        <f t="shared" ref="G240" si="38">ROUND(D240*(E240),2)</f>
        <v>450.37</v>
      </c>
      <c r="H240" s="296"/>
      <c r="I240" s="298"/>
      <c r="J240" s="298"/>
      <c r="K240" s="637"/>
      <c r="L240" s="614"/>
      <c r="M240" s="935"/>
      <c r="N240" s="615"/>
      <c r="O240" s="615"/>
      <c r="P240" s="615"/>
      <c r="Q240" s="615"/>
    </row>
    <row r="241" spans="1:17">
      <c r="A241" s="376">
        <v>201</v>
      </c>
      <c r="B241" s="602" t="s">
        <v>107</v>
      </c>
      <c r="C241" s="618" t="s">
        <v>73</v>
      </c>
      <c r="D241" s="619">
        <v>5</v>
      </c>
      <c r="E241" s="21">
        <v>36.214199999999998</v>
      </c>
      <c r="F241" s="21">
        <v>42.4328</v>
      </c>
      <c r="G241" s="185">
        <f>ROUND(D241*(E241+F241),2)</f>
        <v>393.24</v>
      </c>
      <c r="H241" s="620"/>
      <c r="I241" s="620"/>
      <c r="J241" s="620"/>
      <c r="K241" s="620"/>
      <c r="L241" s="603">
        <f>SUM(G241:G245,J241:J245)</f>
        <v>5526.59</v>
      </c>
      <c r="M241" s="187">
        <v>5526.59</v>
      </c>
      <c r="N241" s="621"/>
      <c r="O241" s="621"/>
      <c r="P241" s="621"/>
      <c r="Q241" s="622"/>
    </row>
    <row r="242" spans="1:17">
      <c r="A242" s="936"/>
      <c r="B242" s="612"/>
      <c r="C242" s="542" t="s">
        <v>96</v>
      </c>
      <c r="D242" s="234"/>
      <c r="E242" s="38"/>
      <c r="F242" s="38"/>
      <c r="G242" s="235">
        <f>ROUND(D242*(E242+F242),2)</f>
        <v>0</v>
      </c>
      <c r="H242" s="298"/>
      <c r="I242" s="298"/>
      <c r="J242" s="298"/>
      <c r="K242" s="298"/>
      <c r="L242" s="606"/>
      <c r="M242" s="935"/>
      <c r="N242" s="615"/>
      <c r="O242" s="615"/>
      <c r="P242" s="615"/>
      <c r="Q242" s="616"/>
    </row>
    <row r="243" spans="1:17">
      <c r="A243" s="936"/>
      <c r="B243" s="612"/>
      <c r="C243" s="48" t="s">
        <v>118</v>
      </c>
      <c r="D243" s="623">
        <f>[2]янв18!D259+[2]янв18!D260</f>
        <v>845</v>
      </c>
      <c r="E243" s="41">
        <f>6.6231-6.505</f>
        <v>0.11810000000000009</v>
      </c>
      <c r="F243" s="41">
        <f>+E243</f>
        <v>0.11810000000000009</v>
      </c>
      <c r="G243" s="50">
        <f t="shared" ref="G243:G250" si="39">ROUND(D243*(E243),2)</f>
        <v>99.79</v>
      </c>
      <c r="H243" s="298"/>
      <c r="I243" s="298"/>
      <c r="J243" s="298"/>
      <c r="K243" s="298"/>
      <c r="L243" s="614"/>
      <c r="M243" s="935"/>
      <c r="N243" s="615"/>
      <c r="O243" s="615"/>
      <c r="P243" s="615"/>
      <c r="Q243" s="616"/>
    </row>
    <row r="244" spans="1:17">
      <c r="A244" s="936"/>
      <c r="B244" s="612"/>
      <c r="C244" s="48" t="s">
        <v>119</v>
      </c>
      <c r="D244" s="623">
        <v>32</v>
      </c>
      <c r="E244" s="41">
        <v>6.6231</v>
      </c>
      <c r="F244" s="41">
        <f>+E244</f>
        <v>6.6231</v>
      </c>
      <c r="G244" s="39">
        <f t="shared" si="39"/>
        <v>211.94</v>
      </c>
      <c r="H244" s="298"/>
      <c r="I244" s="298"/>
      <c r="J244" s="298"/>
      <c r="K244" s="298"/>
      <c r="L244" s="614"/>
      <c r="M244" s="273"/>
      <c r="N244" s="615"/>
      <c r="O244" s="615"/>
      <c r="P244" s="615"/>
      <c r="Q244" s="616"/>
    </row>
    <row r="245" spans="1:17" ht="15.75" thickBot="1">
      <c r="A245" s="937"/>
      <c r="B245" s="526"/>
      <c r="C245" s="99" t="s">
        <v>29</v>
      </c>
      <c r="D245" s="625">
        <v>728</v>
      </c>
      <c r="E245" s="56">
        <v>6.6231</v>
      </c>
      <c r="F245" s="281">
        <f>+E245</f>
        <v>6.6231</v>
      </c>
      <c r="G245" s="414">
        <f t="shared" si="39"/>
        <v>4821.62</v>
      </c>
      <c r="H245" s="41"/>
      <c r="I245" s="41"/>
      <c r="J245" s="281"/>
      <c r="K245" s="281"/>
      <c r="L245" s="784"/>
      <c r="M245" s="938"/>
      <c r="N245" s="626"/>
      <c r="O245" s="626"/>
      <c r="P245" s="626"/>
      <c r="Q245" s="627"/>
    </row>
    <row r="246" spans="1:17">
      <c r="A246" s="376">
        <v>301</v>
      </c>
      <c r="B246" s="602" t="s">
        <v>106</v>
      </c>
      <c r="C246" s="48" t="s">
        <v>118</v>
      </c>
      <c r="D246" s="184">
        <f>[2]янв18!D254+[2]янв18!D255</f>
        <v>694.46</v>
      </c>
      <c r="E246" s="41">
        <f>6.6231-6.505</f>
        <v>0.11810000000000009</v>
      </c>
      <c r="F246" s="23">
        <f t="shared" ref="F246:F248" si="40">+E246</f>
        <v>0.11810000000000009</v>
      </c>
      <c r="G246" s="185">
        <f t="shared" si="39"/>
        <v>82.02</v>
      </c>
      <c r="H246" s="23"/>
      <c r="I246" s="23"/>
      <c r="J246" s="23"/>
      <c r="K246" s="23"/>
      <c r="L246" s="603">
        <f>SUM(G246:G248)</f>
        <v>5393.88</v>
      </c>
      <c r="M246" s="187">
        <v>5393.88</v>
      </c>
      <c r="N246" s="604"/>
      <c r="O246" s="500"/>
      <c r="P246" s="501"/>
      <c r="Q246" s="605"/>
    </row>
    <row r="247" spans="1:17">
      <c r="A247" s="389"/>
      <c r="B247" s="506"/>
      <c r="C247" s="48" t="s">
        <v>119</v>
      </c>
      <c r="D247" s="49">
        <v>34.020000000000003</v>
      </c>
      <c r="E247" s="41">
        <v>6.6231</v>
      </c>
      <c r="F247" s="41">
        <f t="shared" si="40"/>
        <v>6.6231</v>
      </c>
      <c r="G247" s="50">
        <f t="shared" si="39"/>
        <v>225.32</v>
      </c>
      <c r="H247" s="41"/>
      <c r="I247" s="41"/>
      <c r="J247" s="41"/>
      <c r="K247" s="41"/>
      <c r="L247" s="606"/>
      <c r="M247" s="935"/>
      <c r="N247" s="607"/>
      <c r="O247" s="608"/>
      <c r="P247" s="609"/>
      <c r="Q247" s="610"/>
    </row>
    <row r="248" spans="1:17" ht="15.75" thickBot="1">
      <c r="A248" s="936"/>
      <c r="B248" s="612"/>
      <c r="C248" s="99" t="s">
        <v>29</v>
      </c>
      <c r="D248" s="613">
        <v>768</v>
      </c>
      <c r="E248" s="56">
        <v>6.6231</v>
      </c>
      <c r="F248" s="281">
        <f t="shared" si="40"/>
        <v>6.6231</v>
      </c>
      <c r="G248" s="58">
        <f t="shared" si="39"/>
        <v>5086.54</v>
      </c>
      <c r="H248" s="57"/>
      <c r="I248" s="57"/>
      <c r="J248" s="57"/>
      <c r="K248" s="57"/>
      <c r="L248" s="614"/>
      <c r="M248" s="935"/>
      <c r="N248" s="615"/>
      <c r="O248" s="615"/>
      <c r="P248" s="615"/>
      <c r="Q248" s="616"/>
    </row>
    <row r="249" spans="1:17">
      <c r="A249" s="447" t="s">
        <v>205</v>
      </c>
      <c r="B249" s="602" t="s">
        <v>183</v>
      </c>
      <c r="C249" s="439" t="s">
        <v>118</v>
      </c>
      <c r="D249" s="184">
        <f>[2]янв18!D288+[2]янв18!D289</f>
        <v>416</v>
      </c>
      <c r="E249" s="41">
        <f>6.6231-6.505</f>
        <v>0.11810000000000009</v>
      </c>
      <c r="F249" s="23">
        <f>+E249</f>
        <v>0.11810000000000009</v>
      </c>
      <c r="G249" s="185">
        <f t="shared" si="39"/>
        <v>49.13</v>
      </c>
      <c r="H249" s="620"/>
      <c r="I249" s="620"/>
      <c r="J249" s="620"/>
      <c r="K249" s="634"/>
      <c r="L249" s="603">
        <f>SUM(G249:G251)</f>
        <v>3175.23</v>
      </c>
      <c r="M249" s="187">
        <v>3175.23</v>
      </c>
      <c r="N249" s="604"/>
      <c r="O249" s="635"/>
      <c r="P249" s="636"/>
      <c r="Q249" s="605"/>
    </row>
    <row r="250" spans="1:17">
      <c r="A250" s="450" t="s">
        <v>206</v>
      </c>
      <c r="B250" s="506"/>
      <c r="C250" s="48" t="s">
        <v>119</v>
      </c>
      <c r="D250" s="49">
        <v>20</v>
      </c>
      <c r="E250" s="41">
        <v>6.6231</v>
      </c>
      <c r="F250" s="41">
        <f>+E250</f>
        <v>6.6231</v>
      </c>
      <c r="G250" s="50">
        <f t="shared" si="39"/>
        <v>132.46</v>
      </c>
      <c r="H250" s="296"/>
      <c r="I250" s="298"/>
      <c r="J250" s="298"/>
      <c r="K250" s="637"/>
      <c r="L250" s="606"/>
      <c r="M250" s="935"/>
      <c r="N250" s="607"/>
      <c r="O250" s="608"/>
      <c r="P250" s="609"/>
      <c r="Q250" s="610"/>
    </row>
    <row r="251" spans="1:17" ht="15.75" thickBot="1">
      <c r="A251" s="451">
        <v>305</v>
      </c>
      <c r="B251" s="506"/>
      <c r="C251" s="54" t="s">
        <v>29</v>
      </c>
      <c r="D251" s="296">
        <v>452</v>
      </c>
      <c r="E251" s="56">
        <v>6.6231</v>
      </c>
      <c r="F251" s="41">
        <f t="shared" ref="F251" si="41">+E251</f>
        <v>6.6231</v>
      </c>
      <c r="G251" s="50">
        <f t="shared" ref="G251" si="42">ROUND(D251*(E251),2)</f>
        <v>2993.64</v>
      </c>
      <c r="H251" s="296"/>
      <c r="I251" s="298"/>
      <c r="J251" s="298"/>
      <c r="K251" s="637"/>
      <c r="L251" s="614"/>
      <c r="M251" s="935"/>
      <c r="N251" s="615"/>
      <c r="O251" s="615"/>
      <c r="P251" s="615"/>
      <c r="Q251" s="616"/>
    </row>
    <row r="252" spans="1:17" collapsed="1">
      <c r="A252" s="376">
        <v>307</v>
      </c>
      <c r="B252" s="602" t="s">
        <v>163</v>
      </c>
      <c r="C252" s="439" t="s">
        <v>118</v>
      </c>
      <c r="D252" s="184">
        <f>[2]янв18!D285+[2]янв18!D286</f>
        <v>473</v>
      </c>
      <c r="E252" s="23">
        <f>6.6231-6.505</f>
        <v>0.11810000000000009</v>
      </c>
      <c r="F252" s="23">
        <f t="shared" ref="F252" si="43">+E252</f>
        <v>0.11810000000000009</v>
      </c>
      <c r="G252" s="185">
        <f>ROUND(D252*(E252),2)</f>
        <v>55.86</v>
      </c>
      <c r="H252" s="669"/>
      <c r="I252" s="620"/>
      <c r="J252" s="620"/>
      <c r="K252" s="634"/>
      <c r="L252" s="603">
        <f>SUM(G252:G254)</f>
        <v>2566.02</v>
      </c>
      <c r="M252" s="187">
        <v>2566.02</v>
      </c>
      <c r="N252" s="604"/>
      <c r="O252" s="635"/>
      <c r="P252" s="636"/>
      <c r="Q252" s="605"/>
    </row>
    <row r="253" spans="1:17">
      <c r="A253" s="934"/>
      <c r="B253" s="506"/>
      <c r="C253" s="48" t="s">
        <v>119</v>
      </c>
      <c r="D253" s="49">
        <v>16</v>
      </c>
      <c r="E253" s="41">
        <v>6.6231</v>
      </c>
      <c r="F253" s="41">
        <f>+E253</f>
        <v>6.6231</v>
      </c>
      <c r="G253" s="50">
        <f>ROUND(D253*(E253),2)</f>
        <v>105.97</v>
      </c>
      <c r="H253" s="296"/>
      <c r="I253" s="298"/>
      <c r="J253" s="298"/>
      <c r="K253" s="637"/>
      <c r="L253" s="606"/>
      <c r="M253" s="935"/>
      <c r="N253" s="607"/>
      <c r="O253" s="608"/>
      <c r="P253" s="609"/>
      <c r="Q253" s="610"/>
    </row>
    <row r="254" spans="1:17" ht="15.75" thickBot="1">
      <c r="A254" s="960"/>
      <c r="B254" s="506"/>
      <c r="C254" s="54" t="s">
        <v>29</v>
      </c>
      <c r="D254" s="296">
        <v>363</v>
      </c>
      <c r="E254" s="56">
        <v>6.6231</v>
      </c>
      <c r="F254" s="41">
        <f t="shared" ref="F254" si="44">+E254</f>
        <v>6.6231</v>
      </c>
      <c r="G254" s="50">
        <f t="shared" ref="G254" si="45">ROUND(D254*(E254),2)</f>
        <v>2404.19</v>
      </c>
      <c r="H254" s="296"/>
      <c r="I254" s="298"/>
      <c r="J254" s="298"/>
      <c r="K254" s="637"/>
      <c r="L254" s="614"/>
      <c r="M254" s="935"/>
      <c r="N254" s="615"/>
      <c r="O254" s="615"/>
      <c r="P254" s="615"/>
      <c r="Q254" s="616"/>
    </row>
    <row r="255" spans="1:17" collapsed="1">
      <c r="A255" s="376">
        <v>310</v>
      </c>
      <c r="B255" s="602" t="s">
        <v>195</v>
      </c>
      <c r="C255" s="439" t="s">
        <v>118</v>
      </c>
      <c r="D255" s="184">
        <f>[2]янв18!D297+[2]янв18!D298</f>
        <v>16</v>
      </c>
      <c r="E255" s="41">
        <f>6.6231-6.505</f>
        <v>0.11810000000000009</v>
      </c>
      <c r="F255" s="23">
        <f t="shared" ref="F255" si="46">+E255</f>
        <v>0.11810000000000009</v>
      </c>
      <c r="G255" s="185">
        <f>ROUND(D255*(E255),2)</f>
        <v>1.89</v>
      </c>
      <c r="H255" s="620"/>
      <c r="I255" s="620"/>
      <c r="J255" s="620"/>
      <c r="K255" s="634"/>
      <c r="L255" s="603">
        <f>SUM(G255:G257)</f>
        <v>929.12</v>
      </c>
      <c r="M255" s="187">
        <v>929.12</v>
      </c>
      <c r="N255" s="615"/>
      <c r="O255" s="615"/>
      <c r="P255" s="615"/>
      <c r="Q255" s="615"/>
    </row>
    <row r="256" spans="1:17">
      <c r="A256" s="934"/>
      <c r="B256" s="506"/>
      <c r="C256" s="48" t="s">
        <v>119</v>
      </c>
      <c r="D256" s="49">
        <v>6</v>
      </c>
      <c r="E256" s="41">
        <v>6.6231</v>
      </c>
      <c r="F256" s="41">
        <f>+E256</f>
        <v>6.6231</v>
      </c>
      <c r="G256" s="50">
        <f>ROUND(D256*(E256),2)-0.01</f>
        <v>39.730000000000004</v>
      </c>
      <c r="H256" s="296"/>
      <c r="I256" s="298"/>
      <c r="J256" s="298"/>
      <c r="K256" s="637"/>
      <c r="L256" s="606"/>
      <c r="M256" s="935"/>
      <c r="N256" s="615"/>
      <c r="O256" s="615"/>
      <c r="P256" s="615"/>
      <c r="Q256" s="615"/>
    </row>
    <row r="257" spans="1:20" ht="15.75" thickBot="1">
      <c r="A257" s="934"/>
      <c r="B257" s="506"/>
      <c r="C257" s="54" t="s">
        <v>29</v>
      </c>
      <c r="D257" s="296">
        <v>134</v>
      </c>
      <c r="E257" s="56">
        <v>6.6231</v>
      </c>
      <c r="F257" s="41">
        <f t="shared" ref="F257" si="47">+E257</f>
        <v>6.6231</v>
      </c>
      <c r="G257" s="50">
        <f t="shared" ref="G257" si="48">ROUND(D257*(E257),2)</f>
        <v>887.5</v>
      </c>
      <c r="H257" s="296"/>
      <c r="I257" s="298"/>
      <c r="J257" s="298"/>
      <c r="K257" s="637"/>
      <c r="L257" s="614"/>
      <c r="M257" s="935"/>
      <c r="N257" s="615"/>
      <c r="O257" s="615"/>
      <c r="P257" s="615"/>
      <c r="Q257" s="615"/>
    </row>
    <row r="258" spans="1:20">
      <c r="A258" s="376">
        <v>311</v>
      </c>
      <c r="B258" s="602" t="s">
        <v>204</v>
      </c>
      <c r="C258" s="439" t="s">
        <v>118</v>
      </c>
      <c r="D258" s="184">
        <f>[2]янв18!D269+[2]янв18!D270</f>
        <v>273</v>
      </c>
      <c r="E258" s="41">
        <f>6.6231-6.505</f>
        <v>0.11810000000000009</v>
      </c>
      <c r="F258" s="23">
        <f t="shared" ref="F258:F260" si="49">+E258</f>
        <v>0.11810000000000009</v>
      </c>
      <c r="G258" s="185">
        <f>ROUND(D258*(E258),2)</f>
        <v>32.24</v>
      </c>
      <c r="H258" s="620"/>
      <c r="I258" s="620"/>
      <c r="J258" s="620"/>
      <c r="K258" s="634"/>
      <c r="L258" s="603">
        <f>SUM(G258:G261)</f>
        <v>1535.68</v>
      </c>
      <c r="M258" s="187">
        <v>1535.68</v>
      </c>
      <c r="N258" s="604"/>
      <c r="O258" s="635"/>
      <c r="P258" s="636"/>
      <c r="Q258" s="605"/>
    </row>
    <row r="259" spans="1:20">
      <c r="A259" s="389"/>
      <c r="B259" s="939"/>
      <c r="C259" s="48" t="s">
        <v>119</v>
      </c>
      <c r="D259" s="49">
        <v>10</v>
      </c>
      <c r="E259" s="41">
        <v>6.6231</v>
      </c>
      <c r="F259" s="41">
        <f t="shared" si="49"/>
        <v>6.6231</v>
      </c>
      <c r="G259" s="50">
        <f>ROUND(D259*(E259),2)</f>
        <v>66.23</v>
      </c>
      <c r="H259" s="296"/>
      <c r="I259" s="298"/>
      <c r="J259" s="298"/>
      <c r="K259" s="637"/>
      <c r="L259" s="606"/>
      <c r="M259" s="935"/>
      <c r="N259" s="607"/>
      <c r="O259" s="608"/>
      <c r="P259" s="609"/>
      <c r="Q259" s="610"/>
    </row>
    <row r="260" spans="1:20">
      <c r="A260" s="936"/>
      <c r="B260" s="506"/>
      <c r="C260" s="99" t="s">
        <v>29</v>
      </c>
      <c r="D260" s="296">
        <v>217</v>
      </c>
      <c r="E260" s="101">
        <v>6.6231</v>
      </c>
      <c r="F260" s="41">
        <f t="shared" si="49"/>
        <v>6.6231</v>
      </c>
      <c r="G260" s="50">
        <f>ROUND(D260*(E260),2)</f>
        <v>1437.21</v>
      </c>
      <c r="H260" s="296"/>
      <c r="I260" s="298"/>
      <c r="J260" s="298"/>
      <c r="K260" s="940"/>
      <c r="L260" s="614"/>
      <c r="M260" s="935"/>
      <c r="N260" s="615"/>
      <c r="O260" s="615"/>
      <c r="P260" s="615"/>
      <c r="Q260" s="616"/>
    </row>
    <row r="261" spans="1:20" ht="15.75" thickBot="1">
      <c r="A261" s="937"/>
      <c r="B261" s="278" t="s">
        <v>111</v>
      </c>
      <c r="C261" s="784"/>
      <c r="D261" s="941"/>
      <c r="E261" s="281"/>
      <c r="F261" s="57"/>
      <c r="G261" s="58">
        <f>ROUND(D261*(E261),2)</f>
        <v>0</v>
      </c>
      <c r="H261" s="613"/>
      <c r="I261" s="57"/>
      <c r="J261" s="57"/>
      <c r="K261" s="666"/>
      <c r="L261" s="784"/>
      <c r="M261" s="938"/>
      <c r="N261" s="626"/>
      <c r="O261" s="626"/>
      <c r="P261" s="626"/>
      <c r="Q261" s="626"/>
    </row>
    <row r="262" spans="1:20">
      <c r="A262" s="376">
        <v>312</v>
      </c>
      <c r="B262" s="602" t="s">
        <v>112</v>
      </c>
      <c r="C262" s="439" t="s">
        <v>118</v>
      </c>
      <c r="D262" s="184">
        <f>[2]янв18!D273+[2]янв18!D274</f>
        <v>770</v>
      </c>
      <c r="E262" s="23">
        <f>6.6231-6.505</f>
        <v>0.11810000000000009</v>
      </c>
      <c r="F262" s="23">
        <f>+E262</f>
        <v>0.11810000000000009</v>
      </c>
      <c r="G262" s="185">
        <f>ROUND(D262*(E262),2)</f>
        <v>90.94</v>
      </c>
      <c r="H262" s="620"/>
      <c r="I262" s="620"/>
      <c r="J262" s="620"/>
      <c r="K262" s="634"/>
      <c r="L262" s="603">
        <f>SUM(G262:G265)</f>
        <v>4588.0300000000007</v>
      </c>
      <c r="M262" s="187">
        <v>4588.03</v>
      </c>
      <c r="N262" s="604"/>
      <c r="O262" s="635"/>
      <c r="P262" s="636"/>
      <c r="Q262" s="605"/>
    </row>
    <row r="263" spans="1:20">
      <c r="A263" s="934"/>
      <c r="B263" s="506"/>
      <c r="C263" s="48" t="s">
        <v>119</v>
      </c>
      <c r="D263" s="49">
        <v>29</v>
      </c>
      <c r="E263" s="41">
        <v>6.6231</v>
      </c>
      <c r="F263" s="41">
        <f>+E263</f>
        <v>6.6231</v>
      </c>
      <c r="G263" s="50">
        <f t="shared" ref="G263:G264" si="50">ROUND(D263*(E263),2)</f>
        <v>192.07</v>
      </c>
      <c r="H263" s="296"/>
      <c r="I263" s="298"/>
      <c r="J263" s="298"/>
      <c r="K263" s="637"/>
      <c r="L263" s="606"/>
      <c r="M263" s="935"/>
      <c r="N263" s="607"/>
      <c r="O263" s="608"/>
      <c r="P263" s="609"/>
      <c r="Q263" s="610"/>
    </row>
    <row r="264" spans="1:20">
      <c r="A264" s="934"/>
      <c r="B264" s="506"/>
      <c r="C264" s="99" t="s">
        <v>29</v>
      </c>
      <c r="D264" s="296">
        <v>650</v>
      </c>
      <c r="E264" s="101">
        <v>6.6231</v>
      </c>
      <c r="F264" s="41">
        <f>+E264</f>
        <v>6.6231</v>
      </c>
      <c r="G264" s="50">
        <f t="shared" si="50"/>
        <v>4305.0200000000004</v>
      </c>
      <c r="H264" s="296"/>
      <c r="I264" s="298"/>
      <c r="J264" s="298"/>
      <c r="K264" s="637"/>
      <c r="L264" s="614"/>
      <c r="M264" s="935"/>
      <c r="N264" s="615"/>
      <c r="O264" s="615"/>
      <c r="P264" s="615"/>
      <c r="Q264" s="616"/>
    </row>
    <row r="265" spans="1:20" ht="15.75" thickBot="1">
      <c r="A265" s="942"/>
      <c r="B265" s="278"/>
      <c r="C265" s="54"/>
      <c r="D265" s="941"/>
      <c r="E265" s="281"/>
      <c r="F265" s="57"/>
      <c r="G265" s="58"/>
      <c r="H265" s="613"/>
      <c r="I265" s="57"/>
      <c r="J265" s="57"/>
      <c r="K265" s="943"/>
      <c r="L265" s="784"/>
      <c r="M265" s="938"/>
      <c r="N265" s="615"/>
      <c r="O265" s="615"/>
      <c r="P265" s="615"/>
      <c r="Q265" s="615"/>
    </row>
    <row r="266" spans="1:20" collapsed="1">
      <c r="A266" s="376">
        <v>314</v>
      </c>
      <c r="B266" s="602" t="s">
        <v>210</v>
      </c>
      <c r="C266" s="439" t="s">
        <v>118</v>
      </c>
      <c r="D266" s="184">
        <f>[2]янв18!D300+[2]янв18!D301</f>
        <v>0</v>
      </c>
      <c r="E266" s="41">
        <f>6.6231-6.505</f>
        <v>0.11810000000000009</v>
      </c>
      <c r="F266" s="23">
        <f t="shared" ref="F266" si="51">+E266</f>
        <v>0.11810000000000009</v>
      </c>
      <c r="G266" s="185">
        <f>ROUND(D266*(E266),2)</f>
        <v>0</v>
      </c>
      <c r="H266" s="620"/>
      <c r="I266" s="620"/>
      <c r="J266" s="620"/>
      <c r="K266" s="634"/>
      <c r="L266" s="603">
        <f>SUM(G266:G268)</f>
        <v>66.23</v>
      </c>
      <c r="M266" s="187">
        <v>66.23</v>
      </c>
      <c r="N266" s="615"/>
      <c r="O266" s="615"/>
      <c r="P266" s="615"/>
      <c r="Q266" s="615"/>
    </row>
    <row r="267" spans="1:20">
      <c r="A267" s="934"/>
      <c r="B267" s="506"/>
      <c r="C267" s="48" t="s">
        <v>119</v>
      </c>
      <c r="D267" s="49">
        <v>0</v>
      </c>
      <c r="E267" s="41">
        <v>6.6231</v>
      </c>
      <c r="F267" s="41">
        <f>+E267</f>
        <v>6.6231</v>
      </c>
      <c r="G267" s="50">
        <f>ROUND(D267*(E267),2)</f>
        <v>0</v>
      </c>
      <c r="H267" s="296"/>
      <c r="I267" s="298"/>
      <c r="J267" s="298"/>
      <c r="K267" s="637"/>
      <c r="L267" s="606"/>
      <c r="M267" s="935"/>
      <c r="N267" s="615"/>
      <c r="O267" s="615"/>
      <c r="P267" s="615"/>
      <c r="Q267" s="615"/>
    </row>
    <row r="268" spans="1:20" ht="15.75" thickBot="1">
      <c r="A268" s="942"/>
      <c r="B268" s="526"/>
      <c r="C268" s="54" t="s">
        <v>29</v>
      </c>
      <c r="D268" s="613">
        <v>10</v>
      </c>
      <c r="E268" s="56">
        <v>6.6231</v>
      </c>
      <c r="F268" s="281">
        <f t="shared" ref="F268" si="52">+E268</f>
        <v>6.6231</v>
      </c>
      <c r="G268" s="58">
        <f t="shared" ref="G268" si="53">ROUND(D268*(E268),2)</f>
        <v>66.23</v>
      </c>
      <c r="H268" s="613"/>
      <c r="I268" s="57"/>
      <c r="J268" s="57"/>
      <c r="K268" s="943"/>
      <c r="L268" s="783"/>
      <c r="M268" s="938"/>
      <c r="N268" s="615"/>
      <c r="O268" s="615"/>
      <c r="P268" s="615"/>
      <c r="Q268" s="615"/>
    </row>
    <row r="269" spans="1:20" collapsed="1">
      <c r="A269" s="353" t="s">
        <v>203</v>
      </c>
      <c r="B269" s="494" t="s">
        <v>104</v>
      </c>
      <c r="C269" s="71">
        <f>+[1]дек!U66</f>
        <v>0</v>
      </c>
      <c r="D269" s="495">
        <v>90</v>
      </c>
      <c r="E269" s="21">
        <v>36.214199999999998</v>
      </c>
      <c r="F269" s="21">
        <v>42.4328</v>
      </c>
      <c r="G269" s="185">
        <f>ROUND(D269*(E269+F269),2)</f>
        <v>7078.23</v>
      </c>
      <c r="H269" s="496"/>
      <c r="I269" s="73"/>
      <c r="J269" s="73"/>
      <c r="K269" s="497"/>
      <c r="L269" s="439">
        <f>SUM(G269:G276)+SUM(J269:J275)</f>
        <v>29770.37</v>
      </c>
      <c r="M269" s="26">
        <v>29770.37</v>
      </c>
      <c r="N269" s="499"/>
      <c r="O269" s="500"/>
      <c r="P269" s="501" t="s">
        <v>87</v>
      </c>
      <c r="Q269" s="185">
        <f t="shared" ref="Q269" si="54">C269+G269+J269-M269-N269-O269</f>
        <v>-22692.14</v>
      </c>
      <c r="R269" s="502" t="s">
        <v>88</v>
      </c>
      <c r="S269" s="503"/>
      <c r="T269" s="504"/>
    </row>
    <row r="270" spans="1:20" ht="15.75" thickBot="1">
      <c r="A270" s="934">
        <v>417</v>
      </c>
      <c r="B270" s="506"/>
      <c r="C270" s="599" t="s">
        <v>96</v>
      </c>
      <c r="D270" s="234"/>
      <c r="E270" s="38"/>
      <c r="F270" s="38"/>
      <c r="G270" s="235">
        <f>ROUND(D270*(E270+F270),2)</f>
        <v>0</v>
      </c>
      <c r="H270" s="448"/>
      <c r="I270" s="509"/>
      <c r="J270" s="409"/>
      <c r="K270" s="510"/>
      <c r="L270" s="48"/>
      <c r="M270" s="512"/>
      <c r="N270" s="513"/>
      <c r="O270" s="514"/>
      <c r="P270" s="515"/>
      <c r="Q270" s="262"/>
      <c r="R270" s="502"/>
      <c r="S270" s="503"/>
      <c r="T270" s="504"/>
    </row>
    <row r="271" spans="1:20">
      <c r="A271" s="934"/>
      <c r="B271" s="516" t="s">
        <v>89</v>
      </c>
      <c r="C271" s="512" t="s">
        <v>90</v>
      </c>
      <c r="D271" s="508">
        <v>5</v>
      </c>
      <c r="E271" s="101">
        <v>444.53</v>
      </c>
      <c r="F271" s="21">
        <v>42.4328</v>
      </c>
      <c r="G271" s="50">
        <f>ROUND(D271*(E271+F271),2)</f>
        <v>2434.81</v>
      </c>
      <c r="H271" s="270"/>
      <c r="I271" s="41"/>
      <c r="J271" s="409"/>
      <c r="K271" s="510"/>
      <c r="L271" s="600"/>
      <c r="M271" s="99"/>
      <c r="N271" s="518"/>
      <c r="O271" s="519"/>
      <c r="P271" s="515" t="s">
        <v>87</v>
      </c>
      <c r="Q271" s="271">
        <f>+G271+J271-M271-N271-O271</f>
        <v>2434.81</v>
      </c>
      <c r="R271" s="502" t="s">
        <v>88</v>
      </c>
      <c r="S271" s="503"/>
      <c r="T271" s="504"/>
    </row>
    <row r="272" spans="1:20">
      <c r="A272" s="934"/>
      <c r="B272" s="541"/>
      <c r="C272" s="84" t="s">
        <v>97</v>
      </c>
      <c r="D272" s="508">
        <f>[2]янв18!D239</f>
        <v>4</v>
      </c>
      <c r="E272" s="41">
        <f>444.53-304.86</f>
        <v>139.66999999999996</v>
      </c>
      <c r="F272" s="38"/>
      <c r="G272" s="50">
        <f>ROUND(D272*(E272+F272),2)</f>
        <v>558.67999999999995</v>
      </c>
      <c r="H272" s="432"/>
      <c r="I272" s="362"/>
      <c r="J272" s="41"/>
      <c r="K272" s="510"/>
      <c r="L272" s="600"/>
      <c r="M272" s="520"/>
      <c r="N272" s="521"/>
      <c r="O272" s="522"/>
      <c r="P272" s="523"/>
      <c r="Q272" s="362"/>
      <c r="R272" s="502"/>
      <c r="S272" s="503"/>
      <c r="T272" s="504"/>
    </row>
    <row r="273" spans="1:21">
      <c r="A273" s="934"/>
      <c r="B273" s="541"/>
      <c r="C273" s="84" t="s">
        <v>97</v>
      </c>
      <c r="D273" s="508"/>
      <c r="E273" s="41"/>
      <c r="F273" s="41"/>
      <c r="G273" s="50">
        <f>D273*(E273+F273)</f>
        <v>0</v>
      </c>
      <c r="H273" s="432"/>
      <c r="I273" s="362"/>
      <c r="J273" s="41"/>
      <c r="K273" s="510"/>
      <c r="L273" s="600"/>
      <c r="M273" s="520"/>
      <c r="N273" s="521"/>
      <c r="O273" s="522"/>
      <c r="P273" s="523"/>
      <c r="Q273" s="362"/>
      <c r="R273" s="502"/>
      <c r="S273" s="503"/>
      <c r="T273" s="504"/>
    </row>
    <row r="274" spans="1:21">
      <c r="A274" s="934"/>
      <c r="B274" s="506"/>
      <c r="C274" s="48" t="s">
        <v>118</v>
      </c>
      <c r="D274" s="37">
        <f>[2]янв18!D243+[2]янв18!D244</f>
        <v>2705</v>
      </c>
      <c r="E274" s="41">
        <f>6.6231-6.505</f>
        <v>0.11810000000000009</v>
      </c>
      <c r="F274" s="297">
        <f t="shared" ref="F274:F276" si="55">+E274</f>
        <v>0.11810000000000009</v>
      </c>
      <c r="G274" s="39">
        <f>ROUND(D274*(E274),2)</f>
        <v>319.45999999999998</v>
      </c>
      <c r="H274" s="432"/>
      <c r="I274" s="362"/>
      <c r="J274" s="41"/>
      <c r="K274" s="510"/>
      <c r="L274" s="600"/>
      <c r="M274" s="520"/>
      <c r="N274" s="521"/>
      <c r="O274" s="522"/>
      <c r="P274" s="523"/>
      <c r="Q274" s="362"/>
      <c r="R274" s="502"/>
      <c r="S274" s="503"/>
      <c r="T274" s="504"/>
    </row>
    <row r="275" spans="1:21">
      <c r="A275" s="934"/>
      <c r="B275" s="506"/>
      <c r="C275" s="48" t="s">
        <v>119</v>
      </c>
      <c r="D275" s="37">
        <v>124</v>
      </c>
      <c r="E275" s="41">
        <v>6.6231</v>
      </c>
      <c r="F275" s="298">
        <f t="shared" si="55"/>
        <v>6.6231</v>
      </c>
      <c r="G275" s="39">
        <f>ROUND(D275*(E275),2)</f>
        <v>821.26</v>
      </c>
      <c r="H275" s="432"/>
      <c r="I275" s="362"/>
      <c r="J275" s="41"/>
      <c r="K275" s="510"/>
      <c r="L275" s="600"/>
      <c r="M275" s="520"/>
      <c r="N275" s="521"/>
      <c r="O275" s="522"/>
      <c r="P275" s="523"/>
      <c r="Q275" s="362"/>
      <c r="R275" s="502"/>
      <c r="S275" s="503"/>
      <c r="T275" s="504"/>
      <c r="U275" s="33"/>
    </row>
    <row r="276" spans="1:21" ht="15.75" thickBot="1">
      <c r="A276" s="934"/>
      <c r="B276" s="526"/>
      <c r="C276" s="99" t="s">
        <v>29</v>
      </c>
      <c r="D276" s="55">
        <v>2802</v>
      </c>
      <c r="E276" s="56">
        <v>6.6231</v>
      </c>
      <c r="F276" s="57">
        <f t="shared" si="55"/>
        <v>6.6231</v>
      </c>
      <c r="G276" s="414">
        <f>ROUND(D276*(E276),2)</f>
        <v>18557.93</v>
      </c>
      <c r="H276" s="248"/>
      <c r="I276" s="203"/>
      <c r="J276" s="60"/>
      <c r="K276" s="61"/>
      <c r="L276" s="204"/>
      <c r="M276" s="54"/>
      <c r="N276" s="527"/>
      <c r="O276" s="528"/>
      <c r="P276" s="529" t="s">
        <v>87</v>
      </c>
      <c r="Q276" s="362">
        <f>+G276+J276-M276-N276-O276</f>
        <v>18557.93</v>
      </c>
      <c r="R276" s="502" t="s">
        <v>88</v>
      </c>
      <c r="S276" s="598">
        <f>SUM(N269:N276)+O269:O276</f>
        <v>0</v>
      </c>
      <c r="T276" s="598">
        <f>SUM(Q269:Q276)</f>
        <v>-1699.3999999999978</v>
      </c>
    </row>
    <row r="277" spans="1:21">
      <c r="A277" s="376">
        <v>407</v>
      </c>
      <c r="B277" s="494" t="s">
        <v>108</v>
      </c>
      <c r="C277" s="71">
        <f>+[1]дек!U87</f>
        <v>0</v>
      </c>
      <c r="D277" s="495">
        <v>3</v>
      </c>
      <c r="E277" s="21">
        <v>36.214199999999998</v>
      </c>
      <c r="F277" s="21">
        <v>42.4328</v>
      </c>
      <c r="G277" s="185">
        <f>ROUND(D277*(E277+F277),2)</f>
        <v>235.94</v>
      </c>
      <c r="H277" s="496"/>
      <c r="I277" s="73"/>
      <c r="J277" s="73"/>
      <c r="K277" s="497"/>
      <c r="L277" s="498">
        <f>SUM(G277:G283)+SUM(J277:J282)</f>
        <v>3738.3</v>
      </c>
      <c r="M277" s="26">
        <v>3738.3</v>
      </c>
      <c r="N277" s="499"/>
      <c r="O277" s="500"/>
      <c r="P277" s="501" t="s">
        <v>87</v>
      </c>
      <c r="Q277" s="304">
        <f t="shared" ref="Q277:Q279" si="56">C277+G277+J277-M277-N277-O277</f>
        <v>-3502.36</v>
      </c>
    </row>
    <row r="278" spans="1:21">
      <c r="A278" s="389"/>
      <c r="B278" s="506"/>
      <c r="C278" s="542" t="s">
        <v>96</v>
      </c>
      <c r="D278" s="234"/>
      <c r="E278" s="38"/>
      <c r="F278" s="38"/>
      <c r="G278" s="235">
        <f>ROUND(D278*(E278+F278),2)</f>
        <v>0</v>
      </c>
      <c r="H278" s="448"/>
      <c r="I278" s="509"/>
      <c r="J278" s="409"/>
      <c r="K278" s="510"/>
      <c r="L278" s="632"/>
      <c r="M278" s="512"/>
      <c r="N278" s="513"/>
      <c r="O278" s="514"/>
      <c r="P278" s="515"/>
      <c r="Q278" s="262"/>
    </row>
    <row r="279" spans="1:21">
      <c r="A279" s="389"/>
      <c r="B279" s="516" t="s">
        <v>109</v>
      </c>
      <c r="C279" s="633"/>
      <c r="D279" s="508">
        <v>0</v>
      </c>
      <c r="E279" s="101">
        <v>444.53</v>
      </c>
      <c r="F279" s="38">
        <v>42.4328</v>
      </c>
      <c r="G279" s="50">
        <f>D279*(E279+F279)</f>
        <v>0</v>
      </c>
      <c r="H279" s="270"/>
      <c r="I279" s="41"/>
      <c r="J279" s="409"/>
      <c r="K279" s="510"/>
      <c r="L279" s="597"/>
      <c r="M279" s="99"/>
      <c r="N279" s="518"/>
      <c r="O279" s="519"/>
      <c r="P279" s="515" t="s">
        <v>87</v>
      </c>
      <c r="Q279" s="271">
        <f t="shared" si="56"/>
        <v>0</v>
      </c>
    </row>
    <row r="280" spans="1:21">
      <c r="A280" s="389"/>
      <c r="B280" s="541"/>
      <c r="C280" s="84" t="s">
        <v>97</v>
      </c>
      <c r="D280" s="508">
        <f>[2]янв18!D263</f>
        <v>0</v>
      </c>
      <c r="E280" s="41">
        <f>444.53-304.86</f>
        <v>139.66999999999996</v>
      </c>
      <c r="F280" s="41"/>
      <c r="G280" s="50">
        <f>D280*(E280+F280)</f>
        <v>0</v>
      </c>
      <c r="H280" s="432"/>
      <c r="I280" s="362"/>
      <c r="J280" s="207"/>
      <c r="K280" s="510"/>
      <c r="L280" s="597"/>
      <c r="M280" s="520"/>
      <c r="N280" s="521"/>
      <c r="O280" s="522"/>
      <c r="P280" s="523"/>
      <c r="Q280" s="362"/>
    </row>
    <row r="281" spans="1:21">
      <c r="A281" s="389"/>
      <c r="B281" s="506"/>
      <c r="C281" s="48" t="s">
        <v>118</v>
      </c>
      <c r="D281" s="37">
        <f>[2]янв18!D266+[2]янв18!D267</f>
        <v>494</v>
      </c>
      <c r="E281" s="41">
        <f>6.6231-6.505</f>
        <v>0.11810000000000009</v>
      </c>
      <c r="F281" s="41">
        <f>+E281</f>
        <v>0.11810000000000009</v>
      </c>
      <c r="G281" s="39">
        <f>ROUND(D281*(E281),2)+0.01</f>
        <v>58.35</v>
      </c>
      <c r="H281" s="432"/>
      <c r="I281" s="362"/>
      <c r="J281" s="207"/>
      <c r="K281" s="510"/>
      <c r="L281" s="597"/>
      <c r="M281" s="520"/>
      <c r="N281" s="521"/>
      <c r="O281" s="522"/>
      <c r="P281" s="523"/>
      <c r="Q281" s="362"/>
    </row>
    <row r="282" spans="1:21">
      <c r="A282" s="389"/>
      <c r="B282" s="506"/>
      <c r="C282" s="48" t="s">
        <v>119</v>
      </c>
      <c r="D282" s="37">
        <v>22</v>
      </c>
      <c r="E282" s="41">
        <v>6.6231</v>
      </c>
      <c r="F282" s="41">
        <f>+E282</f>
        <v>6.6231</v>
      </c>
      <c r="G282" s="39">
        <f t="shared" ref="G282:G283" si="57">ROUND(D282*(E282),2)</f>
        <v>145.71</v>
      </c>
      <c r="H282" s="432"/>
      <c r="I282" s="362"/>
      <c r="J282" s="207"/>
      <c r="K282" s="510"/>
      <c r="L282" s="597"/>
      <c r="M282" s="520"/>
      <c r="N282" s="521"/>
      <c r="O282" s="522"/>
      <c r="P282" s="523"/>
      <c r="Q282" s="362"/>
    </row>
    <row r="283" spans="1:21" ht="15.75" thickBot="1">
      <c r="A283" s="411"/>
      <c r="B283" s="526"/>
      <c r="C283" s="54" t="s">
        <v>29</v>
      </c>
      <c r="D283" s="55">
        <v>498</v>
      </c>
      <c r="E283" s="56">
        <v>6.6231</v>
      </c>
      <c r="F283" s="281">
        <f>+E283</f>
        <v>6.6231</v>
      </c>
      <c r="G283" s="414">
        <f t="shared" si="57"/>
        <v>3298.3</v>
      </c>
      <c r="H283" s="248"/>
      <c r="I283" s="203"/>
      <c r="J283" s="60"/>
      <c r="K283" s="61"/>
      <c r="L283" s="249"/>
      <c r="M283" s="54"/>
      <c r="N283" s="527"/>
      <c r="O283" s="528"/>
      <c r="P283" s="529" t="s">
        <v>87</v>
      </c>
      <c r="Q283" s="282">
        <f>+G283+J283-M283-N283-O283</f>
        <v>3298.3</v>
      </c>
    </row>
    <row r="284" spans="1:21" collapsed="1">
      <c r="A284" s="376">
        <v>411</v>
      </c>
      <c r="B284" s="602" t="s">
        <v>127</v>
      </c>
      <c r="C284" s="439" t="s">
        <v>118</v>
      </c>
      <c r="D284" s="184">
        <f>[2]янв18!D277+[2]янв18!D278</f>
        <v>465.8</v>
      </c>
      <c r="E284" s="23">
        <f>6.6231-6.505</f>
        <v>0.11810000000000009</v>
      </c>
      <c r="F284" s="23">
        <f t="shared" ref="F284" si="58">+E284</f>
        <v>0.11810000000000009</v>
      </c>
      <c r="G284" s="185">
        <f>ROUND(D284*(E284),2)-0.01</f>
        <v>55</v>
      </c>
      <c r="H284" s="669"/>
      <c r="I284" s="620"/>
      <c r="J284" s="620"/>
      <c r="K284" s="634"/>
      <c r="L284" s="603">
        <f>SUM(G284:G287)</f>
        <v>2967.18</v>
      </c>
      <c r="M284" s="187">
        <v>2967.18</v>
      </c>
      <c r="N284" s="604"/>
      <c r="O284" s="635"/>
      <c r="P284" s="636"/>
      <c r="Q284" s="605"/>
    </row>
    <row r="285" spans="1:21">
      <c r="A285" s="934"/>
      <c r="B285" s="506"/>
      <c r="C285" s="48" t="s">
        <v>119</v>
      </c>
      <c r="D285" s="49">
        <v>18.7</v>
      </c>
      <c r="E285" s="41">
        <v>6.6231</v>
      </c>
      <c r="F285" s="41">
        <f>+E285</f>
        <v>6.6231</v>
      </c>
      <c r="G285" s="50">
        <f>ROUND(D285*(E285),2)</f>
        <v>123.85</v>
      </c>
      <c r="H285" s="296"/>
      <c r="I285" s="298"/>
      <c r="J285" s="298"/>
      <c r="K285" s="637"/>
      <c r="L285" s="606"/>
      <c r="M285" s="935"/>
      <c r="N285" s="607"/>
      <c r="O285" s="608"/>
      <c r="P285" s="609"/>
      <c r="Q285" s="610"/>
    </row>
    <row r="286" spans="1:21">
      <c r="A286" s="934"/>
      <c r="B286" s="506"/>
      <c r="C286" s="99" t="s">
        <v>29</v>
      </c>
      <c r="D286" s="296">
        <v>421</v>
      </c>
      <c r="E286" s="101">
        <v>6.6231</v>
      </c>
      <c r="F286" s="41">
        <f t="shared" ref="F286" si="59">+E286</f>
        <v>6.6231</v>
      </c>
      <c r="G286" s="50">
        <f t="shared" ref="G286" si="60">ROUND(D286*(E286),2)</f>
        <v>2788.33</v>
      </c>
      <c r="H286" s="296"/>
      <c r="I286" s="298"/>
      <c r="J286" s="298"/>
      <c r="K286" s="637"/>
      <c r="L286" s="606"/>
      <c r="M286" s="935"/>
      <c r="N286" s="615"/>
      <c r="O286" s="615"/>
      <c r="P286" s="615"/>
      <c r="Q286" s="616"/>
    </row>
    <row r="287" spans="1:21" ht="15.75" thickBot="1">
      <c r="A287" s="942"/>
      <c r="B287" s="278"/>
      <c r="C287" s="784"/>
      <c r="D287" s="941"/>
      <c r="E287" s="281"/>
      <c r="F287" s="57"/>
      <c r="G287" s="58"/>
      <c r="H287" s="613"/>
      <c r="I287" s="57"/>
      <c r="J287" s="57"/>
      <c r="K287" s="637"/>
      <c r="L287" s="606"/>
      <c r="M287" s="935"/>
      <c r="N287" s="615"/>
      <c r="O287" s="615"/>
      <c r="P287" s="615"/>
      <c r="Q287" s="615"/>
    </row>
    <row r="288" spans="1:21">
      <c r="A288" s="376">
        <v>501</v>
      </c>
      <c r="B288" s="494" t="s">
        <v>202</v>
      </c>
      <c r="C288" s="71"/>
      <c r="D288" s="495">
        <v>28</v>
      </c>
      <c r="E288" s="21">
        <v>36.214199999999998</v>
      </c>
      <c r="F288" s="21">
        <v>42.4328</v>
      </c>
      <c r="G288" s="185">
        <f>ROUND(D288*(E288+F288),2)</f>
        <v>2202.12</v>
      </c>
      <c r="H288" s="496"/>
      <c r="I288" s="73"/>
      <c r="J288" s="73"/>
      <c r="K288" s="497"/>
      <c r="L288" s="498">
        <f>+SUM(G288:G295,C295)</f>
        <v>53812.444000000003</v>
      </c>
      <c r="M288" s="26">
        <v>53812.44</v>
      </c>
      <c r="N288" s="499"/>
      <c r="O288" s="500"/>
      <c r="P288" s="501" t="s">
        <v>87</v>
      </c>
      <c r="Q288" s="304">
        <f t="shared" ref="Q288:Q305" si="61">C288+G288+J288-M288-N288-O288</f>
        <v>-51610.32</v>
      </c>
      <c r="R288" s="502" t="s">
        <v>88</v>
      </c>
      <c r="S288" s="503"/>
      <c r="T288" s="504"/>
      <c r="U288" s="33"/>
    </row>
    <row r="289" spans="1:21">
      <c r="A289" s="389"/>
      <c r="B289" s="506"/>
      <c r="C289" s="507"/>
      <c r="D289" s="508"/>
      <c r="E289" s="38"/>
      <c r="F289" s="38"/>
      <c r="G289" s="50">
        <f>ROUND(D289*(E289+F289),2)</f>
        <v>0</v>
      </c>
      <c r="H289" s="448"/>
      <c r="I289" s="509"/>
      <c r="J289" s="409"/>
      <c r="K289" s="510"/>
      <c r="L289" s="511"/>
      <c r="M289" s="512"/>
      <c r="N289" s="513"/>
      <c r="O289" s="514"/>
      <c r="P289" s="515"/>
      <c r="Q289" s="262"/>
      <c r="R289" s="502"/>
      <c r="S289" s="503"/>
      <c r="T289" s="504"/>
      <c r="U289" s="33"/>
    </row>
    <row r="290" spans="1:21">
      <c r="A290" s="389"/>
      <c r="B290" s="516" t="s">
        <v>89</v>
      </c>
      <c r="C290" s="512" t="s">
        <v>90</v>
      </c>
      <c r="D290" s="508">
        <v>5</v>
      </c>
      <c r="E290" s="101">
        <v>444.53</v>
      </c>
      <c r="F290" s="38">
        <v>42.4328</v>
      </c>
      <c r="G290" s="50">
        <f>D290*(E290+F290)</f>
        <v>2434.8139999999999</v>
      </c>
      <c r="H290" s="270"/>
      <c r="I290" s="41"/>
      <c r="J290" s="409"/>
      <c r="K290" s="510"/>
      <c r="L290" s="517"/>
      <c r="M290" s="99"/>
      <c r="N290" s="518"/>
      <c r="O290" s="519"/>
      <c r="P290" s="515" t="s">
        <v>87</v>
      </c>
      <c r="Q290" s="271">
        <f>+G290+J290-M290-N290-O290</f>
        <v>2434.8139999999999</v>
      </c>
      <c r="R290" s="502" t="s">
        <v>88</v>
      </c>
      <c r="S290" s="503"/>
      <c r="T290" s="504"/>
    </row>
    <row r="291" spans="1:21">
      <c r="A291" s="389"/>
      <c r="B291" s="506" t="s">
        <v>91</v>
      </c>
      <c r="C291" s="507"/>
      <c r="D291" s="508">
        <f>[2]янв18!D214</f>
        <v>2</v>
      </c>
      <c r="E291" s="41">
        <f>444.53-304.86</f>
        <v>139.66999999999996</v>
      </c>
      <c r="F291" s="38"/>
      <c r="G291" s="50">
        <f>ROUND(D291*(E291+F291),2)</f>
        <v>279.33999999999997</v>
      </c>
      <c r="H291" s="432"/>
      <c r="I291" s="362"/>
      <c r="J291" s="409"/>
      <c r="K291" s="510"/>
      <c r="L291" s="517"/>
      <c r="M291" s="520"/>
      <c r="N291" s="521"/>
      <c r="O291" s="522"/>
      <c r="P291" s="523"/>
      <c r="Q291" s="362"/>
      <c r="R291" s="502"/>
      <c r="S291" s="503"/>
      <c r="T291" s="504"/>
    </row>
    <row r="292" spans="1:21">
      <c r="A292" s="389"/>
      <c r="B292" s="506" t="s">
        <v>91</v>
      </c>
      <c r="C292" s="507"/>
      <c r="D292" s="508"/>
      <c r="E292" s="38"/>
      <c r="F292" s="41"/>
      <c r="G292" s="50">
        <f>D292*(E292+F292)</f>
        <v>0</v>
      </c>
      <c r="H292" s="432"/>
      <c r="I292" s="362"/>
      <c r="J292" s="409"/>
      <c r="K292" s="510"/>
      <c r="L292" s="517"/>
      <c r="M292" s="520"/>
      <c r="N292" s="521"/>
      <c r="O292" s="522"/>
      <c r="P292" s="523"/>
      <c r="Q292" s="362"/>
      <c r="R292" s="502"/>
      <c r="S292" s="503"/>
      <c r="T292" s="504"/>
    </row>
    <row r="293" spans="1:21">
      <c r="A293" s="389"/>
      <c r="B293" s="506" t="s">
        <v>92</v>
      </c>
      <c r="C293" s="48" t="s">
        <v>118</v>
      </c>
      <c r="D293" s="508">
        <f>[2]янв18!D218+[2]янв18!D219</f>
        <v>7945</v>
      </c>
      <c r="E293" s="41">
        <f>6.6231-6.505</f>
        <v>0.11810000000000009</v>
      </c>
      <c r="F293" s="41">
        <f>+E293</f>
        <v>0.11810000000000009</v>
      </c>
      <c r="G293" s="39">
        <f>ROUNDDOWN(D293*E293,2)</f>
        <v>938.3</v>
      </c>
      <c r="H293" s="432"/>
      <c r="I293" s="362"/>
      <c r="J293" s="41"/>
      <c r="K293" s="510"/>
      <c r="L293" s="517"/>
      <c r="M293" s="520"/>
      <c r="N293" s="521"/>
      <c r="O293" s="522"/>
      <c r="P293" s="523"/>
      <c r="Q293" s="362"/>
      <c r="R293" s="502"/>
      <c r="S293" s="503"/>
      <c r="T293" s="504"/>
    </row>
    <row r="294" spans="1:21">
      <c r="A294" s="389"/>
      <c r="B294" s="506"/>
      <c r="C294" s="48" t="s">
        <v>119</v>
      </c>
      <c r="D294" s="508">
        <v>307</v>
      </c>
      <c r="E294" s="41">
        <v>6.6231</v>
      </c>
      <c r="F294" s="41">
        <f>+E294</f>
        <v>6.6231</v>
      </c>
      <c r="G294" s="39">
        <f>ROUND(D294*E294,2)</f>
        <v>2033.29</v>
      </c>
      <c r="H294" s="432"/>
      <c r="I294" s="362"/>
      <c r="J294" s="207"/>
      <c r="K294" s="524"/>
      <c r="L294" s="517"/>
      <c r="M294" s="520"/>
      <c r="N294" s="521"/>
      <c r="O294" s="522"/>
      <c r="P294" s="523"/>
      <c r="Q294" s="362"/>
      <c r="R294" s="502"/>
      <c r="S294" s="503"/>
      <c r="T294" s="504"/>
    </row>
    <row r="295" spans="1:21" ht="15.75" thickBot="1">
      <c r="A295" s="411"/>
      <c r="B295" s="526"/>
      <c r="C295" s="99" t="s">
        <v>29</v>
      </c>
      <c r="D295" s="55">
        <v>6934</v>
      </c>
      <c r="E295" s="56">
        <v>6.6231</v>
      </c>
      <c r="F295" s="57">
        <f>+E295</f>
        <v>6.6231</v>
      </c>
      <c r="G295" s="58">
        <f>ROUND(D295*E295,2)</f>
        <v>45924.58</v>
      </c>
      <c r="H295" s="248"/>
      <c r="I295" s="203"/>
      <c r="J295" s="60"/>
      <c r="K295" s="61"/>
      <c r="L295" s="249"/>
      <c r="M295" s="54"/>
      <c r="N295" s="527"/>
      <c r="O295" s="528"/>
      <c r="P295" s="529" t="s">
        <v>87</v>
      </c>
      <c r="Q295" s="282">
        <f>+G295+J295-M295-N295-O295</f>
        <v>45924.58</v>
      </c>
      <c r="R295" s="530" t="s">
        <v>88</v>
      </c>
      <c r="S295" s="531">
        <f>SUM(N288:N295)+O288:O295</f>
        <v>0</v>
      </c>
      <c r="T295" s="531">
        <f>SUM(Q288:Q295)</f>
        <v>-3250.9259999999995</v>
      </c>
      <c r="U295" s="33"/>
    </row>
    <row r="296" spans="1:21" ht="15.75" thickTop="1">
      <c r="A296" s="339">
        <v>502</v>
      </c>
      <c r="B296" s="532" t="s">
        <v>192</v>
      </c>
      <c r="C296" s="71">
        <f>+[1]дек!U51</f>
        <v>-6.0000000303261913E-4</v>
      </c>
      <c r="D296" s="213">
        <v>37</v>
      </c>
      <c r="E296" s="21">
        <v>36.214199999999998</v>
      </c>
      <c r="F296" s="21">
        <v>42.4328</v>
      </c>
      <c r="G296" s="214">
        <f>ROUND(D296*(E296+F296),2)</f>
        <v>2909.94</v>
      </c>
      <c r="H296" s="496"/>
      <c r="I296" s="73"/>
      <c r="J296" s="73"/>
      <c r="K296" s="497"/>
      <c r="L296" s="533">
        <f>+SUM(G296:G303,)+J296+J298</f>
        <v>56341.61</v>
      </c>
      <c r="M296" s="26">
        <v>56341.61</v>
      </c>
      <c r="N296" s="534"/>
      <c r="O296" s="535"/>
      <c r="P296" s="536" t="s">
        <v>87</v>
      </c>
      <c r="Q296" s="537">
        <f t="shared" si="61"/>
        <v>-53431.670600000005</v>
      </c>
      <c r="R296" s="538" t="s">
        <v>95</v>
      </c>
      <c r="S296" s="539"/>
      <c r="T296" s="540"/>
      <c r="U296" s="33"/>
    </row>
    <row r="297" spans="1:21">
      <c r="A297" s="353"/>
      <c r="B297" s="541"/>
      <c r="C297" s="542" t="s">
        <v>96</v>
      </c>
      <c r="D297" s="234"/>
      <c r="E297" s="38"/>
      <c r="F297" s="38"/>
      <c r="G297" s="235">
        <f>ROUND(D297*(E297+F297),2)</f>
        <v>0</v>
      </c>
      <c r="H297" s="448"/>
      <c r="I297" s="509"/>
      <c r="J297" s="509"/>
      <c r="K297" s="543"/>
      <c r="L297" s="544"/>
      <c r="M297" s="545"/>
      <c r="N297" s="546"/>
      <c r="O297" s="547"/>
      <c r="P297" s="548"/>
      <c r="Q297" s="549"/>
      <c r="R297" s="550"/>
      <c r="S297" s="551"/>
      <c r="T297" s="552"/>
      <c r="U297" s="33"/>
    </row>
    <row r="298" spans="1:21">
      <c r="A298" s="353"/>
      <c r="B298" s="516" t="s">
        <v>32</v>
      </c>
      <c r="C298" s="99" t="s">
        <v>90</v>
      </c>
      <c r="D298" s="234">
        <v>28</v>
      </c>
      <c r="E298" s="101">
        <v>444.53</v>
      </c>
      <c r="F298" s="38">
        <v>42.4328</v>
      </c>
      <c r="G298" s="235">
        <f>ROUND(D298*(E298+F298),2)</f>
        <v>13634.96</v>
      </c>
      <c r="H298" s="270"/>
      <c r="I298" s="41"/>
      <c r="J298" s="41"/>
      <c r="K298" s="510"/>
      <c r="L298" s="553"/>
      <c r="M298" s="554"/>
      <c r="N298" s="555"/>
      <c r="O298" s="556"/>
      <c r="P298" s="557" t="s">
        <v>87</v>
      </c>
      <c r="Q298" s="558">
        <f>+G298+J298-M298-N298-O298</f>
        <v>13634.96</v>
      </c>
      <c r="R298" s="550" t="s">
        <v>95</v>
      </c>
      <c r="S298" s="551"/>
      <c r="T298" s="552"/>
    </row>
    <row r="299" spans="1:21">
      <c r="A299" s="353"/>
      <c r="B299" s="541"/>
      <c r="C299" s="84" t="s">
        <v>97</v>
      </c>
      <c r="D299" s="234">
        <f>[2]янв18!D222</f>
        <v>30</v>
      </c>
      <c r="E299" s="41">
        <f>444.53-304.86</f>
        <v>139.66999999999996</v>
      </c>
      <c r="F299" s="38"/>
      <c r="G299" s="50">
        <f>ROUND(D299*E299,2)</f>
        <v>4190.1000000000004</v>
      </c>
      <c r="H299" s="432"/>
      <c r="I299" s="362"/>
      <c r="J299" s="41"/>
      <c r="K299" s="510"/>
      <c r="L299" s="559"/>
      <c r="M299" s="560"/>
      <c r="N299" s="561"/>
      <c r="O299" s="562"/>
      <c r="P299" s="563"/>
      <c r="Q299" s="564"/>
      <c r="R299" s="550"/>
      <c r="S299" s="551"/>
      <c r="T299" s="552"/>
    </row>
    <row r="300" spans="1:21">
      <c r="A300" s="353"/>
      <c r="B300" s="541"/>
      <c r="C300" s="84" t="s">
        <v>97</v>
      </c>
      <c r="D300" s="234"/>
      <c r="E300" s="38"/>
      <c r="F300" s="240"/>
      <c r="G300" s="50">
        <f>D300*(E300+F300)</f>
        <v>0</v>
      </c>
      <c r="H300" s="432"/>
      <c r="I300" s="362"/>
      <c r="J300" s="41"/>
      <c r="K300" s="510"/>
      <c r="L300" s="559"/>
      <c r="M300" s="560"/>
      <c r="N300" s="561"/>
      <c r="O300" s="562"/>
      <c r="P300" s="563"/>
      <c r="Q300" s="564"/>
      <c r="R300" s="550"/>
      <c r="S300" s="551"/>
      <c r="T300" s="552"/>
    </row>
    <row r="301" spans="1:21">
      <c r="A301" s="353"/>
      <c r="B301" s="541"/>
      <c r="C301" s="48" t="s">
        <v>118</v>
      </c>
      <c r="D301" s="37">
        <f>[2]янв18!D226+[2]янв18!D227</f>
        <v>6288</v>
      </c>
      <c r="E301" s="41">
        <f>6.6231-6.505</f>
        <v>0.11810000000000009</v>
      </c>
      <c r="F301" s="41">
        <f>+E301</f>
        <v>0.11810000000000009</v>
      </c>
      <c r="G301" s="235">
        <f>ROUND(D301*E301,2)</f>
        <v>742.61</v>
      </c>
      <c r="H301" s="565"/>
      <c r="I301" s="564"/>
      <c r="J301" s="566"/>
      <c r="K301" s="567"/>
      <c r="L301" s="559"/>
      <c r="M301" s="560"/>
      <c r="N301" s="561"/>
      <c r="O301" s="562"/>
      <c r="P301" s="563"/>
      <c r="Q301" s="564"/>
      <c r="R301" s="550"/>
      <c r="S301" s="551"/>
      <c r="T301" s="552"/>
      <c r="U301" s="352"/>
    </row>
    <row r="302" spans="1:21">
      <c r="A302" s="353"/>
      <c r="B302" s="541"/>
      <c r="C302" s="48" t="s">
        <v>119</v>
      </c>
      <c r="D302" s="37">
        <v>223</v>
      </c>
      <c r="E302" s="41">
        <v>6.6231</v>
      </c>
      <c r="F302" s="41">
        <f>+E302</f>
        <v>6.6231</v>
      </c>
      <c r="G302" s="235">
        <f>ROUND(D302*E302,2)</f>
        <v>1476.95</v>
      </c>
      <c r="H302" s="565"/>
      <c r="I302" s="564"/>
      <c r="J302" s="566"/>
      <c r="K302" s="567"/>
      <c r="L302" s="559"/>
      <c r="M302" s="560"/>
      <c r="N302" s="561"/>
      <c r="O302" s="562"/>
      <c r="P302" s="563"/>
      <c r="Q302" s="564"/>
      <c r="R302" s="550"/>
      <c r="S302" s="551"/>
      <c r="T302" s="552"/>
      <c r="U302" s="33"/>
    </row>
    <row r="303" spans="1:21" ht="15.75" thickBot="1">
      <c r="A303" s="369"/>
      <c r="B303" s="568"/>
      <c r="C303" s="99" t="s">
        <v>29</v>
      </c>
      <c r="D303" s="246">
        <v>5041</v>
      </c>
      <c r="E303" s="56">
        <v>6.6231</v>
      </c>
      <c r="F303" s="57">
        <f>+E303</f>
        <v>6.6231</v>
      </c>
      <c r="G303" s="247">
        <f>ROUND(D303*E303,2)</f>
        <v>33387.050000000003</v>
      </c>
      <c r="H303" s="248"/>
      <c r="I303" s="203"/>
      <c r="J303" s="60"/>
      <c r="K303" s="61"/>
      <c r="L303" s="204"/>
      <c r="M303" s="560"/>
      <c r="N303" s="561"/>
      <c r="O303" s="528"/>
      <c r="P303" s="529" t="s">
        <v>87</v>
      </c>
      <c r="Q303" s="564">
        <f>+G303+J303-M303-N303-O303</f>
        <v>33387.050000000003</v>
      </c>
      <c r="R303" s="550" t="s">
        <v>95</v>
      </c>
      <c r="S303" s="569">
        <f>SUM(N296:N303)+O296:O303</f>
        <v>0</v>
      </c>
      <c r="T303" s="570">
        <f>SUM(Q298:Q303)</f>
        <v>47022.01</v>
      </c>
    </row>
    <row r="304" spans="1:21" ht="15.75" hidden="1" outlineLevel="1" thickBot="1">
      <c r="A304" s="571"/>
      <c r="B304" s="572" t="s">
        <v>98</v>
      </c>
      <c r="C304" s="573" t="s">
        <v>99</v>
      </c>
      <c r="D304" s="574"/>
      <c r="E304" s="575">
        <f>3.193-2.9732</f>
        <v>0.21980000000000022</v>
      </c>
      <c r="F304" s="575">
        <f>3.193-2.9732</f>
        <v>0.21980000000000022</v>
      </c>
      <c r="G304" s="576">
        <f>D304*E304*70%+D304*F304*30%</f>
        <v>0</v>
      </c>
      <c r="H304" s="577"/>
      <c r="I304" s="578"/>
      <c r="J304" s="579"/>
      <c r="K304" s="579"/>
      <c r="L304" s="580"/>
      <c r="M304" s="581"/>
      <c r="N304" s="582"/>
      <c r="O304" s="535"/>
      <c r="P304" s="536"/>
      <c r="Q304" s="583"/>
      <c r="R304" s="584"/>
      <c r="S304" s="569"/>
      <c r="T304" s="585"/>
    </row>
    <row r="305" spans="1:20" s="81" customFormat="1" ht="16.5" hidden="1" customHeight="1" outlineLevel="1" thickBot="1">
      <c r="A305" s="933" t="s">
        <v>100</v>
      </c>
      <c r="B305" s="587" t="s">
        <v>98</v>
      </c>
      <c r="C305" s="588">
        <f>+[1]авг!C52</f>
        <v>0</v>
      </c>
      <c r="D305" s="589"/>
      <c r="E305" s="575">
        <v>3.1930000000000001</v>
      </c>
      <c r="F305" s="575">
        <f>+E305</f>
        <v>3.1930000000000001</v>
      </c>
      <c r="G305" s="576">
        <f>D305*E305*70%+D305*F305*30%</f>
        <v>0</v>
      </c>
      <c r="H305" s="579"/>
      <c r="I305" s="579"/>
      <c r="J305" s="579"/>
      <c r="K305" s="579"/>
      <c r="L305" s="579">
        <f>+C305+G305+G304</f>
        <v>0</v>
      </c>
      <c r="M305" s="590"/>
      <c r="N305" s="500"/>
      <c r="O305" s="528"/>
      <c r="P305" s="529" t="s">
        <v>87</v>
      </c>
      <c r="Q305" s="591">
        <f t="shared" si="61"/>
        <v>0</v>
      </c>
      <c r="R305" s="592" t="s">
        <v>101</v>
      </c>
      <c r="S305" s="77">
        <f>SUM(N305:N305)+SUM(O305:O305)</f>
        <v>0</v>
      </c>
      <c r="T305" s="593">
        <f>SUM(Q305:Q305)</f>
        <v>0</v>
      </c>
    </row>
    <row r="306" spans="1:20" ht="15.75" hidden="1" outlineLevel="1" thickBot="1">
      <c r="A306" s="944"/>
      <c r="B306" s="945" t="s">
        <v>128</v>
      </c>
      <c r="C306" s="573" t="s">
        <v>115</v>
      </c>
      <c r="D306" s="946"/>
      <c r="E306" s="579">
        <f>6.8021-6.8946</f>
        <v>-9.2499999999999361E-2</v>
      </c>
      <c r="F306" s="579">
        <f t="shared" ref="F306" si="62">+E306</f>
        <v>-9.2499999999999361E-2</v>
      </c>
      <c r="G306" s="947">
        <f>ROUND(D306*(E306),2)</f>
        <v>0</v>
      </c>
      <c r="H306" s="948"/>
      <c r="I306" s="949"/>
      <c r="J306" s="949"/>
      <c r="K306" s="950"/>
      <c r="L306" s="951"/>
      <c r="M306" s="952"/>
      <c r="N306" s="604"/>
      <c r="O306" s="635"/>
      <c r="P306" s="636"/>
      <c r="Q306" s="605"/>
    </row>
    <row r="307" spans="1:20" ht="15.75" hidden="1" outlineLevel="1" thickBot="1">
      <c r="A307" s="953"/>
      <c r="B307" s="954"/>
      <c r="C307" s="573" t="s">
        <v>114</v>
      </c>
      <c r="D307" s="946"/>
      <c r="E307" s="579">
        <v>6.8021000000000003</v>
      </c>
      <c r="F307" s="579">
        <f>+E307</f>
        <v>6.8021000000000003</v>
      </c>
      <c r="G307" s="947">
        <f>ROUND(D307*(E307),2)</f>
        <v>0</v>
      </c>
      <c r="H307" s="948"/>
      <c r="I307" s="949"/>
      <c r="J307" s="949"/>
      <c r="K307" s="950"/>
      <c r="L307" s="955"/>
      <c r="M307" s="956"/>
      <c r="N307" s="607"/>
      <c r="O307" s="608"/>
      <c r="P307" s="609"/>
      <c r="Q307" s="610"/>
    </row>
    <row r="308" spans="1:20" ht="15.75" hidden="1" outlineLevel="1" thickBot="1">
      <c r="A308" s="944"/>
      <c r="B308" s="954"/>
      <c r="C308" s="916" t="s">
        <v>29</v>
      </c>
      <c r="D308" s="948"/>
      <c r="E308" s="917">
        <v>6.8021000000000003</v>
      </c>
      <c r="F308" s="579">
        <f t="shared" ref="F308" si="63">+E308</f>
        <v>6.8021000000000003</v>
      </c>
      <c r="G308" s="947">
        <f t="shared" ref="G308" si="64">ROUND(D308*(E308),2)</f>
        <v>0</v>
      </c>
      <c r="H308" s="948"/>
      <c r="I308" s="949"/>
      <c r="J308" s="949"/>
      <c r="K308" s="950"/>
      <c r="L308" s="951"/>
      <c r="M308" s="956"/>
      <c r="N308" s="615"/>
      <c r="O308" s="615"/>
      <c r="P308" s="615"/>
      <c r="Q308" s="616"/>
    </row>
    <row r="309" spans="1:20" ht="15.75" hidden="1" outlineLevel="1" thickBot="1">
      <c r="A309" s="953"/>
      <c r="B309" s="955"/>
      <c r="C309" s="575"/>
      <c r="D309" s="957"/>
      <c r="E309" s="580"/>
      <c r="F309" s="575"/>
      <c r="G309" s="958"/>
      <c r="H309" s="959"/>
      <c r="I309" s="575"/>
      <c r="J309" s="575"/>
      <c r="K309" s="575"/>
      <c r="L309" s="955"/>
      <c r="M309" s="956"/>
      <c r="N309" s="615"/>
      <c r="O309" s="615"/>
      <c r="P309" s="615"/>
      <c r="Q309" s="615"/>
    </row>
    <row r="310" spans="1:20" collapsed="1">
      <c r="A310" s="963"/>
      <c r="B310" s="621"/>
      <c r="C310" s="621"/>
      <c r="D310" s="964"/>
      <c r="E310" s="905"/>
      <c r="F310" s="621"/>
      <c r="G310" s="905"/>
      <c r="H310" s="621"/>
      <c r="I310" s="621"/>
      <c r="J310" s="621"/>
      <c r="K310" s="621"/>
      <c r="L310" s="621"/>
      <c r="M310" s="965"/>
      <c r="N310" s="615"/>
      <c r="O310" s="615"/>
      <c r="P310" s="615"/>
      <c r="Q310" s="615"/>
    </row>
    <row r="311" spans="1:20" ht="15.75" thickBot="1">
      <c r="A311" s="966"/>
      <c r="B311" s="615"/>
      <c r="C311" s="615"/>
      <c r="D311" s="696"/>
      <c r="E311" s="473"/>
      <c r="F311" s="615"/>
      <c r="G311" s="473"/>
      <c r="H311" s="615"/>
      <c r="I311" s="615"/>
      <c r="J311" s="615"/>
      <c r="K311" s="615"/>
      <c r="L311" s="615"/>
      <c r="M311" s="967"/>
      <c r="N311" s="615"/>
      <c r="O311" s="615"/>
      <c r="P311" s="615"/>
      <c r="Q311" s="615"/>
    </row>
    <row r="312" spans="1:20" s="81" customFormat="1" ht="15" customHeight="1" thickTop="1">
      <c r="A312" s="476"/>
      <c r="B312" s="158"/>
      <c r="C312" s="322"/>
      <c r="D312" s="477"/>
      <c r="E312" s="163"/>
      <c r="F312" s="163"/>
      <c r="G312" s="478"/>
      <c r="H312" s="163"/>
      <c r="I312" s="163"/>
      <c r="J312" s="163"/>
      <c r="K312" s="163"/>
      <c r="L312" s="163"/>
      <c r="M312" s="164"/>
      <c r="N312" s="479"/>
      <c r="O312" s="479"/>
      <c r="P312" s="479"/>
      <c r="Q312" s="479"/>
      <c r="R312" s="422"/>
      <c r="S312"/>
      <c r="T312" s="399"/>
    </row>
    <row r="313" spans="1:20" ht="15.75" thickBot="1">
      <c r="A313" s="968" t="s">
        <v>113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  <c r="N313" s="2"/>
      <c r="O313" s="2"/>
      <c r="P313" s="2"/>
      <c r="Q313" s="2"/>
    </row>
    <row r="314" spans="1:20" ht="15.75" customHeight="1" thickTop="1" thickBot="1">
      <c r="A314" s="1559" t="s">
        <v>1</v>
      </c>
      <c r="B314" s="1543" t="s">
        <v>2</v>
      </c>
      <c r="C314" s="1545" t="s">
        <v>3</v>
      </c>
      <c r="D314" s="1546" t="s">
        <v>4</v>
      </c>
      <c r="E314" s="1546"/>
      <c r="F314" s="1546"/>
      <c r="G314" s="1546"/>
      <c r="H314" s="1547"/>
      <c r="I314" s="1548"/>
      <c r="J314" s="1548"/>
      <c r="K314" s="1549"/>
      <c r="L314" s="1524" t="s">
        <v>6</v>
      </c>
      <c r="M314" s="1511" t="s">
        <v>7</v>
      </c>
      <c r="N314" s="1551" t="s">
        <v>8</v>
      </c>
      <c r="O314" s="1551"/>
      <c r="P314" s="1551"/>
      <c r="Q314" s="1552"/>
      <c r="R314" s="481"/>
      <c r="S314" s="482" t="s">
        <v>20</v>
      </c>
      <c r="T314" s="482" t="s">
        <v>21</v>
      </c>
    </row>
    <row r="315" spans="1:20" ht="26.25" thickBot="1">
      <c r="A315" s="1560"/>
      <c r="B315" s="1557"/>
      <c r="C315" s="1558" t="s">
        <v>10</v>
      </c>
      <c r="D315" s="483" t="s">
        <v>11</v>
      </c>
      <c r="E315" s="649" t="s">
        <v>12</v>
      </c>
      <c r="F315" s="649" t="s">
        <v>13</v>
      </c>
      <c r="G315" s="650" t="s">
        <v>14</v>
      </c>
      <c r="H315" s="651" t="s">
        <v>11</v>
      </c>
      <c r="I315" s="652" t="s">
        <v>15</v>
      </c>
      <c r="J315" s="653"/>
      <c r="K315" s="654" t="s">
        <v>16</v>
      </c>
      <c r="L315" s="1525"/>
      <c r="M315" s="1554"/>
      <c r="N315" s="655"/>
      <c r="O315" s="653"/>
      <c r="P315" s="656" t="s">
        <v>18</v>
      </c>
      <c r="Q315" s="657" t="s">
        <v>19</v>
      </c>
      <c r="R315" s="491"/>
      <c r="S315" s="492"/>
      <c r="T315" s="492"/>
    </row>
    <row r="316" spans="1:20">
      <c r="A316" s="961" t="s">
        <v>212</v>
      </c>
      <c r="B316" s="659" t="s">
        <v>116</v>
      </c>
      <c r="C316" s="668" t="s">
        <v>73</v>
      </c>
      <c r="D316" s="669">
        <v>6</v>
      </c>
      <c r="E316" s="21">
        <v>36.214199999999998</v>
      </c>
      <c r="F316" s="21">
        <v>42.4328</v>
      </c>
      <c r="G316" s="214">
        <f>+D316*(E316+F316)</f>
        <v>471.88199999999995</v>
      </c>
      <c r="H316" s="687">
        <f>[1]нояб17!D294</f>
        <v>8</v>
      </c>
      <c r="I316" s="688">
        <v>16.34</v>
      </c>
      <c r="J316" s="670">
        <f>H316*I316</f>
        <v>130.72</v>
      </c>
      <c r="K316" s="689">
        <v>43040</v>
      </c>
      <c r="L316" s="603">
        <f>SUM(G316:G322)+SUM(J316:J320)</f>
        <v>12775.352000000001</v>
      </c>
      <c r="M316" s="187">
        <v>12775.35</v>
      </c>
      <c r="N316" s="670"/>
      <c r="O316" s="670"/>
      <c r="P316" s="670"/>
      <c r="Q316" s="670"/>
    </row>
    <row r="317" spans="1:20">
      <c r="A317" s="970"/>
      <c r="B317" s="672"/>
      <c r="C317" s="48"/>
      <c r="D317" s="673"/>
      <c r="E317" s="41"/>
      <c r="F317" s="298"/>
      <c r="G317" s="235">
        <f>+D317*E317</f>
        <v>0</v>
      </c>
      <c r="H317" s="687">
        <f>H316</f>
        <v>8</v>
      </c>
      <c r="I317" s="688">
        <v>16.97</v>
      </c>
      <c r="J317" s="670">
        <f>H317*I317</f>
        <v>135.76</v>
      </c>
      <c r="K317" s="689">
        <v>43040</v>
      </c>
      <c r="L317" s="606"/>
      <c r="M317" s="935"/>
      <c r="N317" s="298"/>
      <c r="O317" s="298"/>
      <c r="P317" s="298"/>
      <c r="Q317" s="298"/>
    </row>
    <row r="318" spans="1:20">
      <c r="A318" s="970"/>
      <c r="B318" s="442"/>
      <c r="C318" s="48"/>
      <c r="D318" s="673"/>
      <c r="E318" s="41"/>
      <c r="F318" s="298"/>
      <c r="G318" s="235">
        <f t="shared" ref="G318:G328" si="65">ROUND(D318*E318,2)</f>
        <v>0</v>
      </c>
      <c r="H318" s="687"/>
      <c r="I318" s="688"/>
      <c r="J318" s="670"/>
      <c r="K318" s="850"/>
      <c r="L318" s="614"/>
      <c r="M318" s="935"/>
      <c r="N318" s="298"/>
      <c r="O318" s="298"/>
      <c r="P318" s="298"/>
      <c r="Q318" s="298"/>
    </row>
    <row r="319" spans="1:20">
      <c r="A319" s="970"/>
      <c r="B319" s="35"/>
      <c r="C319" s="606"/>
      <c r="D319" s="673"/>
      <c r="E319" s="41"/>
      <c r="F319" s="298"/>
      <c r="G319" s="235">
        <f t="shared" si="65"/>
        <v>0</v>
      </c>
      <c r="H319" s="270"/>
      <c r="I319" s="688"/>
      <c r="J319" s="670"/>
      <c r="K319" s="689"/>
      <c r="L319" s="614"/>
      <c r="M319" s="273"/>
      <c r="N319" s="298"/>
      <c r="O319" s="298"/>
      <c r="P319" s="298"/>
      <c r="Q319" s="298"/>
    </row>
    <row r="320" spans="1:20" ht="15.75">
      <c r="A320" s="971"/>
      <c r="B320" s="672"/>
      <c r="C320" s="48" t="s">
        <v>118</v>
      </c>
      <c r="D320" s="269">
        <f>[2]янв18!D313+[2]янв18!D314</f>
        <v>1958.6</v>
      </c>
      <c r="E320" s="41">
        <f>6.6231-6.505</f>
        <v>0.11810000000000009</v>
      </c>
      <c r="F320" s="298">
        <f t="shared" ref="F320:F321" si="66">+E320</f>
        <v>0.11810000000000009</v>
      </c>
      <c r="G320" s="235">
        <f t="shared" si="65"/>
        <v>231.31</v>
      </c>
      <c r="H320" s="270"/>
      <c r="I320" s="41"/>
      <c r="J320" s="670"/>
      <c r="K320" s="689"/>
      <c r="L320" s="606"/>
      <c r="M320" s="935"/>
      <c r="N320" s="663"/>
      <c r="O320" s="237"/>
      <c r="P320" s="275"/>
      <c r="Q320" s="237"/>
    </row>
    <row r="321" spans="1:18" ht="15.75">
      <c r="A321" s="972"/>
      <c r="B321" s="35"/>
      <c r="C321" s="48" t="s">
        <v>119</v>
      </c>
      <c r="D321" s="269">
        <v>59.6</v>
      </c>
      <c r="E321" s="41">
        <v>6.6231</v>
      </c>
      <c r="F321" s="298">
        <f t="shared" si="66"/>
        <v>6.6231</v>
      </c>
      <c r="G321" s="235">
        <f t="shared" si="65"/>
        <v>394.74</v>
      </c>
      <c r="H321" s="270"/>
      <c r="I321" s="41"/>
      <c r="J321" s="41"/>
      <c r="K321" s="41"/>
      <c r="L321" s="614"/>
      <c r="M321" s="935"/>
      <c r="N321" s="663"/>
      <c r="O321" s="237"/>
      <c r="P321" s="275"/>
      <c r="Q321" s="237"/>
    </row>
    <row r="322" spans="1:18" ht="15.75" thickBot="1">
      <c r="A322" s="973"/>
      <c r="B322" s="665"/>
      <c r="C322" s="54" t="s">
        <v>29</v>
      </c>
      <c r="D322" s="613">
        <v>1722.9</v>
      </c>
      <c r="E322" s="56">
        <v>6.6231</v>
      </c>
      <c r="F322" s="57"/>
      <c r="G322" s="247">
        <f t="shared" si="65"/>
        <v>11410.94</v>
      </c>
      <c r="H322" s="613"/>
      <c r="I322" s="57"/>
      <c r="J322" s="57"/>
      <c r="K322" s="57"/>
      <c r="L322" s="783"/>
      <c r="M322" s="250"/>
      <c r="N322" s="57"/>
      <c r="O322" s="57"/>
      <c r="P322" s="57"/>
      <c r="Q322" s="57"/>
      <c r="R322" s="615"/>
    </row>
    <row r="323" spans="1:18" ht="15.75">
      <c r="A323" s="658">
        <v>212</v>
      </c>
      <c r="B323" s="659" t="s">
        <v>148</v>
      </c>
      <c r="C323" s="786" t="s">
        <v>118</v>
      </c>
      <c r="D323" s="259">
        <f>[2]янв18!D323+[2]янв18!D324</f>
        <v>224.2</v>
      </c>
      <c r="E323" s="41">
        <f>6.6231-6.505</f>
        <v>0.11810000000000009</v>
      </c>
      <c r="F323" s="691">
        <f>+E323</f>
        <v>0.11810000000000009</v>
      </c>
      <c r="G323" s="214">
        <f t="shared" si="65"/>
        <v>26.48</v>
      </c>
      <c r="H323" s="303"/>
      <c r="I323" s="23"/>
      <c r="J323" s="23"/>
      <c r="K323" s="23"/>
      <c r="L323" s="603">
        <f>SUM(G323:G325)</f>
        <v>1312.69</v>
      </c>
      <c r="M323" s="187">
        <v>1312.69</v>
      </c>
      <c r="N323" s="660"/>
      <c r="O323" s="217"/>
      <c r="P323" s="661"/>
      <c r="Q323" s="219"/>
    </row>
    <row r="324" spans="1:18" ht="15.75">
      <c r="A324" s="662"/>
      <c r="B324" s="35"/>
      <c r="C324" s="48" t="s">
        <v>119</v>
      </c>
      <c r="D324" s="269">
        <v>6.5</v>
      </c>
      <c r="E324" s="41">
        <v>6.6231</v>
      </c>
      <c r="F324" s="298">
        <f t="shared" ref="F324" si="67">+E324</f>
        <v>6.6231</v>
      </c>
      <c r="G324" s="235">
        <f t="shared" si="65"/>
        <v>43.05</v>
      </c>
      <c r="H324" s="270"/>
      <c r="I324" s="41"/>
      <c r="J324" s="41"/>
      <c r="K324" s="41"/>
      <c r="L324" s="606"/>
      <c r="M324" s="935"/>
      <c r="N324" s="663"/>
      <c r="O324" s="237"/>
      <c r="P324" s="275"/>
      <c r="Q324" s="238"/>
    </row>
    <row r="325" spans="1:18" ht="15.75" thickBot="1">
      <c r="A325" s="975"/>
      <c r="B325" s="665"/>
      <c r="C325" s="99" t="s">
        <v>29</v>
      </c>
      <c r="D325" s="613">
        <v>187.7</v>
      </c>
      <c r="E325" s="56">
        <v>6.6231</v>
      </c>
      <c r="F325" s="57"/>
      <c r="G325" s="247">
        <f t="shared" si="65"/>
        <v>1243.1600000000001</v>
      </c>
      <c r="H325" s="613"/>
      <c r="I325" s="57"/>
      <c r="J325" s="57"/>
      <c r="K325" s="57"/>
      <c r="L325" s="614"/>
      <c r="M325" s="606"/>
      <c r="N325" s="57"/>
      <c r="O325" s="57"/>
      <c r="P325" s="57"/>
      <c r="Q325" s="666"/>
    </row>
    <row r="326" spans="1:18" ht="15.75">
      <c r="A326" s="658">
        <v>218</v>
      </c>
      <c r="B326" s="659" t="s">
        <v>117</v>
      </c>
      <c r="C326" s="439" t="s">
        <v>118</v>
      </c>
      <c r="D326" s="259">
        <f>[2]янв18!D316+[2]янв18!D317</f>
        <v>422.1</v>
      </c>
      <c r="E326" s="23">
        <f>6.6231-6.505</f>
        <v>0.11810000000000009</v>
      </c>
      <c r="F326" s="691">
        <f>+E326</f>
        <v>0.11810000000000009</v>
      </c>
      <c r="G326" s="214">
        <f t="shared" si="65"/>
        <v>49.85</v>
      </c>
      <c r="H326" s="303"/>
      <c r="I326" s="23"/>
      <c r="J326" s="23"/>
      <c r="K326" s="23"/>
      <c r="L326" s="603">
        <f>SUM(G326:G328)</f>
        <v>2678.56</v>
      </c>
      <c r="M326" s="187">
        <v>2678.56</v>
      </c>
      <c r="N326" s="660"/>
      <c r="O326" s="217"/>
      <c r="P326" s="661"/>
      <c r="Q326" s="219"/>
      <c r="R326" s="615"/>
    </row>
    <row r="327" spans="1:18" ht="15.75">
      <c r="A327" s="662"/>
      <c r="B327" s="506"/>
      <c r="C327" s="48" t="s">
        <v>119</v>
      </c>
      <c r="D327" s="773">
        <v>13.3</v>
      </c>
      <c r="E327" s="41">
        <v>6.6231</v>
      </c>
      <c r="F327" s="774">
        <f t="shared" ref="F327" si="68">+E327</f>
        <v>6.6231</v>
      </c>
      <c r="G327" s="775">
        <f t="shared" si="65"/>
        <v>88.09</v>
      </c>
      <c r="H327" s="432"/>
      <c r="I327" s="207"/>
      <c r="J327" s="207"/>
      <c r="K327" s="207"/>
      <c r="L327" s="776"/>
      <c r="M327" s="974"/>
      <c r="N327" s="777"/>
      <c r="O327" s="778"/>
      <c r="P327" s="779"/>
      <c r="Q327" s="780"/>
    </row>
    <row r="328" spans="1:18" ht="15.75" thickBot="1">
      <c r="A328" s="975"/>
      <c r="B328" s="278"/>
      <c r="C328" s="54" t="s">
        <v>29</v>
      </c>
      <c r="D328" s="613">
        <v>383.6</v>
      </c>
      <c r="E328" s="56">
        <v>6.6231</v>
      </c>
      <c r="F328" s="57"/>
      <c r="G328" s="247">
        <f t="shared" si="65"/>
        <v>2540.62</v>
      </c>
      <c r="H328" s="613"/>
      <c r="I328" s="57"/>
      <c r="J328" s="57"/>
      <c r="K328" s="57"/>
      <c r="L328" s="783"/>
      <c r="M328" s="938"/>
      <c r="N328" s="57"/>
      <c r="O328" s="57"/>
      <c r="P328" s="57"/>
      <c r="Q328" s="666"/>
    </row>
    <row r="329" spans="1:18" ht="15.75">
      <c r="A329" s="658">
        <v>311</v>
      </c>
      <c r="B329" s="602" t="s">
        <v>142</v>
      </c>
      <c r="C329" s="786" t="s">
        <v>73</v>
      </c>
      <c r="D329" s="787">
        <v>6</v>
      </c>
      <c r="E329" s="21">
        <v>36.214199999999998</v>
      </c>
      <c r="F329" s="21">
        <v>42.4328</v>
      </c>
      <c r="G329" s="214">
        <f>+D329*(E329+F329)</f>
        <v>471.88199999999995</v>
      </c>
      <c r="H329" s="687">
        <f>[1]нояб17!D304</f>
        <v>3</v>
      </c>
      <c r="I329" s="688">
        <v>16.34</v>
      </c>
      <c r="J329" s="670">
        <f>H329*I329</f>
        <v>49.019999999999996</v>
      </c>
      <c r="K329" s="850">
        <v>43040</v>
      </c>
      <c r="L329" s="603">
        <f>SUM(G329:G332,J329:J332)</f>
        <v>17841.921999999999</v>
      </c>
      <c r="M329" s="187">
        <v>14841.92</v>
      </c>
      <c r="N329" s="788"/>
      <c r="O329" s="789"/>
      <c r="P329" s="790"/>
      <c r="Q329" s="791"/>
    </row>
    <row r="330" spans="1:18" ht="15.75">
      <c r="A330" s="662"/>
      <c r="B330" s="939"/>
      <c r="C330" s="48" t="s">
        <v>118</v>
      </c>
      <c r="D330" s="269">
        <f>[2]янв18!D320+[2]янв18!D321</f>
        <v>2515.6000000000004</v>
      </c>
      <c r="E330" s="41">
        <f>6.6231-6.505</f>
        <v>0.11810000000000009</v>
      </c>
      <c r="F330" s="297">
        <f>+E330</f>
        <v>0.11810000000000009</v>
      </c>
      <c r="G330" s="235">
        <f>ROUND(D330*E330,2)+0.01</f>
        <v>297.09999999999997</v>
      </c>
      <c r="H330" s="270">
        <f>H329</f>
        <v>3</v>
      </c>
      <c r="I330" s="688">
        <v>16.97</v>
      </c>
      <c r="J330" s="670">
        <f>H330*I330</f>
        <v>50.91</v>
      </c>
      <c r="K330" s="689">
        <v>43040</v>
      </c>
      <c r="L330" s="614"/>
      <c r="M330" s="273"/>
      <c r="N330" s="663"/>
      <c r="O330" s="237"/>
      <c r="P330" s="275"/>
      <c r="Q330" s="238"/>
    </row>
    <row r="331" spans="1:18" ht="15.75">
      <c r="A331" s="662"/>
      <c r="B331" s="506"/>
      <c r="C331" s="48" t="s">
        <v>119</v>
      </c>
      <c r="D331" s="269">
        <v>85.69</v>
      </c>
      <c r="E331" s="41">
        <v>6.6231</v>
      </c>
      <c r="F331" s="298">
        <f t="shared" ref="F331" si="69">+E331</f>
        <v>6.6231</v>
      </c>
      <c r="G331" s="235">
        <f t="shared" ref="G331:G332" si="70">ROUND(D331*E331,2)</f>
        <v>567.53</v>
      </c>
      <c r="H331" s="270"/>
      <c r="I331" s="41"/>
      <c r="J331" s="670"/>
      <c r="K331" s="689"/>
      <c r="L331" s="606"/>
      <c r="M331" s="935"/>
      <c r="N331" s="663"/>
      <c r="O331" s="237"/>
      <c r="P331" s="275"/>
      <c r="Q331" s="238"/>
    </row>
    <row r="332" spans="1:18" ht="15.75" thickBot="1">
      <c r="A332" s="975"/>
      <c r="B332" s="278"/>
      <c r="C332" s="54" t="s">
        <v>29</v>
      </c>
      <c r="D332" s="795">
        <v>2477.0100000000002</v>
      </c>
      <c r="E332" s="56">
        <v>6.6231</v>
      </c>
      <c r="F332" s="797"/>
      <c r="G332" s="798">
        <f t="shared" si="70"/>
        <v>16405.48</v>
      </c>
      <c r="H332" s="795"/>
      <c r="I332" s="797"/>
      <c r="J332" s="797"/>
      <c r="K332" s="797"/>
      <c r="L332" s="799"/>
      <c r="M332" s="976"/>
      <c r="N332" s="797"/>
      <c r="O332" s="797"/>
      <c r="P332" s="797"/>
      <c r="Q332" s="800"/>
    </row>
    <row r="333" spans="1:18" ht="15.75">
      <c r="A333" s="658">
        <v>500</v>
      </c>
      <c r="B333" s="659" t="s">
        <v>55</v>
      </c>
      <c r="C333" s="48" t="s">
        <v>118</v>
      </c>
      <c r="D333" s="259">
        <f>[2]янв18!D306+[2]янв18!D307</f>
        <v>2358.2999999999997</v>
      </c>
      <c r="E333" s="41">
        <f>6.6231-6.505</f>
        <v>0.11810000000000009</v>
      </c>
      <c r="F333" s="620">
        <f t="shared" ref="F333:F334" si="71">+E333</f>
        <v>0.11810000000000009</v>
      </c>
      <c r="G333" s="214">
        <f>ROUND(D333*E333,2)-0.01</f>
        <v>278.51</v>
      </c>
      <c r="H333" s="303"/>
      <c r="I333" s="23"/>
      <c r="J333" s="23"/>
      <c r="K333" s="23"/>
      <c r="L333" s="603">
        <f>SUM(G333:G335)</f>
        <v>14387.039999999999</v>
      </c>
      <c r="M333" s="187">
        <v>14387.04</v>
      </c>
      <c r="N333" s="660"/>
      <c r="O333" s="217"/>
      <c r="P333" s="661"/>
      <c r="Q333" s="219"/>
    </row>
    <row r="334" spans="1:18" ht="15.75">
      <c r="A334" s="662" t="s">
        <v>211</v>
      </c>
      <c r="B334" s="35"/>
      <c r="C334" s="48" t="s">
        <v>119</v>
      </c>
      <c r="D334" s="269">
        <v>71.209999999999994</v>
      </c>
      <c r="E334" s="41">
        <v>6.6231</v>
      </c>
      <c r="F334" s="298">
        <f t="shared" si="71"/>
        <v>6.6231</v>
      </c>
      <c r="G334" s="235">
        <f>ROUND(D334*E334,2)</f>
        <v>471.63</v>
      </c>
      <c r="H334" s="270"/>
      <c r="I334" s="41"/>
      <c r="J334" s="41"/>
      <c r="K334" s="41"/>
      <c r="L334" s="606"/>
      <c r="M334" s="935"/>
      <c r="N334" s="663"/>
      <c r="O334" s="237"/>
      <c r="P334" s="275"/>
      <c r="Q334" s="238"/>
    </row>
    <row r="335" spans="1:18" ht="15.75" thickBot="1">
      <c r="A335" s="969"/>
      <c r="B335" s="665"/>
      <c r="C335" s="99" t="s">
        <v>29</v>
      </c>
      <c r="D335" s="613">
        <v>2058.9899999999998</v>
      </c>
      <c r="E335" s="56">
        <v>6.6231</v>
      </c>
      <c r="F335" s="57"/>
      <c r="G335" s="247">
        <f>ROUND(D335*E335,2)</f>
        <v>13636.9</v>
      </c>
      <c r="H335" s="613"/>
      <c r="I335" s="57"/>
      <c r="J335" s="57"/>
      <c r="K335" s="57"/>
      <c r="L335" s="614"/>
      <c r="M335" s="935"/>
      <c r="N335" s="57"/>
      <c r="O335" s="57"/>
      <c r="P335" s="57"/>
      <c r="Q335" s="666"/>
    </row>
    <row r="336" spans="1:18">
      <c r="A336" s="977"/>
    </row>
    <row r="337" spans="1:1">
      <c r="A337" s="977"/>
    </row>
    <row r="338" spans="1:1">
      <c r="A338" s="977"/>
    </row>
  </sheetData>
  <mergeCells count="40">
    <mergeCell ref="M314:M315"/>
    <mergeCell ref="N314:Q314"/>
    <mergeCell ref="A314:A315"/>
    <mergeCell ref="B314:B315"/>
    <mergeCell ref="C314:C315"/>
    <mergeCell ref="D314:G314"/>
    <mergeCell ref="H314:K314"/>
    <mergeCell ref="L314:L315"/>
    <mergeCell ref="M99:M100"/>
    <mergeCell ref="N99:Q99"/>
    <mergeCell ref="A215:A216"/>
    <mergeCell ref="B215:B216"/>
    <mergeCell ref="C215:C216"/>
    <mergeCell ref="D215:G215"/>
    <mergeCell ref="H215:K215"/>
    <mergeCell ref="L215:L216"/>
    <mergeCell ref="M215:M216"/>
    <mergeCell ref="N215:Q215"/>
    <mergeCell ref="A99:A100"/>
    <mergeCell ref="B99:B100"/>
    <mergeCell ref="C99:C100"/>
    <mergeCell ref="D99:G99"/>
    <mergeCell ref="H99:K99"/>
    <mergeCell ref="L99:L100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342"/>
  <sheetViews>
    <sheetView topLeftCell="A314" workbookViewId="0">
      <pane xSplit="3" topLeftCell="D1" activePane="topRight" state="frozen"/>
      <selection pane="topRight" activeCell="M225" sqref="M225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76</v>
      </c>
      <c r="E4" s="21">
        <v>36.214199999999998</v>
      </c>
      <c r="F4" s="21">
        <v>42.4328</v>
      </c>
      <c r="G4" s="22">
        <f>ROUND(D4*(E4+F4),2)</f>
        <v>5977.17</v>
      </c>
      <c r="H4" s="20"/>
      <c r="I4" s="23"/>
      <c r="J4" s="23"/>
      <c r="K4" s="24"/>
      <c r="L4" s="25">
        <f>SUM(G4:G8,J4:J7)</f>
        <v>122866.51</v>
      </c>
      <c r="M4" s="26">
        <v>122866.51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124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116889.34</v>
      </c>
      <c r="S6" s="31"/>
      <c r="T6" s="32"/>
    </row>
    <row r="7" spans="1:22">
      <c r="A7" s="34"/>
      <c r="B7" s="35"/>
      <c r="C7" s="48" t="s">
        <v>125</v>
      </c>
      <c r="D7" s="49">
        <v>538.20000000000005</v>
      </c>
      <c r="E7" s="41">
        <v>6.3258999999999999</v>
      </c>
      <c r="F7" s="41">
        <f>+E7</f>
        <v>6.3258999999999999</v>
      </c>
      <c r="G7" s="50">
        <f>ROUND(D7*E7,2)-0.01</f>
        <v>3404.5899999999997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116889.34</v>
      </c>
    </row>
    <row r="8" spans="1:22" ht="15.75" thickBot="1">
      <c r="A8" s="52"/>
      <c r="B8" s="53"/>
      <c r="C8" s="99" t="s">
        <v>29</v>
      </c>
      <c r="D8" s="55">
        <v>17939.7</v>
      </c>
      <c r="E8" s="56">
        <v>6.3258999999999999</v>
      </c>
      <c r="F8" s="57">
        <f>+E8</f>
        <v>6.3258999999999999</v>
      </c>
      <c r="G8" s="58">
        <f>ROUND(D8*E8,2)</f>
        <v>113484.75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113484.75</v>
      </c>
      <c r="R8" s="66" t="s">
        <v>25</v>
      </c>
      <c r="S8" s="67">
        <f>SUM(O4:O8)</f>
        <v>0</v>
      </c>
      <c r="T8" s="68">
        <f>SUM(Q4:Q8)</f>
        <v>113484.75</v>
      </c>
    </row>
    <row r="9" spans="1:22" s="140" customFormat="1" collapsed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1911.3200000000002</v>
      </c>
      <c r="M9" s="26">
        <v>1911.32</v>
      </c>
      <c r="N9" s="27"/>
      <c r="O9" s="28"/>
      <c r="P9" s="29" t="s">
        <v>24</v>
      </c>
      <c r="Q9" s="28"/>
      <c r="R9" s="30"/>
      <c r="S9" s="31"/>
      <c r="T9" s="32"/>
      <c r="U9" s="33">
        <f>+C9+L9-M9</f>
        <v>0</v>
      </c>
    </row>
    <row r="10" spans="1:22" s="140" customFormat="1">
      <c r="A10" s="34"/>
      <c r="B10" s="35"/>
      <c r="C10" s="48" t="s">
        <v>124</v>
      </c>
      <c r="D10" s="37">
        <f>фев18!D11+фев18!D12</f>
        <v>277.10000000000002</v>
      </c>
      <c r="E10" s="41">
        <f>6.6987-6.6231</f>
        <v>7.5599999999999667E-2</v>
      </c>
      <c r="F10" s="38"/>
      <c r="G10" s="39">
        <f>ROUND(D10*(E10+F10),2)</f>
        <v>20.95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>
      <c r="A11" s="34"/>
      <c r="B11" s="35"/>
      <c r="C11" s="48" t="s">
        <v>125</v>
      </c>
      <c r="D11" s="49">
        <v>8.1999999999999993</v>
      </c>
      <c r="E11" s="41">
        <v>6.6986999999999997</v>
      </c>
      <c r="F11" s="41">
        <f>+E11</f>
        <v>6.6986999999999997</v>
      </c>
      <c r="G11" s="50">
        <f>ROUND(D11*E11,2)</f>
        <v>54.93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thickBot="1">
      <c r="A12" s="766"/>
      <c r="B12" s="767"/>
      <c r="C12" s="99" t="s">
        <v>29</v>
      </c>
      <c r="D12" s="49">
        <v>274</v>
      </c>
      <c r="E12" s="56">
        <v>6.6986999999999997</v>
      </c>
      <c r="F12" s="41">
        <f>+E12</f>
        <v>6.6986999999999997</v>
      </c>
      <c r="G12" s="50">
        <f>ROUND(D12*E12,2)</f>
        <v>1835.44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46</v>
      </c>
      <c r="E13" s="21">
        <v>36.214199999999998</v>
      </c>
      <c r="F13" s="21">
        <v>42.4328</v>
      </c>
      <c r="G13" s="22">
        <f>ROUND(D13*(E13+F13),2)</f>
        <v>3617.76</v>
      </c>
      <c r="H13" s="72"/>
      <c r="I13" s="21"/>
      <c r="J13" s="73"/>
      <c r="K13" s="24"/>
      <c r="L13" s="74">
        <f>SUM(G13:G20,J13:J19)</f>
        <v>47089.279999999999</v>
      </c>
      <c r="M13" s="26">
        <v>47089.279999999999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48</v>
      </c>
      <c r="E15" s="101">
        <v>326.58</v>
      </c>
      <c r="F15" s="38">
        <v>42.4328</v>
      </c>
      <c r="G15" s="39">
        <f>ROUND(D15*(E15+F15),2)</f>
        <v>17712.61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фев18!D15</f>
        <v>47</v>
      </c>
      <c r="E16" s="41">
        <f>326.58-444.53</f>
        <v>-117.94999999999999</v>
      </c>
      <c r="F16" s="38"/>
      <c r="G16" s="50">
        <f>+D16*(E16+F16)</f>
        <v>-5543.65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124</v>
      </c>
      <c r="D18" s="49">
        <f>фев18!D19+фев18!D20</f>
        <v>4636.8</v>
      </c>
      <c r="E18" s="881">
        <f>6.6987-6.6231</f>
        <v>7.5599999999999667E-2</v>
      </c>
      <c r="F18" s="41">
        <f>+E18</f>
        <v>7.5599999999999667E-2</v>
      </c>
      <c r="G18" s="50">
        <f>ROUND(D18*E18*70%+D18*F18*30%,2)</f>
        <v>350.54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125</v>
      </c>
      <c r="D19" s="49">
        <f>9.5+120.8+4.3</f>
        <v>134.60000000000002</v>
      </c>
      <c r="E19" s="41">
        <v>6.6986999999999997</v>
      </c>
      <c r="F19" s="41">
        <f>E19</f>
        <v>6.6986999999999997</v>
      </c>
      <c r="G19" s="50">
        <f>ROUND(D19*E19*70%+D19*F19*30%,2)</f>
        <v>901.65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316+4028+142</f>
        <v>4486</v>
      </c>
      <c r="E20" s="56">
        <v>6.6986999999999997</v>
      </c>
      <c r="F20" s="109">
        <f>+E20</f>
        <v>6.6986999999999997</v>
      </c>
      <c r="G20" s="110">
        <f>ROUND(D20*E20*70%+D20*F20*30%,2)</f>
        <v>30050.37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92">
        <v>202</v>
      </c>
      <c r="B30" s="183" t="s">
        <v>159</v>
      </c>
      <c r="C30" s="439" t="s">
        <v>124</v>
      </c>
      <c r="D30" s="296">
        <f>фев18!D36+фев18!D37</f>
        <v>156.46</v>
      </c>
      <c r="E30" s="41">
        <f>6.6987-6.6231</f>
        <v>7.5599999999999667E-2</v>
      </c>
      <c r="F30" s="41">
        <f t="shared" ref="F30:F35" si="0">+E30</f>
        <v>7.5599999999999667E-2</v>
      </c>
      <c r="G30" s="235">
        <f>ROUND(D30*E30,2)</f>
        <v>11.83</v>
      </c>
      <c r="H30" s="270"/>
      <c r="I30" s="41"/>
      <c r="J30" s="41"/>
      <c r="K30" s="271"/>
      <c r="L30" s="294">
        <f>SUM(G30:G32)</f>
        <v>1040.28</v>
      </c>
      <c r="M30" s="227">
        <v>1040.28</v>
      </c>
      <c r="N30" s="274"/>
      <c r="O30" s="237"/>
      <c r="P30" s="275"/>
      <c r="Q30" s="237"/>
      <c r="R30" s="242"/>
      <c r="S30" s="266"/>
      <c r="T30" s="266"/>
    </row>
    <row r="31" spans="1:21" ht="15.75">
      <c r="A31" s="896"/>
      <c r="B31" s="192"/>
      <c r="C31" s="48" t="s">
        <v>125</v>
      </c>
      <c r="D31" s="269">
        <v>1.63</v>
      </c>
      <c r="E31" s="41">
        <v>6.6986999999999997</v>
      </c>
      <c r="F31" s="41">
        <f t="shared" si="0"/>
        <v>6.6986999999999997</v>
      </c>
      <c r="G31" s="235">
        <f t="shared" ref="G31:G32" si="1">ROUND(D31*E31,2)</f>
        <v>10.92</v>
      </c>
      <c r="H31" s="270"/>
      <c r="I31" s="41"/>
      <c r="J31" s="41"/>
      <c r="K31" s="271"/>
      <c r="L31" s="272"/>
      <c r="M31" s="273"/>
      <c r="N31" s="274"/>
      <c r="O31" s="237"/>
      <c r="P31" s="275"/>
      <c r="Q31" s="237"/>
      <c r="R31" s="242"/>
      <c r="S31" s="266"/>
      <c r="T31" s="266"/>
    </row>
    <row r="32" spans="1:21" ht="16.5" thickBot="1">
      <c r="A32" s="891"/>
      <c r="B32" s="887"/>
      <c r="C32" s="54" t="s">
        <v>29</v>
      </c>
      <c r="D32" s="279">
        <v>151.9</v>
      </c>
      <c r="E32" s="56">
        <v>6.6986999999999997</v>
      </c>
      <c r="F32" s="57">
        <f t="shared" si="0"/>
        <v>6.6986999999999997</v>
      </c>
      <c r="G32" s="247">
        <f t="shared" si="1"/>
        <v>1017.53</v>
      </c>
      <c r="H32" s="280"/>
      <c r="I32" s="281"/>
      <c r="J32" s="281"/>
      <c r="K32" s="282"/>
      <c r="L32" s="204"/>
      <c r="M32" s="250"/>
      <c r="N32" s="283"/>
      <c r="O32" s="252"/>
      <c r="P32" s="284"/>
      <c r="Q32" s="252"/>
      <c r="R32" s="242"/>
      <c r="S32" s="266"/>
      <c r="T32" s="266"/>
    </row>
    <row r="33" spans="1:21">
      <c r="A33" s="892">
        <v>204</v>
      </c>
      <c r="B33" s="183" t="s">
        <v>137</v>
      </c>
      <c r="C33" s="439" t="s">
        <v>124</v>
      </c>
      <c r="D33" s="296">
        <f>фев18!D39+фев18!D40</f>
        <v>194.86</v>
      </c>
      <c r="E33" s="41">
        <f>6.6987-6.6231</f>
        <v>7.5599999999999667E-2</v>
      </c>
      <c r="F33" s="41">
        <f t="shared" si="0"/>
        <v>7.5599999999999667E-2</v>
      </c>
      <c r="G33" s="235">
        <f>ROUND(D33*E33,2)</f>
        <v>14.73</v>
      </c>
      <c r="H33" s="270"/>
      <c r="I33" s="41"/>
      <c r="J33" s="41"/>
      <c r="K33" s="271"/>
      <c r="L33" s="294">
        <f>SUM(G33:G35)</f>
        <v>1263.8400000000001</v>
      </c>
      <c r="M33" s="227">
        <v>1263.8399999999999</v>
      </c>
      <c r="N33" s="274"/>
      <c r="O33" s="237"/>
      <c r="P33" s="275"/>
      <c r="Q33" s="237"/>
      <c r="R33" s="242"/>
      <c r="S33" s="266"/>
      <c r="T33" s="266"/>
    </row>
    <row r="34" spans="1:21" ht="15.75">
      <c r="A34" s="896"/>
      <c r="B34" s="192"/>
      <c r="C34" s="48" t="s">
        <v>125</v>
      </c>
      <c r="D34" s="269">
        <v>1.97</v>
      </c>
      <c r="E34" s="41">
        <v>6.6986999999999997</v>
      </c>
      <c r="F34" s="41">
        <f t="shared" si="0"/>
        <v>6.6986999999999997</v>
      </c>
      <c r="G34" s="235">
        <f>ROUND(D34*E34,2)</f>
        <v>13.2</v>
      </c>
      <c r="H34" s="270"/>
      <c r="I34" s="41"/>
      <c r="J34" s="41"/>
      <c r="K34" s="271"/>
      <c r="L34" s="272"/>
      <c r="M34" s="273"/>
      <c r="N34" s="274"/>
      <c r="O34" s="237"/>
      <c r="P34" s="275"/>
      <c r="Q34" s="237"/>
      <c r="R34" s="242"/>
      <c r="S34" s="266"/>
      <c r="T34" s="266"/>
    </row>
    <row r="35" spans="1:21" ht="16.5" thickBot="1">
      <c r="A35" s="891"/>
      <c r="B35" s="887"/>
      <c r="C35" s="54" t="s">
        <v>29</v>
      </c>
      <c r="D35" s="279">
        <v>184.5</v>
      </c>
      <c r="E35" s="56">
        <v>6.6986999999999997</v>
      </c>
      <c r="F35" s="57">
        <f t="shared" si="0"/>
        <v>6.6986999999999997</v>
      </c>
      <c r="G35" s="247">
        <f>ROUND(D35*E35,2)</f>
        <v>1235.9100000000001</v>
      </c>
      <c r="H35" s="280"/>
      <c r="I35" s="281"/>
      <c r="J35" s="281"/>
      <c r="K35" s="282"/>
      <c r="L35" s="204"/>
      <c r="M35" s="250"/>
      <c r="N35" s="283"/>
      <c r="O35" s="252"/>
      <c r="P35" s="284"/>
      <c r="Q35" s="252"/>
      <c r="R35" s="242"/>
      <c r="S35" s="266"/>
      <c r="T35" s="266"/>
    </row>
    <row r="36" spans="1:21">
      <c r="A36" s="892">
        <v>215</v>
      </c>
      <c r="B36" s="183" t="s">
        <v>189</v>
      </c>
      <c r="C36" s="71">
        <v>0</v>
      </c>
      <c r="D36" s="213">
        <v>0.5</v>
      </c>
      <c r="E36" s="21">
        <v>36.214199999999998</v>
      </c>
      <c r="F36" s="21">
        <v>42.4328</v>
      </c>
      <c r="G36" s="214">
        <f>ROUND(D36*(E36+F36),2)</f>
        <v>39.32</v>
      </c>
      <c r="H36" s="213"/>
      <c r="I36" s="194"/>
      <c r="J36" s="215"/>
      <c r="K36" s="679"/>
      <c r="L36" s="216">
        <f>SUM(G36:G43)+SUM(J36:J43)</f>
        <v>731.13</v>
      </c>
      <c r="M36" s="187">
        <v>731.13</v>
      </c>
      <c r="N36" s="188"/>
      <c r="O36" s="217"/>
      <c r="P36" s="218"/>
      <c r="Q36" s="219"/>
      <c r="R36" s="220"/>
      <c r="S36" s="221"/>
      <c r="T36" s="222"/>
      <c r="U36" s="33"/>
    </row>
    <row r="37" spans="1:21">
      <c r="A37" s="890"/>
      <c r="B37" s="872"/>
      <c r="C37" s="84" t="s">
        <v>26</v>
      </c>
      <c r="D37" s="37"/>
      <c r="E37" s="38"/>
      <c r="F37" s="38"/>
      <c r="G37" s="39">
        <f>ROUND(D37*(E37+F37),2)</f>
        <v>0</v>
      </c>
      <c r="H37" s="225"/>
      <c r="I37" s="194"/>
      <c r="J37" s="194"/>
      <c r="K37" s="226"/>
      <c r="L37" s="196"/>
      <c r="M37" s="227"/>
      <c r="N37" s="228"/>
      <c r="O37" s="229"/>
      <c r="P37" s="230"/>
      <c r="Q37" s="231"/>
      <c r="R37" s="232"/>
      <c r="S37" s="233"/>
      <c r="T37" s="224"/>
      <c r="U37" s="33"/>
    </row>
    <row r="38" spans="1:21">
      <c r="A38" s="890"/>
      <c r="B38" s="873" t="s">
        <v>32</v>
      </c>
      <c r="C38" s="99" t="s">
        <v>33</v>
      </c>
      <c r="D38" s="234">
        <v>0</v>
      </c>
      <c r="E38" s="101">
        <v>199.58</v>
      </c>
      <c r="F38" s="38">
        <v>42.4328</v>
      </c>
      <c r="G38" s="235">
        <f>ROUND(D38*(E38+F38),2)</f>
        <v>0</v>
      </c>
      <c r="H38" s="234"/>
      <c r="I38" s="194"/>
      <c r="J38" s="194"/>
      <c r="K38" s="195"/>
      <c r="L38" s="196"/>
      <c r="M38" s="227"/>
      <c r="N38" s="236"/>
      <c r="O38" s="237"/>
      <c r="P38" s="230"/>
      <c r="Q38" s="238"/>
      <c r="R38" s="232"/>
      <c r="S38" s="233"/>
      <c r="T38" s="224"/>
    </row>
    <row r="39" spans="1:21">
      <c r="A39" s="890"/>
      <c r="B39" s="872" t="s">
        <v>33</v>
      </c>
      <c r="C39" s="239" t="s">
        <v>26</v>
      </c>
      <c r="D39" s="234">
        <f>фев18!D43</f>
        <v>0</v>
      </c>
      <c r="E39" s="240">
        <f>199.58-190.88</f>
        <v>8.7000000000000171</v>
      </c>
      <c r="F39" s="240">
        <v>0</v>
      </c>
      <c r="G39" s="235">
        <f>+ROUND(D39*E39,2)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890"/>
      <c r="B40" s="872"/>
      <c r="C40" s="239" t="s">
        <v>26</v>
      </c>
      <c r="D40" s="234"/>
      <c r="E40" s="240"/>
      <c r="F40" s="41"/>
      <c r="G40" s="235">
        <f>+ROUND(D40*F40,2)</f>
        <v>0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890"/>
      <c r="B41" s="872"/>
      <c r="C41" s="48" t="s">
        <v>124</v>
      </c>
      <c r="D41" s="49">
        <f>фев18!D47+фев18!D48</f>
        <v>77.5</v>
      </c>
      <c r="E41" s="41">
        <f>6.6987-6.6231</f>
        <v>7.5599999999999667E-2</v>
      </c>
      <c r="F41" s="41">
        <f t="shared" ref="F41:F43" si="2">+E41</f>
        <v>7.5599999999999667E-2</v>
      </c>
      <c r="G41" s="50">
        <f>ROUND(D41*E41,2)</f>
        <v>5.86</v>
      </c>
      <c r="H41" s="241"/>
      <c r="I41" s="194"/>
      <c r="J41" s="194"/>
      <c r="K41" s="195"/>
      <c r="L41" s="196"/>
      <c r="M41" s="227"/>
      <c r="N41" s="236"/>
      <c r="O41" s="237"/>
      <c r="P41" s="230"/>
      <c r="Q41" s="238"/>
      <c r="R41" s="242"/>
      <c r="S41" s="233"/>
      <c r="T41" s="224"/>
    </row>
    <row r="42" spans="1:21">
      <c r="A42" s="890"/>
      <c r="B42" s="872"/>
      <c r="C42" s="48" t="s">
        <v>125</v>
      </c>
      <c r="D42" s="49">
        <v>1.1000000000000001</v>
      </c>
      <c r="E42" s="41">
        <v>6.6986999999999997</v>
      </c>
      <c r="F42" s="41">
        <f t="shared" si="2"/>
        <v>6.6986999999999997</v>
      </c>
      <c r="G42" s="50">
        <f>ROUND(D42*E42,2)</f>
        <v>7.37</v>
      </c>
      <c r="H42" s="241"/>
      <c r="I42" s="194"/>
      <c r="J42" s="243"/>
      <c r="K42" s="195"/>
      <c r="L42" s="196"/>
      <c r="M42" s="227"/>
      <c r="N42" s="236"/>
      <c r="O42" s="237"/>
      <c r="P42" s="230"/>
      <c r="Q42" s="238"/>
      <c r="R42" s="242"/>
      <c r="S42" s="233"/>
      <c r="T42" s="224"/>
      <c r="U42" s="33"/>
    </row>
    <row r="43" spans="1:21" ht="15.75" thickBot="1">
      <c r="A43" s="897"/>
      <c r="B43" s="875"/>
      <c r="C43" s="99" t="s">
        <v>29</v>
      </c>
      <c r="D43" s="246">
        <v>101.3</v>
      </c>
      <c r="E43" s="56">
        <v>6.6986999999999997</v>
      </c>
      <c r="F43" s="57">
        <f t="shared" si="2"/>
        <v>6.6986999999999997</v>
      </c>
      <c r="G43" s="247">
        <f>ROUND(D43*E43*70%+D43*F43*30%,2)</f>
        <v>678.58</v>
      </c>
      <c r="H43" s="248"/>
      <c r="I43" s="203"/>
      <c r="J43" s="60"/>
      <c r="K43" s="61"/>
      <c r="L43" s="249"/>
      <c r="M43" s="250"/>
      <c r="N43" s="251"/>
      <c r="O43" s="252"/>
      <c r="P43" s="253"/>
      <c r="Q43" s="254"/>
      <c r="R43" s="255"/>
      <c r="S43" s="256"/>
      <c r="T43" s="256"/>
    </row>
    <row r="44" spans="1:21" ht="16.5" collapsed="1" thickTop="1" thickBot="1">
      <c r="A44" s="891">
        <v>309</v>
      </c>
      <c r="B44" s="887" t="s">
        <v>152</v>
      </c>
      <c r="C44" s="54" t="s">
        <v>124</v>
      </c>
      <c r="D44" s="296">
        <f>фев18!D50+фев18!D51</f>
        <v>274.61</v>
      </c>
      <c r="E44" s="41">
        <f>6.6987-6.6231</f>
        <v>7.5599999999999667E-2</v>
      </c>
      <c r="F44" s="41">
        <f>+E44</f>
        <v>7.5599999999999667E-2</v>
      </c>
      <c r="G44" s="235">
        <f>ROUND(D44*E44,2)-0.01</f>
        <v>20.75</v>
      </c>
      <c r="H44" s="270"/>
      <c r="I44" s="41"/>
      <c r="J44" s="41"/>
      <c r="K44" s="271"/>
      <c r="L44" s="294">
        <f>SUM(G44:G46)</f>
        <v>1900.88</v>
      </c>
      <c r="M44" s="227">
        <v>1900.88</v>
      </c>
      <c r="N44" s="274"/>
      <c r="O44" s="237"/>
      <c r="P44" s="275"/>
      <c r="Q44" s="237"/>
      <c r="R44" s="242"/>
      <c r="S44" s="266"/>
      <c r="T44" s="266"/>
    </row>
    <row r="45" spans="1:21" ht="15.75">
      <c r="A45" s="896"/>
      <c r="B45" s="885"/>
      <c r="C45" s="48" t="s">
        <v>125</v>
      </c>
      <c r="D45" s="269">
        <v>2.97</v>
      </c>
      <c r="E45" s="41">
        <v>6.6986999999999997</v>
      </c>
      <c r="F45" s="41">
        <f>+E45</f>
        <v>6.6986999999999997</v>
      </c>
      <c r="G45" s="235">
        <f t="shared" ref="G45:G46" si="3">ROUND(D45*E45,2)</f>
        <v>19.899999999999999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1" ht="16.5" thickBot="1">
      <c r="A46" s="891"/>
      <c r="B46" s="887"/>
      <c r="C46" s="54" t="s">
        <v>29</v>
      </c>
      <c r="D46" s="279">
        <v>277.7</v>
      </c>
      <c r="E46" s="56">
        <v>6.6986999999999997</v>
      </c>
      <c r="F46" s="57">
        <f>+E46</f>
        <v>6.6986999999999997</v>
      </c>
      <c r="G46" s="247">
        <f t="shared" si="3"/>
        <v>1860.23</v>
      </c>
      <c r="H46" s="280"/>
      <c r="I46" s="281"/>
      <c r="J46" s="281"/>
      <c r="K46" s="282"/>
      <c r="L46" s="204"/>
      <c r="M46" s="250"/>
      <c r="N46" s="283"/>
      <c r="O46" s="252"/>
      <c r="P46" s="284"/>
      <c r="Q46" s="252"/>
      <c r="R46" s="242"/>
      <c r="S46" s="266"/>
      <c r="T46" s="266"/>
    </row>
    <row r="47" spans="1:21">
      <c r="A47" s="888">
        <v>314</v>
      </c>
      <c r="B47" s="889" t="s">
        <v>52</v>
      </c>
      <c r="C47" s="71">
        <v>0</v>
      </c>
      <c r="D47" s="213">
        <v>124.96</v>
      </c>
      <c r="E47" s="21">
        <v>36.214199999999998</v>
      </c>
      <c r="F47" s="21">
        <v>42.4328</v>
      </c>
      <c r="G47" s="214">
        <f>ROUND(D47*(E47+F47),2)</f>
        <v>9827.73</v>
      </c>
      <c r="H47" s="213">
        <f>янв18!D35+янв18!D37</f>
        <v>159.37</v>
      </c>
      <c r="I47">
        <v>55.03</v>
      </c>
      <c r="J47" s="215">
        <f>I47*H47</f>
        <v>8770.1311000000005</v>
      </c>
      <c r="K47" s="679">
        <v>43101</v>
      </c>
      <c r="L47" s="216">
        <f>SUM(G47:G54)+SUM(J47:J54)</f>
        <v>71652.451099999991</v>
      </c>
      <c r="M47" s="187">
        <v>71652.45</v>
      </c>
      <c r="N47" s="188"/>
      <c r="O47" s="217">
        <v>4253.6899999999996</v>
      </c>
      <c r="P47" s="218" t="s">
        <v>47</v>
      </c>
      <c r="Q47" s="219">
        <f t="shared" ref="Q47" si="4">C47+G47+J47-M47-N47-O47</f>
        <v>-57308.278899999998</v>
      </c>
      <c r="R47" s="220" t="s">
        <v>53</v>
      </c>
      <c r="S47" s="221"/>
      <c r="T47" s="222"/>
      <c r="U47" s="33">
        <f>+C47+L47-M47</f>
        <v>1.0999999940395355E-3</v>
      </c>
    </row>
    <row r="48" spans="1:21" ht="15.75" thickBot="1">
      <c r="A48" s="890"/>
      <c r="B48" s="872"/>
      <c r="C48" s="84" t="s">
        <v>26</v>
      </c>
      <c r="D48" s="37"/>
      <c r="E48" s="38"/>
      <c r="F48" s="38"/>
      <c r="G48" s="39">
        <f>ROUND(D48*(E48+F48),2)</f>
        <v>0</v>
      </c>
      <c r="H48" s="225"/>
      <c r="I48" s="194"/>
      <c r="J48" s="194"/>
      <c r="K48" s="226"/>
      <c r="L48" s="196"/>
      <c r="M48" s="227"/>
      <c r="N48" s="228"/>
      <c r="O48" s="229"/>
      <c r="P48" s="230"/>
      <c r="Q48" s="231"/>
      <c r="R48" s="232"/>
      <c r="S48" s="233"/>
      <c r="T48" s="224"/>
      <c r="U48" s="33"/>
    </row>
    <row r="49" spans="1:21">
      <c r="A49" s="890"/>
      <c r="B49" s="873" t="s">
        <v>32</v>
      </c>
      <c r="C49" s="99" t="s">
        <v>33</v>
      </c>
      <c r="D49" s="234">
        <v>45.22</v>
      </c>
      <c r="E49" s="101">
        <v>199.58</v>
      </c>
      <c r="F49" s="21">
        <v>42.4328</v>
      </c>
      <c r="G49" s="235">
        <f>ROUND(D49*(E49+F49),2)</f>
        <v>10943.82</v>
      </c>
      <c r="H49" s="234"/>
      <c r="I49" s="194"/>
      <c r="J49" s="194"/>
      <c r="K49" s="195"/>
      <c r="L49" s="196"/>
      <c r="M49" s="227"/>
      <c r="N49" s="236"/>
      <c r="O49" s="237">
        <v>5456.6</v>
      </c>
      <c r="P49" s="230" t="s">
        <v>47</v>
      </c>
      <c r="Q49" s="238">
        <f>+G49+J49-M49-N49-O49</f>
        <v>5487.2199999999993</v>
      </c>
      <c r="R49" s="232"/>
      <c r="S49" s="233"/>
      <c r="T49" s="224"/>
    </row>
    <row r="50" spans="1:21">
      <c r="A50" s="890"/>
      <c r="B50" s="872" t="s">
        <v>33</v>
      </c>
      <c r="C50" s="239" t="s">
        <v>26</v>
      </c>
      <c r="D50" s="234">
        <f>фев18!D54</f>
        <v>48</v>
      </c>
      <c r="E50" s="240">
        <f>199.58-190.88</f>
        <v>8.7000000000000171</v>
      </c>
      <c r="F50" s="240">
        <v>0</v>
      </c>
      <c r="G50" s="235">
        <f>+ROUND(D50*E50,2)</f>
        <v>417.6</v>
      </c>
      <c r="H50" s="241"/>
      <c r="I50" s="194"/>
      <c r="J50" s="194"/>
      <c r="K50" s="195"/>
      <c r="L50" s="196"/>
      <c r="M50" s="227"/>
      <c r="N50" s="236"/>
      <c r="O50" s="237"/>
      <c r="P50" s="230"/>
      <c r="Q50" s="238"/>
      <c r="R50" s="242"/>
      <c r="S50" s="233"/>
      <c r="T50" s="224"/>
    </row>
    <row r="51" spans="1:21">
      <c r="A51" s="890"/>
      <c r="B51" s="872"/>
      <c r="C51" s="239" t="s">
        <v>26</v>
      </c>
      <c r="D51" s="234"/>
      <c r="E51" s="240"/>
      <c r="F51" s="41"/>
      <c r="G51" s="235">
        <f>+ROUND(D51*F51,2)</f>
        <v>0</v>
      </c>
      <c r="H51" s="241"/>
      <c r="I51" s="194"/>
      <c r="J51" s="194"/>
      <c r="K51" s="195"/>
      <c r="L51" s="196"/>
      <c r="M51" s="227"/>
      <c r="N51" s="236"/>
      <c r="O51" s="237"/>
      <c r="P51" s="230"/>
      <c r="Q51" s="238"/>
      <c r="R51" s="242"/>
      <c r="S51" s="233"/>
      <c r="T51" s="224"/>
    </row>
    <row r="52" spans="1:21">
      <c r="A52" s="890"/>
      <c r="B52" s="872"/>
      <c r="C52" s="48" t="s">
        <v>124</v>
      </c>
      <c r="D52" s="49">
        <f>фев18!D58+фев18!D59</f>
        <v>6244.1</v>
      </c>
      <c r="E52" s="41">
        <f>6.6987-6.6231</f>
        <v>7.5599999999999667E-2</v>
      </c>
      <c r="F52" s="41">
        <f t="shared" ref="F52:F86" si="5">+E52</f>
        <v>7.5599999999999667E-2</v>
      </c>
      <c r="G52" s="50">
        <f>ROUND(D52*E52,2)</f>
        <v>472.05</v>
      </c>
      <c r="H52" s="241"/>
      <c r="I52" s="194"/>
      <c r="J52" s="194"/>
      <c r="K52" s="195"/>
      <c r="L52" s="196"/>
      <c r="M52" s="227"/>
      <c r="N52" s="236"/>
      <c r="O52" s="237"/>
      <c r="P52" s="230"/>
      <c r="Q52" s="238"/>
      <c r="R52" s="242"/>
      <c r="S52" s="233"/>
      <c r="T52" s="224"/>
    </row>
    <row r="53" spans="1:21">
      <c r="A53" s="890"/>
      <c r="B53" s="872"/>
      <c r="C53" s="48" t="s">
        <v>125</v>
      </c>
      <c r="D53" s="49">
        <v>65.099999999999994</v>
      </c>
      <c r="E53" s="41">
        <v>6.6986999999999997</v>
      </c>
      <c r="F53" s="41">
        <f t="shared" si="5"/>
        <v>6.6986999999999997</v>
      </c>
      <c r="G53" s="50">
        <f>ROUND(D53*E53,2)</f>
        <v>436.09</v>
      </c>
      <c r="H53" s="241"/>
      <c r="I53" s="194"/>
      <c r="J53" s="243"/>
      <c r="K53" s="195"/>
      <c r="L53" s="196"/>
      <c r="M53" s="227"/>
      <c r="N53" s="236"/>
      <c r="O53" s="237"/>
      <c r="P53" s="230"/>
      <c r="Q53" s="238"/>
      <c r="R53" s="242"/>
      <c r="S53" s="233"/>
      <c r="T53" s="224"/>
      <c r="U53" s="33"/>
    </row>
    <row r="54" spans="1:21" ht="15.75" thickBot="1">
      <c r="A54" s="891"/>
      <c r="B54" s="887"/>
      <c r="C54" s="54" t="s">
        <v>29</v>
      </c>
      <c r="D54" s="246">
        <v>6088.5</v>
      </c>
      <c r="E54" s="56">
        <v>6.6986999999999997</v>
      </c>
      <c r="F54" s="57">
        <f t="shared" si="5"/>
        <v>6.6986999999999997</v>
      </c>
      <c r="G54" s="247">
        <f>ROUND(D54*E54*70%+D54*F54*30%,2)</f>
        <v>40785.03</v>
      </c>
      <c r="H54" s="248"/>
      <c r="I54" s="203"/>
      <c r="J54" s="60"/>
      <c r="K54" s="61"/>
      <c r="L54" s="249"/>
      <c r="M54" s="250"/>
      <c r="N54" s="251"/>
      <c r="O54" s="252">
        <v>15777.9</v>
      </c>
      <c r="P54" s="253" t="s">
        <v>47</v>
      </c>
      <c r="Q54" s="254">
        <f>+G54+J54-M54-N54-O54</f>
        <v>25007.129999999997</v>
      </c>
      <c r="R54" s="255" t="s">
        <v>54</v>
      </c>
      <c r="S54" s="256">
        <f>SUM(O47:O54)</f>
        <v>25488.190000000002</v>
      </c>
      <c r="T54" s="256">
        <f>SUM(Q47:Q54)</f>
        <v>-26813.928899999999</v>
      </c>
    </row>
    <row r="55" spans="1:21">
      <c r="A55" s="892">
        <v>402</v>
      </c>
      <c r="B55" s="183" t="s">
        <v>178</v>
      </c>
      <c r="C55" s="439" t="s">
        <v>124</v>
      </c>
      <c r="D55" s="296">
        <f>фев18!D61+фев18!D62</f>
        <v>168.4</v>
      </c>
      <c r="E55" s="41">
        <f>6.6987-6.6231</f>
        <v>7.5599999999999667E-2</v>
      </c>
      <c r="F55" s="41">
        <f t="shared" si="5"/>
        <v>7.5599999999999667E-2</v>
      </c>
      <c r="G55" s="235">
        <f t="shared" ref="G55:G63" si="6">ROUND(D55*E55,2)</f>
        <v>12.73</v>
      </c>
      <c r="H55" s="270"/>
      <c r="I55" s="41"/>
      <c r="J55" s="41"/>
      <c r="K55" s="271"/>
      <c r="L55" s="294">
        <f>SUM(G55:G57)</f>
        <v>1123.24</v>
      </c>
      <c r="M55" s="227">
        <v>1123.24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192"/>
      <c r="C56" s="48" t="s">
        <v>125</v>
      </c>
      <c r="D56" s="269">
        <v>1.76</v>
      </c>
      <c r="E56" s="41">
        <v>6.6986999999999997</v>
      </c>
      <c r="F56" s="41">
        <f t="shared" si="5"/>
        <v>6.6986999999999997</v>
      </c>
      <c r="G56" s="235">
        <f t="shared" si="6"/>
        <v>11.79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202"/>
      <c r="C57" s="54" t="s">
        <v>29</v>
      </c>
      <c r="D57" s="279">
        <v>164.02</v>
      </c>
      <c r="E57" s="56">
        <v>6.6986999999999997</v>
      </c>
      <c r="F57" s="57">
        <f t="shared" si="5"/>
        <v>6.6986999999999997</v>
      </c>
      <c r="G57" s="247">
        <f t="shared" si="6"/>
        <v>1098.72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92">
        <v>409</v>
      </c>
      <c r="B58" s="183" t="s">
        <v>218</v>
      </c>
      <c r="C58" s="439" t="s">
        <v>124</v>
      </c>
      <c r="D58" s="296"/>
      <c r="E58" s="41">
        <f>6.6987-6.6231</f>
        <v>7.5599999999999667E-2</v>
      </c>
      <c r="F58" s="41">
        <f t="shared" ref="F58:F60" si="7">+E58</f>
        <v>7.5599999999999667E-2</v>
      </c>
      <c r="G58" s="235">
        <f t="shared" ref="G58:G60" si="8">ROUND(D58*E58,2)</f>
        <v>0</v>
      </c>
      <c r="H58" s="270"/>
      <c r="I58" s="41"/>
      <c r="J58" s="41"/>
      <c r="K58" s="271"/>
      <c r="L58" s="294">
        <f>SUM(G58:G60)</f>
        <v>312.76</v>
      </c>
      <c r="M58" s="227">
        <v>312.76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192"/>
      <c r="C59" s="48" t="s">
        <v>125</v>
      </c>
      <c r="D59" s="269">
        <v>0.49</v>
      </c>
      <c r="E59" s="41">
        <v>6.6986999999999997</v>
      </c>
      <c r="F59" s="41">
        <f t="shared" si="7"/>
        <v>6.6986999999999997</v>
      </c>
      <c r="G59" s="235">
        <f t="shared" si="8"/>
        <v>3.28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46.2</v>
      </c>
      <c r="E60" s="56">
        <v>6.6986999999999997</v>
      </c>
      <c r="F60" s="57">
        <f t="shared" si="7"/>
        <v>6.6986999999999997</v>
      </c>
      <c r="G60" s="247">
        <f t="shared" si="8"/>
        <v>309.48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>
      <c r="A61" s="892">
        <v>410</v>
      </c>
      <c r="B61" s="183" t="s">
        <v>138</v>
      </c>
      <c r="C61" s="439" t="s">
        <v>124</v>
      </c>
      <c r="D61" s="296">
        <f>фев18!D64+фев18!D65</f>
        <v>243.98000000000002</v>
      </c>
      <c r="E61" s="41">
        <f>6.6987-6.6231</f>
        <v>7.5599999999999667E-2</v>
      </c>
      <c r="F61" s="41">
        <f t="shared" si="5"/>
        <v>7.5599999999999667E-2</v>
      </c>
      <c r="G61" s="235">
        <f t="shared" si="6"/>
        <v>18.440000000000001</v>
      </c>
      <c r="H61" s="270"/>
      <c r="I61" s="41"/>
      <c r="J61" s="41"/>
      <c r="K61" s="271"/>
      <c r="L61" s="294">
        <f>SUM(G61:G63)</f>
        <v>1599.3400000000001</v>
      </c>
      <c r="M61" s="227">
        <v>1599.34</v>
      </c>
      <c r="N61" s="274"/>
      <c r="O61" s="237"/>
      <c r="P61" s="275"/>
      <c r="Q61" s="237"/>
      <c r="R61" s="242"/>
      <c r="S61" s="266"/>
      <c r="T61" s="266"/>
    </row>
    <row r="62" spans="1:21" ht="15.75">
      <c r="A62" s="896"/>
      <c r="B62" s="192"/>
      <c r="C62" s="48" t="s">
        <v>125</v>
      </c>
      <c r="D62" s="269">
        <v>2.5</v>
      </c>
      <c r="E62" s="41">
        <v>6.6986999999999997</v>
      </c>
      <c r="F62" s="41">
        <f t="shared" si="5"/>
        <v>6.6986999999999997</v>
      </c>
      <c r="G62" s="235">
        <f t="shared" si="6"/>
        <v>16.75</v>
      </c>
      <c r="H62" s="270"/>
      <c r="I62" s="41"/>
      <c r="J62" s="41"/>
      <c r="K62" s="271"/>
      <c r="L62" s="272"/>
      <c r="M62" s="273"/>
      <c r="N62" s="274"/>
      <c r="O62" s="237"/>
      <c r="P62" s="275"/>
      <c r="Q62" s="237"/>
      <c r="R62" s="242"/>
      <c r="S62" s="266"/>
      <c r="T62" s="266"/>
    </row>
    <row r="63" spans="1:21" ht="16.5" thickBot="1">
      <c r="A63" s="891"/>
      <c r="B63" s="887"/>
      <c r="C63" s="54" t="s">
        <v>29</v>
      </c>
      <c r="D63" s="279">
        <v>233.5</v>
      </c>
      <c r="E63" s="56">
        <v>6.6986999999999997</v>
      </c>
      <c r="F63" s="57">
        <f t="shared" si="5"/>
        <v>6.6986999999999997</v>
      </c>
      <c r="G63" s="247">
        <f t="shared" si="6"/>
        <v>1564.15</v>
      </c>
      <c r="H63" s="280"/>
      <c r="I63" s="281"/>
      <c r="J63" s="281"/>
      <c r="K63" s="282"/>
      <c r="L63" s="204"/>
      <c r="M63" s="250"/>
      <c r="N63" s="283"/>
      <c r="O63" s="252"/>
      <c r="P63" s="284"/>
      <c r="Q63" s="252"/>
      <c r="R63" s="242"/>
      <c r="S63" s="266"/>
      <c r="T63" s="266"/>
    </row>
    <row r="64" spans="1:21" ht="16.5" collapsed="1" thickBot="1">
      <c r="A64" s="891">
        <v>412</v>
      </c>
      <c r="B64" s="887" t="s">
        <v>58</v>
      </c>
      <c r="C64" s="54" t="s">
        <v>59</v>
      </c>
      <c r="D64" s="822">
        <v>0.49</v>
      </c>
      <c r="E64" s="21">
        <v>36.214199999999998</v>
      </c>
      <c r="F64" s="21">
        <v>42.4328</v>
      </c>
      <c r="G64" s="214">
        <f>ROUND(D64*(E64+F64),2)</f>
        <v>38.54</v>
      </c>
      <c r="H64" s="213"/>
      <c r="I64" s="41"/>
      <c r="J64" s="215"/>
      <c r="K64" s="679"/>
      <c r="L64" s="294">
        <f>SUM(G64:G68)</f>
        <v>1418.69</v>
      </c>
      <c r="M64" s="227">
        <v>1418.69</v>
      </c>
      <c r="N64" s="264"/>
      <c r="O64" s="229"/>
      <c r="P64" s="265"/>
      <c r="Q64" s="229"/>
      <c r="R64" s="242"/>
      <c r="S64" s="266"/>
      <c r="T64" s="266"/>
    </row>
    <row r="65" spans="1:20" ht="15.75">
      <c r="A65" s="896"/>
      <c r="B65" s="885"/>
      <c r="C65" s="292"/>
      <c r="D65" s="269"/>
      <c r="E65" s="38"/>
      <c r="F65" s="38"/>
      <c r="G65" s="235">
        <f>ROUND(D65*(E65+F65),2)</f>
        <v>0</v>
      </c>
      <c r="H65" s="225"/>
      <c r="I65" s="41"/>
      <c r="J65" s="194"/>
      <c r="K65" s="295"/>
      <c r="L65" s="294"/>
      <c r="M65" s="227"/>
      <c r="N65" s="264"/>
      <c r="O65" s="229"/>
      <c r="P65" s="265"/>
      <c r="Q65" s="229"/>
      <c r="R65" s="242"/>
      <c r="S65" s="266"/>
      <c r="T65" s="266"/>
    </row>
    <row r="66" spans="1:20">
      <c r="A66" s="896"/>
      <c r="B66" s="885"/>
      <c r="C66" s="48" t="s">
        <v>124</v>
      </c>
      <c r="D66" s="296">
        <v>180.1</v>
      </c>
      <c r="E66" s="41">
        <f>6.6987-6.6231</f>
        <v>7.5599999999999667E-2</v>
      </c>
      <c r="F66" s="41">
        <f t="shared" ref="F66:F83" si="9">+E66</f>
        <v>7.5599999999999667E-2</v>
      </c>
      <c r="G66" s="235">
        <f>ROUND(D66*E66,2)-0.01</f>
        <v>13.61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5.75">
      <c r="A67" s="896"/>
      <c r="B67" s="885"/>
      <c r="C67" s="48" t="s">
        <v>125</v>
      </c>
      <c r="D67" s="269">
        <v>2.2000000000000002</v>
      </c>
      <c r="E67" s="41">
        <v>6.6986999999999997</v>
      </c>
      <c r="F67" s="41">
        <f t="shared" si="9"/>
        <v>6.6986999999999997</v>
      </c>
      <c r="G67" s="235">
        <f t="shared" ref="G67:G68" si="10">ROUND(D67*E67,2)</f>
        <v>14.74</v>
      </c>
      <c r="H67" s="270"/>
      <c r="I67" s="41"/>
      <c r="J67" s="41"/>
      <c r="K67" s="271"/>
      <c r="L67" s="272"/>
      <c r="M67" s="273"/>
      <c r="N67" s="274"/>
      <c r="O67" s="237"/>
      <c r="P67" s="275"/>
      <c r="Q67" s="237"/>
      <c r="R67" s="242"/>
      <c r="S67" s="266"/>
      <c r="T67" s="266"/>
    </row>
    <row r="68" spans="1:20" ht="16.5" thickBot="1">
      <c r="A68" s="891"/>
      <c r="B68" s="887"/>
      <c r="C68" s="54" t="s">
        <v>29</v>
      </c>
      <c r="D68" s="279">
        <v>201.8</v>
      </c>
      <c r="E68" s="56">
        <v>6.6986999999999997</v>
      </c>
      <c r="F68" s="57">
        <f t="shared" si="9"/>
        <v>6.6986999999999997</v>
      </c>
      <c r="G68" s="247">
        <f t="shared" si="10"/>
        <v>1351.8</v>
      </c>
      <c r="H68" s="280"/>
      <c r="I68" s="281"/>
      <c r="J68" s="281"/>
      <c r="K68" s="282"/>
      <c r="L68" s="204"/>
      <c r="M68" s="250"/>
      <c r="N68" s="283"/>
      <c r="O68" s="252"/>
      <c r="P68" s="284"/>
      <c r="Q68" s="252"/>
      <c r="R68" s="242"/>
      <c r="S68" s="266"/>
      <c r="T68" s="266"/>
    </row>
    <row r="69" spans="1:20" ht="15" customHeight="1">
      <c r="A69" s="892">
        <v>413</v>
      </c>
      <c r="B69" s="883" t="s">
        <v>56</v>
      </c>
      <c r="C69" s="439" t="s">
        <v>124</v>
      </c>
      <c r="D69" s="894">
        <f>фев18!D72+фев18!D73</f>
        <v>341.3</v>
      </c>
      <c r="E69" s="41">
        <f>6.6987-6.6231</f>
        <v>7.5599999999999667E-2</v>
      </c>
      <c r="F69" s="41">
        <f t="shared" si="9"/>
        <v>7.5599999999999667E-2</v>
      </c>
      <c r="G69" s="214">
        <f>ROUND(D69*E69,2)+0.01</f>
        <v>25.810000000000002</v>
      </c>
      <c r="H69" s="260"/>
      <c r="I69" s="261"/>
      <c r="J69" s="261"/>
      <c r="K69" s="262"/>
      <c r="L69" s="286">
        <f>SUM(G69:G71)</f>
        <v>2208.25</v>
      </c>
      <c r="M69" s="227">
        <v>2208.25</v>
      </c>
      <c r="N69" s="264"/>
      <c r="O69" s="229"/>
      <c r="P69" s="265"/>
      <c r="Q69" s="229"/>
      <c r="R69" s="287"/>
      <c r="S69" s="288"/>
      <c r="T69" s="288"/>
    </row>
    <row r="70" spans="1:20" ht="15.75">
      <c r="A70" s="893"/>
      <c r="B70" s="885"/>
      <c r="C70" s="48" t="s">
        <v>125</v>
      </c>
      <c r="D70" s="895">
        <v>3.4</v>
      </c>
      <c r="E70" s="41">
        <v>6.6986999999999997</v>
      </c>
      <c r="F70" s="41">
        <f t="shared" si="9"/>
        <v>6.6986999999999997</v>
      </c>
      <c r="G70" s="235">
        <f t="shared" ref="G70:G74" si="11">ROUND(D70*E70,2)</f>
        <v>22.78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87"/>
      <c r="S70" s="288"/>
      <c r="T70" s="288"/>
    </row>
    <row r="71" spans="1:20" ht="16.5" thickBot="1">
      <c r="A71" s="891"/>
      <c r="B71" s="887"/>
      <c r="C71" s="54" t="s">
        <v>29</v>
      </c>
      <c r="D71" s="279">
        <v>322.39999999999998</v>
      </c>
      <c r="E71" s="56">
        <v>6.6986999999999997</v>
      </c>
      <c r="F71" s="57">
        <f t="shared" si="9"/>
        <v>6.6986999999999997</v>
      </c>
      <c r="G71" s="247">
        <f t="shared" si="11"/>
        <v>2159.66</v>
      </c>
      <c r="H71" s="280"/>
      <c r="I71" s="281"/>
      <c r="J71" s="281"/>
      <c r="K71" s="682"/>
      <c r="L71" s="204"/>
      <c r="M71" s="250"/>
      <c r="N71" s="283"/>
      <c r="O71" s="252"/>
      <c r="P71" s="284"/>
      <c r="Q71" s="252"/>
      <c r="R71" s="287"/>
      <c r="S71" s="288"/>
      <c r="T71" s="288"/>
    </row>
    <row r="72" spans="1:20">
      <c r="A72" s="892">
        <v>414</v>
      </c>
      <c r="B72" s="183" t="s">
        <v>179</v>
      </c>
      <c r="C72" s="439" t="s">
        <v>124</v>
      </c>
      <c r="D72" s="296">
        <f>фев18!D75+фев18!D76</f>
        <v>27.09</v>
      </c>
      <c r="E72" s="41">
        <f>6.6987-6.6231</f>
        <v>7.5599999999999667E-2</v>
      </c>
      <c r="F72" s="41">
        <f t="shared" si="9"/>
        <v>7.5599999999999667E-2</v>
      </c>
      <c r="G72" s="235">
        <f>ROUND(D72*E72,2)-0.02</f>
        <v>2.0299999999999998</v>
      </c>
      <c r="H72" s="270"/>
      <c r="I72" s="41"/>
      <c r="J72" s="41"/>
      <c r="K72" s="271"/>
      <c r="L72" s="294">
        <f>SUM(G72:G74)</f>
        <v>181.43</v>
      </c>
      <c r="M72" s="227">
        <v>181.43</v>
      </c>
      <c r="N72" s="274"/>
      <c r="O72" s="237"/>
      <c r="P72" s="275"/>
      <c r="Q72" s="237"/>
      <c r="R72" s="242"/>
      <c r="S72" s="266"/>
      <c r="T72" s="266"/>
    </row>
    <row r="73" spans="1:20" ht="15.75">
      <c r="A73" s="896"/>
      <c r="B73" s="192"/>
      <c r="C73" s="48" t="s">
        <v>125</v>
      </c>
      <c r="D73" s="269">
        <v>0.28000000000000003</v>
      </c>
      <c r="E73" s="41">
        <v>6.6986999999999997</v>
      </c>
      <c r="F73" s="41">
        <f t="shared" si="9"/>
        <v>6.6986999999999997</v>
      </c>
      <c r="G73" s="235">
        <f t="shared" si="11"/>
        <v>1.88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0" ht="16.5" thickBot="1">
      <c r="A74" s="891"/>
      <c r="B74" s="887"/>
      <c r="C74" s="99" t="s">
        <v>29</v>
      </c>
      <c r="D74" s="279">
        <v>26.5</v>
      </c>
      <c r="E74" s="56">
        <v>6.6986999999999997</v>
      </c>
      <c r="F74" s="57">
        <f t="shared" si="9"/>
        <v>6.6986999999999997</v>
      </c>
      <c r="G74" s="247">
        <f t="shared" si="11"/>
        <v>177.52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0" collapsed="1">
      <c r="A75" s="892">
        <v>415</v>
      </c>
      <c r="B75" s="183" t="s">
        <v>166</v>
      </c>
      <c r="C75" s="439" t="s">
        <v>124</v>
      </c>
      <c r="D75" s="296">
        <f>фев18!D78+фев18!D79</f>
        <v>151.91000000000003</v>
      </c>
      <c r="E75" s="41">
        <f>6.6987-6.6231</f>
        <v>7.5599999999999667E-2</v>
      </c>
      <c r="F75" s="41">
        <f t="shared" si="9"/>
        <v>7.5599999999999667E-2</v>
      </c>
      <c r="G75" s="235">
        <f>ROUND(D75*E75,2)+0.01</f>
        <v>11.49</v>
      </c>
      <c r="H75" s="270"/>
      <c r="I75" s="41"/>
      <c r="J75" s="41"/>
      <c r="K75" s="271"/>
      <c r="L75" s="294">
        <f>SUM(G75:G77)</f>
        <v>1142.83</v>
      </c>
      <c r="M75" s="227">
        <v>1142.83</v>
      </c>
      <c r="N75" s="274"/>
      <c r="O75" s="237"/>
      <c r="P75" s="275"/>
      <c r="Q75" s="237"/>
      <c r="R75" s="242"/>
      <c r="S75" s="266"/>
      <c r="T75" s="266"/>
    </row>
    <row r="76" spans="1:20" ht="15.75">
      <c r="A76" s="896"/>
      <c r="B76" s="192"/>
      <c r="C76" s="48" t="s">
        <v>125</v>
      </c>
      <c r="D76" s="269">
        <v>1.79</v>
      </c>
      <c r="E76" s="41">
        <v>6.6986999999999997</v>
      </c>
      <c r="F76" s="41">
        <f t="shared" si="9"/>
        <v>6.6986999999999997</v>
      </c>
      <c r="G76" s="235">
        <f t="shared" ref="G76:G77" si="12">ROUND(D76*E76,2)</f>
        <v>11.99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6.5" thickBot="1">
      <c r="A77" s="891"/>
      <c r="B77" s="887"/>
      <c r="C77" s="54" t="s">
        <v>29</v>
      </c>
      <c r="D77" s="279">
        <v>167.1</v>
      </c>
      <c r="E77" s="56">
        <v>6.6986999999999997</v>
      </c>
      <c r="F77" s="57">
        <f t="shared" si="9"/>
        <v>6.6986999999999997</v>
      </c>
      <c r="G77" s="247">
        <f t="shared" si="12"/>
        <v>1119.3499999999999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0">
      <c r="A78" s="892">
        <v>416</v>
      </c>
      <c r="B78" s="183" t="s">
        <v>173</v>
      </c>
      <c r="C78" s="439" t="s">
        <v>124</v>
      </c>
      <c r="D78" s="296">
        <f>фев18!D81+фев18!D82</f>
        <v>507.98</v>
      </c>
      <c r="E78" s="41">
        <f>6.6987-6.6231</f>
        <v>7.5599999999999667E-2</v>
      </c>
      <c r="F78" s="41">
        <f t="shared" si="9"/>
        <v>7.5599999999999667E-2</v>
      </c>
      <c r="G78" s="235">
        <f>ROUND(D78*E78,2)+0.02</f>
        <v>38.42</v>
      </c>
      <c r="H78" s="270"/>
      <c r="I78" s="41"/>
      <c r="J78" s="41"/>
      <c r="K78" s="271"/>
      <c r="L78" s="294">
        <f>SUM(G78:G80)</f>
        <v>2617.2800000000002</v>
      </c>
      <c r="M78" s="227">
        <v>2617.2800000000002</v>
      </c>
      <c r="N78" s="274"/>
      <c r="O78" s="237"/>
      <c r="P78" s="275"/>
      <c r="Q78" s="237"/>
      <c r="R78" s="242"/>
      <c r="S78" s="266"/>
      <c r="T78" s="266"/>
    </row>
    <row r="79" spans="1:20" ht="15.75">
      <c r="A79" s="896"/>
      <c r="B79" s="192"/>
      <c r="C79" s="48" t="s">
        <v>125</v>
      </c>
      <c r="D79" s="269">
        <v>4.08</v>
      </c>
      <c r="E79" s="41">
        <v>6.6986999999999997</v>
      </c>
      <c r="F79" s="41">
        <f t="shared" si="9"/>
        <v>6.6986999999999997</v>
      </c>
      <c r="G79" s="235">
        <f>ROUND(D79*E79,2)</f>
        <v>27.33</v>
      </c>
      <c r="H79" s="270"/>
      <c r="I79" s="41"/>
      <c r="J79" s="41"/>
      <c r="K79" s="271"/>
      <c r="L79" s="272"/>
      <c r="M79" s="273"/>
      <c r="N79" s="274"/>
      <c r="O79" s="237"/>
      <c r="P79" s="275"/>
      <c r="Q79" s="237"/>
      <c r="R79" s="242"/>
      <c r="S79" s="266"/>
      <c r="T79" s="266"/>
    </row>
    <row r="80" spans="1:20" ht="16.5" thickBot="1">
      <c r="A80" s="891"/>
      <c r="B80" s="887"/>
      <c r="C80" s="54" t="s">
        <v>29</v>
      </c>
      <c r="D80" s="279">
        <v>380.9</v>
      </c>
      <c r="E80" s="56">
        <v>6.6986999999999997</v>
      </c>
      <c r="F80" s="57">
        <f t="shared" si="9"/>
        <v>6.6986999999999997</v>
      </c>
      <c r="G80" s="247">
        <f>ROUND(D80*E80,2)</f>
        <v>2551.5300000000002</v>
      </c>
      <c r="H80" s="280"/>
      <c r="I80" s="281"/>
      <c r="J80" s="281"/>
      <c r="K80" s="282"/>
      <c r="L80" s="204"/>
      <c r="M80" s="250"/>
      <c r="N80" s="283"/>
      <c r="O80" s="252"/>
      <c r="P80" s="284"/>
      <c r="Q80" s="252"/>
      <c r="R80" s="242"/>
      <c r="S80" s="266"/>
      <c r="T80" s="266"/>
    </row>
    <row r="81" spans="1:20">
      <c r="A81" s="892">
        <v>417</v>
      </c>
      <c r="B81" s="183" t="s">
        <v>174</v>
      </c>
      <c r="C81" s="439" t="s">
        <v>124</v>
      </c>
      <c r="D81" s="296">
        <f>фев18!D84+фев18!D85</f>
        <v>175.36</v>
      </c>
      <c r="E81" s="41">
        <f>6.6987-6.6231</f>
        <v>7.5599999999999667E-2</v>
      </c>
      <c r="F81" s="41">
        <f t="shared" si="9"/>
        <v>7.5599999999999667E-2</v>
      </c>
      <c r="G81" s="235">
        <f>ROUND(D81*E81,2)</f>
        <v>13.26</v>
      </c>
      <c r="H81" s="270"/>
      <c r="I81" s="41"/>
      <c r="J81" s="41"/>
      <c r="K81" s="271"/>
      <c r="L81" s="294">
        <f>SUM(G81:G83)</f>
        <v>1361.24</v>
      </c>
      <c r="M81" s="227">
        <v>1361.24</v>
      </c>
      <c r="N81" s="274"/>
      <c r="O81" s="237"/>
      <c r="P81" s="275"/>
      <c r="Q81" s="237"/>
      <c r="R81" s="242"/>
      <c r="S81" s="266"/>
      <c r="T81" s="266"/>
    </row>
    <row r="82" spans="1:20" ht="15.75">
      <c r="A82" s="896"/>
      <c r="B82" s="192"/>
      <c r="C82" s="48" t="s">
        <v>125</v>
      </c>
      <c r="D82" s="269">
        <v>2.13</v>
      </c>
      <c r="E82" s="41">
        <v>6.6986999999999997</v>
      </c>
      <c r="F82" s="41">
        <f t="shared" si="9"/>
        <v>6.6986999999999997</v>
      </c>
      <c r="G82" s="235">
        <f t="shared" ref="G82:G83" si="13">ROUND(D82*E82,2)</f>
        <v>14.27</v>
      </c>
      <c r="H82" s="270"/>
      <c r="I82" s="41"/>
      <c r="J82" s="41"/>
      <c r="K82" s="271"/>
      <c r="L82" s="272"/>
      <c r="M82" s="273"/>
      <c r="N82" s="274"/>
      <c r="O82" s="237"/>
      <c r="P82" s="275"/>
      <c r="Q82" s="237"/>
      <c r="R82" s="242"/>
      <c r="S82" s="266"/>
      <c r="T82" s="266"/>
    </row>
    <row r="83" spans="1:20" ht="16.5" thickBot="1">
      <c r="A83" s="891"/>
      <c r="B83" s="202"/>
      <c r="C83" s="54" t="s">
        <v>29</v>
      </c>
      <c r="D83" s="279">
        <v>199.1</v>
      </c>
      <c r="E83" s="56">
        <v>6.6986999999999997</v>
      </c>
      <c r="F83" s="57">
        <f t="shared" si="9"/>
        <v>6.6986999999999997</v>
      </c>
      <c r="G83" s="247">
        <f t="shared" si="13"/>
        <v>1333.71</v>
      </c>
      <c r="H83" s="280"/>
      <c r="I83" s="281"/>
      <c r="J83" s="281"/>
      <c r="K83" s="282"/>
      <c r="L83" s="204"/>
      <c r="M83" s="250"/>
      <c r="N83" s="283"/>
      <c r="O83" s="252"/>
      <c r="P83" s="284"/>
      <c r="Q83" s="252"/>
      <c r="R83" s="242"/>
      <c r="S83" s="266"/>
      <c r="T83" s="266"/>
    </row>
    <row r="84" spans="1:20" ht="15.75">
      <c r="A84" s="892">
        <v>500</v>
      </c>
      <c r="B84" s="883" t="s">
        <v>55</v>
      </c>
      <c r="C84" s="439" t="s">
        <v>124</v>
      </c>
      <c r="D84" s="259">
        <f>фев18!D87+фев18!D88</f>
        <v>2477.42</v>
      </c>
      <c r="E84" s="41">
        <f>6.6987-6.6231</f>
        <v>7.5599999999999667E-2</v>
      </c>
      <c r="F84" s="41">
        <f t="shared" si="5"/>
        <v>7.5599999999999667E-2</v>
      </c>
      <c r="G84" s="214">
        <f>ROUND(D84*E84,2)</f>
        <v>187.29</v>
      </c>
      <c r="H84" s="260"/>
      <c r="I84" s="261"/>
      <c r="J84" s="261"/>
      <c r="K84" s="262"/>
      <c r="L84" s="263">
        <f>SUM(G84:G86)</f>
        <v>16674.2</v>
      </c>
      <c r="M84" s="187">
        <v>16674.2</v>
      </c>
      <c r="N84" s="264"/>
      <c r="O84" s="229"/>
      <c r="P84" s="265"/>
      <c r="Q84" s="229"/>
      <c r="R84" s="242"/>
      <c r="S84" s="266"/>
      <c r="T84" s="266"/>
    </row>
    <row r="85" spans="1:20" ht="15.75">
      <c r="A85" s="893" t="s">
        <v>197</v>
      </c>
      <c r="B85" s="885"/>
      <c r="C85" s="48" t="s">
        <v>125</v>
      </c>
      <c r="D85" s="269">
        <v>26.06</v>
      </c>
      <c r="E85" s="41">
        <v>6.6986999999999997</v>
      </c>
      <c r="F85" s="41">
        <f t="shared" si="5"/>
        <v>6.6986999999999997</v>
      </c>
      <c r="G85" s="235">
        <f>ROUND(D85*E85,2)</f>
        <v>174.57</v>
      </c>
      <c r="H85" s="270"/>
      <c r="I85" s="41"/>
      <c r="J85" s="41"/>
      <c r="K85" s="271"/>
      <c r="L85" s="272"/>
      <c r="M85" s="273"/>
      <c r="N85" s="274"/>
      <c r="O85" s="237"/>
      <c r="P85" s="275"/>
      <c r="Q85" s="237"/>
      <c r="R85" s="242"/>
      <c r="S85" s="266"/>
      <c r="T85" s="266"/>
    </row>
    <row r="86" spans="1:20" ht="16.5" thickBot="1">
      <c r="A86" s="891"/>
      <c r="B86" s="887"/>
      <c r="C86" s="54" t="s">
        <v>29</v>
      </c>
      <c r="D86" s="279">
        <v>2435.15</v>
      </c>
      <c r="E86" s="56">
        <v>6.6986999999999997</v>
      </c>
      <c r="F86" s="57">
        <f t="shared" si="5"/>
        <v>6.6986999999999997</v>
      </c>
      <c r="G86" s="247">
        <f t="shared" ref="G86" si="14">ROUND(D86*E86,2)</f>
        <v>16312.34</v>
      </c>
      <c r="H86" s="280"/>
      <c r="I86" s="281"/>
      <c r="J86" s="281"/>
      <c r="K86" s="282"/>
      <c r="L86" s="204"/>
      <c r="M86" s="250"/>
      <c r="N86" s="283"/>
      <c r="O86" s="252"/>
      <c r="P86" s="284"/>
      <c r="Q86" s="252"/>
      <c r="R86" s="242"/>
      <c r="S86" s="266"/>
      <c r="T86" s="266"/>
    </row>
    <row r="87" spans="1:20" ht="16.5" hidden="1" outlineLevel="1" thickBot="1">
      <c r="A87" s="892"/>
      <c r="B87" s="883" t="s">
        <v>57</v>
      </c>
      <c r="C87" s="439"/>
      <c r="D87" s="259"/>
      <c r="E87" s="21">
        <v>36.214199999999998</v>
      </c>
      <c r="F87" s="21">
        <v>42.4328</v>
      </c>
      <c r="G87" s="214">
        <f>ROUND(D87*(E87+F87),2)</f>
        <v>0</v>
      </c>
      <c r="H87" s="213">
        <v>0</v>
      </c>
      <c r="I87">
        <v>22.478999999999999</v>
      </c>
      <c r="J87" s="215">
        <f t="shared" ref="J87" si="15">H87*I87</f>
        <v>0</v>
      </c>
      <c r="K87" s="679">
        <v>42705</v>
      </c>
      <c r="L87" s="294">
        <f>SUM(G87:G91)+J87+J89</f>
        <v>0</v>
      </c>
      <c r="M87" s="227"/>
      <c r="N87" s="264"/>
      <c r="O87" s="229"/>
      <c r="P87" s="265"/>
      <c r="Q87" s="229"/>
      <c r="R87" s="242"/>
      <c r="S87" s="266"/>
      <c r="T87" s="266"/>
    </row>
    <row r="88" spans="1:20" ht="16.5" hidden="1" outlineLevel="1" thickBot="1">
      <c r="A88" s="891"/>
      <c r="B88" s="887"/>
      <c r="C88" s="54"/>
      <c r="D88" s="269"/>
      <c r="E88" s="38">
        <f>32.332-28.8628</f>
        <v>3.4692000000000007</v>
      </c>
      <c r="F88" s="38">
        <f>37.8898-33.8306</f>
        <v>4.0592000000000041</v>
      </c>
      <c r="G88" s="235">
        <f>ROUND(D88*(E88+F88),2)</f>
        <v>0</v>
      </c>
      <c r="H88" s="225"/>
      <c r="J88" s="194"/>
      <c r="K88" s="683"/>
      <c r="L88" s="294"/>
      <c r="M88" s="227"/>
      <c r="N88" s="264"/>
      <c r="O88" s="229"/>
      <c r="P88" s="265"/>
      <c r="Q88" s="229"/>
      <c r="R88" s="242"/>
      <c r="S88" s="266"/>
      <c r="T88" s="266"/>
    </row>
    <row r="89" spans="1:20" ht="15.75" hidden="1" outlineLevel="1" thickBot="1">
      <c r="A89" s="892"/>
      <c r="B89" s="883"/>
      <c r="C89" s="439" t="s">
        <v>170</v>
      </c>
      <c r="D89" s="296"/>
      <c r="E89" s="41">
        <f>7.0207-6.6426</f>
        <v>0.37809999999999988</v>
      </c>
      <c r="F89" s="41">
        <f>+E89</f>
        <v>0.37809999999999988</v>
      </c>
      <c r="G89" s="235">
        <f>ROUND(D89*E89,2)</f>
        <v>0</v>
      </c>
      <c r="H89" s="270"/>
      <c r="I89" s="41"/>
      <c r="J89" s="41"/>
      <c r="K89" s="684"/>
      <c r="L89" s="272"/>
      <c r="M89" s="273"/>
      <c r="N89" s="274"/>
      <c r="O89" s="237"/>
      <c r="P89" s="275"/>
      <c r="Q89" s="237"/>
      <c r="R89" s="242"/>
      <c r="S89" s="266"/>
      <c r="T89" s="266"/>
    </row>
    <row r="90" spans="1:20" ht="16.5" hidden="1" outlineLevel="1" thickBot="1">
      <c r="A90" s="891"/>
      <c r="B90" s="887"/>
      <c r="C90" s="54" t="s">
        <v>171</v>
      </c>
      <c r="D90" s="269"/>
      <c r="E90" s="41">
        <v>7.0206999999999997</v>
      </c>
      <c r="F90" s="41">
        <f>+E90</f>
        <v>7.0206999999999997</v>
      </c>
      <c r="G90" s="235">
        <f>ROUND(D90*E90,2)</f>
        <v>0</v>
      </c>
      <c r="H90" s="270"/>
      <c r="I90" s="41"/>
      <c r="J90" s="41"/>
      <c r="K90" s="684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0" ht="16.5" hidden="1" outlineLevel="1" thickBot="1">
      <c r="A91" s="892"/>
      <c r="B91" s="883"/>
      <c r="C91" s="439" t="s">
        <v>29</v>
      </c>
      <c r="D91" s="279"/>
      <c r="E91" s="56">
        <v>7.0206999999999997</v>
      </c>
      <c r="F91" s="57">
        <f>+E91</f>
        <v>7.0206999999999997</v>
      </c>
      <c r="G91" s="247">
        <f>ROUND(D91*E91,2)</f>
        <v>0</v>
      </c>
      <c r="H91" s="280"/>
      <c r="I91" s="281"/>
      <c r="J91" s="281"/>
      <c r="K91" s="6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0" ht="15.75" hidden="1" outlineLevel="1" thickBot="1">
      <c r="A92" s="892"/>
      <c r="B92" s="183" t="s">
        <v>145</v>
      </c>
      <c r="C92" s="439" t="s">
        <v>170</v>
      </c>
      <c r="D92" s="296"/>
      <c r="E92" s="41">
        <f>7.0207-6.6426</f>
        <v>0.37809999999999988</v>
      </c>
      <c r="F92" s="41">
        <f t="shared" ref="F92:F94" si="16">+E92</f>
        <v>0.37809999999999988</v>
      </c>
      <c r="G92" s="235">
        <f>ROUND(D92*E92,2)</f>
        <v>0</v>
      </c>
      <c r="H92" s="270"/>
      <c r="I92" s="41"/>
      <c r="J92" s="41"/>
      <c r="K92" s="271"/>
      <c r="L92" s="294">
        <f>SUM(G92:G94)</f>
        <v>0</v>
      </c>
      <c r="M92" s="227"/>
      <c r="N92" s="274"/>
      <c r="O92" s="237"/>
      <c r="P92" s="275"/>
      <c r="Q92" s="237"/>
      <c r="R92" s="242"/>
      <c r="S92" s="266"/>
      <c r="T92" s="266"/>
    </row>
    <row r="93" spans="1:20" ht="16.5" hidden="1" outlineLevel="1" thickBot="1">
      <c r="A93" s="891"/>
      <c r="B93" s="887"/>
      <c r="C93" s="54" t="s">
        <v>171</v>
      </c>
      <c r="D93" s="269"/>
      <c r="E93" s="41">
        <v>7.0206999999999997</v>
      </c>
      <c r="F93" s="41">
        <f t="shared" si="16"/>
        <v>7.0206999999999997</v>
      </c>
      <c r="G93" s="235">
        <f t="shared" ref="G93:G94" si="17">ROUND(D93*E93,2)</f>
        <v>0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hidden="1" outlineLevel="1" thickBot="1">
      <c r="A94" s="892"/>
      <c r="B94" s="183"/>
      <c r="C94" s="439" t="s">
        <v>29</v>
      </c>
      <c r="D94" s="279"/>
      <c r="E94" s="56">
        <v>7.0206999999999997</v>
      </c>
      <c r="F94" s="57">
        <f t="shared" si="16"/>
        <v>7.0206999999999997</v>
      </c>
      <c r="G94" s="247">
        <f t="shared" si="17"/>
        <v>0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 ht="16.5" collapsed="1" thickTop="1">
      <c r="A95" s="898"/>
      <c r="B95" s="321"/>
      <c r="C95" s="322"/>
      <c r="D95" s="323"/>
      <c r="E95" s="163"/>
      <c r="F95" s="324"/>
      <c r="G95" s="325"/>
      <c r="H95" s="163"/>
      <c r="I95" s="163"/>
      <c r="J95" s="163"/>
      <c r="K95" s="163"/>
      <c r="L95" s="163"/>
      <c r="M95" s="326"/>
      <c r="N95" s="327"/>
      <c r="O95" s="328"/>
      <c r="P95" s="329"/>
      <c r="Q95" s="328"/>
      <c r="R95" s="330"/>
      <c r="S95" s="331"/>
      <c r="T95" s="266"/>
    </row>
    <row r="96" spans="1:20" ht="21.75" thickBot="1">
      <c r="A96" s="171" t="s">
        <v>60</v>
      </c>
      <c r="B96" s="2"/>
      <c r="C96" s="3"/>
      <c r="D96" s="2"/>
      <c r="E96" s="2"/>
      <c r="F96" s="2"/>
      <c r="G96" s="332"/>
      <c r="H96" s="332"/>
      <c r="I96" s="332"/>
      <c r="J96" s="2"/>
      <c r="K96" s="2"/>
      <c r="L96" s="2"/>
      <c r="M96" s="3"/>
      <c r="N96" s="2"/>
      <c r="O96" s="2"/>
      <c r="P96" s="2"/>
      <c r="Q96" s="2"/>
      <c r="R96" s="2"/>
      <c r="S96" s="2"/>
    </row>
    <row r="97" spans="1:21" ht="15" customHeight="1" thickTop="1">
      <c r="A97" s="1553" t="s">
        <v>1</v>
      </c>
      <c r="B97" s="1516" t="s">
        <v>2</v>
      </c>
      <c r="C97" s="1518" t="s">
        <v>3</v>
      </c>
      <c r="D97" s="1532" t="s">
        <v>4</v>
      </c>
      <c r="E97" s="1532"/>
      <c r="F97" s="1532"/>
      <c r="G97" s="1532"/>
      <c r="H97" s="1533" t="s">
        <v>5</v>
      </c>
      <c r="I97" s="1534"/>
      <c r="J97" s="1534"/>
      <c r="K97" s="1534"/>
      <c r="L97" s="1524" t="s">
        <v>6</v>
      </c>
      <c r="M97" s="1537" t="s">
        <v>7</v>
      </c>
      <c r="N97" s="1538" t="s">
        <v>8</v>
      </c>
      <c r="O97" s="1538"/>
      <c r="P97" s="1538"/>
      <c r="Q97" s="1539"/>
      <c r="R97" s="5"/>
      <c r="S97" s="5"/>
      <c r="T97" s="5" t="s">
        <v>61</v>
      </c>
      <c r="U97" t="s">
        <v>21</v>
      </c>
    </row>
    <row r="98" spans="1:21" ht="27" customHeight="1" thickBot="1">
      <c r="A98" s="1531"/>
      <c r="B98" s="1517"/>
      <c r="C98" s="1519" t="s">
        <v>10</v>
      </c>
      <c r="D98" s="333" t="s">
        <v>11</v>
      </c>
      <c r="E98" s="7" t="s">
        <v>12</v>
      </c>
      <c r="F98" s="7" t="s">
        <v>13</v>
      </c>
      <c r="G98" s="334" t="s">
        <v>14</v>
      </c>
      <c r="H98" s="335" t="s">
        <v>11</v>
      </c>
      <c r="I98" s="333" t="s">
        <v>15</v>
      </c>
      <c r="J98" s="336" t="s">
        <v>14</v>
      </c>
      <c r="K98" s="11" t="s">
        <v>16</v>
      </c>
      <c r="L98" s="1525"/>
      <c r="M98" s="1511"/>
      <c r="N98" s="337" t="s">
        <v>62</v>
      </c>
      <c r="O98" s="338" t="s">
        <v>44</v>
      </c>
      <c r="P98" s="13" t="s">
        <v>18</v>
      </c>
      <c r="Q98" s="14" t="s">
        <v>19</v>
      </c>
    </row>
    <row r="99" spans="1:21" ht="14.25" customHeight="1">
      <c r="A99" s="339" t="s">
        <v>63</v>
      </c>
      <c r="B99" s="18" t="s">
        <v>64</v>
      </c>
      <c r="C99" s="71"/>
      <c r="D99" s="340">
        <v>56</v>
      </c>
      <c r="E99" s="21">
        <v>36.214199999999998</v>
      </c>
      <c r="F99" s="21">
        <v>42.4328</v>
      </c>
      <c r="G99" s="185">
        <f>ROUND(D99*(E99+F99),2)</f>
        <v>4404.2299999999996</v>
      </c>
      <c r="H99" s="184"/>
      <c r="I99" s="23"/>
      <c r="J99" s="341"/>
      <c r="K99" s="342"/>
      <c r="L99" s="343">
        <f>SUM(G99:G104,J99:J103)</f>
        <v>247131.36</v>
      </c>
      <c r="M99" s="344">
        <v>247131.36</v>
      </c>
      <c r="N99" s="345"/>
      <c r="O99" s="346">
        <v>7157.88</v>
      </c>
      <c r="P99" s="347" t="s">
        <v>24</v>
      </c>
      <c r="Q99" s="348">
        <f t="shared" ref="Q99:Q162" si="18">C99+G99+J99-M99-N99-O99</f>
        <v>-249885.00999999998</v>
      </c>
      <c r="R99" s="349" t="s">
        <v>65</v>
      </c>
      <c r="S99" s="350" t="s">
        <v>20</v>
      </c>
      <c r="T99" s="351" t="s">
        <v>21</v>
      </c>
      <c r="U99" s="352">
        <f>+L99-M99+C99</f>
        <v>0</v>
      </c>
    </row>
    <row r="100" spans="1:21" ht="14.25" customHeight="1">
      <c r="A100" s="353"/>
      <c r="B100" s="35"/>
      <c r="C100" s="84" t="s">
        <v>26</v>
      </c>
      <c r="D100" s="37"/>
      <c r="E100" s="38"/>
      <c r="F100" s="38"/>
      <c r="G100" s="39">
        <f>ROUND(D100*(E100+F100),2)</f>
        <v>0</v>
      </c>
      <c r="H100" s="49"/>
      <c r="I100" s="271"/>
      <c r="J100" s="101"/>
      <c r="K100" s="354"/>
      <c r="L100" s="355"/>
      <c r="M100" s="356"/>
      <c r="N100" s="357"/>
      <c r="O100" s="358"/>
      <c r="P100" s="359"/>
      <c r="Q100" s="358"/>
      <c r="R100" s="349"/>
      <c r="S100" s="350"/>
      <c r="T100" s="351"/>
      <c r="U100" s="352"/>
    </row>
    <row r="101" spans="1:21">
      <c r="A101" s="353"/>
      <c r="B101" s="35"/>
      <c r="C101" s="48"/>
      <c r="D101" s="49"/>
      <c r="E101" s="41">
        <f>4.4128-4.4153</f>
        <v>-2.5000000000003908E-3</v>
      </c>
      <c r="F101" s="41">
        <f>+E101</f>
        <v>-2.5000000000003908E-3</v>
      </c>
      <c r="G101" s="50">
        <f>ROUND(D101*E101*70%+D101*F101*30%,2)</f>
        <v>0</v>
      </c>
      <c r="H101" s="49"/>
      <c r="I101" s="271"/>
      <c r="J101" s="41"/>
      <c r="K101" s="354"/>
      <c r="L101" s="355"/>
      <c r="M101" s="356"/>
      <c r="N101" s="357"/>
      <c r="O101" s="358"/>
      <c r="P101" s="359"/>
      <c r="Q101" s="358"/>
      <c r="R101" s="349"/>
      <c r="S101" s="350"/>
      <c r="T101" s="351"/>
      <c r="U101" s="352"/>
    </row>
    <row r="102" spans="1:21">
      <c r="A102" s="353"/>
      <c r="B102" s="35"/>
      <c r="C102" s="48" t="s">
        <v>124</v>
      </c>
      <c r="D102" s="49"/>
      <c r="E102" s="41">
        <f>7.0379-7.0426</f>
        <v>-4.7000000000005926E-3</v>
      </c>
      <c r="F102" s="38">
        <f>+E102</f>
        <v>-4.7000000000005926E-3</v>
      </c>
      <c r="G102" s="50">
        <f>ROUND(+D102*E102,2)</f>
        <v>0</v>
      </c>
      <c r="H102" s="49"/>
      <c r="I102" s="271"/>
      <c r="J102" s="41"/>
      <c r="K102" s="354"/>
      <c r="L102" s="355"/>
      <c r="M102" s="356"/>
      <c r="N102" s="357"/>
      <c r="O102" s="358"/>
      <c r="P102" s="359"/>
      <c r="Q102" s="358"/>
      <c r="R102" s="349"/>
      <c r="S102" s="350"/>
      <c r="T102" s="351"/>
      <c r="U102" s="352"/>
    </row>
    <row r="103" spans="1:21">
      <c r="A103" s="353"/>
      <c r="B103" s="35"/>
      <c r="C103" s="48" t="s">
        <v>125</v>
      </c>
      <c r="D103" s="49">
        <v>89</v>
      </c>
      <c r="E103" s="41">
        <v>6.5258000000000003</v>
      </c>
      <c r="F103" s="41">
        <f>+E103</f>
        <v>6.5258000000000003</v>
      </c>
      <c r="G103" s="50">
        <f>ROUND(D103*E103,2)</f>
        <v>580.79999999999995</v>
      </c>
      <c r="H103" s="361"/>
      <c r="I103" s="362"/>
      <c r="J103" s="207"/>
      <c r="K103" s="363"/>
      <c r="L103" s="364"/>
      <c r="M103" s="365"/>
      <c r="N103" s="366"/>
      <c r="O103" s="367"/>
      <c r="P103" s="368"/>
      <c r="Q103" s="358"/>
      <c r="R103" s="349"/>
      <c r="S103" s="350"/>
      <c r="T103" s="351"/>
      <c r="U103" s="352"/>
    </row>
    <row r="104" spans="1:21" ht="15.75" thickBot="1">
      <c r="A104" s="369"/>
      <c r="B104" s="53" t="s">
        <v>66</v>
      </c>
      <c r="C104" s="99" t="s">
        <v>29</v>
      </c>
      <c r="D104" s="55">
        <v>37106</v>
      </c>
      <c r="E104" s="56">
        <v>6.5258000000000003</v>
      </c>
      <c r="F104" s="370">
        <f>+E104</f>
        <v>6.5258000000000003</v>
      </c>
      <c r="G104" s="58">
        <f>ROUND(D104*E104,2)</f>
        <v>242146.33</v>
      </c>
      <c r="H104" s="248"/>
      <c r="I104" s="203"/>
      <c r="J104" s="60"/>
      <c r="K104" s="203"/>
      <c r="L104" s="204"/>
      <c r="M104" s="371"/>
      <c r="N104" s="372"/>
      <c r="O104" s="373">
        <v>165882.5</v>
      </c>
      <c r="P104" s="374" t="s">
        <v>24</v>
      </c>
      <c r="Q104" s="373">
        <f>G104+J104-M104-N104-O104</f>
        <v>76263.829999999987</v>
      </c>
      <c r="R104" s="349" t="s">
        <v>65</v>
      </c>
      <c r="S104" s="375">
        <f>SUM(O99:O104)</f>
        <v>173040.38</v>
      </c>
      <c r="T104" s="375">
        <f>SUM(Q99:Q104)</f>
        <v>-173621.18</v>
      </c>
    </row>
    <row r="105" spans="1:21" s="81" customFormat="1" ht="15" customHeight="1">
      <c r="A105" s="437">
        <v>101</v>
      </c>
      <c r="B105" s="438" t="s">
        <v>82</v>
      </c>
      <c r="C105" s="377" t="s">
        <v>73</v>
      </c>
      <c r="D105" s="378">
        <v>30</v>
      </c>
      <c r="E105" s="21">
        <v>36.214199999999998</v>
      </c>
      <c r="F105" s="21">
        <v>42.4328</v>
      </c>
      <c r="G105" s="22">
        <f>+D105*(E105+F105)</f>
        <v>2359.41</v>
      </c>
      <c r="H105" s="303"/>
      <c r="I105" s="381"/>
      <c r="J105" s="381"/>
      <c r="K105" s="342"/>
      <c r="L105" s="263">
        <f>SUM(G105:G109,J105:J109)</f>
        <v>108076.76</v>
      </c>
      <c r="M105" s="26">
        <v>108076.76</v>
      </c>
      <c r="N105" s="421"/>
      <c r="O105" s="77"/>
      <c r="P105" s="77"/>
      <c r="Q105" s="384"/>
      <c r="R105" s="422"/>
      <c r="S105" s="399"/>
      <c r="T105" s="399"/>
    </row>
    <row r="106" spans="1:21" s="81" customFormat="1" ht="15" customHeight="1">
      <c r="A106" s="441"/>
      <c r="B106" s="442"/>
      <c r="C106" s="36" t="s">
        <v>26</v>
      </c>
      <c r="D106" s="37"/>
      <c r="E106" s="38"/>
      <c r="F106" s="38"/>
      <c r="G106" s="39">
        <f>ROUND(D106*(E106+F106),2)</f>
        <v>0</v>
      </c>
      <c r="H106" s="457"/>
      <c r="I106" s="392"/>
      <c r="J106" s="402"/>
      <c r="K106" s="393"/>
      <c r="L106" s="459"/>
      <c r="M106" s="44"/>
      <c r="N106" s="430"/>
      <c r="O106" s="435"/>
      <c r="P106" s="435"/>
      <c r="Q106" s="425"/>
      <c r="R106" s="422"/>
      <c r="S106" s="399"/>
      <c r="T106" s="399"/>
    </row>
    <row r="107" spans="1:21" s="81" customFormat="1" ht="15" customHeight="1">
      <c r="A107" s="441"/>
      <c r="B107" s="442"/>
      <c r="C107" s="48" t="s">
        <v>124</v>
      </c>
      <c r="D107" s="37">
        <f>фев18!D110+фев18!D111</f>
        <v>13678</v>
      </c>
      <c r="E107" s="41">
        <f>6.8264-6.8416</f>
        <v>-1.5200000000000102E-2</v>
      </c>
      <c r="F107" s="38"/>
      <c r="G107" s="39">
        <f>ROUND(D107*(E107),2)+0.01</f>
        <v>-207.9</v>
      </c>
      <c r="H107" s="270"/>
      <c r="I107" s="41"/>
      <c r="J107" s="41"/>
      <c r="K107" s="271"/>
      <c r="L107" s="272"/>
      <c r="M107" s="102"/>
      <c r="N107" s="430"/>
      <c r="O107" s="435"/>
      <c r="P107" s="435"/>
      <c r="Q107" s="425"/>
      <c r="R107" s="422"/>
      <c r="S107" s="399"/>
      <c r="T107" s="399"/>
    </row>
    <row r="108" spans="1:21" s="81" customFormat="1" ht="15" customHeight="1">
      <c r="A108" s="441"/>
      <c r="B108" s="442"/>
      <c r="C108" s="48" t="s">
        <v>125</v>
      </c>
      <c r="D108" s="37">
        <v>37</v>
      </c>
      <c r="E108" s="41">
        <v>6.8263999999999996</v>
      </c>
      <c r="F108" s="38"/>
      <c r="G108" s="39">
        <f>ROUND(D108*(E108),2)</f>
        <v>252.58</v>
      </c>
      <c r="H108" s="270"/>
      <c r="I108" s="41"/>
      <c r="J108" s="41"/>
      <c r="K108" s="271"/>
      <c r="L108" s="272"/>
      <c r="M108" s="102"/>
      <c r="N108" s="434"/>
      <c r="O108" s="435"/>
      <c r="P108" s="435"/>
      <c r="Q108" s="425"/>
      <c r="R108" s="422"/>
      <c r="S108" s="399"/>
      <c r="T108" s="399"/>
    </row>
    <row r="109" spans="1:21" s="81" customFormat="1" ht="15" customHeight="1" thickBot="1">
      <c r="A109" s="445"/>
      <c r="B109" s="446"/>
      <c r="C109" s="54" t="s">
        <v>29</v>
      </c>
      <c r="D109" s="413">
        <v>15480</v>
      </c>
      <c r="E109" s="56">
        <v>6.8263999999999996</v>
      </c>
      <c r="F109" s="281"/>
      <c r="G109" s="414">
        <f>ROUND(D109*(E109),2)</f>
        <v>105672.67</v>
      </c>
      <c r="H109" s="280"/>
      <c r="I109" s="281"/>
      <c r="J109" s="281"/>
      <c r="K109" s="282"/>
      <c r="L109" s="204"/>
      <c r="M109" s="371"/>
      <c r="N109" s="426"/>
      <c r="O109" s="416"/>
      <c r="P109" s="416"/>
      <c r="Q109" s="417"/>
      <c r="R109" s="899"/>
      <c r="S109" s="399"/>
      <c r="T109" s="399"/>
    </row>
    <row r="110" spans="1:21" s="81" customFormat="1" ht="15.75" customHeight="1">
      <c r="A110" s="902">
        <v>107</v>
      </c>
      <c r="B110" s="903" t="s">
        <v>214</v>
      </c>
      <c r="C110" s="439" t="s">
        <v>124</v>
      </c>
      <c r="D110" s="904"/>
      <c r="E110" s="23">
        <f>6.8264-6.8416</f>
        <v>-1.5200000000000102E-2</v>
      </c>
      <c r="F110" s="905"/>
      <c r="G110" s="22">
        <f>ROUND(D110*E110,2)</f>
        <v>0</v>
      </c>
      <c r="H110" s="303"/>
      <c r="I110" s="23"/>
      <c r="J110" s="23"/>
      <c r="K110" s="304"/>
      <c r="L110" s="263">
        <f>SUM(G110:G112)</f>
        <v>5337.56</v>
      </c>
      <c r="M110" s="26">
        <v>5337.56</v>
      </c>
      <c r="N110" s="421"/>
      <c r="O110" s="77"/>
      <c r="P110" s="77"/>
      <c r="Q110" s="384"/>
      <c r="R110" s="422"/>
      <c r="S110" s="399"/>
      <c r="T110" s="399"/>
    </row>
    <row r="111" spans="1:21" s="81" customFormat="1" ht="15.75" customHeight="1">
      <c r="A111" s="468"/>
      <c r="B111" s="469"/>
      <c r="C111" s="48" t="s">
        <v>125</v>
      </c>
      <c r="D111" s="471">
        <v>1.9</v>
      </c>
      <c r="E111" s="41">
        <v>6.8263999999999996</v>
      </c>
      <c r="F111" s="473"/>
      <c r="G111" s="449">
        <f>ROUND(D111*E111,2)</f>
        <v>12.97</v>
      </c>
      <c r="H111" s="260"/>
      <c r="I111" s="261"/>
      <c r="J111" s="261"/>
      <c r="K111" s="262"/>
      <c r="L111" s="286"/>
      <c r="M111" s="90"/>
      <c r="N111" s="423"/>
      <c r="O111" s="406"/>
      <c r="P111" s="406"/>
      <c r="Q111" s="407"/>
      <c r="R111" s="422"/>
      <c r="S111" s="399"/>
      <c r="T111" s="399"/>
    </row>
    <row r="112" spans="1:21" s="81" customFormat="1" ht="15.75" customHeight="1" thickBot="1">
      <c r="A112" s="858"/>
      <c r="B112" s="859"/>
      <c r="C112" s="54" t="s">
        <v>29</v>
      </c>
      <c r="D112" s="860">
        <v>780</v>
      </c>
      <c r="E112" s="56">
        <v>6.8263999999999996</v>
      </c>
      <c r="F112" s="861"/>
      <c r="G112" s="414">
        <f t="shared" ref="G112" si="19">ROUND(D112*E112,2)</f>
        <v>5324.59</v>
      </c>
      <c r="H112" s="280"/>
      <c r="I112" s="281"/>
      <c r="J112" s="281"/>
      <c r="K112" s="282"/>
      <c r="L112" s="204"/>
      <c r="M112" s="371"/>
      <c r="N112" s="426"/>
      <c r="O112" s="416"/>
      <c r="P112" s="416"/>
      <c r="Q112" s="417"/>
      <c r="R112" s="422"/>
      <c r="S112" s="399"/>
      <c r="T112" s="399"/>
    </row>
    <row r="113" spans="1:20" s="81" customFormat="1" ht="15.75" customHeight="1">
      <c r="A113" s="902">
        <v>108</v>
      </c>
      <c r="B113" s="903" t="s">
        <v>168</v>
      </c>
      <c r="C113" s="439" t="s">
        <v>124</v>
      </c>
      <c r="D113" s="904">
        <f>фев18!D116+фев18!D117</f>
        <v>210.5</v>
      </c>
      <c r="E113" s="23">
        <f>6.8264-6.8416</f>
        <v>-1.5200000000000102E-2</v>
      </c>
      <c r="F113" s="905"/>
      <c r="G113" s="22">
        <f>ROUND(D113*E113,2)</f>
        <v>-3.2</v>
      </c>
      <c r="H113" s="303"/>
      <c r="I113" s="23"/>
      <c r="J113" s="23"/>
      <c r="K113" s="304"/>
      <c r="L113" s="263">
        <f>SUM(G113:G115)</f>
        <v>1461.06</v>
      </c>
      <c r="M113" s="26">
        <v>1461.06</v>
      </c>
      <c r="N113" s="421"/>
      <c r="O113" s="77"/>
      <c r="P113" s="77"/>
      <c r="Q113" s="384"/>
      <c r="R113" s="422"/>
      <c r="S113" s="399"/>
      <c r="T113" s="399"/>
    </row>
    <row r="114" spans="1:20" s="81" customFormat="1" ht="15.75" customHeight="1">
      <c r="A114" s="468"/>
      <c r="B114" s="469"/>
      <c r="C114" s="48" t="s">
        <v>125</v>
      </c>
      <c r="D114" s="471">
        <v>0.5</v>
      </c>
      <c r="E114" s="41">
        <v>6.8263999999999996</v>
      </c>
      <c r="F114" s="473"/>
      <c r="G114" s="449">
        <f>ROUND(D114*E114,2)</f>
        <v>3.41</v>
      </c>
      <c r="H114" s="260"/>
      <c r="I114" s="261"/>
      <c r="J114" s="261"/>
      <c r="K114" s="262"/>
      <c r="L114" s="286"/>
      <c r="M114" s="90"/>
      <c r="N114" s="423"/>
      <c r="O114" s="406"/>
      <c r="P114" s="406"/>
      <c r="Q114" s="407"/>
      <c r="R114" s="422"/>
      <c r="S114" s="399"/>
      <c r="T114" s="399"/>
    </row>
    <row r="115" spans="1:20" s="81" customFormat="1" ht="15.75" customHeight="1" thickBot="1">
      <c r="A115" s="858"/>
      <c r="B115" s="859"/>
      <c r="C115" s="54" t="s">
        <v>29</v>
      </c>
      <c r="D115" s="860">
        <v>214</v>
      </c>
      <c r="E115" s="56">
        <v>6.8263999999999996</v>
      </c>
      <c r="F115" s="861"/>
      <c r="G115" s="414">
        <f t="shared" ref="G115" si="20">ROUND(D115*E115,2)</f>
        <v>1460.85</v>
      </c>
      <c r="H115" s="280"/>
      <c r="I115" s="281"/>
      <c r="J115" s="281"/>
      <c r="K115" s="282"/>
      <c r="L115" s="204"/>
      <c r="M115" s="371"/>
      <c r="N115" s="426"/>
      <c r="O115" s="416"/>
      <c r="P115" s="416"/>
      <c r="Q115" s="417"/>
      <c r="R115" s="422"/>
      <c r="S115" s="399"/>
      <c r="T115" s="399"/>
    </row>
    <row r="116" spans="1:20" s="81" customFormat="1" ht="15.75" customHeight="1">
      <c r="A116" s="468">
        <v>109</v>
      </c>
      <c r="B116" s="699" t="s">
        <v>175</v>
      </c>
      <c r="C116" s="439" t="s">
        <v>124</v>
      </c>
      <c r="D116" s="918">
        <f>фев18!D119+фев18!D120</f>
        <v>2597.1999999999998</v>
      </c>
      <c r="E116" s="23">
        <f>6.8264-6.8416</f>
        <v>-1.5200000000000102E-2</v>
      </c>
      <c r="F116" s="473"/>
      <c r="G116" s="862">
        <f>ROUND(D116*E116,2)+0.01</f>
        <v>-39.47</v>
      </c>
      <c r="H116" s="261"/>
      <c r="I116" s="261"/>
      <c r="J116" s="261"/>
      <c r="K116" s="185"/>
      <c r="L116" s="263">
        <f>SUM(G116:G119)+SUM(J116:J119)</f>
        <v>12339.124</v>
      </c>
      <c r="M116" s="26">
        <v>12339.12</v>
      </c>
      <c r="N116" s="443"/>
      <c r="O116" s="94"/>
      <c r="P116" s="94"/>
      <c r="Q116" s="396"/>
      <c r="R116" s="422"/>
      <c r="S116" s="399"/>
      <c r="T116" s="399"/>
    </row>
    <row r="117" spans="1:20" s="81" customFormat="1" ht="15.75" customHeight="1">
      <c r="A117" s="468"/>
      <c r="B117" s="469"/>
      <c r="C117" s="48" t="s">
        <v>125</v>
      </c>
      <c r="D117" s="919">
        <v>4.3</v>
      </c>
      <c r="E117" s="41">
        <v>6.8263999999999996</v>
      </c>
      <c r="F117" s="473"/>
      <c r="G117" s="409">
        <f>ROUND(D117*E117,2)</f>
        <v>29.35</v>
      </c>
      <c r="H117" s="41"/>
      <c r="I117" s="41"/>
      <c r="J117" s="41"/>
      <c r="K117" s="50"/>
      <c r="L117" s="286"/>
      <c r="M117" s="90"/>
      <c r="N117" s="423"/>
      <c r="O117" s="406"/>
      <c r="P117" s="406"/>
      <c r="Q117" s="407"/>
      <c r="R117" s="422"/>
      <c r="S117" s="399"/>
      <c r="T117" s="399"/>
    </row>
    <row r="118" spans="1:20" s="81" customFormat="1" ht="15.75" customHeight="1">
      <c r="A118" s="468"/>
      <c r="B118" s="920"/>
      <c r="C118" s="99" t="s">
        <v>29</v>
      </c>
      <c r="D118" s="919">
        <v>1786</v>
      </c>
      <c r="E118" s="101">
        <v>6.8263999999999996</v>
      </c>
      <c r="F118" s="473"/>
      <c r="G118" s="409">
        <f t="shared" ref="G118" si="21">ROUND(D118*E118,2)</f>
        <v>12191.95</v>
      </c>
      <c r="H118" s="41"/>
      <c r="I118" s="41"/>
      <c r="J118" s="41"/>
      <c r="K118" s="50"/>
      <c r="L118" s="286"/>
      <c r="M118" s="90"/>
      <c r="N118" s="423"/>
      <c r="O118" s="406"/>
      <c r="P118" s="406"/>
      <c r="Q118" s="407"/>
      <c r="R118" s="422"/>
      <c r="S118" s="399"/>
      <c r="T118" s="399"/>
    </row>
    <row r="119" spans="1:20" s="81" customFormat="1" ht="15.75" customHeight="1" thickBot="1">
      <c r="A119" s="858"/>
      <c r="B119" s="921"/>
      <c r="C119" s="54" t="s">
        <v>73</v>
      </c>
      <c r="D119" s="922">
        <v>2</v>
      </c>
      <c r="E119" s="56">
        <v>36.214199999999998</v>
      </c>
      <c r="F119" s="861">
        <v>42.4328</v>
      </c>
      <c r="G119" s="923">
        <f>+D119*(E119+F119)</f>
        <v>157.29399999999998</v>
      </c>
      <c r="H119" s="281"/>
      <c r="I119" s="281"/>
      <c r="J119" s="281"/>
      <c r="K119" s="58"/>
      <c r="L119" s="204"/>
      <c r="M119" s="371"/>
      <c r="N119" s="426"/>
      <c r="O119" s="416"/>
      <c r="P119" s="416"/>
      <c r="Q119" s="417"/>
      <c r="R119" s="422"/>
      <c r="S119" s="399"/>
      <c r="T119" s="399"/>
    </row>
    <row r="120" spans="1:20" s="81" customFormat="1" ht="15.75" customHeight="1">
      <c r="A120" s="376">
        <v>117</v>
      </c>
      <c r="B120" s="420" t="s">
        <v>72</v>
      </c>
      <c r="C120" s="377" t="s">
        <v>73</v>
      </c>
      <c r="D120" s="378">
        <v>142</v>
      </c>
      <c r="E120" s="21">
        <v>36.214199999999998</v>
      </c>
      <c r="F120" s="21">
        <v>42.4328</v>
      </c>
      <c r="G120" s="22">
        <f>+D120*(E120+F120)</f>
        <v>11167.873999999998</v>
      </c>
      <c r="H120" s="303"/>
      <c r="I120" s="381"/>
      <c r="J120" s="381"/>
      <c r="K120" s="342"/>
      <c r="L120" s="263">
        <f>SUM(G120:G124,J120:J124)</f>
        <v>265099.51399999997</v>
      </c>
      <c r="M120" s="26">
        <v>265099.51</v>
      </c>
      <c r="N120" s="421"/>
      <c r="O120" s="77"/>
      <c r="P120" s="77"/>
      <c r="Q120" s="384"/>
      <c r="R120" s="422"/>
      <c r="S120" s="399"/>
      <c r="T120" s="399"/>
    </row>
    <row r="121" spans="1:20" s="81" customFormat="1" ht="15.75" customHeight="1">
      <c r="A121" s="389"/>
      <c r="B121" s="83"/>
      <c r="C121" s="84" t="s">
        <v>26</v>
      </c>
      <c r="D121" s="37"/>
      <c r="E121" s="38"/>
      <c r="F121" s="38"/>
      <c r="G121" s="39">
        <f>ROUND(D121*(E121+F121),2)</f>
        <v>0</v>
      </c>
      <c r="H121" s="270"/>
      <c r="I121" s="392"/>
      <c r="J121" s="402"/>
      <c r="K121" s="393"/>
      <c r="L121" s="272"/>
      <c r="M121" s="102"/>
      <c r="N121" s="423"/>
      <c r="O121" s="406"/>
      <c r="P121" s="406"/>
      <c r="Q121" s="407"/>
      <c r="R121" s="422"/>
      <c r="S121" s="399"/>
      <c r="T121" s="399"/>
    </row>
    <row r="122" spans="1:20" s="81" customFormat="1" ht="15.75" customHeight="1">
      <c r="A122" s="389"/>
      <c r="B122" s="83"/>
      <c r="C122" s="48" t="s">
        <v>124</v>
      </c>
      <c r="D122" s="37">
        <f>фев18!D125+фев18!D126</f>
        <v>40657</v>
      </c>
      <c r="E122" s="41">
        <f>6.8264-6.8416</f>
        <v>-1.5200000000000102E-2</v>
      </c>
      <c r="F122" s="38"/>
      <c r="G122" s="39">
        <f>ROUND(D122*(E122),2)</f>
        <v>-617.99</v>
      </c>
      <c r="H122" s="270"/>
      <c r="I122" s="41"/>
      <c r="J122" s="41"/>
      <c r="K122" s="271"/>
      <c r="L122" s="272"/>
      <c r="M122" s="102"/>
      <c r="N122" s="423"/>
      <c r="O122" s="406"/>
      <c r="P122" s="406"/>
      <c r="Q122" s="407"/>
      <c r="R122" s="422"/>
      <c r="S122" s="399"/>
      <c r="T122" s="399"/>
    </row>
    <row r="123" spans="1:20" s="81" customFormat="1" ht="15.75" customHeight="1">
      <c r="A123" s="389"/>
      <c r="B123" s="83"/>
      <c r="C123" s="48" t="s">
        <v>125</v>
      </c>
      <c r="D123" s="37">
        <v>89</v>
      </c>
      <c r="E123" s="41">
        <v>6.8263999999999996</v>
      </c>
      <c r="F123" s="38"/>
      <c r="G123" s="39">
        <f>ROUND(D123*(E123),2)</f>
        <v>607.54999999999995</v>
      </c>
      <c r="H123" s="270"/>
      <c r="I123" s="41"/>
      <c r="J123" s="41"/>
      <c r="K123" s="271"/>
      <c r="L123" s="272"/>
      <c r="M123" s="102"/>
      <c r="N123" s="423"/>
      <c r="O123" s="406"/>
      <c r="P123" s="406"/>
      <c r="Q123" s="425"/>
      <c r="R123" s="422"/>
      <c r="S123" s="399"/>
      <c r="T123" s="399"/>
    </row>
    <row r="124" spans="1:20" s="81" customFormat="1" ht="15.75" customHeight="1" thickBot="1">
      <c r="A124" s="411"/>
      <c r="B124" s="412"/>
      <c r="C124" s="99" t="s">
        <v>29</v>
      </c>
      <c r="D124" s="413">
        <v>37200</v>
      </c>
      <c r="E124" s="56">
        <v>6.8263999999999996</v>
      </c>
      <c r="F124" s="281"/>
      <c r="G124" s="414">
        <f>ROUND(D124*(E124),2)</f>
        <v>253942.08</v>
      </c>
      <c r="H124" s="280"/>
      <c r="I124" s="281"/>
      <c r="J124" s="281"/>
      <c r="K124" s="282"/>
      <c r="L124" s="204"/>
      <c r="M124" s="371"/>
      <c r="N124" s="426"/>
      <c r="O124" s="416"/>
      <c r="P124" s="416"/>
      <c r="Q124" s="417"/>
      <c r="R124" s="422"/>
      <c r="S124" s="399"/>
      <c r="T124" s="399"/>
    </row>
    <row r="125" spans="1:20" s="81" customFormat="1" ht="15.75" customHeight="1">
      <c r="A125" s="376">
        <v>118</v>
      </c>
      <c r="B125" s="924" t="s">
        <v>215</v>
      </c>
      <c r="C125" s="377" t="s">
        <v>73</v>
      </c>
      <c r="D125" s="378">
        <v>67</v>
      </c>
      <c r="E125" s="21">
        <v>36.214199999999998</v>
      </c>
      <c r="F125" s="21">
        <v>42.4328</v>
      </c>
      <c r="G125" s="22">
        <f>+D125*(E125+F125)</f>
        <v>5269.3489999999993</v>
      </c>
      <c r="H125" s="303"/>
      <c r="I125" s="381"/>
      <c r="J125" s="41"/>
      <c r="K125" s="342"/>
      <c r="L125" s="263">
        <f>SUM(G125:G129,J125:J129)</f>
        <v>75003.159</v>
      </c>
      <c r="M125" s="26">
        <v>75003.16</v>
      </c>
      <c r="N125" s="421"/>
      <c r="O125" s="77"/>
      <c r="P125" s="77"/>
      <c r="Q125" s="384"/>
      <c r="R125" s="422"/>
      <c r="S125" s="399"/>
      <c r="T125" s="399"/>
    </row>
    <row r="126" spans="1:20" s="81" customFormat="1" ht="15.75" customHeight="1">
      <c r="A126" s="389"/>
      <c r="B126" s="920"/>
      <c r="C126" s="36" t="s">
        <v>26</v>
      </c>
      <c r="D126" s="37"/>
      <c r="E126" s="38"/>
      <c r="F126" s="38"/>
      <c r="G126" s="39">
        <f>ROUND(D126*(E126+F126),2)</f>
        <v>0</v>
      </c>
      <c r="H126" s="457"/>
      <c r="I126" s="392"/>
      <c r="J126" s="41"/>
      <c r="K126" s="393"/>
      <c r="L126" s="459"/>
      <c r="M126" s="44"/>
      <c r="N126" s="430"/>
      <c r="O126" s="406"/>
      <c r="P126" s="406"/>
      <c r="Q126" s="407"/>
      <c r="R126" s="422"/>
      <c r="S126" s="399"/>
      <c r="T126" s="399"/>
    </row>
    <row r="127" spans="1:20" s="81" customFormat="1" ht="15.75" customHeight="1">
      <c r="A127" s="389"/>
      <c r="B127" s="920"/>
      <c r="C127" s="48" t="s">
        <v>124</v>
      </c>
      <c r="D127" s="37">
        <f>фев18!D130+фев18!D131</f>
        <v>2329.6</v>
      </c>
      <c r="E127" s="41">
        <f>6.8264-6.8416</f>
        <v>-1.5200000000000102E-2</v>
      </c>
      <c r="F127" s="38"/>
      <c r="G127" s="39">
        <f>ROUND(D127*(E127),2)</f>
        <v>-35.409999999999997</v>
      </c>
      <c r="H127" s="270"/>
      <c r="I127" s="41"/>
      <c r="J127" s="41"/>
      <c r="K127" s="271"/>
      <c r="L127" s="272"/>
      <c r="M127" s="102"/>
      <c r="N127" s="430"/>
      <c r="O127" s="406"/>
      <c r="P127" s="406"/>
      <c r="Q127" s="407"/>
      <c r="R127" s="422"/>
      <c r="S127" s="399"/>
      <c r="T127" s="399"/>
    </row>
    <row r="128" spans="1:20" s="81" customFormat="1" ht="15.75" customHeight="1">
      <c r="A128" s="389"/>
      <c r="B128" s="920"/>
      <c r="C128" s="48" t="s">
        <v>125</v>
      </c>
      <c r="D128" s="37">
        <v>24.5</v>
      </c>
      <c r="E128" s="41">
        <v>6.8263999999999996</v>
      </c>
      <c r="F128" s="38"/>
      <c r="G128" s="39">
        <f>ROUND(D128*(E128),2)</f>
        <v>167.25</v>
      </c>
      <c r="H128" s="270"/>
      <c r="I128" s="41"/>
      <c r="J128" s="41"/>
      <c r="K128" s="271"/>
      <c r="L128" s="272"/>
      <c r="M128" s="102"/>
      <c r="N128" s="434"/>
      <c r="O128" s="435"/>
      <c r="P128" s="435"/>
      <c r="Q128" s="425"/>
      <c r="R128" s="422"/>
      <c r="S128" s="399"/>
      <c r="T128" s="399"/>
    </row>
    <row r="129" spans="1:20" s="81" customFormat="1" ht="15.75" customHeight="1" thickBot="1">
      <c r="A129" s="411"/>
      <c r="B129" s="921"/>
      <c r="C129" s="54" t="s">
        <v>29</v>
      </c>
      <c r="D129" s="413">
        <v>10196</v>
      </c>
      <c r="E129" s="56">
        <v>6.8263999999999996</v>
      </c>
      <c r="F129" s="281"/>
      <c r="G129" s="414">
        <f>ROUND(D129*(E129),2)</f>
        <v>69601.97</v>
      </c>
      <c r="H129" s="432"/>
      <c r="I129" s="207"/>
      <c r="J129" s="207"/>
      <c r="K129" s="362"/>
      <c r="L129" s="433"/>
      <c r="M129" s="63"/>
      <c r="N129" s="434"/>
      <c r="O129" s="435"/>
      <c r="P129" s="435"/>
      <c r="Q129" s="425"/>
      <c r="R129" s="422"/>
      <c r="S129" s="399"/>
      <c r="T129" s="399"/>
    </row>
    <row r="130" spans="1:20" s="81" customFormat="1" ht="15.75" customHeight="1">
      <c r="A130" s="468">
        <v>121</v>
      </c>
      <c r="B130" s="699" t="s">
        <v>154</v>
      </c>
      <c r="C130" s="700" t="s">
        <v>124</v>
      </c>
      <c r="D130" s="471">
        <f>фев18!D133+фев18!D134</f>
        <v>333.8</v>
      </c>
      <c r="E130" s="261">
        <f>6.8264-6.8416</f>
        <v>-1.5200000000000102E-2</v>
      </c>
      <c r="F130" s="473"/>
      <c r="G130" s="449">
        <f>ROUND(D130*E130,2)</f>
        <v>-5.07</v>
      </c>
      <c r="H130" s="303"/>
      <c r="I130" s="23"/>
      <c r="J130" s="23"/>
      <c r="K130" s="304"/>
      <c r="L130" s="263">
        <f>SUM(G130:G132)</f>
        <v>2225.7999999999997</v>
      </c>
      <c r="M130" s="26">
        <v>2225.8000000000002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.75" customHeight="1">
      <c r="A131" s="468"/>
      <c r="B131" s="469"/>
      <c r="C131" s="48" t="s">
        <v>125</v>
      </c>
      <c r="D131" s="471">
        <v>0.8</v>
      </c>
      <c r="E131" s="41">
        <v>6.8263999999999996</v>
      </c>
      <c r="F131" s="473"/>
      <c r="G131" s="449">
        <f>ROUND(D131*E131,2)</f>
        <v>5.46</v>
      </c>
      <c r="H131" s="260"/>
      <c r="I131" s="261"/>
      <c r="J131" s="261"/>
      <c r="K131" s="262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 thickBot="1">
      <c r="A132" s="858"/>
      <c r="B132" s="859"/>
      <c r="C132" s="54" t="s">
        <v>29</v>
      </c>
      <c r="D132" s="860">
        <v>326</v>
      </c>
      <c r="E132" s="56">
        <v>6.8263999999999996</v>
      </c>
      <c r="F132" s="861"/>
      <c r="G132" s="414">
        <f t="shared" ref="G132" si="22">ROUND(D132*E132,2)</f>
        <v>2225.41</v>
      </c>
      <c r="H132" s="280"/>
      <c r="I132" s="281"/>
      <c r="J132" s="281"/>
      <c r="K132" s="282"/>
      <c r="L132" s="204"/>
      <c r="M132" s="371"/>
      <c r="N132" s="426"/>
      <c r="O132" s="416"/>
      <c r="P132" s="416"/>
      <c r="Q132" s="417"/>
      <c r="R132" s="422"/>
      <c r="S132" s="399"/>
      <c r="T132" s="399"/>
    </row>
    <row r="133" spans="1:20" s="81" customFormat="1" ht="15.75" customHeight="1">
      <c r="A133" s="376">
        <v>202</v>
      </c>
      <c r="B133" s="420" t="s">
        <v>74</v>
      </c>
      <c r="C133" s="377" t="s">
        <v>73</v>
      </c>
      <c r="D133" s="378">
        <v>15</v>
      </c>
      <c r="E133" s="21">
        <v>36.214199999999998</v>
      </c>
      <c r="F133" s="21">
        <v>42.4328</v>
      </c>
      <c r="G133" s="22">
        <f>ROUND(D133*(E133+F133),2)</f>
        <v>1179.71</v>
      </c>
      <c r="H133" s="303"/>
      <c r="I133" s="381"/>
      <c r="J133" s="381"/>
      <c r="K133" s="342"/>
      <c r="L133" s="263">
        <f>SUM(G133:G139,J133:J139)</f>
        <v>22305.82</v>
      </c>
      <c r="M133" s="26">
        <v>22305.82</v>
      </c>
      <c r="N133" s="421"/>
      <c r="O133" s="77"/>
      <c r="P133" s="77"/>
      <c r="Q133" s="384"/>
      <c r="R133" s="422"/>
      <c r="S133" s="399"/>
      <c r="T133" s="399"/>
    </row>
    <row r="134" spans="1:20" s="81" customFormat="1" ht="15.75" customHeight="1">
      <c r="A134" s="389"/>
      <c r="B134" s="98"/>
      <c r="C134" s="84" t="s">
        <v>26</v>
      </c>
      <c r="D134" s="37"/>
      <c r="E134" s="38"/>
      <c r="F134" s="38"/>
      <c r="G134" s="39">
        <f>ROUND(D134*(E134+F134),2)</f>
        <v>0</v>
      </c>
      <c r="H134" s="270"/>
      <c r="I134" s="392"/>
      <c r="J134" s="402"/>
      <c r="K134" s="393"/>
      <c r="L134" s="272"/>
      <c r="M134" s="102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>
      <c r="A135" s="389"/>
      <c r="B135" s="98" t="s">
        <v>32</v>
      </c>
      <c r="C135" s="99" t="s">
        <v>33</v>
      </c>
      <c r="D135" s="428">
        <v>8</v>
      </c>
      <c r="E135" s="101">
        <v>326.58</v>
      </c>
      <c r="F135" s="38">
        <v>42.43</v>
      </c>
      <c r="G135" s="39">
        <f>ROUND(D135*(E135+F135),2)</f>
        <v>2952.08</v>
      </c>
      <c r="H135" s="270"/>
      <c r="I135" s="41"/>
      <c r="J135" s="41"/>
      <c r="K135" s="271"/>
      <c r="L135" s="272"/>
      <c r="M135" s="102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>
      <c r="A136" s="389"/>
      <c r="B136" s="83"/>
      <c r="C136" s="48" t="s">
        <v>76</v>
      </c>
      <c r="D136" s="37">
        <f>фев18!D137</f>
        <v>8</v>
      </c>
      <c r="E136" s="41">
        <f>326.58-444.53</f>
        <v>-117.94999999999999</v>
      </c>
      <c r="F136" s="38"/>
      <c r="G136" s="39">
        <f>ROUND(D136*(E136+F136),2)</f>
        <v>-943.6</v>
      </c>
      <c r="H136" s="270"/>
      <c r="I136" s="41"/>
      <c r="J136" s="41"/>
      <c r="K136" s="271"/>
      <c r="L136" s="272"/>
      <c r="M136" s="102"/>
      <c r="N136" s="423"/>
      <c r="O136" s="406"/>
      <c r="P136" s="406"/>
      <c r="Q136" s="407"/>
      <c r="R136" s="422"/>
      <c r="S136" s="399"/>
      <c r="T136" s="399"/>
    </row>
    <row r="137" spans="1:20" s="81" customFormat="1" ht="15.75" customHeight="1">
      <c r="A137" s="389"/>
      <c r="B137" s="83"/>
      <c r="C137" s="48" t="s">
        <v>124</v>
      </c>
      <c r="D137" s="37">
        <f>фев18!D140+фев18!D141</f>
        <v>2766.6</v>
      </c>
      <c r="E137" s="41">
        <f>6.8264-6.8416</f>
        <v>-1.5200000000000102E-2</v>
      </c>
      <c r="F137" s="38"/>
      <c r="G137" s="39">
        <f>ROUND(D137*(E137+F137),2)+0.02</f>
        <v>-42.029999999999994</v>
      </c>
      <c r="H137" s="270"/>
      <c r="I137" s="41"/>
      <c r="J137" s="41"/>
      <c r="K137" s="271"/>
      <c r="L137" s="272"/>
      <c r="M137" s="102"/>
      <c r="N137" s="423"/>
      <c r="O137" s="406"/>
      <c r="P137" s="406"/>
      <c r="Q137" s="407"/>
      <c r="R137" s="422"/>
      <c r="S137" s="399"/>
      <c r="T137" s="399"/>
    </row>
    <row r="138" spans="1:20" s="81" customFormat="1" ht="15.75" customHeight="1">
      <c r="A138" s="389"/>
      <c r="B138" s="83"/>
      <c r="C138" s="48" t="s">
        <v>125</v>
      </c>
      <c r="D138" s="37">
        <v>6.7</v>
      </c>
      <c r="E138" s="41">
        <v>6.8263999999999996</v>
      </c>
      <c r="F138" s="38"/>
      <c r="G138" s="39">
        <f>ROUND(D138*E138,2)</f>
        <v>45.74</v>
      </c>
      <c r="H138" s="270"/>
      <c r="I138" s="41"/>
      <c r="J138" s="41"/>
      <c r="K138" s="271"/>
      <c r="L138" s="272"/>
      <c r="M138" s="102"/>
      <c r="N138" s="423"/>
      <c r="O138" s="406"/>
      <c r="P138" s="406"/>
      <c r="Q138" s="425"/>
      <c r="R138" s="422"/>
      <c r="S138" s="399"/>
      <c r="T138" s="399"/>
    </row>
    <row r="139" spans="1:20" s="81" customFormat="1" ht="15" customHeight="1" thickBot="1">
      <c r="A139" s="411"/>
      <c r="B139" s="412"/>
      <c r="C139" s="99" t="s">
        <v>29</v>
      </c>
      <c r="D139" s="413">
        <v>2800</v>
      </c>
      <c r="E139" s="56">
        <v>6.8263999999999996</v>
      </c>
      <c r="F139" s="281"/>
      <c r="G139" s="414">
        <f>ROUND(D139*(E139+F139),2)</f>
        <v>19113.919999999998</v>
      </c>
      <c r="H139" s="280"/>
      <c r="I139" s="281"/>
      <c r="J139" s="281"/>
      <c r="K139" s="282"/>
      <c r="L139" s="204"/>
      <c r="M139" s="371"/>
      <c r="N139" s="426"/>
      <c r="O139" s="416"/>
      <c r="P139" s="416"/>
      <c r="Q139" s="417"/>
      <c r="R139" s="422"/>
      <c r="S139" s="399"/>
      <c r="T139" s="399"/>
    </row>
    <row r="140" spans="1:20" s="81" customFormat="1" ht="15.75" customHeight="1">
      <c r="A140" s="902">
        <v>203</v>
      </c>
      <c r="B140" s="903" t="s">
        <v>167</v>
      </c>
      <c r="C140" s="439" t="s">
        <v>124</v>
      </c>
      <c r="D140" s="904"/>
      <c r="E140" s="23">
        <f>6.8264-6.8416</f>
        <v>-1.5200000000000102E-2</v>
      </c>
      <c r="F140" s="905"/>
      <c r="G140" s="22">
        <f>ROUND(D140*E140,2)</f>
        <v>0</v>
      </c>
      <c r="H140" s="303"/>
      <c r="I140" s="23"/>
      <c r="J140" s="23"/>
      <c r="K140" s="304"/>
      <c r="L140" s="263">
        <f>SUM(G140:G142)</f>
        <v>171.34</v>
      </c>
      <c r="M140" s="26">
        <v>171.34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468"/>
      <c r="B141" s="981" t="s">
        <v>219</v>
      </c>
      <c r="C141" s="48" t="s">
        <v>125</v>
      </c>
      <c r="D141" s="471">
        <v>0.1</v>
      </c>
      <c r="E141" s="41">
        <v>6.8263999999999996</v>
      </c>
      <c r="F141" s="473"/>
      <c r="G141" s="449">
        <f>ROUND(D141*E141,2)</f>
        <v>0.68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858"/>
      <c r="B142" s="859"/>
      <c r="C142" s="54" t="s">
        <v>29</v>
      </c>
      <c r="D142" s="860">
        <v>25</v>
      </c>
      <c r="E142" s="56">
        <v>6.8263999999999996</v>
      </c>
      <c r="F142" s="861"/>
      <c r="G142" s="414">
        <f t="shared" ref="G142" si="23">ROUND(D142*E142,2)</f>
        <v>170.66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902">
        <v>207</v>
      </c>
      <c r="B143" s="903" t="s">
        <v>133</v>
      </c>
      <c r="C143" s="439" t="s">
        <v>124</v>
      </c>
      <c r="D143" s="904">
        <f>фев18!D146+фев18!D147</f>
        <v>274.7</v>
      </c>
      <c r="E143" s="23">
        <f>6.8264-6.8416</f>
        <v>-1.5200000000000102E-2</v>
      </c>
      <c r="F143" s="905"/>
      <c r="G143" s="22">
        <f>ROUND(D143*E143,2)+0.01</f>
        <v>-4.17</v>
      </c>
      <c r="H143" s="303"/>
      <c r="I143" s="23"/>
      <c r="J143" s="23"/>
      <c r="K143" s="304"/>
      <c r="L143" s="263">
        <f>SUM(G143:G145)</f>
        <v>3047.9100000000003</v>
      </c>
      <c r="M143" s="26">
        <v>3047.91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125</v>
      </c>
      <c r="D144" s="471">
        <v>1.1000000000000001</v>
      </c>
      <c r="E144" s="41">
        <v>6.8263999999999996</v>
      </c>
      <c r="F144" s="473"/>
      <c r="G144" s="449">
        <f>ROUND(D144*E144,2)</f>
        <v>7.51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858"/>
      <c r="B145" s="859"/>
      <c r="C145" s="54" t="s">
        <v>29</v>
      </c>
      <c r="D145" s="860">
        <v>446</v>
      </c>
      <c r="E145" s="56">
        <v>6.8263999999999996</v>
      </c>
      <c r="F145" s="861"/>
      <c r="G145" s="414">
        <f t="shared" ref="G145" si="24">ROUND(D145*E145,2)</f>
        <v>3044.57</v>
      </c>
      <c r="H145" s="280"/>
      <c r="I145" s="281"/>
      <c r="J145" s="281"/>
      <c r="K145" s="282"/>
      <c r="L145" s="204"/>
      <c r="M145" s="371"/>
      <c r="N145" s="426"/>
      <c r="O145" s="416"/>
      <c r="P145" s="416"/>
      <c r="Q145" s="417"/>
      <c r="R145" s="422"/>
      <c r="S145" s="399"/>
      <c r="T145" s="399"/>
    </row>
    <row r="146" spans="1:20" s="81" customFormat="1" ht="15" customHeight="1">
      <c r="A146" s="376">
        <v>210</v>
      </c>
      <c r="B146" s="420" t="s">
        <v>77</v>
      </c>
      <c r="C146" s="377" t="s">
        <v>73</v>
      </c>
      <c r="D146" s="378">
        <v>2</v>
      </c>
      <c r="E146" s="21">
        <v>36.214199999999998</v>
      </c>
      <c r="F146" s="21">
        <v>42.4328</v>
      </c>
      <c r="G146" s="22">
        <f t="shared" ref="G146:G152" si="25">ROUND(D146*(E146+F146),2)</f>
        <v>157.29</v>
      </c>
      <c r="H146" s="303"/>
      <c r="I146" s="381"/>
      <c r="J146" s="381"/>
      <c r="K146" s="342"/>
      <c r="L146" s="382">
        <f>+SUM(G146:G152,J146:J152)</f>
        <v>2753.62</v>
      </c>
      <c r="M146" s="26">
        <v>2753.62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" customHeight="1">
      <c r="A147" s="389"/>
      <c r="B147" s="83"/>
      <c r="C147" s="84" t="s">
        <v>26</v>
      </c>
      <c r="D147" s="37"/>
      <c r="E147" s="38"/>
      <c r="F147" s="38"/>
      <c r="G147" s="39">
        <f t="shared" si="25"/>
        <v>0</v>
      </c>
      <c r="H147" s="270"/>
      <c r="I147" s="392"/>
      <c r="J147" s="402"/>
      <c r="K147" s="393"/>
      <c r="L147" s="429"/>
      <c r="M147" s="102"/>
      <c r="N147" s="430"/>
      <c r="O147" s="406"/>
      <c r="P147" s="406"/>
      <c r="Q147" s="407"/>
      <c r="R147" s="422"/>
      <c r="S147" s="399"/>
      <c r="T147" s="399"/>
    </row>
    <row r="148" spans="1:20" s="81" customFormat="1" ht="15" customHeight="1">
      <c r="A148" s="389"/>
      <c r="B148" s="98" t="s">
        <v>32</v>
      </c>
      <c r="C148" s="99" t="s">
        <v>33</v>
      </c>
      <c r="D148" s="37">
        <v>3</v>
      </c>
      <c r="E148" s="101">
        <v>326.58</v>
      </c>
      <c r="F148" s="38">
        <v>42.4328</v>
      </c>
      <c r="G148" s="39">
        <f t="shared" si="25"/>
        <v>1107.04</v>
      </c>
      <c r="H148" s="270"/>
      <c r="I148" s="41"/>
      <c r="J148" s="41"/>
      <c r="K148" s="271"/>
      <c r="L148" s="272"/>
      <c r="M148" s="102"/>
      <c r="N148" s="430"/>
      <c r="O148" s="406"/>
      <c r="P148" s="406"/>
      <c r="Q148" s="407"/>
      <c r="R148" s="422"/>
      <c r="S148" s="399"/>
      <c r="T148" s="399"/>
    </row>
    <row r="149" spans="1:20" s="81" customFormat="1" ht="15" customHeight="1">
      <c r="A149" s="389"/>
      <c r="B149" s="83"/>
      <c r="C149" s="48" t="s">
        <v>190</v>
      </c>
      <c r="D149" s="37">
        <v>3</v>
      </c>
      <c r="E149" s="41">
        <f>326.58-444.53</f>
        <v>-117.94999999999999</v>
      </c>
      <c r="F149" s="38"/>
      <c r="G149" s="39">
        <f>ROUND(D149*(E149+F149),2)-0.01</f>
        <v>-353.86</v>
      </c>
      <c r="H149" s="270"/>
      <c r="I149" s="41"/>
      <c r="J149" s="41"/>
      <c r="K149" s="271"/>
      <c r="L149" s="272"/>
      <c r="M149" s="102"/>
      <c r="N149" s="430"/>
      <c r="O149" s="406"/>
      <c r="P149" s="406"/>
      <c r="Q149" s="407"/>
      <c r="R149" s="422"/>
      <c r="S149" s="399"/>
      <c r="T149" s="399"/>
    </row>
    <row r="150" spans="1:20" s="81" customFormat="1" ht="15" customHeight="1">
      <c r="A150" s="389"/>
      <c r="B150" s="83"/>
      <c r="C150" s="48" t="s">
        <v>124</v>
      </c>
      <c r="D150" s="37">
        <f>фев18!D153+фев18!D154</f>
        <v>268.60000000000002</v>
      </c>
      <c r="E150" s="41">
        <f>6.8264-6.8416</f>
        <v>-1.5200000000000102E-2</v>
      </c>
      <c r="F150" s="38"/>
      <c r="G150" s="39">
        <f>ROUND(D150*(E150+F150),2)</f>
        <v>-4.08</v>
      </c>
      <c r="H150" s="270"/>
      <c r="I150" s="41"/>
      <c r="J150" s="41"/>
      <c r="K150" s="271"/>
      <c r="L150" s="272"/>
      <c r="M150" s="102"/>
      <c r="N150" s="430"/>
      <c r="O150" s="406"/>
      <c r="P150" s="406"/>
      <c r="Q150" s="407"/>
      <c r="R150" s="899"/>
      <c r="S150" s="399"/>
      <c r="T150" s="399"/>
    </row>
    <row r="151" spans="1:20" s="81" customFormat="1" ht="15" customHeight="1">
      <c r="A151" s="389"/>
      <c r="B151" s="83"/>
      <c r="C151" s="48" t="s">
        <v>125</v>
      </c>
      <c r="D151" s="37">
        <v>0.6</v>
      </c>
      <c r="E151" s="41">
        <v>6.8263999999999996</v>
      </c>
      <c r="F151" s="38"/>
      <c r="G151" s="39">
        <f t="shared" si="25"/>
        <v>4.0999999999999996</v>
      </c>
      <c r="H151" s="432"/>
      <c r="I151" s="207"/>
      <c r="J151" s="207"/>
      <c r="K151" s="362"/>
      <c r="L151" s="433"/>
      <c r="M151" s="63"/>
      <c r="N151" s="434"/>
      <c r="O151" s="435"/>
      <c r="P151" s="435"/>
      <c r="Q151" s="425"/>
      <c r="R151" s="899"/>
      <c r="S151" s="399"/>
      <c r="T151" s="399"/>
    </row>
    <row r="152" spans="1:20" s="81" customFormat="1" ht="15" customHeight="1" thickBot="1">
      <c r="A152" s="411"/>
      <c r="B152" s="412"/>
      <c r="C152" s="99" t="s">
        <v>29</v>
      </c>
      <c r="D152" s="413">
        <v>270</v>
      </c>
      <c r="E152" s="56">
        <v>6.8263999999999996</v>
      </c>
      <c r="F152" s="281"/>
      <c r="G152" s="414">
        <f t="shared" si="25"/>
        <v>1843.13</v>
      </c>
      <c r="H152" s="280"/>
      <c r="I152" s="281"/>
      <c r="J152" s="281"/>
      <c r="K152" s="282"/>
      <c r="L152" s="204"/>
      <c r="M152" s="371"/>
      <c r="N152" s="426"/>
      <c r="O152" s="416"/>
      <c r="P152" s="416"/>
      <c r="Q152" s="417"/>
      <c r="R152" s="899"/>
      <c r="S152" s="399"/>
      <c r="T152" s="399"/>
    </row>
    <row r="153" spans="1:20" s="81" customFormat="1" ht="15.75" customHeight="1">
      <c r="A153" s="902">
        <v>212</v>
      </c>
      <c r="B153" s="903" t="s">
        <v>140</v>
      </c>
      <c r="C153" s="439" t="s">
        <v>124</v>
      </c>
      <c r="D153" s="904">
        <f>фев18!D156+фев18!D157</f>
        <v>752.8</v>
      </c>
      <c r="E153" s="23">
        <f>6.8264-6.8416</f>
        <v>-1.5200000000000102E-2</v>
      </c>
      <c r="F153" s="905"/>
      <c r="G153" s="22">
        <f>ROUND(D153*E153,2)-0.01</f>
        <v>-11.45</v>
      </c>
      <c r="H153" s="303"/>
      <c r="I153" s="23"/>
      <c r="J153" s="23"/>
      <c r="K153" s="304"/>
      <c r="L153" s="263">
        <f>SUM(G153:G155)</f>
        <v>5257.17</v>
      </c>
      <c r="M153" s="26">
        <v>5257.17</v>
      </c>
      <c r="N153" s="421"/>
      <c r="O153" s="77"/>
      <c r="P153" s="77"/>
      <c r="Q153" s="384"/>
      <c r="R153" s="422"/>
      <c r="S153" s="399"/>
      <c r="T153" s="399"/>
    </row>
    <row r="154" spans="1:20" s="81" customFormat="1" ht="15.75" customHeight="1">
      <c r="A154" s="468"/>
      <c r="B154" s="469"/>
      <c r="C154" s="48" t="s">
        <v>125</v>
      </c>
      <c r="D154" s="471">
        <v>1.8</v>
      </c>
      <c r="E154" s="41">
        <v>6.8263999999999996</v>
      </c>
      <c r="F154" s="473"/>
      <c r="G154" s="449">
        <f>ROUND(D154*E154,2)</f>
        <v>12.29</v>
      </c>
      <c r="H154" s="260"/>
      <c r="I154" s="261"/>
      <c r="J154" s="261"/>
      <c r="K154" s="262"/>
      <c r="L154" s="286"/>
      <c r="M154" s="90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 thickBot="1">
      <c r="A155" s="858"/>
      <c r="B155" s="859"/>
      <c r="C155" s="54" t="s">
        <v>29</v>
      </c>
      <c r="D155" s="860">
        <v>770</v>
      </c>
      <c r="E155" s="56">
        <v>6.8263999999999996</v>
      </c>
      <c r="F155" s="861"/>
      <c r="G155" s="414">
        <f t="shared" ref="G155" si="26">ROUND(D155*E155,2)</f>
        <v>5256.33</v>
      </c>
      <c r="H155" s="280"/>
      <c r="I155" s="281"/>
      <c r="J155" s="207"/>
      <c r="K155" s="362"/>
      <c r="L155" s="433"/>
      <c r="M155" s="63"/>
      <c r="N155" s="426"/>
      <c r="O155" s="416"/>
      <c r="P155" s="416"/>
      <c r="Q155" s="417"/>
      <c r="R155" s="422"/>
      <c r="S155" s="399"/>
      <c r="T155" s="399"/>
    </row>
    <row r="156" spans="1:20" s="81" customFormat="1" ht="15.75" customHeight="1">
      <c r="A156" s="902">
        <v>213</v>
      </c>
      <c r="B156" s="903" t="s">
        <v>134</v>
      </c>
      <c r="C156" s="439" t="s">
        <v>124</v>
      </c>
      <c r="D156" s="904">
        <f>фев18!D159+фев18!D160</f>
        <v>666.6</v>
      </c>
      <c r="E156" s="23">
        <f>6.8264-6.8416</f>
        <v>-1.5200000000000102E-2</v>
      </c>
      <c r="F156" s="905"/>
      <c r="G156" s="22">
        <f>ROUND(D156*E156,2)</f>
        <v>-10.130000000000001</v>
      </c>
      <c r="H156" s="303"/>
      <c r="I156" s="23"/>
      <c r="J156" s="23"/>
      <c r="K156" s="304"/>
      <c r="L156" s="263">
        <f>SUM(G156:G158)</f>
        <v>4690.53</v>
      </c>
      <c r="M156" s="26">
        <v>4690.53</v>
      </c>
      <c r="N156" s="421"/>
      <c r="O156" s="77"/>
      <c r="P156" s="77"/>
      <c r="Q156" s="384"/>
      <c r="R156" s="422"/>
      <c r="S156" s="399"/>
      <c r="T156" s="399"/>
    </row>
    <row r="157" spans="1:20" s="81" customFormat="1" ht="15.75" customHeight="1">
      <c r="A157" s="468"/>
      <c r="B157" s="469"/>
      <c r="C157" s="48" t="s">
        <v>125</v>
      </c>
      <c r="D157" s="471">
        <v>1.6</v>
      </c>
      <c r="E157" s="41">
        <v>6.8263999999999996</v>
      </c>
      <c r="F157" s="473"/>
      <c r="G157" s="449">
        <f t="shared" ref="G157:G158" si="27">ROUND(D157*E157,2)</f>
        <v>10.92</v>
      </c>
      <c r="H157" s="260"/>
      <c r="I157" s="261"/>
      <c r="J157" s="261"/>
      <c r="K157" s="262"/>
      <c r="L157" s="286"/>
      <c r="M157" s="90"/>
      <c r="N157" s="423"/>
      <c r="O157" s="406"/>
      <c r="P157" s="406"/>
      <c r="Q157" s="407"/>
      <c r="R157" s="422"/>
      <c r="S157" s="399"/>
      <c r="T157" s="399"/>
    </row>
    <row r="158" spans="1:20" s="81" customFormat="1" ht="15.75" customHeight="1" thickBot="1">
      <c r="A158" s="858"/>
      <c r="B158" s="859"/>
      <c r="C158" s="54" t="s">
        <v>29</v>
      </c>
      <c r="D158" s="860">
        <v>687</v>
      </c>
      <c r="E158" s="56">
        <v>6.8263999999999996</v>
      </c>
      <c r="F158" s="861"/>
      <c r="G158" s="414">
        <f t="shared" si="27"/>
        <v>4689.74</v>
      </c>
      <c r="H158" s="280"/>
      <c r="I158" s="281"/>
      <c r="J158" s="281"/>
      <c r="K158" s="282"/>
      <c r="L158" s="204"/>
      <c r="M158" s="371"/>
      <c r="N158" s="426"/>
      <c r="O158" s="416"/>
      <c r="P158" s="416"/>
      <c r="Q158" s="417"/>
      <c r="R158" s="422"/>
      <c r="S158" s="399"/>
      <c r="T158" s="399"/>
    </row>
    <row r="159" spans="1:20" s="81" customFormat="1" ht="15.75" customHeight="1">
      <c r="A159" s="902">
        <v>215</v>
      </c>
      <c r="B159" s="903" t="s">
        <v>220</v>
      </c>
      <c r="C159" s="439"/>
      <c r="D159" s="904"/>
      <c r="E159" s="23"/>
      <c r="F159" s="905"/>
      <c r="G159" s="22">
        <f>ROUND(D159*E159,2)</f>
        <v>0</v>
      </c>
      <c r="H159" s="303"/>
      <c r="I159" s="23"/>
      <c r="J159" s="23"/>
      <c r="K159" s="304"/>
      <c r="L159" s="263">
        <f>SUM(G159:G161)</f>
        <v>445.06</v>
      </c>
      <c r="M159" s="26">
        <v>445.06</v>
      </c>
      <c r="N159" s="421"/>
      <c r="O159" s="77"/>
      <c r="P159" s="77"/>
      <c r="Q159" s="384"/>
      <c r="R159" s="422"/>
      <c r="S159" s="399"/>
      <c r="T159" s="399"/>
    </row>
    <row r="160" spans="1:20" s="81" customFormat="1" ht="15.75" customHeight="1">
      <c r="A160" s="468"/>
      <c r="B160" s="981" t="s">
        <v>221</v>
      </c>
      <c r="C160" s="48" t="s">
        <v>125</v>
      </c>
      <c r="D160" s="471">
        <v>0.2</v>
      </c>
      <c r="E160" s="41">
        <v>6.5258000000000003</v>
      </c>
      <c r="F160" s="473"/>
      <c r="G160" s="449">
        <f t="shared" ref="G160:G161" si="28">ROUND(D160*E160,2)</f>
        <v>1.31</v>
      </c>
      <c r="H160" s="260"/>
      <c r="I160" s="261"/>
      <c r="J160" s="261"/>
      <c r="K160" s="262"/>
      <c r="L160" s="286"/>
      <c r="M160" s="90"/>
      <c r="N160" s="423"/>
      <c r="O160" s="406"/>
      <c r="P160" s="406"/>
      <c r="Q160" s="407"/>
      <c r="R160" s="422"/>
      <c r="S160" s="399"/>
      <c r="T160" s="399"/>
    </row>
    <row r="161" spans="1:21" s="81" customFormat="1" ht="15.75" customHeight="1" thickBot="1">
      <c r="A161" s="858"/>
      <c r="B161" s="859"/>
      <c r="C161" s="54" t="s">
        <v>29</v>
      </c>
      <c r="D161" s="860">
        <v>68</v>
      </c>
      <c r="E161" s="56">
        <v>6.5258000000000003</v>
      </c>
      <c r="F161" s="861"/>
      <c r="G161" s="414">
        <f t="shared" si="28"/>
        <v>443.75</v>
      </c>
      <c r="H161" s="280"/>
      <c r="I161" s="281"/>
      <c r="J161" s="281"/>
      <c r="K161" s="282"/>
      <c r="L161" s="204"/>
      <c r="M161" s="371"/>
      <c r="N161" s="426"/>
      <c r="O161" s="416"/>
      <c r="P161" s="416"/>
      <c r="Q161" s="417"/>
      <c r="R161" s="422"/>
      <c r="S161" s="399"/>
      <c r="T161" s="399"/>
    </row>
    <row r="162" spans="1:21" s="81" customFormat="1" ht="15" customHeight="1">
      <c r="A162" s="376">
        <v>301</v>
      </c>
      <c r="B162" s="70" t="s">
        <v>67</v>
      </c>
      <c r="C162" s="377"/>
      <c r="D162" s="378">
        <v>684</v>
      </c>
      <c r="E162" s="21">
        <v>36.214199999999998</v>
      </c>
      <c r="F162" s="21">
        <v>42.4328</v>
      </c>
      <c r="G162" s="379">
        <f>ROUND(D162*(E162+F162),2)</f>
        <v>53794.55</v>
      </c>
      <c r="H162" s="380"/>
      <c r="I162" s="381"/>
      <c r="J162" s="381"/>
      <c r="K162" s="342"/>
      <c r="L162" s="382">
        <f>+SUM(G162:G171,J162:J170)</f>
        <v>166369.83000000002</v>
      </c>
      <c r="M162" s="26">
        <v>166369.82999999999</v>
      </c>
      <c r="N162" s="383"/>
      <c r="O162" s="77"/>
      <c r="P162" s="77" t="s">
        <v>68</v>
      </c>
      <c r="Q162" s="384">
        <f t="shared" si="18"/>
        <v>-112575.27999999998</v>
      </c>
      <c r="R162" s="385" t="s">
        <v>69</v>
      </c>
      <c r="S162" s="386"/>
      <c r="T162" s="387"/>
      <c r="U162" s="388"/>
    </row>
    <row r="163" spans="1:21" s="81" customFormat="1" ht="12.75">
      <c r="A163" s="389"/>
      <c r="B163" s="83"/>
      <c r="C163" s="390" t="s">
        <v>26</v>
      </c>
      <c r="D163" s="37"/>
      <c r="E163" s="38"/>
      <c r="F163" s="38"/>
      <c r="G163" s="39">
        <f>ROUND(D163*(E163+F163),2)</f>
        <v>0</v>
      </c>
      <c r="H163" s="391"/>
      <c r="I163" s="392"/>
      <c r="J163" s="402"/>
      <c r="K163" s="393"/>
      <c r="L163" s="394"/>
      <c r="M163" s="90"/>
      <c r="N163" s="395"/>
      <c r="O163" s="94"/>
      <c r="P163" s="94"/>
      <c r="Q163" s="396"/>
      <c r="R163" s="397"/>
      <c r="S163" s="398"/>
      <c r="T163" s="399"/>
    </row>
    <row r="164" spans="1:21" s="81" customFormat="1" ht="12.75">
      <c r="A164" s="389"/>
      <c r="B164" s="98" t="s">
        <v>32</v>
      </c>
      <c r="C164" s="99" t="s">
        <v>33</v>
      </c>
      <c r="D164" s="37">
        <v>118</v>
      </c>
      <c r="E164" s="101">
        <v>326.58</v>
      </c>
      <c r="F164" s="38">
        <v>42.4328</v>
      </c>
      <c r="G164" s="400">
        <f>ROUND(D164*(E164+F164),2)</f>
        <v>43543.51</v>
      </c>
      <c r="H164" s="401"/>
      <c r="I164" s="402"/>
      <c r="J164" s="402"/>
      <c r="K164" s="403"/>
      <c r="L164" s="404"/>
      <c r="M164" s="102"/>
      <c r="N164" s="405"/>
      <c r="O164" s="406"/>
      <c r="P164" s="406" t="s">
        <v>68</v>
      </c>
      <c r="Q164" s="407">
        <f>+G164+J164-M164-N164-O164</f>
        <v>43543.51</v>
      </c>
      <c r="R164" s="397" t="s">
        <v>69</v>
      </c>
      <c r="S164" s="398"/>
      <c r="T164" s="399"/>
    </row>
    <row r="165" spans="1:21" s="81" customFormat="1" ht="15" customHeight="1">
      <c r="A165" s="389"/>
      <c r="B165" s="98"/>
      <c r="C165" s="84" t="s">
        <v>26</v>
      </c>
      <c r="D165" s="37">
        <f>фев18!D163</f>
        <v>107</v>
      </c>
      <c r="E165" s="41">
        <f>326.58-444.53</f>
        <v>-117.94999999999999</v>
      </c>
      <c r="F165" s="38"/>
      <c r="G165" s="400">
        <f>+D165*(E165+F165)</f>
        <v>-12620.65</v>
      </c>
      <c r="H165" s="401"/>
      <c r="I165" s="402"/>
      <c r="J165" s="402"/>
      <c r="K165" s="408"/>
      <c r="L165" s="404"/>
      <c r="M165" s="102"/>
      <c r="N165" s="405"/>
      <c r="O165" s="406"/>
      <c r="P165" s="406"/>
      <c r="Q165" s="407"/>
      <c r="R165" s="397"/>
      <c r="S165" s="398"/>
      <c r="T165" s="399"/>
    </row>
    <row r="166" spans="1:21" s="81" customFormat="1" ht="15" customHeight="1">
      <c r="A166" s="389"/>
      <c r="B166" s="83"/>
      <c r="C166" s="84"/>
      <c r="D166" s="37"/>
      <c r="E166" s="41"/>
      <c r="F166" s="38"/>
      <c r="G166" s="400"/>
      <c r="H166" s="401"/>
      <c r="I166" s="402"/>
      <c r="J166" s="402"/>
      <c r="K166" s="408"/>
      <c r="L166" s="404"/>
      <c r="M166" s="102"/>
      <c r="N166" s="405"/>
      <c r="O166" s="406"/>
      <c r="P166" s="406"/>
      <c r="Q166" s="407"/>
      <c r="R166" s="397"/>
      <c r="S166" s="398"/>
      <c r="T166" s="399"/>
    </row>
    <row r="167" spans="1:21" s="81" customFormat="1" ht="15" customHeight="1">
      <c r="A167" s="389"/>
      <c r="B167" s="83" t="s">
        <v>70</v>
      </c>
      <c r="C167" s="84"/>
      <c r="D167" s="37"/>
      <c r="E167" s="41"/>
      <c r="F167" s="38"/>
      <c r="G167" s="400"/>
      <c r="H167" s="401"/>
      <c r="I167" s="402"/>
      <c r="J167" s="402"/>
      <c r="K167" s="408"/>
      <c r="L167" s="404"/>
      <c r="M167" s="102"/>
      <c r="N167" s="405"/>
      <c r="O167" s="406"/>
      <c r="P167" s="406"/>
      <c r="Q167" s="407"/>
      <c r="R167" s="397"/>
      <c r="S167" s="398"/>
      <c r="T167" s="399"/>
    </row>
    <row r="168" spans="1:21" s="81" customFormat="1" ht="15" customHeight="1">
      <c r="A168" s="389"/>
      <c r="B168" s="83"/>
      <c r="C168" s="48"/>
      <c r="D168" s="37"/>
      <c r="E168" s="41">
        <f>4.4128-4.4153</f>
        <v>-2.5000000000003908E-3</v>
      </c>
      <c r="F168" s="38"/>
      <c r="G168" s="39">
        <f>ROUND(D168*(E168+F168),2)</f>
        <v>0</v>
      </c>
      <c r="H168" s="37"/>
      <c r="I168" s="409"/>
      <c r="J168" s="409"/>
      <c r="K168" s="408"/>
      <c r="L168" s="404"/>
      <c r="M168" s="102"/>
      <c r="N168" s="405"/>
      <c r="O168" s="406"/>
      <c r="P168" s="406"/>
      <c r="Q168" s="407"/>
      <c r="R168" s="397"/>
      <c r="S168" s="398"/>
      <c r="T168" s="399"/>
    </row>
    <row r="169" spans="1:21" s="81" customFormat="1" ht="15" customHeight="1">
      <c r="A169" s="389"/>
      <c r="B169" s="83"/>
      <c r="C169" s="48" t="s">
        <v>124</v>
      </c>
      <c r="D169" s="37">
        <f>фев18!D169+фев18!D170</f>
        <v>12453</v>
      </c>
      <c r="E169" s="41">
        <f>6.8264-6.8416</f>
        <v>-1.5200000000000102E-2</v>
      </c>
      <c r="F169" s="38">
        <f>+E169</f>
        <v>-1.5200000000000102E-2</v>
      </c>
      <c r="G169" s="39">
        <f>ROUND(D169*E169,2)</f>
        <v>-189.29</v>
      </c>
      <c r="H169" s="37"/>
      <c r="I169" s="409"/>
      <c r="J169" s="409"/>
      <c r="K169" s="408"/>
      <c r="L169" s="404"/>
      <c r="M169" s="102"/>
      <c r="N169" s="405"/>
      <c r="O169" s="406"/>
      <c r="P169" s="406"/>
      <c r="Q169" s="407"/>
      <c r="R169" s="397"/>
      <c r="S169" s="398"/>
      <c r="T169" s="399"/>
    </row>
    <row r="170" spans="1:21" s="81" customFormat="1" ht="15" customHeight="1">
      <c r="A170" s="389"/>
      <c r="B170" s="83"/>
      <c r="C170" s="48" t="s">
        <v>125</v>
      </c>
      <c r="D170" s="37">
        <v>29</v>
      </c>
      <c r="E170" s="41">
        <v>6.8263999999999996</v>
      </c>
      <c r="F170" s="41">
        <f>+E170</f>
        <v>6.8263999999999996</v>
      </c>
      <c r="G170" s="39">
        <f>ROUND(D170*E170,2)</f>
        <v>197.97</v>
      </c>
      <c r="H170" s="37"/>
      <c r="I170" s="409"/>
      <c r="J170" s="409"/>
      <c r="K170" s="410"/>
      <c r="L170" s="404"/>
      <c r="M170" s="102"/>
      <c r="N170" s="405"/>
      <c r="O170" s="406"/>
      <c r="P170" s="406"/>
      <c r="Q170" s="407"/>
      <c r="R170" s="397"/>
      <c r="S170" s="398"/>
      <c r="T170" s="399"/>
    </row>
    <row r="171" spans="1:21" s="81" customFormat="1" ht="15.75" customHeight="1" thickBot="1">
      <c r="A171" s="411"/>
      <c r="B171" s="412"/>
      <c r="C171" s="99" t="s">
        <v>29</v>
      </c>
      <c r="D171" s="413">
        <v>11960</v>
      </c>
      <c r="E171" s="56">
        <v>6.8263999999999996</v>
      </c>
      <c r="F171" s="370">
        <f>+E171</f>
        <v>6.8263999999999996</v>
      </c>
      <c r="G171" s="414">
        <f>ROUND(D171*E171,2)</f>
        <v>81643.740000000005</v>
      </c>
      <c r="H171" s="248"/>
      <c r="I171" s="60"/>
      <c r="J171" s="60"/>
      <c r="K171" s="203"/>
      <c r="L171" s="204"/>
      <c r="M171" s="371"/>
      <c r="N171" s="415"/>
      <c r="O171" s="416"/>
      <c r="P171" s="416" t="s">
        <v>68</v>
      </c>
      <c r="Q171" s="417">
        <f>+G171+J171-M171-N171-O171</f>
        <v>81643.740000000005</v>
      </c>
      <c r="R171" s="418" t="s">
        <v>69</v>
      </c>
      <c r="S171" s="419">
        <f>SUM(O162:O171)</f>
        <v>0</v>
      </c>
      <c r="T171" s="419">
        <f>SUM(Q162:Q171)</f>
        <v>12611.970000000016</v>
      </c>
    </row>
    <row r="172" spans="1:21" s="81" customFormat="1" ht="15.75" customHeight="1">
      <c r="A172" s="902">
        <v>303</v>
      </c>
      <c r="B172" s="903" t="s">
        <v>161</v>
      </c>
      <c r="C172" s="439" t="s">
        <v>124</v>
      </c>
      <c r="D172" s="904">
        <f>фев18!D172+фев18!D173</f>
        <v>1294.0999999999999</v>
      </c>
      <c r="E172" s="23">
        <f>6.8264-6.8416</f>
        <v>-1.5200000000000102E-2</v>
      </c>
      <c r="F172" s="905"/>
      <c r="G172" s="22">
        <f>ROUND(D172*E172,2)-0.01</f>
        <v>-19.680000000000003</v>
      </c>
      <c r="H172" s="303"/>
      <c r="I172" s="23"/>
      <c r="J172" s="23"/>
      <c r="K172" s="304"/>
      <c r="L172" s="263">
        <f>SUM(G172:G174)</f>
        <v>5044.1499999999996</v>
      </c>
      <c r="M172" s="26">
        <v>5044.1499999999996</v>
      </c>
      <c r="N172" s="421"/>
      <c r="O172" s="77"/>
      <c r="P172" s="77"/>
      <c r="Q172" s="384"/>
      <c r="R172" s="422"/>
      <c r="S172" s="399"/>
      <c r="T172" s="399"/>
    </row>
    <row r="173" spans="1:21" s="81" customFormat="1" ht="15.75" customHeight="1">
      <c r="A173" s="468"/>
      <c r="B173" s="469"/>
      <c r="C173" s="48" t="s">
        <v>125</v>
      </c>
      <c r="D173" s="471">
        <v>1.8</v>
      </c>
      <c r="E173" s="41">
        <v>6.8263999999999996</v>
      </c>
      <c r="F173" s="473"/>
      <c r="G173" s="449">
        <f>ROUND(D173*E173,2)</f>
        <v>12.29</v>
      </c>
      <c r="H173" s="260"/>
      <c r="I173" s="261"/>
      <c r="J173" s="261"/>
      <c r="K173" s="262"/>
      <c r="L173" s="286"/>
      <c r="M173" s="90"/>
      <c r="N173" s="423"/>
      <c r="O173" s="406"/>
      <c r="P173" s="406"/>
      <c r="Q173" s="407"/>
      <c r="R173" s="422"/>
      <c r="S173" s="399"/>
      <c r="T173" s="399"/>
    </row>
    <row r="174" spans="1:21" s="81" customFormat="1" ht="15.75" customHeight="1" thickBot="1">
      <c r="A174" s="858"/>
      <c r="B174" s="859"/>
      <c r="C174" s="54" t="s">
        <v>29</v>
      </c>
      <c r="D174" s="860">
        <v>740</v>
      </c>
      <c r="E174" s="56">
        <v>6.8263999999999996</v>
      </c>
      <c r="F174" s="861"/>
      <c r="G174" s="414">
        <f t="shared" ref="G174" si="29">ROUND(D174*E174,2)</f>
        <v>5051.54</v>
      </c>
      <c r="H174" s="280"/>
      <c r="I174" s="281"/>
      <c r="J174" s="281"/>
      <c r="K174" s="282"/>
      <c r="L174" s="204"/>
      <c r="M174" s="371"/>
      <c r="N174" s="426"/>
      <c r="O174" s="416"/>
      <c r="P174" s="416"/>
      <c r="Q174" s="417"/>
      <c r="R174" s="422"/>
      <c r="S174" s="399"/>
      <c r="T174" s="399"/>
    </row>
    <row r="175" spans="1:21" s="81" customFormat="1" ht="15" customHeight="1">
      <c r="A175" s="437">
        <v>304</v>
      </c>
      <c r="B175" s="438" t="s">
        <v>83</v>
      </c>
      <c r="C175" s="377" t="s">
        <v>73</v>
      </c>
      <c r="D175" s="378">
        <v>1</v>
      </c>
      <c r="E175" s="21">
        <v>36.214199999999998</v>
      </c>
      <c r="F175" s="21">
        <v>42.4328</v>
      </c>
      <c r="G175" s="22">
        <f>+D175*(E175+F175)</f>
        <v>78.646999999999991</v>
      </c>
      <c r="H175" s="303"/>
      <c r="I175" s="381"/>
      <c r="J175" s="381"/>
      <c r="K175" s="342"/>
      <c r="L175" s="263">
        <f>SUM(G175:G179,J175:J179)</f>
        <v>494.85700000000003</v>
      </c>
      <c r="M175" s="26">
        <v>494.86</v>
      </c>
      <c r="N175" s="421"/>
      <c r="O175" s="77"/>
      <c r="P175" s="77"/>
      <c r="Q175" s="384"/>
      <c r="R175" s="899"/>
      <c r="S175" s="399"/>
      <c r="T175" s="399"/>
    </row>
    <row r="176" spans="1:21" s="81" customFormat="1" ht="15" customHeight="1">
      <c r="A176" s="441"/>
      <c r="B176" s="442"/>
      <c r="C176" s="36" t="s">
        <v>26</v>
      </c>
      <c r="D176" s="37"/>
      <c r="E176" s="38"/>
      <c r="F176" s="38"/>
      <c r="G176" s="39">
        <f>ROUND(D176*(E176+F176),2)</f>
        <v>0</v>
      </c>
      <c r="H176" s="457"/>
      <c r="I176" s="392"/>
      <c r="J176" s="402"/>
      <c r="K176" s="393"/>
      <c r="L176" s="459"/>
      <c r="M176" s="44"/>
      <c r="N176" s="430"/>
      <c r="O176" s="435"/>
      <c r="P176" s="435"/>
      <c r="Q176" s="425"/>
      <c r="R176" s="422"/>
      <c r="S176" s="399"/>
      <c r="T176" s="399"/>
    </row>
    <row r="177" spans="1:20" s="81" customFormat="1" ht="15" customHeight="1">
      <c r="A177" s="441"/>
      <c r="B177" s="442"/>
      <c r="C177" s="48" t="s">
        <v>124</v>
      </c>
      <c r="D177" s="37">
        <f>фев18!D177+фев18!D178</f>
        <v>58.1</v>
      </c>
      <c r="E177" s="41">
        <f>6.8264-6.8416</f>
        <v>-1.5200000000000102E-2</v>
      </c>
      <c r="F177" s="38"/>
      <c r="G177" s="39">
        <f>ROUND(D177*(E177),2)</f>
        <v>-0.88</v>
      </c>
      <c r="H177" s="270"/>
      <c r="I177" s="41"/>
      <c r="J177" s="41"/>
      <c r="K177" s="271"/>
      <c r="L177" s="272"/>
      <c r="M177" s="102"/>
      <c r="N177" s="430"/>
      <c r="O177" s="435"/>
      <c r="P177" s="435"/>
      <c r="Q177" s="425"/>
      <c r="R177" s="422"/>
      <c r="S177" s="399"/>
      <c r="T177" s="399"/>
    </row>
    <row r="178" spans="1:20" s="81" customFormat="1" ht="15" customHeight="1">
      <c r="A178" s="441"/>
      <c r="B178" s="442"/>
      <c r="C178" s="48" t="s">
        <v>125</v>
      </c>
      <c r="D178" s="37">
        <v>0.1</v>
      </c>
      <c r="E178" s="41">
        <v>6.8263999999999996</v>
      </c>
      <c r="F178" s="38"/>
      <c r="G178" s="39">
        <f>ROUND(D178*(E178),2)</f>
        <v>0.68</v>
      </c>
      <c r="H178" s="270"/>
      <c r="I178" s="41"/>
      <c r="J178" s="41"/>
      <c r="K178" s="271"/>
      <c r="L178" s="272"/>
      <c r="M178" s="102"/>
      <c r="N178" s="434"/>
      <c r="O178" s="435"/>
      <c r="P178" s="435"/>
      <c r="Q178" s="425"/>
      <c r="R178" s="422"/>
      <c r="S178" s="399"/>
      <c r="T178" s="399"/>
    </row>
    <row r="179" spans="1:20" s="81" customFormat="1" ht="15.75" customHeight="1" thickBot="1">
      <c r="A179" s="445"/>
      <c r="B179" s="446"/>
      <c r="C179" s="54" t="s">
        <v>29</v>
      </c>
      <c r="D179" s="413">
        <v>61</v>
      </c>
      <c r="E179" s="56">
        <v>6.8263999999999996</v>
      </c>
      <c r="F179" s="281"/>
      <c r="G179" s="414">
        <f>ROUND(D179*(E179),2)</f>
        <v>416.41</v>
      </c>
      <c r="H179" s="280"/>
      <c r="I179" s="281"/>
      <c r="J179" s="281"/>
      <c r="K179" s="282"/>
      <c r="L179" s="204"/>
      <c r="M179" s="371"/>
      <c r="N179" s="426"/>
      <c r="O179" s="416"/>
      <c r="P179" s="416"/>
      <c r="Q179" s="417"/>
      <c r="R179" s="422"/>
      <c r="S179" s="399"/>
      <c r="T179" s="399"/>
    </row>
    <row r="180" spans="1:20" s="81" customFormat="1" ht="15" customHeight="1">
      <c r="A180" s="447">
        <v>400</v>
      </c>
      <c r="B180" s="438" t="s">
        <v>79</v>
      </c>
      <c r="C180" s="48" t="s">
        <v>124</v>
      </c>
      <c r="D180" s="448"/>
      <c r="E180" s="41"/>
      <c r="F180" s="261"/>
      <c r="G180" s="449">
        <f t="shared" ref="G180:G185" si="30">ROUND(D180*E180,2)</f>
        <v>0</v>
      </c>
      <c r="H180" s="303"/>
      <c r="I180" s="23"/>
      <c r="J180" s="23"/>
      <c r="K180" s="304"/>
      <c r="L180" s="263">
        <f>SUM(G180:G182)</f>
        <v>7375.2400000000007</v>
      </c>
      <c r="M180" s="26">
        <v>7375.24</v>
      </c>
      <c r="N180" s="421"/>
      <c r="O180" s="978"/>
      <c r="P180" s="77"/>
      <c r="Q180" s="384"/>
      <c r="R180" s="899"/>
      <c r="S180" s="399"/>
      <c r="T180" s="399"/>
    </row>
    <row r="181" spans="1:20" s="81" customFormat="1" ht="15" customHeight="1">
      <c r="A181" s="450"/>
      <c r="B181" s="979" t="s">
        <v>222</v>
      </c>
      <c r="C181" s="48" t="s">
        <v>125</v>
      </c>
      <c r="D181" s="448">
        <v>3</v>
      </c>
      <c r="E181" s="41">
        <v>6.8415999999999997</v>
      </c>
      <c r="F181" s="261"/>
      <c r="G181" s="449">
        <f t="shared" si="30"/>
        <v>20.52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0" s="81" customFormat="1" ht="15" customHeight="1" thickBot="1">
      <c r="A182" s="451"/>
      <c r="B182" s="980" t="s">
        <v>217</v>
      </c>
      <c r="C182" s="99" t="s">
        <v>29</v>
      </c>
      <c r="D182" s="452">
        <v>1075</v>
      </c>
      <c r="E182" s="56">
        <v>6.8415999999999997</v>
      </c>
      <c r="F182" s="207"/>
      <c r="G182" s="453">
        <f t="shared" si="30"/>
        <v>7354.72</v>
      </c>
      <c r="H182" s="280"/>
      <c r="I182" s="281"/>
      <c r="J182" s="281"/>
      <c r="K182" s="282"/>
      <c r="L182" s="204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" customHeight="1">
      <c r="A183" s="447">
        <v>400</v>
      </c>
      <c r="B183" s="438" t="s">
        <v>79</v>
      </c>
      <c r="C183" s="48" t="s">
        <v>124</v>
      </c>
      <c r="D183" s="448"/>
      <c r="E183" s="41"/>
      <c r="F183" s="261"/>
      <c r="G183" s="449">
        <f t="shared" si="30"/>
        <v>0</v>
      </c>
      <c r="H183" s="303"/>
      <c r="I183" s="23"/>
      <c r="J183" s="23"/>
      <c r="K183" s="304"/>
      <c r="L183" s="263">
        <f>SUM(G183:G185)</f>
        <v>2018.27</v>
      </c>
      <c r="M183" s="26">
        <v>2018.27</v>
      </c>
      <c r="N183" s="421"/>
      <c r="O183" s="978"/>
      <c r="P183" s="77"/>
      <c r="Q183" s="384"/>
      <c r="R183" s="899"/>
      <c r="S183" s="399"/>
      <c r="T183" s="399"/>
    </row>
    <row r="184" spans="1:20" s="81" customFormat="1" ht="15" customHeight="1">
      <c r="A184" s="450"/>
      <c r="B184" s="979" t="s">
        <v>216</v>
      </c>
      <c r="C184" s="48" t="s">
        <v>125</v>
      </c>
      <c r="D184" s="448">
        <v>1</v>
      </c>
      <c r="E184" s="41">
        <v>6.8415999999999997</v>
      </c>
      <c r="F184" s="261"/>
      <c r="G184" s="449">
        <f t="shared" si="30"/>
        <v>6.84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0" s="81" customFormat="1" ht="15" customHeight="1" thickBot="1">
      <c r="A185" s="451"/>
      <c r="B185" s="980" t="s">
        <v>223</v>
      </c>
      <c r="C185" s="99" t="s">
        <v>29</v>
      </c>
      <c r="D185" s="452">
        <v>294</v>
      </c>
      <c r="E185" s="56">
        <v>6.8415999999999997</v>
      </c>
      <c r="F185" s="207"/>
      <c r="G185" s="453">
        <f t="shared" si="30"/>
        <v>2011.43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0" s="81" customFormat="1" ht="15" customHeight="1">
      <c r="A186" s="437">
        <v>402</v>
      </c>
      <c r="B186" s="438" t="s">
        <v>122</v>
      </c>
      <c r="C186" s="439"/>
      <c r="D186" s="378"/>
      <c r="E186" s="23"/>
      <c r="F186" s="23"/>
      <c r="G186" s="22"/>
      <c r="H186" s="303"/>
      <c r="I186" s="23"/>
      <c r="J186" s="23"/>
      <c r="K186" s="304"/>
      <c r="L186" s="382">
        <f>+SUM(G186:G189,J186:J189)</f>
        <v>1468.0800000000002</v>
      </c>
      <c r="M186" s="26">
        <v>1468.08</v>
      </c>
      <c r="N186" s="421"/>
      <c r="O186" s="77"/>
      <c r="P186" s="77"/>
      <c r="Q186" s="384"/>
      <c r="R186" s="899"/>
      <c r="S186" s="399"/>
      <c r="T186" s="399"/>
    </row>
    <row r="187" spans="1:20" s="81" customFormat="1" ht="15" customHeight="1" thickBot="1">
      <c r="A187" s="441"/>
      <c r="B187" s="442"/>
      <c r="C187" s="48" t="s">
        <v>124</v>
      </c>
      <c r="D187" s="37">
        <f>фев18!D184+фев18!D185</f>
        <v>207.5</v>
      </c>
      <c r="E187" s="41">
        <f>6.8264-6.8416</f>
        <v>-1.5200000000000102E-2</v>
      </c>
      <c r="F187" s="41"/>
      <c r="G187" s="414">
        <f>ROUND(D187*E187,2)</f>
        <v>-3.15</v>
      </c>
      <c r="H187" s="260"/>
      <c r="I187" s="261"/>
      <c r="J187" s="261"/>
      <c r="K187" s="262"/>
      <c r="L187" s="394"/>
      <c r="M187" s="90"/>
      <c r="N187" s="443"/>
      <c r="O187" s="94"/>
      <c r="P187" s="94"/>
      <c r="Q187" s="396"/>
      <c r="R187" s="899"/>
      <c r="S187" s="399"/>
      <c r="T187" s="399"/>
    </row>
    <row r="188" spans="1:20" s="81" customFormat="1" ht="15" customHeight="1" thickBot="1">
      <c r="A188" s="441"/>
      <c r="B188" s="444"/>
      <c r="C188" s="48" t="s">
        <v>125</v>
      </c>
      <c r="D188" s="37">
        <v>0.52</v>
      </c>
      <c r="E188" s="41">
        <v>6.8263999999999996</v>
      </c>
      <c r="F188" s="41"/>
      <c r="G188" s="414">
        <f>ROUND(D188*E188,2)</f>
        <v>3.55</v>
      </c>
      <c r="H188" s="432"/>
      <c r="I188" s="207"/>
      <c r="J188" s="207"/>
      <c r="K188" s="362"/>
      <c r="L188" s="433"/>
      <c r="M188" s="63"/>
      <c r="N188" s="423"/>
      <c r="O188" s="406"/>
      <c r="P188" s="406"/>
      <c r="Q188" s="407"/>
      <c r="R188" s="899"/>
      <c r="S188" s="399"/>
      <c r="T188" s="399"/>
    </row>
    <row r="189" spans="1:20" s="81" customFormat="1" ht="15" customHeight="1" thickBot="1">
      <c r="A189" s="445"/>
      <c r="B189" s="446"/>
      <c r="C189" s="99" t="s">
        <v>29</v>
      </c>
      <c r="D189" s="413">
        <v>215</v>
      </c>
      <c r="E189" s="56">
        <v>6.8263999999999996</v>
      </c>
      <c r="F189" s="281"/>
      <c r="G189" s="414">
        <f>ROUND(D189*E189,2)</f>
        <v>1467.68</v>
      </c>
      <c r="H189" s="280"/>
      <c r="I189" s="281"/>
      <c r="J189" s="281"/>
      <c r="K189" s="282"/>
      <c r="L189" s="204"/>
      <c r="M189" s="371"/>
      <c r="N189" s="434"/>
      <c r="O189" s="435"/>
      <c r="P189" s="435"/>
      <c r="Q189" s="425"/>
      <c r="R189" s="899"/>
      <c r="S189" s="399"/>
      <c r="T189" s="399"/>
    </row>
    <row r="190" spans="1:20" s="81" customFormat="1" ht="15.75" customHeight="1">
      <c r="A190" s="447">
        <v>403</v>
      </c>
      <c r="B190" s="438" t="s">
        <v>126</v>
      </c>
      <c r="C190" s="439" t="s">
        <v>124</v>
      </c>
      <c r="D190" s="900">
        <f>фев18!D187+фев18!D188</f>
        <v>96.2</v>
      </c>
      <c r="E190" s="23">
        <f>6.8264-6.8416</f>
        <v>-1.5200000000000102E-2</v>
      </c>
      <c r="F190" s="23"/>
      <c r="G190" s="22">
        <f>ROUND(D190*E190,2)</f>
        <v>-1.46</v>
      </c>
      <c r="H190" s="303"/>
      <c r="I190" s="23"/>
      <c r="J190" s="23"/>
      <c r="K190" s="304"/>
      <c r="L190" s="263">
        <f>SUM(G190:G192)</f>
        <v>737.84</v>
      </c>
      <c r="M190" s="26">
        <v>737.84</v>
      </c>
      <c r="N190" s="421"/>
      <c r="O190" s="77"/>
      <c r="P190" s="77"/>
      <c r="Q190" s="384"/>
      <c r="R190" s="422"/>
      <c r="S190" s="399"/>
      <c r="T190" s="399"/>
    </row>
    <row r="191" spans="1:20" s="81" customFormat="1" ht="15.75" customHeight="1">
      <c r="A191" s="450"/>
      <c r="B191" s="442"/>
      <c r="C191" s="48" t="s">
        <v>125</v>
      </c>
      <c r="D191" s="448">
        <v>0.3</v>
      </c>
      <c r="E191" s="41">
        <v>6.8263999999999996</v>
      </c>
      <c r="F191" s="261"/>
      <c r="G191" s="449">
        <f t="shared" ref="G191:G192" si="31">ROUND(D191*E191,2)</f>
        <v>2.0499999999999998</v>
      </c>
      <c r="H191" s="260"/>
      <c r="I191" s="261"/>
      <c r="J191" s="261"/>
      <c r="K191" s="262"/>
      <c r="L191" s="286"/>
      <c r="M191" s="90"/>
      <c r="N191" s="423"/>
      <c r="O191" s="406"/>
      <c r="P191" s="406"/>
      <c r="Q191" s="407"/>
      <c r="R191" s="422"/>
      <c r="S191" s="399"/>
      <c r="T191" s="399"/>
    </row>
    <row r="192" spans="1:20" s="81" customFormat="1" ht="15.75" customHeight="1" thickBot="1">
      <c r="A192" s="451"/>
      <c r="B192" s="446"/>
      <c r="C192" s="54" t="s">
        <v>29</v>
      </c>
      <c r="D192" s="901">
        <v>108</v>
      </c>
      <c r="E192" s="56">
        <v>6.8263999999999996</v>
      </c>
      <c r="F192" s="281"/>
      <c r="G192" s="414">
        <f t="shared" si="31"/>
        <v>737.25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906" t="s">
        <v>199</v>
      </c>
      <c r="B193" s="903" t="s">
        <v>191</v>
      </c>
      <c r="C193" s="382" t="s">
        <v>73</v>
      </c>
      <c r="D193" s="904">
        <v>2</v>
      </c>
      <c r="E193" s="907">
        <v>36.214199999999998</v>
      </c>
      <c r="F193" s="905">
        <v>42.4328</v>
      </c>
      <c r="G193" s="908">
        <f>ROUND(D193*E193+D193*F193,2)</f>
        <v>157.29</v>
      </c>
      <c r="H193" s="303"/>
      <c r="I193" s="23"/>
      <c r="J193" s="23"/>
      <c r="K193" s="304"/>
      <c r="L193" s="263">
        <f>SUM(G193:G197)</f>
        <v>9803.0700000000015</v>
      </c>
      <c r="M193" s="877">
        <v>9803.07</v>
      </c>
      <c r="N193" s="430"/>
      <c r="O193" s="77"/>
      <c r="P193" s="77"/>
      <c r="Q193" s="384"/>
      <c r="R193" s="422"/>
      <c r="S193" s="399"/>
      <c r="T193" s="399"/>
    </row>
    <row r="194" spans="1:20" s="81" customFormat="1" ht="15.75" customHeight="1" thickBot="1">
      <c r="A194" s="909">
        <v>408</v>
      </c>
      <c r="B194" s="469"/>
      <c r="C194" s="429" t="s">
        <v>26</v>
      </c>
      <c r="D194" s="471"/>
      <c r="E194" s="876"/>
      <c r="F194" s="473"/>
      <c r="G194" s="862">
        <f>ROUND(D194*E194+D194*F194,2)</f>
        <v>0</v>
      </c>
      <c r="H194" s="270"/>
      <c r="I194" s="41"/>
      <c r="J194" s="41"/>
      <c r="K194" s="271"/>
      <c r="L194" s="272"/>
      <c r="M194" s="878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468"/>
      <c r="B195" s="699"/>
      <c r="C195" s="48" t="s">
        <v>124</v>
      </c>
      <c r="D195" s="471">
        <f>фев18!D192+фев18!D193</f>
        <v>1521.6</v>
      </c>
      <c r="E195" s="41">
        <f>6.8264-6.8416</f>
        <v>-1.5200000000000102E-2</v>
      </c>
      <c r="F195" s="473"/>
      <c r="G195" s="862">
        <f>ROUND(D195*E195,2)</f>
        <v>-23.13</v>
      </c>
      <c r="H195" s="270"/>
      <c r="I195" s="41"/>
      <c r="J195" s="41"/>
      <c r="K195" s="271"/>
      <c r="L195" s="272"/>
      <c r="M195" s="878"/>
      <c r="N195" s="421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468"/>
      <c r="B196" s="469"/>
      <c r="C196" s="48" t="s">
        <v>125</v>
      </c>
      <c r="D196" s="471">
        <f>1.2+2.2</f>
        <v>3.4000000000000004</v>
      </c>
      <c r="E196" s="41">
        <v>6.8263999999999996</v>
      </c>
      <c r="F196" s="473"/>
      <c r="G196" s="862">
        <f>ROUND(D196*E196,2)</f>
        <v>23.21</v>
      </c>
      <c r="H196" s="270"/>
      <c r="I196" s="41"/>
      <c r="J196" s="41"/>
      <c r="K196" s="271"/>
      <c r="L196" s="272"/>
      <c r="M196" s="878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 thickBot="1">
      <c r="A197" s="858"/>
      <c r="B197" s="859"/>
      <c r="C197" s="54" t="s">
        <v>29</v>
      </c>
      <c r="D197" s="860">
        <f>511+901+1</f>
        <v>1413</v>
      </c>
      <c r="E197" s="56">
        <v>6.8263999999999996</v>
      </c>
      <c r="F197" s="861"/>
      <c r="G197" s="866">
        <f t="shared" ref="G197" si="32">ROUND(D197*E197,2)</f>
        <v>9645.7000000000007</v>
      </c>
      <c r="H197" s="280"/>
      <c r="I197" s="281"/>
      <c r="J197" s="281"/>
      <c r="K197" s="282"/>
      <c r="L197" s="204"/>
      <c r="M197" s="880"/>
      <c r="N197" s="426"/>
      <c r="O197" s="416"/>
      <c r="P197" s="416"/>
      <c r="Q197" s="417"/>
      <c r="R197" s="422"/>
      <c r="S197" s="399"/>
      <c r="T197" s="399"/>
    </row>
    <row r="198" spans="1:20" s="81" customFormat="1" ht="15.75" customHeight="1">
      <c r="A198" s="902">
        <v>405</v>
      </c>
      <c r="B198" s="903" t="s">
        <v>147</v>
      </c>
      <c r="C198" s="439" t="s">
        <v>124</v>
      </c>
      <c r="D198" s="904">
        <f>фев18!D195+фев18!D196</f>
        <v>141.30000000000001</v>
      </c>
      <c r="E198" s="23">
        <f>6.8264-6.8416</f>
        <v>-1.5200000000000102E-2</v>
      </c>
      <c r="F198" s="905"/>
      <c r="G198" s="22">
        <f>ROUND(D198*E198,2)</f>
        <v>-2.15</v>
      </c>
      <c r="H198" s="303"/>
      <c r="I198" s="261"/>
      <c r="J198" s="261"/>
      <c r="K198" s="262"/>
      <c r="L198" s="286">
        <f>SUM(G198:G200)</f>
        <v>1010.89</v>
      </c>
      <c r="M198" s="90">
        <v>1010.89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125</v>
      </c>
      <c r="D199" s="471">
        <v>0.4</v>
      </c>
      <c r="E199" s="41">
        <v>6.8263999999999996</v>
      </c>
      <c r="F199" s="473"/>
      <c r="G199" s="449">
        <f>ROUND(D199*E199,2)</f>
        <v>2.73</v>
      </c>
      <c r="H199" s="260"/>
      <c r="I199" s="261"/>
      <c r="J199" s="261"/>
      <c r="K199" s="262"/>
      <c r="L199" s="28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701"/>
      <c r="B200" s="702"/>
      <c r="C200" s="99" t="s">
        <v>29</v>
      </c>
      <c r="D200" s="703">
        <v>148</v>
      </c>
      <c r="E200" s="56">
        <v>6.8263999999999996</v>
      </c>
      <c r="F200" s="704"/>
      <c r="G200" s="39">
        <f t="shared" ref="G200" si="33">ROUND(D200*E200,2)</f>
        <v>1010.31</v>
      </c>
      <c r="H200" s="280"/>
      <c r="I200" s="281"/>
      <c r="J200" s="281"/>
      <c r="K200" s="282"/>
      <c r="L200" s="204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hidden="1" customHeight="1" outlineLevel="1" thickBot="1">
      <c r="A201" s="910"/>
      <c r="B201" s="911" t="s">
        <v>155</v>
      </c>
      <c r="C201" s="573" t="s">
        <v>115</v>
      </c>
      <c r="D201" s="912"/>
      <c r="E201" s="579">
        <f>7.0379-7.0426</f>
        <v>-4.7000000000005926E-3</v>
      </c>
      <c r="F201" s="580"/>
      <c r="G201" s="913">
        <f>ROUND(D201*E201,2)</f>
        <v>0</v>
      </c>
      <c r="H201" s="914"/>
      <c r="I201" s="23"/>
      <c r="J201" s="23"/>
      <c r="K201" s="304"/>
      <c r="L201" s="263">
        <f>SUM(G201:G203)</f>
        <v>0</v>
      </c>
      <c r="M201" s="26"/>
      <c r="N201" s="421"/>
      <c r="O201" s="77"/>
      <c r="P201" s="77"/>
      <c r="Q201" s="384"/>
      <c r="R201" s="422"/>
      <c r="S201" s="399"/>
      <c r="T201" s="399"/>
    </row>
    <row r="202" spans="1:20" s="81" customFormat="1" ht="15.75" hidden="1" customHeight="1" outlineLevel="1" thickBot="1">
      <c r="A202" s="910"/>
      <c r="B202" s="915"/>
      <c r="C202" s="573" t="s">
        <v>114</v>
      </c>
      <c r="D202" s="912"/>
      <c r="E202" s="579">
        <v>7.0378999999999996</v>
      </c>
      <c r="F202" s="580"/>
      <c r="G202" s="913">
        <f>ROUND(D202*E202,2)</f>
        <v>0</v>
      </c>
      <c r="H202" s="914"/>
      <c r="I202" s="261"/>
      <c r="J202" s="261"/>
      <c r="K202" s="262"/>
      <c r="L202" s="286"/>
      <c r="M202" s="90"/>
      <c r="N202" s="423"/>
      <c r="O202" s="406"/>
      <c r="P202" s="406"/>
      <c r="Q202" s="407"/>
      <c r="R202" s="422"/>
      <c r="S202" s="399"/>
      <c r="T202" s="399"/>
    </row>
    <row r="203" spans="1:20" s="81" customFormat="1" ht="15.75" hidden="1" customHeight="1" outlineLevel="1" thickBot="1">
      <c r="A203" s="910"/>
      <c r="B203" s="915"/>
      <c r="C203" s="916" t="s">
        <v>29</v>
      </c>
      <c r="D203" s="912"/>
      <c r="E203" s="917">
        <v>7.0378999999999996</v>
      </c>
      <c r="F203" s="580"/>
      <c r="G203" s="913">
        <f t="shared" ref="G203" si="34">ROUND(D203*E203,2)</f>
        <v>0</v>
      </c>
      <c r="H203" s="914"/>
      <c r="I203" s="281"/>
      <c r="J203" s="281"/>
      <c r="K203" s="282"/>
      <c r="L203" s="204"/>
      <c r="M203" s="371"/>
      <c r="N203" s="426"/>
      <c r="O203" s="416"/>
      <c r="P203" s="416"/>
      <c r="Q203" s="417"/>
      <c r="R203" s="422"/>
      <c r="S203" s="399"/>
      <c r="T203" s="399"/>
    </row>
    <row r="204" spans="1:20" s="81" customFormat="1" ht="15.75" customHeight="1" collapsed="1">
      <c r="A204" s="902">
        <v>407</v>
      </c>
      <c r="B204" s="903" t="s">
        <v>160</v>
      </c>
      <c r="C204" s="439" t="s">
        <v>124</v>
      </c>
      <c r="D204" s="904">
        <f>фев18!D201+фев18!D202</f>
        <v>21.05</v>
      </c>
      <c r="E204" s="23">
        <f>6.8264-6.8416</f>
        <v>-1.5200000000000102E-2</v>
      </c>
      <c r="F204" s="905"/>
      <c r="G204" s="22">
        <f>ROUND(D204*E204,2)</f>
        <v>-0.32</v>
      </c>
      <c r="H204" s="303"/>
      <c r="I204" s="23"/>
      <c r="J204" s="23"/>
      <c r="K204" s="304"/>
      <c r="L204" s="263">
        <f>SUM(G204:G206)</f>
        <v>280.24</v>
      </c>
      <c r="M204" s="26">
        <v>280.24</v>
      </c>
      <c r="N204" s="421"/>
      <c r="O204" s="77"/>
      <c r="P204" s="77"/>
      <c r="Q204" s="384"/>
      <c r="R204" s="422"/>
      <c r="S204" s="399"/>
      <c r="T204" s="399"/>
    </row>
    <row r="205" spans="1:20" s="81" customFormat="1" ht="15.75" customHeight="1">
      <c r="A205" s="468"/>
      <c r="B205" s="469"/>
      <c r="C205" s="48" t="s">
        <v>125</v>
      </c>
      <c r="D205" s="471">
        <v>0.1</v>
      </c>
      <c r="E205" s="41">
        <v>6.8263999999999996</v>
      </c>
      <c r="F205" s="473"/>
      <c r="G205" s="449">
        <f>ROUND(D205*E205,2)</f>
        <v>0.68</v>
      </c>
      <c r="H205" s="260"/>
      <c r="I205" s="261"/>
      <c r="J205" s="261"/>
      <c r="K205" s="262"/>
      <c r="L205" s="286"/>
      <c r="M205" s="90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 thickBot="1">
      <c r="A206" s="858"/>
      <c r="B206" s="859"/>
      <c r="C206" s="54" t="s">
        <v>29</v>
      </c>
      <c r="D206" s="860">
        <v>41</v>
      </c>
      <c r="E206" s="56">
        <v>6.8263999999999996</v>
      </c>
      <c r="F206" s="861"/>
      <c r="G206" s="414">
        <f t="shared" ref="G206" si="35">ROUND(D206*E206,2)</f>
        <v>279.88</v>
      </c>
      <c r="H206" s="280"/>
      <c r="I206" s="281"/>
      <c r="J206" s="281"/>
      <c r="K206" s="282"/>
      <c r="L206" s="204"/>
      <c r="M206" s="371"/>
      <c r="N206" s="426"/>
      <c r="O206" s="416"/>
      <c r="P206" s="416"/>
      <c r="Q206" s="417"/>
      <c r="R206" s="422"/>
      <c r="S206" s="399"/>
      <c r="T206" s="399"/>
    </row>
    <row r="207" spans="1:20" s="81" customFormat="1" ht="15" hidden="1" customHeight="1">
      <c r="A207" s="437">
        <v>129</v>
      </c>
      <c r="B207" s="438" t="s">
        <v>38</v>
      </c>
      <c r="C207" s="439"/>
      <c r="D207" s="378"/>
      <c r="E207" s="23"/>
      <c r="F207" s="23"/>
      <c r="G207" s="22"/>
      <c r="H207" s="303"/>
      <c r="I207" s="23"/>
      <c r="J207" s="23"/>
      <c r="K207" s="304"/>
      <c r="L207" s="382">
        <f>+SUM(G207:G210,J207:J210)</f>
        <v>0</v>
      </c>
      <c r="M207" s="26"/>
      <c r="N207" s="421"/>
      <c r="O207" s="77"/>
      <c r="P207" s="77"/>
      <c r="Q207" s="384">
        <f>+L207-M207</f>
        <v>0</v>
      </c>
      <c r="R207" s="899"/>
      <c r="S207" s="399"/>
      <c r="T207" s="399"/>
    </row>
    <row r="208" spans="1:20" s="81" customFormat="1" ht="15" hidden="1" customHeight="1">
      <c r="A208" s="441"/>
      <c r="B208" s="442" t="s">
        <v>198</v>
      </c>
      <c r="C208" s="48" t="s">
        <v>118</v>
      </c>
      <c r="D208" s="37"/>
      <c r="E208" s="41">
        <f>6.8416-6.7432</f>
        <v>9.8399999999999821E-2</v>
      </c>
      <c r="F208" s="41"/>
      <c r="G208" s="39">
        <f>ROUND(D208*E208,2)</f>
        <v>0</v>
      </c>
      <c r="H208" s="260"/>
      <c r="I208" s="261"/>
      <c r="J208" s="261"/>
      <c r="K208" s="262"/>
      <c r="L208" s="394"/>
      <c r="M208" s="90"/>
      <c r="N208" s="443"/>
      <c r="O208" s="94"/>
      <c r="P208" s="94"/>
      <c r="Q208" s="396"/>
      <c r="R208" s="899"/>
      <c r="S208" s="399"/>
      <c r="T208" s="399"/>
    </row>
    <row r="209" spans="1:20" s="81" customFormat="1" ht="15.75" hidden="1" thickBot="1">
      <c r="A209" s="441"/>
      <c r="B209" s="444"/>
      <c r="C209" s="48" t="s">
        <v>119</v>
      </c>
      <c r="D209" s="37"/>
      <c r="E209" s="41">
        <v>6.8415999999999997</v>
      </c>
      <c r="F209" s="41"/>
      <c r="G209" s="39">
        <f t="shared" ref="G209:G210" si="36">ROUND(D209*E209,2)</f>
        <v>0</v>
      </c>
      <c r="H209" s="432"/>
      <c r="I209" s="207"/>
      <c r="J209" s="207"/>
      <c r="K209" s="362"/>
      <c r="L209" s="433"/>
      <c r="M209" s="63"/>
      <c r="N209" s="423"/>
      <c r="O209" s="406"/>
      <c r="P209" s="406"/>
      <c r="Q209" s="407"/>
      <c r="R209" s="899"/>
      <c r="S209" s="399"/>
      <c r="T209" s="399"/>
    </row>
    <row r="210" spans="1:20" s="81" customFormat="1" ht="15" hidden="1" customHeight="1" thickBot="1">
      <c r="A210" s="445"/>
      <c r="B210" s="446"/>
      <c r="C210" s="99" t="s">
        <v>29</v>
      </c>
      <c r="D210" s="413"/>
      <c r="E210" s="56">
        <v>6.8415999999999997</v>
      </c>
      <c r="F210" s="281"/>
      <c r="G210" s="414">
        <f t="shared" si="36"/>
        <v>0</v>
      </c>
      <c r="H210" s="280"/>
      <c r="I210" s="281"/>
      <c r="J210" s="281"/>
      <c r="K210" s="282"/>
      <c r="L210" s="204"/>
      <c r="M210" s="371"/>
      <c r="N210" s="434"/>
      <c r="O210" s="435"/>
      <c r="P210" s="435"/>
      <c r="Q210" s="425"/>
      <c r="R210" s="899"/>
      <c r="S210" s="399"/>
      <c r="T210" s="399"/>
    </row>
    <row r="211" spans="1:20" s="81" customFormat="1" ht="15.75" hidden="1" customHeight="1">
      <c r="A211" s="902">
        <v>118</v>
      </c>
      <c r="B211" s="924" t="s">
        <v>200</v>
      </c>
      <c r="C211" s="390" t="s">
        <v>73</v>
      </c>
      <c r="D211" s="869"/>
      <c r="E211" s="86">
        <v>36.214199999999998</v>
      </c>
      <c r="F211" s="86">
        <v>42.4328</v>
      </c>
      <c r="G211" s="449">
        <f>+D211*(E211+F211)</f>
        <v>0</v>
      </c>
      <c r="H211" s="260"/>
      <c r="I211" s="392"/>
      <c r="J211" s="41"/>
      <c r="K211" s="870"/>
      <c r="L211" s="286">
        <f>SUM(G211:G215,J211:J215)</f>
        <v>0</v>
      </c>
      <c r="M211" s="90"/>
      <c r="N211" s="443"/>
      <c r="O211" s="94"/>
      <c r="P211" s="94"/>
      <c r="Q211" s="396"/>
      <c r="R211" s="422"/>
      <c r="S211" s="399"/>
      <c r="T211" s="399"/>
    </row>
    <row r="212" spans="1:20" s="81" customFormat="1" ht="15.75" hidden="1" customHeight="1">
      <c r="A212" s="468"/>
      <c r="B212" s="920"/>
      <c r="C212" s="36" t="s">
        <v>26</v>
      </c>
      <c r="D212" s="37"/>
      <c r="E212" s="38"/>
      <c r="F212" s="38"/>
      <c r="G212" s="39">
        <f>ROUND(D212*(E212+F212),2)</f>
        <v>0</v>
      </c>
      <c r="H212" s="457"/>
      <c r="I212" s="392"/>
      <c r="J212" s="41"/>
      <c r="K212" s="393"/>
      <c r="L212" s="459"/>
      <c r="M212" s="44"/>
      <c r="N212" s="430"/>
      <c r="O212" s="406"/>
      <c r="P212" s="406"/>
      <c r="Q212" s="407"/>
      <c r="R212" s="422"/>
      <c r="S212" s="399"/>
      <c r="T212" s="399"/>
    </row>
    <row r="213" spans="1:20" s="81" customFormat="1" ht="15.75" hidden="1" customHeight="1">
      <c r="A213" s="468"/>
      <c r="B213" s="920"/>
      <c r="C213" s="48" t="s">
        <v>124</v>
      </c>
      <c r="D213" s="37"/>
      <c r="E213" s="41"/>
      <c r="F213" s="38"/>
      <c r="G213" s="39">
        <f>ROUND(D213*(E213),2)</f>
        <v>0</v>
      </c>
      <c r="H213" s="270"/>
      <c r="I213" s="41"/>
      <c r="J213" s="41"/>
      <c r="K213" s="271"/>
      <c r="L213" s="272"/>
      <c r="M213" s="102"/>
      <c r="N213" s="430"/>
      <c r="O213" s="406"/>
      <c r="P213" s="406"/>
      <c r="Q213" s="407"/>
      <c r="R213" s="422"/>
      <c r="S213" s="399"/>
      <c r="T213" s="399"/>
    </row>
    <row r="214" spans="1:20" s="81" customFormat="1" ht="15.75" hidden="1" customHeight="1">
      <c r="A214" s="468"/>
      <c r="B214" s="920"/>
      <c r="C214" s="48" t="s">
        <v>125</v>
      </c>
      <c r="D214" s="37"/>
      <c r="E214" s="41">
        <v>6.7431999999999999</v>
      </c>
      <c r="F214" s="38"/>
      <c r="G214" s="39">
        <f>ROUND(D214*(E214),2)</f>
        <v>0</v>
      </c>
      <c r="H214" s="270"/>
      <c r="I214" s="41"/>
      <c r="J214" s="41"/>
      <c r="K214" s="271"/>
      <c r="L214" s="272"/>
      <c r="M214" s="102"/>
      <c r="N214" s="434"/>
      <c r="O214" s="435"/>
      <c r="P214" s="435"/>
      <c r="Q214" s="425"/>
      <c r="R214" s="422"/>
      <c r="S214" s="399"/>
      <c r="T214" s="399"/>
    </row>
    <row r="215" spans="1:20" s="81" customFormat="1" ht="15.75" hidden="1" customHeight="1" thickBot="1">
      <c r="A215" s="858"/>
      <c r="B215" s="921"/>
      <c r="C215" s="54" t="s">
        <v>29</v>
      </c>
      <c r="D215" s="413"/>
      <c r="E215" s="56">
        <v>6.7431999999999999</v>
      </c>
      <c r="F215" s="281"/>
      <c r="G215" s="414">
        <f>ROUND(D215*(E215),2)</f>
        <v>0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>
      <c r="A216" s="926"/>
      <c r="B216" s="927"/>
      <c r="C216" s="928"/>
      <c r="D216" s="904"/>
      <c r="E216" s="929"/>
      <c r="F216" s="905"/>
      <c r="G216" s="930"/>
      <c r="H216" s="905"/>
      <c r="I216" s="905"/>
      <c r="J216" s="905"/>
      <c r="K216" s="905"/>
      <c r="L216" s="905"/>
      <c r="M216" s="931"/>
      <c r="N216" s="387"/>
      <c r="O216" s="387"/>
      <c r="P216" s="387"/>
      <c r="Q216" s="387"/>
      <c r="R216" s="422"/>
      <c r="S216" s="399"/>
      <c r="T216" s="399"/>
    </row>
    <row r="217" spans="1:20" s="81" customFormat="1" ht="15" customHeight="1">
      <c r="A217" s="686"/>
      <c r="B217" s="469"/>
      <c r="C217" s="932"/>
      <c r="D217" s="471"/>
      <c r="E217" s="473"/>
      <c r="F217" s="473"/>
      <c r="G217" s="474"/>
      <c r="H217" s="473"/>
      <c r="I217" s="473"/>
      <c r="J217" s="473"/>
      <c r="K217" s="473"/>
      <c r="L217" s="473"/>
      <c r="M217" s="470"/>
      <c r="N217" s="399"/>
      <c r="O217" s="399"/>
      <c r="P217" s="399"/>
      <c r="Q217" s="399"/>
      <c r="R217" s="422"/>
      <c r="S217" s="399"/>
      <c r="T217" s="399"/>
    </row>
    <row r="218" spans="1:20" ht="21.75" thickBot="1">
      <c r="A218" s="171" t="s">
        <v>84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2"/>
      <c r="S218" s="2"/>
      <c r="T218" s="2"/>
    </row>
    <row r="219" spans="1:20" ht="15.75" customHeight="1" thickTop="1" thickBot="1">
      <c r="A219" s="1540" t="s">
        <v>1</v>
      </c>
      <c r="B219" s="1542" t="s">
        <v>2</v>
      </c>
      <c r="C219" s="1544" t="s">
        <v>3</v>
      </c>
      <c r="D219" s="1546" t="s">
        <v>4</v>
      </c>
      <c r="E219" s="1546"/>
      <c r="F219" s="1546"/>
      <c r="G219" s="1546"/>
      <c r="H219" s="1547" t="s">
        <v>5</v>
      </c>
      <c r="I219" s="1548"/>
      <c r="J219" s="1548"/>
      <c r="K219" s="1549"/>
      <c r="L219" s="1524" t="s">
        <v>6</v>
      </c>
      <c r="M219" s="1511" t="s">
        <v>7</v>
      </c>
      <c r="N219" s="1551" t="s">
        <v>8</v>
      </c>
      <c r="O219" s="1551"/>
      <c r="P219" s="1551"/>
      <c r="Q219" s="1552" t="s">
        <v>18</v>
      </c>
      <c r="R219" s="481" t="s">
        <v>85</v>
      </c>
      <c r="S219" s="482" t="s">
        <v>20</v>
      </c>
      <c r="T219" s="482" t="s">
        <v>21</v>
      </c>
    </row>
    <row r="220" spans="1:20" ht="40.5" customHeight="1" thickTop="1" thickBot="1">
      <c r="A220" s="1541"/>
      <c r="B220" s="1543"/>
      <c r="C220" s="1545" t="s">
        <v>10</v>
      </c>
      <c r="D220" s="483" t="s">
        <v>11</v>
      </c>
      <c r="E220" s="484" t="s">
        <v>12</v>
      </c>
      <c r="F220" s="484" t="s">
        <v>13</v>
      </c>
      <c r="G220" s="485" t="s">
        <v>14</v>
      </c>
      <c r="H220" s="483" t="s">
        <v>11</v>
      </c>
      <c r="I220" s="486" t="s">
        <v>15</v>
      </c>
      <c r="J220" s="485"/>
      <c r="K220" s="487" t="s">
        <v>16</v>
      </c>
      <c r="L220" s="1525"/>
      <c r="M220" s="1550"/>
      <c r="N220" s="488" t="s">
        <v>14</v>
      </c>
      <c r="O220" s="485"/>
      <c r="P220" s="489" t="s">
        <v>18</v>
      </c>
      <c r="Q220" s="490" t="s">
        <v>19</v>
      </c>
      <c r="R220" s="491"/>
      <c r="S220" s="492"/>
      <c r="T220" s="492"/>
    </row>
    <row r="221" spans="1:20">
      <c r="A221" s="961" t="s">
        <v>207</v>
      </c>
      <c r="B221" s="602" t="s">
        <v>184</v>
      </c>
      <c r="C221" s="439" t="s">
        <v>124</v>
      </c>
      <c r="D221" s="184">
        <f>фев18!D218+фев18!D219</f>
        <v>1.04</v>
      </c>
      <c r="E221" s="41">
        <f>6.6987-6.6231</f>
        <v>7.5599999999999667E-2</v>
      </c>
      <c r="F221" s="23">
        <f>+E221</f>
        <v>7.5599999999999667E-2</v>
      </c>
      <c r="G221" s="185">
        <f>ROUND(D221*(E221),2)</f>
        <v>0.08</v>
      </c>
      <c r="H221" s="620"/>
      <c r="I221" s="620"/>
      <c r="J221" s="620"/>
      <c r="K221" s="634"/>
      <c r="L221" s="603">
        <f>SUM(G221:G223)</f>
        <v>0.08</v>
      </c>
      <c r="M221" s="187"/>
      <c r="N221" s="615"/>
      <c r="O221" s="962" t="s">
        <v>224</v>
      </c>
      <c r="P221" s="615"/>
      <c r="Q221" s="615"/>
    </row>
    <row r="222" spans="1:20">
      <c r="A222" s="934"/>
      <c r="B222" s="506"/>
      <c r="C222" s="48" t="s">
        <v>125</v>
      </c>
      <c r="D222" s="49"/>
      <c r="E222" s="41">
        <v>6.6986999999999997</v>
      </c>
      <c r="F222" s="41">
        <f>+E222</f>
        <v>6.6986999999999997</v>
      </c>
      <c r="G222" s="50">
        <f>ROUND(D222*(E222),2)</f>
        <v>0</v>
      </c>
      <c r="H222" s="296"/>
      <c r="I222" s="298"/>
      <c r="J222" s="298"/>
      <c r="K222" s="637"/>
      <c r="L222" s="606"/>
      <c r="M222" s="935"/>
      <c r="N222" s="615"/>
      <c r="O222" s="615"/>
      <c r="P222" s="615"/>
      <c r="Q222" s="615"/>
    </row>
    <row r="223" spans="1:20" ht="15.75" thickBot="1">
      <c r="A223" s="934"/>
      <c r="B223" s="506"/>
      <c r="C223" s="54" t="s">
        <v>29</v>
      </c>
      <c r="D223" s="296"/>
      <c r="E223" s="56">
        <v>6.6986999999999997</v>
      </c>
      <c r="F223" s="41">
        <f>+E223</f>
        <v>6.6986999999999997</v>
      </c>
      <c r="G223" s="50">
        <f t="shared" ref="G223" si="37">ROUND(D223*(E223),2)</f>
        <v>0</v>
      </c>
      <c r="H223" s="296"/>
      <c r="I223" s="298"/>
      <c r="J223" s="298"/>
      <c r="K223" s="637"/>
      <c r="L223" s="614"/>
      <c r="M223" s="935"/>
      <c r="N223" s="615"/>
      <c r="O223" s="615"/>
      <c r="P223" s="615"/>
      <c r="Q223" s="615"/>
    </row>
    <row r="224" spans="1:20" ht="15.75" thickTop="1">
      <c r="A224" s="376">
        <v>100</v>
      </c>
      <c r="B224" s="494" t="s">
        <v>193</v>
      </c>
      <c r="C224" s="71">
        <f>+[1]дек!U72</f>
        <v>0</v>
      </c>
      <c r="D224" s="495">
        <v>9</v>
      </c>
      <c r="E224" s="21">
        <v>36.214199999999998</v>
      </c>
      <c r="F224" s="21">
        <v>42.4328</v>
      </c>
      <c r="G224" s="185">
        <f>ROUND(D224*(E224+F224),2)</f>
        <v>707.82</v>
      </c>
      <c r="H224" s="496"/>
      <c r="I224" s="73"/>
      <c r="J224" s="73"/>
      <c r="K224" s="601"/>
      <c r="L224" s="498">
        <f>SUM(G224:G231)+SUM(J224:J230)</f>
        <v>24706.7</v>
      </c>
      <c r="M224" s="26">
        <v>24706.7</v>
      </c>
      <c r="N224" s="499"/>
      <c r="O224" s="500"/>
      <c r="P224" s="501" t="s">
        <v>87</v>
      </c>
      <c r="Q224" s="595">
        <f t="shared" ref="Q224" si="38">C224+G224+J224-M224-N224-O224</f>
        <v>-23998.880000000001</v>
      </c>
    </row>
    <row r="225" spans="1:21" ht="15.75" thickBot="1">
      <c r="A225" s="389"/>
      <c r="B225" s="506"/>
      <c r="C225" s="507" t="s">
        <v>96</v>
      </c>
      <c r="D225" s="234"/>
      <c r="E225" s="38"/>
      <c r="F225" s="38"/>
      <c r="G225" s="235">
        <f>ROUND(D225*(E225+F225),2)</f>
        <v>0</v>
      </c>
      <c r="H225" s="448"/>
      <c r="I225" s="509"/>
      <c r="J225" s="199"/>
      <c r="K225" s="517"/>
      <c r="L225" s="511"/>
      <c r="M225" s="512"/>
      <c r="N225" s="513"/>
      <c r="O225" s="514"/>
      <c r="P225" s="515"/>
      <c r="Q225" s="262"/>
      <c r="U225" s="33"/>
    </row>
    <row r="226" spans="1:21">
      <c r="A226" s="389"/>
      <c r="B226" s="516" t="s">
        <v>89</v>
      </c>
      <c r="C226" s="512" t="s">
        <v>90</v>
      </c>
      <c r="D226" s="508">
        <v>1</v>
      </c>
      <c r="E226" s="101">
        <v>341.87</v>
      </c>
      <c r="F226" s="21">
        <v>42.4328</v>
      </c>
      <c r="G226" s="50">
        <f>ROUND(D226*(E226+F226),2)</f>
        <v>384.3</v>
      </c>
      <c r="H226" s="270"/>
      <c r="I226" s="41"/>
      <c r="J226" s="207"/>
      <c r="K226" s="517"/>
      <c r="L226" s="517"/>
      <c r="M226" s="99"/>
      <c r="N226" s="518"/>
      <c r="O226" s="519"/>
      <c r="P226" s="515" t="s">
        <v>87</v>
      </c>
      <c r="Q226" s="271">
        <f>+G226+J226-M226-N226-O226</f>
        <v>384.3</v>
      </c>
    </row>
    <row r="227" spans="1:21">
      <c r="A227" s="389"/>
      <c r="B227" s="541"/>
      <c r="C227" s="84" t="s">
        <v>97</v>
      </c>
      <c r="D227" s="508"/>
      <c r="E227" s="41"/>
      <c r="F227" s="38"/>
      <c r="G227" s="50">
        <f>ROUND(D227*(E227+F227),2)</f>
        <v>0</v>
      </c>
      <c r="H227" s="432"/>
      <c r="I227" s="362"/>
      <c r="J227" s="207"/>
      <c r="K227" s="517"/>
      <c r="L227" s="517"/>
      <c r="M227" s="520"/>
      <c r="N227" s="521"/>
      <c r="O227" s="522"/>
      <c r="P227" s="523"/>
      <c r="Q227" s="362"/>
    </row>
    <row r="228" spans="1:21">
      <c r="A228" s="389"/>
      <c r="B228" s="541" t="s">
        <v>194</v>
      </c>
      <c r="C228" s="84"/>
      <c r="D228" s="508"/>
      <c r="E228" s="41"/>
      <c r="F228" s="41"/>
      <c r="G228" s="50"/>
      <c r="H228" s="432"/>
      <c r="I228" s="362"/>
      <c r="J228" s="207"/>
      <c r="K228" s="517"/>
      <c r="L228" s="517"/>
      <c r="M228" s="520"/>
      <c r="N228" s="521"/>
      <c r="O228" s="522"/>
      <c r="P228" s="523"/>
      <c r="Q228" s="362"/>
    </row>
    <row r="229" spans="1:21">
      <c r="A229" s="389"/>
      <c r="B229" s="506"/>
      <c r="C229" s="48" t="s">
        <v>124</v>
      </c>
      <c r="D229" s="37"/>
      <c r="E229" s="41"/>
      <c r="F229" s="41">
        <f>+E229</f>
        <v>0</v>
      </c>
      <c r="G229" s="39">
        <f>ROUND(D229*E229,2)</f>
        <v>0</v>
      </c>
      <c r="H229" s="432"/>
      <c r="I229" s="362"/>
      <c r="J229" s="207"/>
      <c r="K229" s="517"/>
      <c r="L229" s="517"/>
      <c r="M229" s="520"/>
      <c r="N229" s="521"/>
      <c r="O229" s="522"/>
      <c r="P229" s="523"/>
      <c r="Q229" s="362"/>
    </row>
    <row r="230" spans="1:21">
      <c r="A230" s="389"/>
      <c r="B230" s="506"/>
      <c r="C230" s="48" t="s">
        <v>125</v>
      </c>
      <c r="D230" s="37">
        <v>158</v>
      </c>
      <c r="E230" s="41">
        <v>6.3258999999999999</v>
      </c>
      <c r="F230" s="41">
        <f>+E230</f>
        <v>6.3258999999999999</v>
      </c>
      <c r="G230" s="39">
        <f>ROUND(D230*E230,2)</f>
        <v>999.49</v>
      </c>
      <c r="H230" s="432"/>
      <c r="I230" s="362"/>
      <c r="J230" s="207"/>
      <c r="K230" s="517"/>
      <c r="L230" s="517"/>
      <c r="M230" s="520"/>
      <c r="N230" s="521"/>
      <c r="O230" s="522"/>
      <c r="P230" s="523"/>
      <c r="Q230" s="362"/>
      <c r="U230" s="33"/>
    </row>
    <row r="231" spans="1:21" ht="15.75" thickBot="1">
      <c r="A231" s="411"/>
      <c r="B231" s="526"/>
      <c r="C231" s="99" t="s">
        <v>29</v>
      </c>
      <c r="D231" s="55">
        <v>3575</v>
      </c>
      <c r="E231" s="56">
        <v>6.3258999999999999</v>
      </c>
      <c r="F231" s="281">
        <f>+E231</f>
        <v>6.3258999999999999</v>
      </c>
      <c r="G231" s="58">
        <f>ROUND(D231*E231,2)</f>
        <v>22615.09</v>
      </c>
      <c r="H231" s="248"/>
      <c r="I231" s="203"/>
      <c r="J231" s="60"/>
      <c r="K231" s="61"/>
      <c r="L231" s="249"/>
      <c r="M231" s="54"/>
      <c r="N231" s="521"/>
      <c r="O231" s="528"/>
      <c r="P231" s="529" t="s">
        <v>87</v>
      </c>
      <c r="Q231" s="362">
        <f>+G231+J231-M231-N231-O231</f>
        <v>22615.09</v>
      </c>
    </row>
    <row r="232" spans="1:21" ht="15.75" collapsed="1" thickTop="1">
      <c r="A232" s="389">
        <v>113</v>
      </c>
      <c r="B232" s="494" t="s">
        <v>102</v>
      </c>
      <c r="C232" s="71">
        <f>+[1]дек!U57</f>
        <v>0</v>
      </c>
      <c r="D232" s="495">
        <v>24</v>
      </c>
      <c r="E232" s="21">
        <v>36.214199999999998</v>
      </c>
      <c r="F232" s="21">
        <v>42.4328</v>
      </c>
      <c r="G232" s="185">
        <f>ROUND(D232*(E232+F232),2)</f>
        <v>1887.53</v>
      </c>
      <c r="H232" s="496"/>
      <c r="I232" s="73"/>
      <c r="J232" s="73"/>
      <c r="K232" s="497"/>
      <c r="L232" s="498">
        <f>SUM(G232:G238)+SUM(J232:J237)</f>
        <v>30374.2</v>
      </c>
      <c r="M232" s="26">
        <v>30374.2</v>
      </c>
      <c r="N232" s="594"/>
      <c r="O232" s="535"/>
      <c r="P232" s="536" t="s">
        <v>87</v>
      </c>
      <c r="Q232" s="595">
        <f>C232+G232+J232-M232-N232-O232</f>
        <v>-28486.670000000002</v>
      </c>
      <c r="R232" s="502" t="s">
        <v>88</v>
      </c>
      <c r="S232" s="503"/>
      <c r="T232" s="504"/>
      <c r="U232" s="33">
        <f>+M232-L232</f>
        <v>0</v>
      </c>
    </row>
    <row r="233" spans="1:21">
      <c r="A233" s="389"/>
      <c r="B233" s="506"/>
      <c r="C233" s="542"/>
      <c r="D233" s="508"/>
      <c r="E233" s="38"/>
      <c r="F233" s="38"/>
      <c r="G233" s="50">
        <f>ROUND(D233*(E233+F233),2)</f>
        <v>0</v>
      </c>
      <c r="H233" s="596"/>
      <c r="I233" s="409"/>
      <c r="J233" s="509"/>
      <c r="K233" s="543"/>
      <c r="L233" s="511"/>
      <c r="M233" s="99"/>
      <c r="N233" s="513"/>
      <c r="O233" s="514"/>
      <c r="P233" s="515"/>
      <c r="Q233" s="262"/>
      <c r="R233" s="502"/>
      <c r="S233" s="503"/>
      <c r="T233" s="504"/>
    </row>
    <row r="234" spans="1:21">
      <c r="A234" s="389"/>
      <c r="B234" s="516" t="s">
        <v>103</v>
      </c>
      <c r="C234" s="99" t="s">
        <v>90</v>
      </c>
      <c r="D234" s="508">
        <v>7</v>
      </c>
      <c r="E234" s="101">
        <v>326.58</v>
      </c>
      <c r="F234" s="38">
        <v>42.4328</v>
      </c>
      <c r="G234" s="50">
        <f>ROUND(D234*(E234+F234),2)</f>
        <v>2583.09</v>
      </c>
      <c r="H234" s="270"/>
      <c r="I234" s="41"/>
      <c r="J234" s="409"/>
      <c r="K234" s="510"/>
      <c r="L234" s="597"/>
      <c r="M234" s="99"/>
      <c r="N234" s="518"/>
      <c r="O234" s="519"/>
      <c r="P234" s="515" t="s">
        <v>87</v>
      </c>
      <c r="Q234" s="271">
        <f>+G234+J234-M234-N234-O234</f>
        <v>2583.09</v>
      </c>
      <c r="R234" s="502" t="s">
        <v>88</v>
      </c>
      <c r="S234" s="503"/>
      <c r="T234" s="504"/>
    </row>
    <row r="235" spans="1:21">
      <c r="A235" s="389"/>
      <c r="B235" s="506"/>
      <c r="C235" s="390" t="s">
        <v>97</v>
      </c>
      <c r="D235" s="508">
        <f>фев18!D230</f>
        <v>12</v>
      </c>
      <c r="E235" s="41">
        <f>326.58-444.53</f>
        <v>-117.94999999999999</v>
      </c>
      <c r="F235" s="38"/>
      <c r="G235" s="50">
        <f>D235*(E235+F235)</f>
        <v>-1415.3999999999999</v>
      </c>
      <c r="H235" s="432"/>
      <c r="I235" s="362"/>
      <c r="J235" s="41"/>
      <c r="K235" s="510"/>
      <c r="L235" s="597"/>
      <c r="M235" s="99"/>
      <c r="N235" s="521"/>
      <c r="O235" s="522"/>
      <c r="P235" s="523"/>
      <c r="Q235" s="362"/>
      <c r="R235" s="502"/>
      <c r="S235" s="503"/>
      <c r="T235" s="504"/>
    </row>
    <row r="236" spans="1:21">
      <c r="A236" s="389"/>
      <c r="B236" s="506"/>
      <c r="C236" s="48" t="s">
        <v>124</v>
      </c>
      <c r="D236" s="37">
        <f>фев18!D233+фев18!D234</f>
        <v>3478</v>
      </c>
      <c r="E236" s="41">
        <f>6.6987-6.6231</f>
        <v>7.5599999999999667E-2</v>
      </c>
      <c r="F236" s="297">
        <f t="shared" ref="F236:F239" si="39">+E236</f>
        <v>7.5599999999999667E-2</v>
      </c>
      <c r="G236" s="39">
        <f>ROUND(D236*(E236+F236)/2,2)-0.01</f>
        <v>262.93</v>
      </c>
      <c r="H236" s="432"/>
      <c r="I236" s="362"/>
      <c r="J236" s="41"/>
      <c r="K236" s="510"/>
      <c r="L236" s="597"/>
      <c r="M236" s="99"/>
      <c r="N236" s="521"/>
      <c r="O236" s="522"/>
      <c r="P236" s="523"/>
      <c r="Q236" s="362"/>
      <c r="R236" s="502"/>
      <c r="S236" s="503"/>
      <c r="T236" s="504"/>
    </row>
    <row r="237" spans="1:21">
      <c r="A237" s="389"/>
      <c r="B237" s="506"/>
      <c r="C237" s="48" t="s">
        <v>125</v>
      </c>
      <c r="D237" s="37">
        <f>76+95</f>
        <v>171</v>
      </c>
      <c r="E237" s="41">
        <v>6.6986999999999997</v>
      </c>
      <c r="F237" s="298">
        <f t="shared" si="39"/>
        <v>6.6986999999999997</v>
      </c>
      <c r="G237" s="39">
        <f>ROUND(D237*E237,2)</f>
        <v>1145.48</v>
      </c>
      <c r="H237" s="432"/>
      <c r="I237" s="362"/>
      <c r="J237" s="41"/>
      <c r="K237" s="510"/>
      <c r="L237" s="597"/>
      <c r="M237" s="99"/>
      <c r="N237" s="521"/>
      <c r="O237" s="522"/>
      <c r="P237" s="523"/>
      <c r="Q237" s="362"/>
      <c r="R237" s="502"/>
      <c r="S237" s="503"/>
      <c r="T237" s="504"/>
    </row>
    <row r="238" spans="1:21" ht="15.75" thickBot="1">
      <c r="A238" s="369"/>
      <c r="B238" s="526"/>
      <c r="C238" s="99" t="s">
        <v>29</v>
      </c>
      <c r="D238" s="55">
        <f>1722+2146</f>
        <v>3868</v>
      </c>
      <c r="E238" s="56">
        <v>6.6986999999999997</v>
      </c>
      <c r="F238" s="57">
        <f t="shared" si="39"/>
        <v>6.6986999999999997</v>
      </c>
      <c r="G238" s="414">
        <f>ROUND(D238*E238,2)</f>
        <v>25910.57</v>
      </c>
      <c r="H238" s="248"/>
      <c r="I238" s="203"/>
      <c r="J238" s="60"/>
      <c r="K238" s="61"/>
      <c r="L238" s="249"/>
      <c r="M238" s="54"/>
      <c r="N238" s="527"/>
      <c r="O238" s="528"/>
      <c r="P238" s="529" t="s">
        <v>87</v>
      </c>
      <c r="Q238" s="58">
        <f>+G238+J238-M238-N238-O238</f>
        <v>25910.57</v>
      </c>
      <c r="R238" s="502" t="s">
        <v>88</v>
      </c>
      <c r="S238" s="598">
        <f>SUM(N232:N238)+O232:O238</f>
        <v>0</v>
      </c>
      <c r="T238" s="598">
        <f>SUM(Q232:Q238)</f>
        <v>6.9899999999979627</v>
      </c>
    </row>
    <row r="239" spans="1:21">
      <c r="A239" s="376">
        <v>200</v>
      </c>
      <c r="B239" s="602" t="s">
        <v>186</v>
      </c>
      <c r="C239" s="439" t="s">
        <v>124</v>
      </c>
      <c r="D239" s="184">
        <f>фев18!D236+фев18!D237</f>
        <v>254</v>
      </c>
      <c r="E239" s="41">
        <f>6.6987-6.6231</f>
        <v>7.5599999999999667E-2</v>
      </c>
      <c r="F239" s="23">
        <f t="shared" si="39"/>
        <v>7.5599999999999667E-2</v>
      </c>
      <c r="G239" s="185">
        <f>ROUND(D239*(E239),2)-0.01</f>
        <v>19.189999999999998</v>
      </c>
      <c r="H239" s="620"/>
      <c r="I239" s="620"/>
      <c r="J239" s="620"/>
      <c r="K239" s="634"/>
      <c r="L239" s="603">
        <f>SUM(G239:G241)</f>
        <v>1700.5700000000002</v>
      </c>
      <c r="M239" s="187">
        <v>1700.57</v>
      </c>
      <c r="N239" s="615"/>
      <c r="O239" s="615"/>
      <c r="P239" s="615"/>
      <c r="Q239" s="615"/>
    </row>
    <row r="240" spans="1:21">
      <c r="A240" s="934"/>
      <c r="B240" s="506"/>
      <c r="C240" s="48" t="s">
        <v>125</v>
      </c>
      <c r="D240" s="49">
        <v>11</v>
      </c>
      <c r="E240" s="41">
        <v>6.6986999999999997</v>
      </c>
      <c r="F240" s="41">
        <f>+E240</f>
        <v>6.6986999999999997</v>
      </c>
      <c r="G240" s="50">
        <f>ROUND(D240*(E240),2)</f>
        <v>73.69</v>
      </c>
      <c r="H240" s="296"/>
      <c r="I240" s="298"/>
      <c r="J240" s="298"/>
      <c r="K240" s="637"/>
      <c r="L240" s="606"/>
      <c r="M240" s="935"/>
      <c r="N240" s="615"/>
      <c r="O240" s="615"/>
      <c r="P240" s="615"/>
      <c r="Q240" s="615"/>
    </row>
    <row r="241" spans="1:17" ht="15.75" thickBot="1">
      <c r="A241" s="934"/>
      <c r="B241" s="506"/>
      <c r="C241" s="54" t="s">
        <v>29</v>
      </c>
      <c r="D241" s="296">
        <v>240</v>
      </c>
      <c r="E241" s="56">
        <v>6.6986999999999997</v>
      </c>
      <c r="F241" s="41">
        <f>+E241</f>
        <v>6.6986999999999997</v>
      </c>
      <c r="G241" s="50">
        <f t="shared" ref="G241" si="40">ROUND(D241*(E241),2)</f>
        <v>1607.69</v>
      </c>
      <c r="H241" s="296"/>
      <c r="I241" s="298"/>
      <c r="J241" s="298"/>
      <c r="K241" s="637"/>
      <c r="L241" s="614"/>
      <c r="M241" s="935"/>
      <c r="N241" s="615"/>
      <c r="O241" s="615"/>
      <c r="P241" s="615"/>
      <c r="Q241" s="615"/>
    </row>
    <row r="242" spans="1:17">
      <c r="A242" s="376" t="s">
        <v>208</v>
      </c>
      <c r="B242" s="602" t="s">
        <v>213</v>
      </c>
      <c r="C242" s="439" t="s">
        <v>124</v>
      </c>
      <c r="D242" s="184">
        <f>фев18!D239+фев18!D240</f>
        <v>71</v>
      </c>
      <c r="E242" s="41">
        <f>6.6987-6.6231</f>
        <v>7.5599999999999667E-2</v>
      </c>
      <c r="F242" s="23">
        <f>+E242</f>
        <v>7.5599999999999667E-2</v>
      </c>
      <c r="G242" s="185">
        <f>ROUND(D242*(E242),2)-0.01</f>
        <v>5.36</v>
      </c>
      <c r="H242" s="620"/>
      <c r="I242" s="620"/>
      <c r="J242" s="620"/>
      <c r="K242" s="634"/>
      <c r="L242" s="603">
        <f>SUM(G242:G244)</f>
        <v>1425.49</v>
      </c>
      <c r="M242" s="187">
        <v>1425.49</v>
      </c>
      <c r="N242" s="615"/>
      <c r="O242" s="615"/>
      <c r="P242" s="615"/>
      <c r="Q242" s="615"/>
    </row>
    <row r="243" spans="1:17">
      <c r="A243" s="934"/>
      <c r="B243" s="506"/>
      <c r="C243" s="48" t="s">
        <v>125</v>
      </c>
      <c r="D243" s="49">
        <v>9</v>
      </c>
      <c r="E243" s="41">
        <v>6.6986999999999997</v>
      </c>
      <c r="F243" s="41">
        <f>+E243</f>
        <v>6.6986999999999997</v>
      </c>
      <c r="G243" s="50">
        <f>ROUND(D243*(E243),2)</f>
        <v>60.29</v>
      </c>
      <c r="H243" s="296"/>
      <c r="I243" s="298"/>
      <c r="J243" s="298"/>
      <c r="K243" s="637"/>
      <c r="L243" s="606"/>
      <c r="M243" s="935"/>
      <c r="N243" s="615"/>
      <c r="O243" s="615"/>
      <c r="P243" s="615"/>
      <c r="Q243" s="615"/>
    </row>
    <row r="244" spans="1:17" ht="15.75" thickBot="1">
      <c r="A244" s="934"/>
      <c r="B244" s="506"/>
      <c r="C244" s="54" t="s">
        <v>29</v>
      </c>
      <c r="D244" s="296">
        <v>203</v>
      </c>
      <c r="E244" s="56">
        <v>6.6986999999999997</v>
      </c>
      <c r="F244" s="41">
        <f>+E244</f>
        <v>6.6986999999999997</v>
      </c>
      <c r="G244" s="50">
        <f t="shared" ref="G244" si="41">ROUND(D244*(E244),2)</f>
        <v>1359.84</v>
      </c>
      <c r="H244" s="296"/>
      <c r="I244" s="298"/>
      <c r="J244" s="298"/>
      <c r="K244" s="637"/>
      <c r="L244" s="614"/>
      <c r="M244" s="935"/>
      <c r="N244" s="615"/>
      <c r="O244" s="615"/>
      <c r="P244" s="615"/>
      <c r="Q244" s="615"/>
    </row>
    <row r="245" spans="1:17">
      <c r="A245" s="376">
        <v>201</v>
      </c>
      <c r="B245" s="602" t="s">
        <v>107</v>
      </c>
      <c r="C245" s="618" t="s">
        <v>73</v>
      </c>
      <c r="D245" s="619">
        <v>3</v>
      </c>
      <c r="E245" s="21">
        <v>36.214199999999998</v>
      </c>
      <c r="F245" s="21">
        <v>42.4328</v>
      </c>
      <c r="G245" s="185">
        <f>ROUND(D245*(E245+F245),2)</f>
        <v>235.94</v>
      </c>
      <c r="H245" s="620"/>
      <c r="I245" s="620"/>
      <c r="J245" s="620"/>
      <c r="K245" s="620"/>
      <c r="L245" s="603">
        <f>SUM(G245:G249,J245:J249)</f>
        <v>5719.3499999999995</v>
      </c>
      <c r="M245" s="187">
        <v>5719.35</v>
      </c>
      <c r="N245" s="621"/>
      <c r="O245" s="621"/>
      <c r="P245" s="621"/>
      <c r="Q245" s="622"/>
    </row>
    <row r="246" spans="1:17">
      <c r="A246" s="936"/>
      <c r="B246" s="612"/>
      <c r="C246" s="542" t="s">
        <v>96</v>
      </c>
      <c r="D246" s="234"/>
      <c r="E246" s="38"/>
      <c r="F246" s="38"/>
      <c r="G246" s="235">
        <f>ROUND(D246*(E246+F246),2)</f>
        <v>0</v>
      </c>
      <c r="H246" s="298"/>
      <c r="I246" s="298"/>
      <c r="J246" s="298"/>
      <c r="K246" s="298"/>
      <c r="L246" s="606"/>
      <c r="M246" s="935"/>
      <c r="N246" s="615"/>
      <c r="O246" s="615"/>
      <c r="P246" s="615"/>
      <c r="Q246" s="616"/>
    </row>
    <row r="247" spans="1:17">
      <c r="A247" s="936"/>
      <c r="B247" s="612"/>
      <c r="C247" s="48" t="s">
        <v>124</v>
      </c>
      <c r="D247" s="623">
        <f>фев18!D244+фев18!D245</f>
        <v>760</v>
      </c>
      <c r="E247" s="41">
        <f>6.6987-6.6231</f>
        <v>7.5599999999999667E-2</v>
      </c>
      <c r="F247" s="41">
        <f>+E247</f>
        <v>7.5599999999999667E-2</v>
      </c>
      <c r="G247" s="50">
        <f t="shared" ref="G247:G255" si="42">ROUND(D247*(E247),2)</f>
        <v>57.46</v>
      </c>
      <c r="H247" s="298"/>
      <c r="I247" s="298"/>
      <c r="J247" s="298"/>
      <c r="K247" s="298"/>
      <c r="L247" s="614"/>
      <c r="M247" s="935"/>
      <c r="N247" s="615"/>
      <c r="O247" s="615"/>
      <c r="P247" s="615"/>
      <c r="Q247" s="616"/>
    </row>
    <row r="248" spans="1:17">
      <c r="A248" s="936"/>
      <c r="B248" s="612"/>
      <c r="C248" s="48" t="s">
        <v>125</v>
      </c>
      <c r="D248" s="623">
        <v>34</v>
      </c>
      <c r="E248" s="41">
        <v>6.6986999999999997</v>
      </c>
      <c r="F248" s="41">
        <f>+E248</f>
        <v>6.6986999999999997</v>
      </c>
      <c r="G248" s="39">
        <f t="shared" si="42"/>
        <v>227.76</v>
      </c>
      <c r="H248" s="298"/>
      <c r="I248" s="298"/>
      <c r="J248" s="298"/>
      <c r="K248" s="298"/>
      <c r="L248" s="614"/>
      <c r="M248" s="273"/>
      <c r="N248" s="615"/>
      <c r="O248" s="615"/>
      <c r="P248" s="615"/>
      <c r="Q248" s="616"/>
    </row>
    <row r="249" spans="1:17" ht="15.75" thickBot="1">
      <c r="A249" s="937"/>
      <c r="B249" s="526"/>
      <c r="C249" s="99" t="s">
        <v>29</v>
      </c>
      <c r="D249" s="625">
        <v>776</v>
      </c>
      <c r="E249" s="56">
        <v>6.6986999999999997</v>
      </c>
      <c r="F249" s="281">
        <f>+E249</f>
        <v>6.6986999999999997</v>
      </c>
      <c r="G249" s="414">
        <f t="shared" si="42"/>
        <v>5198.1899999999996</v>
      </c>
      <c r="H249" s="41"/>
      <c r="I249" s="41"/>
      <c r="J249" s="281"/>
      <c r="K249" s="281"/>
      <c r="L249" s="784"/>
      <c r="M249" s="938"/>
      <c r="N249" s="626"/>
      <c r="O249" s="626"/>
      <c r="P249" s="626"/>
      <c r="Q249" s="627"/>
    </row>
    <row r="250" spans="1:17">
      <c r="A250" s="376">
        <v>301</v>
      </c>
      <c r="B250" s="602" t="s">
        <v>106</v>
      </c>
      <c r="C250" s="48" t="s">
        <v>124</v>
      </c>
      <c r="D250" s="184">
        <f>фев18!D247+фев18!D248</f>
        <v>802.02</v>
      </c>
      <c r="E250" s="41">
        <f>6.6987-6.6231</f>
        <v>7.5599999999999667E-2</v>
      </c>
      <c r="F250" s="23">
        <f t="shared" ref="F250:F252" si="43">+E250</f>
        <v>7.5599999999999667E-2</v>
      </c>
      <c r="G250" s="185">
        <f>ROUND(D250*(E250),2)+0.01</f>
        <v>60.64</v>
      </c>
      <c r="H250" s="23"/>
      <c r="I250" s="23"/>
      <c r="J250" s="23"/>
      <c r="K250" s="23"/>
      <c r="L250" s="603">
        <f>SUM(G250:G252)</f>
        <v>5908.7999999999993</v>
      </c>
      <c r="M250" s="187">
        <v>5908.8</v>
      </c>
      <c r="N250" s="604"/>
      <c r="O250" s="500"/>
      <c r="P250" s="501"/>
      <c r="Q250" s="605"/>
    </row>
    <row r="251" spans="1:17">
      <c r="A251" s="389"/>
      <c r="B251" s="506"/>
      <c r="C251" s="48" t="s">
        <v>125</v>
      </c>
      <c r="D251" s="49">
        <v>37.03</v>
      </c>
      <c r="E251" s="41">
        <v>6.6986999999999997</v>
      </c>
      <c r="F251" s="41">
        <f t="shared" si="43"/>
        <v>6.6986999999999997</v>
      </c>
      <c r="G251" s="50">
        <f t="shared" si="42"/>
        <v>248.05</v>
      </c>
      <c r="H251" s="41"/>
      <c r="I251" s="41"/>
      <c r="J251" s="41"/>
      <c r="K251" s="41"/>
      <c r="L251" s="606"/>
      <c r="M251" s="935"/>
      <c r="N251" s="607"/>
      <c r="O251" s="608"/>
      <c r="P251" s="609"/>
      <c r="Q251" s="610"/>
    </row>
    <row r="252" spans="1:17" ht="15.75" thickBot="1">
      <c r="A252" s="936"/>
      <c r="B252" s="612"/>
      <c r="C252" s="99" t="s">
        <v>29</v>
      </c>
      <c r="D252" s="613">
        <v>836</v>
      </c>
      <c r="E252" s="56">
        <v>6.6986999999999997</v>
      </c>
      <c r="F252" s="281">
        <f t="shared" si="43"/>
        <v>6.6986999999999997</v>
      </c>
      <c r="G252" s="58">
        <f t="shared" si="42"/>
        <v>5600.11</v>
      </c>
      <c r="H252" s="57"/>
      <c r="I252" s="57"/>
      <c r="J252" s="57"/>
      <c r="K252" s="57"/>
      <c r="L252" s="614"/>
      <c r="M252" s="935"/>
      <c r="N252" s="615"/>
      <c r="O252" s="615"/>
      <c r="P252" s="615"/>
      <c r="Q252" s="616"/>
    </row>
    <row r="253" spans="1:17">
      <c r="A253" s="447" t="s">
        <v>205</v>
      </c>
      <c r="B253" s="602" t="s">
        <v>183</v>
      </c>
      <c r="C253" s="439" t="s">
        <v>124</v>
      </c>
      <c r="D253" s="184">
        <f>фев18!D250+фев18!D251</f>
        <v>472</v>
      </c>
      <c r="E253" s="41">
        <f>6.6987-6.6231</f>
        <v>7.5599999999999667E-2</v>
      </c>
      <c r="F253" s="23">
        <f>+E253</f>
        <v>7.5599999999999667E-2</v>
      </c>
      <c r="G253" s="185">
        <f t="shared" si="42"/>
        <v>35.68</v>
      </c>
      <c r="H253" s="620"/>
      <c r="I253" s="620"/>
      <c r="J253" s="620"/>
      <c r="K253" s="634"/>
      <c r="L253" s="603">
        <f>SUM(G253:G255)</f>
        <v>4115.1899999999996</v>
      </c>
      <c r="M253" s="187">
        <v>4115.1899999999996</v>
      </c>
      <c r="N253" s="604"/>
      <c r="O253" s="635"/>
      <c r="P253" s="636"/>
      <c r="Q253" s="605"/>
    </row>
    <row r="254" spans="1:17">
      <c r="A254" s="450" t="s">
        <v>206</v>
      </c>
      <c r="B254" s="506"/>
      <c r="C254" s="48" t="s">
        <v>125</v>
      </c>
      <c r="D254" s="49">
        <f>8+17</f>
        <v>25</v>
      </c>
      <c r="E254" s="41">
        <v>6.6986999999999997</v>
      </c>
      <c r="F254" s="41">
        <f>+E254</f>
        <v>6.6986999999999997</v>
      </c>
      <c r="G254" s="50">
        <f t="shared" si="42"/>
        <v>167.47</v>
      </c>
      <c r="H254" s="296"/>
      <c r="I254" s="298"/>
      <c r="J254" s="298"/>
      <c r="K254" s="637"/>
      <c r="L254" s="606"/>
      <c r="M254" s="935"/>
      <c r="N254" s="607"/>
      <c r="O254" s="608"/>
      <c r="P254" s="609"/>
      <c r="Q254" s="610"/>
    </row>
    <row r="255" spans="1:17" ht="15.75" thickBot="1">
      <c r="A255" s="451">
        <v>305</v>
      </c>
      <c r="B255" s="506"/>
      <c r="C255" s="54" t="s">
        <v>29</v>
      </c>
      <c r="D255" s="296">
        <f>189+395</f>
        <v>584</v>
      </c>
      <c r="E255" s="56">
        <v>6.6986999999999997</v>
      </c>
      <c r="F255" s="41">
        <f t="shared" ref="F255:F256" si="44">+E255</f>
        <v>6.6986999999999997</v>
      </c>
      <c r="G255" s="50">
        <f t="shared" si="42"/>
        <v>3912.04</v>
      </c>
      <c r="H255" s="296"/>
      <c r="I255" s="298"/>
      <c r="J255" s="298"/>
      <c r="K255" s="637"/>
      <c r="L255" s="614"/>
      <c r="M255" s="935"/>
      <c r="N255" s="615"/>
      <c r="O255" s="615"/>
      <c r="P255" s="615"/>
      <c r="Q255" s="616"/>
    </row>
    <row r="256" spans="1:17" collapsed="1">
      <c r="A256" s="376">
        <v>307</v>
      </c>
      <c r="B256" s="602" t="s">
        <v>163</v>
      </c>
      <c r="C256" s="439" t="s">
        <v>124</v>
      </c>
      <c r="D256" s="184">
        <f>фев18!D253+фев18!D254</f>
        <v>379</v>
      </c>
      <c r="E256" s="23">
        <f>6.6987-6.6231</f>
        <v>7.5599999999999667E-2</v>
      </c>
      <c r="F256" s="23">
        <f t="shared" si="44"/>
        <v>7.5599999999999667E-2</v>
      </c>
      <c r="G256" s="185">
        <f>ROUND(D256*(E256),2)</f>
        <v>28.65</v>
      </c>
      <c r="H256" s="669"/>
      <c r="I256" s="620"/>
      <c r="J256" s="620"/>
      <c r="K256" s="634"/>
      <c r="L256" s="603">
        <f>SUM(G256:G258)</f>
        <v>2935.89</v>
      </c>
      <c r="M256" s="187">
        <v>2935.89</v>
      </c>
      <c r="N256" s="604"/>
      <c r="O256" s="635"/>
      <c r="P256" s="636"/>
      <c r="Q256" s="605"/>
    </row>
    <row r="257" spans="1:17">
      <c r="A257" s="934"/>
      <c r="B257" s="506"/>
      <c r="C257" s="48" t="s">
        <v>125</v>
      </c>
      <c r="D257" s="49">
        <v>18</v>
      </c>
      <c r="E257" s="41">
        <v>6.6986999999999997</v>
      </c>
      <c r="F257" s="41">
        <f>+E257</f>
        <v>6.6986999999999997</v>
      </c>
      <c r="G257" s="50">
        <f>ROUND(D257*(E257),2)</f>
        <v>120.58</v>
      </c>
      <c r="H257" s="296"/>
      <c r="I257" s="298"/>
      <c r="J257" s="298"/>
      <c r="K257" s="637"/>
      <c r="L257" s="606"/>
      <c r="M257" s="935"/>
      <c r="N257" s="607"/>
      <c r="O257" s="608"/>
      <c r="P257" s="609"/>
      <c r="Q257" s="610"/>
    </row>
    <row r="258" spans="1:17" ht="15.75" thickBot="1">
      <c r="A258" s="960"/>
      <c r="B258" s="506"/>
      <c r="C258" s="54" t="s">
        <v>29</v>
      </c>
      <c r="D258" s="296">
        <v>416</v>
      </c>
      <c r="E258" s="56">
        <v>6.6986999999999997</v>
      </c>
      <c r="F258" s="41">
        <f t="shared" ref="F258:F259" si="45">+E258</f>
        <v>6.6986999999999997</v>
      </c>
      <c r="G258" s="50">
        <f t="shared" ref="G258" si="46">ROUND(D258*(E258),2)</f>
        <v>2786.66</v>
      </c>
      <c r="H258" s="296"/>
      <c r="I258" s="298"/>
      <c r="J258" s="298"/>
      <c r="K258" s="637"/>
      <c r="L258" s="614"/>
      <c r="M258" s="935"/>
      <c r="N258" s="615"/>
      <c r="O258" s="615"/>
      <c r="P258" s="615"/>
      <c r="Q258" s="616"/>
    </row>
    <row r="259" spans="1:17" collapsed="1">
      <c r="A259" s="376">
        <v>310</v>
      </c>
      <c r="B259" s="602" t="s">
        <v>195</v>
      </c>
      <c r="C259" s="439" t="s">
        <v>124</v>
      </c>
      <c r="D259" s="184">
        <f>фев18!D256+фев18!D257</f>
        <v>140</v>
      </c>
      <c r="E259" s="41">
        <f>6.6987-6.6231</f>
        <v>7.5599999999999667E-2</v>
      </c>
      <c r="F259" s="23">
        <f t="shared" si="45"/>
        <v>7.5599999999999667E-2</v>
      </c>
      <c r="G259" s="185">
        <f>ROUND(D259*(E259),2)+0.01</f>
        <v>10.59</v>
      </c>
      <c r="H259" s="620"/>
      <c r="I259" s="620"/>
      <c r="J259" s="620"/>
      <c r="K259" s="634"/>
      <c r="L259" s="603">
        <f>SUM(G259:G261)</f>
        <v>1450.81</v>
      </c>
      <c r="M259" s="187">
        <v>1450.81</v>
      </c>
      <c r="N259" s="615"/>
      <c r="O259" s="615"/>
      <c r="P259" s="615"/>
      <c r="Q259" s="615"/>
    </row>
    <row r="260" spans="1:17">
      <c r="A260" s="934"/>
      <c r="B260" s="506"/>
      <c r="C260" s="48" t="s">
        <v>125</v>
      </c>
      <c r="D260" s="49">
        <v>9</v>
      </c>
      <c r="E260" s="41">
        <v>6.6986999999999997</v>
      </c>
      <c r="F260" s="41">
        <f>+E260</f>
        <v>6.6986999999999997</v>
      </c>
      <c r="G260" s="50">
        <f>ROUND(D260*(E260),2)</f>
        <v>60.29</v>
      </c>
      <c r="H260" s="296"/>
      <c r="I260" s="298"/>
      <c r="J260" s="298"/>
      <c r="K260" s="637"/>
      <c r="L260" s="606"/>
      <c r="M260" s="935"/>
      <c r="N260" s="615"/>
      <c r="O260" s="615"/>
      <c r="P260" s="615"/>
      <c r="Q260" s="615"/>
    </row>
    <row r="261" spans="1:17" ht="15.75" thickBot="1">
      <c r="A261" s="934"/>
      <c r="B261" s="506"/>
      <c r="C261" s="54" t="s">
        <v>29</v>
      </c>
      <c r="D261" s="296">
        <v>206</v>
      </c>
      <c r="E261" s="56">
        <v>6.6986999999999997</v>
      </c>
      <c r="F261" s="41">
        <f t="shared" ref="F261:F264" si="47">+E261</f>
        <v>6.6986999999999997</v>
      </c>
      <c r="G261" s="50">
        <f t="shared" ref="G261" si="48">ROUND(D261*(E261),2)</f>
        <v>1379.93</v>
      </c>
      <c r="H261" s="296"/>
      <c r="I261" s="298"/>
      <c r="J261" s="298"/>
      <c r="K261" s="637"/>
      <c r="L261" s="614"/>
      <c r="M261" s="935"/>
      <c r="N261" s="615"/>
      <c r="O261" s="615"/>
      <c r="P261" s="615"/>
      <c r="Q261" s="615"/>
    </row>
    <row r="262" spans="1:17">
      <c r="A262" s="376">
        <v>311</v>
      </c>
      <c r="B262" s="602" t="s">
        <v>204</v>
      </c>
      <c r="C262" s="439" t="s">
        <v>124</v>
      </c>
      <c r="D262" s="184">
        <f>фев18!D259+фев18!D260</f>
        <v>227</v>
      </c>
      <c r="E262" s="41">
        <f>6.6987-6.6231</f>
        <v>7.5599999999999667E-2</v>
      </c>
      <c r="F262" s="23">
        <f t="shared" si="47"/>
        <v>7.5599999999999667E-2</v>
      </c>
      <c r="G262" s="185">
        <f>ROUND(D262*(E262),2)</f>
        <v>17.16</v>
      </c>
      <c r="H262" s="620"/>
      <c r="I262" s="620"/>
      <c r="J262" s="620"/>
      <c r="K262" s="634"/>
      <c r="L262" s="603">
        <f>SUM(G262:G265)</f>
        <v>90.85</v>
      </c>
      <c r="M262" s="187">
        <v>90.85</v>
      </c>
      <c r="N262" s="604"/>
      <c r="O262" s="635"/>
      <c r="P262" s="636"/>
      <c r="Q262" s="605"/>
    </row>
    <row r="263" spans="1:17">
      <c r="A263" s="389"/>
      <c r="B263" s="939"/>
      <c r="C263" s="48" t="s">
        <v>125</v>
      </c>
      <c r="D263" s="49">
        <v>0</v>
      </c>
      <c r="E263" s="41">
        <v>6.6986999999999997</v>
      </c>
      <c r="F263" s="41">
        <f t="shared" si="47"/>
        <v>6.6986999999999997</v>
      </c>
      <c r="G263" s="50">
        <f>ROUND(D263*(E263),2)</f>
        <v>0</v>
      </c>
      <c r="H263" s="296"/>
      <c r="I263" s="298"/>
      <c r="J263" s="298"/>
      <c r="K263" s="637"/>
      <c r="L263" s="606"/>
      <c r="M263" s="935"/>
      <c r="N263" s="607"/>
      <c r="O263" s="608"/>
      <c r="P263" s="609"/>
      <c r="Q263" s="610"/>
    </row>
    <row r="264" spans="1:17">
      <c r="A264" s="936"/>
      <c r="B264" s="506"/>
      <c r="C264" s="99" t="s">
        <v>29</v>
      </c>
      <c r="D264" s="296">
        <v>11</v>
      </c>
      <c r="E264" s="101">
        <v>6.6986999999999997</v>
      </c>
      <c r="F264" s="41">
        <f t="shared" si="47"/>
        <v>6.6986999999999997</v>
      </c>
      <c r="G264" s="50">
        <f>ROUND(D264*(E264),2)</f>
        <v>73.69</v>
      </c>
      <c r="H264" s="296"/>
      <c r="I264" s="298"/>
      <c r="J264" s="298"/>
      <c r="K264" s="940"/>
      <c r="L264" s="614"/>
      <c r="M264" s="935"/>
      <c r="N264" s="615"/>
      <c r="O264" s="615"/>
      <c r="P264" s="615"/>
      <c r="Q264" s="616"/>
    </row>
    <row r="265" spans="1:17" ht="15.75" thickBot="1">
      <c r="A265" s="937"/>
      <c r="B265" s="278"/>
      <c r="C265" s="784"/>
      <c r="D265" s="941"/>
      <c r="E265" s="281"/>
      <c r="F265" s="57"/>
      <c r="G265" s="58">
        <f>ROUND(D265*(E265),2)</f>
        <v>0</v>
      </c>
      <c r="H265" s="613"/>
      <c r="I265" s="57"/>
      <c r="J265" s="57"/>
      <c r="K265" s="666"/>
      <c r="L265" s="784"/>
      <c r="M265" s="938"/>
      <c r="N265" s="626"/>
      <c r="O265" s="626"/>
      <c r="P265" s="626"/>
      <c r="Q265" s="626"/>
    </row>
    <row r="266" spans="1:17">
      <c r="A266" s="376">
        <v>312</v>
      </c>
      <c r="B266" s="602" t="s">
        <v>112</v>
      </c>
      <c r="C266" s="439" t="s">
        <v>124</v>
      </c>
      <c r="D266" s="184">
        <f>фев18!D263+фев18!D264</f>
        <v>679</v>
      </c>
      <c r="E266" s="23">
        <f>6.6987-6.6231</f>
        <v>7.5599999999999667E-2</v>
      </c>
      <c r="F266" s="23">
        <f>+E266</f>
        <v>7.5599999999999667E-2</v>
      </c>
      <c r="G266" s="185">
        <f>ROUND(D266*(E266),2)</f>
        <v>51.33</v>
      </c>
      <c r="H266" s="620"/>
      <c r="I266" s="620"/>
      <c r="J266" s="620"/>
      <c r="K266" s="634"/>
      <c r="L266" s="603">
        <f>SUM(G266:G269)</f>
        <v>5209.33</v>
      </c>
      <c r="M266" s="187">
        <v>5209.33</v>
      </c>
      <c r="N266" s="604"/>
      <c r="O266" s="635"/>
      <c r="P266" s="636"/>
      <c r="Q266" s="605"/>
    </row>
    <row r="267" spans="1:17">
      <c r="A267" s="934"/>
      <c r="B267" s="506"/>
      <c r="C267" s="48" t="s">
        <v>125</v>
      </c>
      <c r="D267" s="49">
        <v>33</v>
      </c>
      <c r="E267" s="41">
        <v>6.6986999999999997</v>
      </c>
      <c r="F267" s="41">
        <f>+E267</f>
        <v>6.6986999999999997</v>
      </c>
      <c r="G267" s="50">
        <f t="shared" ref="G267:G268" si="49">ROUND(D267*(E267),2)</f>
        <v>221.06</v>
      </c>
      <c r="H267" s="296"/>
      <c r="I267" s="298"/>
      <c r="J267" s="298"/>
      <c r="K267" s="637"/>
      <c r="L267" s="606"/>
      <c r="M267" s="935"/>
      <c r="N267" s="607"/>
      <c r="O267" s="608"/>
      <c r="P267" s="609"/>
      <c r="Q267" s="610"/>
    </row>
    <row r="268" spans="1:17">
      <c r="A268" s="934"/>
      <c r="B268" s="506"/>
      <c r="C268" s="99" t="s">
        <v>29</v>
      </c>
      <c r="D268" s="296">
        <v>737</v>
      </c>
      <c r="E268" s="101">
        <v>6.6986999999999997</v>
      </c>
      <c r="F268" s="41">
        <f>+E268</f>
        <v>6.6986999999999997</v>
      </c>
      <c r="G268" s="50">
        <f t="shared" si="49"/>
        <v>4936.9399999999996</v>
      </c>
      <c r="H268" s="296"/>
      <c r="I268" s="298"/>
      <c r="J268" s="298"/>
      <c r="K268" s="637"/>
      <c r="L268" s="614"/>
      <c r="M268" s="935"/>
      <c r="N268" s="615"/>
      <c r="O268" s="615"/>
      <c r="P268" s="615"/>
      <c r="Q268" s="616"/>
    </row>
    <row r="269" spans="1:17" ht="15.75" thickBot="1">
      <c r="A269" s="942"/>
      <c r="B269" s="278"/>
      <c r="C269" s="54"/>
      <c r="D269" s="941"/>
      <c r="E269" s="281"/>
      <c r="F269" s="57"/>
      <c r="G269" s="58"/>
      <c r="H269" s="613"/>
      <c r="I269" s="57"/>
      <c r="J269" s="57"/>
      <c r="K269" s="943"/>
      <c r="L269" s="784"/>
      <c r="M269" s="938"/>
      <c r="N269" s="615"/>
      <c r="O269" s="615"/>
      <c r="P269" s="615"/>
      <c r="Q269" s="615"/>
    </row>
    <row r="270" spans="1:17" collapsed="1">
      <c r="A270" s="376">
        <v>314</v>
      </c>
      <c r="B270" s="602" t="s">
        <v>210</v>
      </c>
      <c r="C270" s="439" t="s">
        <v>124</v>
      </c>
      <c r="D270" s="184">
        <f>фев18!D267+фев18!D268</f>
        <v>10</v>
      </c>
      <c r="E270" s="41">
        <f>6.6987-6.6231</f>
        <v>7.5599999999999667E-2</v>
      </c>
      <c r="F270" s="23">
        <f t="shared" ref="F270" si="50">+E270</f>
        <v>7.5599999999999667E-2</v>
      </c>
      <c r="G270" s="185">
        <f>ROUND(D270*(E270),2)</f>
        <v>0.76</v>
      </c>
      <c r="H270" s="620"/>
      <c r="I270" s="620"/>
      <c r="J270" s="620"/>
      <c r="K270" s="634"/>
      <c r="L270" s="603">
        <f>SUM(G270:G272)</f>
        <v>0.76</v>
      </c>
      <c r="M270" s="187"/>
      <c r="N270" s="615"/>
      <c r="O270" s="615" t="s">
        <v>225</v>
      </c>
      <c r="P270" s="615"/>
      <c r="Q270" s="615"/>
    </row>
    <row r="271" spans="1:17">
      <c r="A271" s="934"/>
      <c r="B271" s="516"/>
      <c r="C271" s="48" t="s">
        <v>125</v>
      </c>
      <c r="D271" s="49"/>
      <c r="E271" s="41">
        <v>6.6986999999999997</v>
      </c>
      <c r="F271" s="41">
        <f>+E271</f>
        <v>6.6986999999999997</v>
      </c>
      <c r="G271" s="50">
        <f>ROUND(D271*(E271),2)</f>
        <v>0</v>
      </c>
      <c r="H271" s="296"/>
      <c r="I271" s="298"/>
      <c r="J271" s="298"/>
      <c r="K271" s="637"/>
      <c r="L271" s="606"/>
      <c r="M271" s="935"/>
      <c r="N271" s="615"/>
      <c r="O271" s="615"/>
      <c r="P271" s="615"/>
      <c r="Q271" s="615"/>
    </row>
    <row r="272" spans="1:17" ht="15.75" thickBot="1">
      <c r="A272" s="942"/>
      <c r="B272" s="982"/>
      <c r="C272" s="54" t="s">
        <v>29</v>
      </c>
      <c r="D272" s="613"/>
      <c r="E272" s="56">
        <v>6.6986999999999997</v>
      </c>
      <c r="F272" s="281">
        <f t="shared" ref="F272" si="51">+E272</f>
        <v>6.6986999999999997</v>
      </c>
      <c r="G272" s="58">
        <f t="shared" ref="G272" si="52">ROUND(D272*(E272),2)</f>
        <v>0</v>
      </c>
      <c r="H272" s="613"/>
      <c r="I272" s="57"/>
      <c r="J272" s="57"/>
      <c r="K272" s="943"/>
      <c r="L272" s="783"/>
      <c r="M272" s="938"/>
      <c r="N272" s="615"/>
      <c r="O272" s="615"/>
      <c r="P272" s="615"/>
      <c r="Q272" s="615"/>
    </row>
    <row r="273" spans="1:21" collapsed="1">
      <c r="A273" s="353" t="s">
        <v>203</v>
      </c>
      <c r="B273" s="494" t="s">
        <v>104</v>
      </c>
      <c r="C273" s="71">
        <f>+[1]дек!U66</f>
        <v>0</v>
      </c>
      <c r="D273" s="495">
        <v>21</v>
      </c>
      <c r="E273" s="21">
        <v>36.214199999999998</v>
      </c>
      <c r="F273" s="21">
        <v>42.4328</v>
      </c>
      <c r="G273" s="185">
        <f>ROUND(D273*(E273+F273),2)</f>
        <v>1651.59</v>
      </c>
      <c r="H273" s="496"/>
      <c r="I273" s="73"/>
      <c r="J273" s="73"/>
      <c r="K273" s="497"/>
      <c r="L273" s="439">
        <f>SUM(G273:G280)+SUM(J273:J279)</f>
        <v>23906.31</v>
      </c>
      <c r="M273" s="26">
        <v>23906.31</v>
      </c>
      <c r="N273" s="499"/>
      <c r="O273" s="500"/>
      <c r="P273" s="501" t="s">
        <v>87</v>
      </c>
      <c r="Q273" s="185">
        <f t="shared" ref="Q273" si="53">C273+G273+J273-M273-N273-O273</f>
        <v>-22254.720000000001</v>
      </c>
      <c r="R273" s="502" t="s">
        <v>88</v>
      </c>
      <c r="S273" s="503"/>
      <c r="T273" s="504"/>
    </row>
    <row r="274" spans="1:21" ht="15.75" thickBot="1">
      <c r="A274" s="934">
        <v>417</v>
      </c>
      <c r="B274" s="506"/>
      <c r="C274" s="599" t="s">
        <v>96</v>
      </c>
      <c r="D274" s="234"/>
      <c r="E274" s="38"/>
      <c r="F274" s="38"/>
      <c r="G274" s="235">
        <f>ROUND(D274*(E274+F274),2)</f>
        <v>0</v>
      </c>
      <c r="H274" s="448"/>
      <c r="I274" s="509"/>
      <c r="J274" s="409"/>
      <c r="K274" s="510"/>
      <c r="L274" s="48"/>
      <c r="M274" s="512"/>
      <c r="N274" s="513"/>
      <c r="O274" s="514"/>
      <c r="P274" s="515"/>
      <c r="Q274" s="262"/>
      <c r="R274" s="502"/>
      <c r="S274" s="503"/>
      <c r="T274" s="504"/>
    </row>
    <row r="275" spans="1:21">
      <c r="A275" s="934"/>
      <c r="B275" s="516" t="s">
        <v>89</v>
      </c>
      <c r="C275" s="512" t="s">
        <v>90</v>
      </c>
      <c r="D275" s="508">
        <v>3</v>
      </c>
      <c r="E275" s="101">
        <v>326.58</v>
      </c>
      <c r="F275" s="21">
        <v>42.4328</v>
      </c>
      <c r="G275" s="50">
        <f>ROUND(D275*(E275+F275),2)</f>
        <v>1107.04</v>
      </c>
      <c r="H275" s="270"/>
      <c r="I275" s="41"/>
      <c r="J275" s="409"/>
      <c r="K275" s="510"/>
      <c r="L275" s="600"/>
      <c r="M275" s="99"/>
      <c r="N275" s="518"/>
      <c r="O275" s="519"/>
      <c r="P275" s="515" t="s">
        <v>87</v>
      </c>
      <c r="Q275" s="271">
        <f>+G275+J275-M275-N275-O275</f>
        <v>1107.04</v>
      </c>
      <c r="R275" s="502" t="s">
        <v>88</v>
      </c>
      <c r="S275" s="503"/>
      <c r="T275" s="504"/>
    </row>
    <row r="276" spans="1:21">
      <c r="A276" s="934"/>
      <c r="B276" s="541"/>
      <c r="C276" s="84" t="s">
        <v>97</v>
      </c>
      <c r="D276" s="508">
        <f>фев18!D271</f>
        <v>5</v>
      </c>
      <c r="E276" s="41">
        <f>326.58-444.53</f>
        <v>-117.94999999999999</v>
      </c>
      <c r="F276" s="38"/>
      <c r="G276" s="50">
        <f>ROUND(D276*(E276+F276),2)</f>
        <v>-589.75</v>
      </c>
      <c r="H276" s="432"/>
      <c r="I276" s="362"/>
      <c r="J276" s="41"/>
      <c r="K276" s="510"/>
      <c r="L276" s="600"/>
      <c r="M276" s="520"/>
      <c r="N276" s="521"/>
      <c r="O276" s="522"/>
      <c r="P276" s="523"/>
      <c r="Q276" s="362"/>
      <c r="R276" s="502"/>
      <c r="S276" s="503"/>
      <c r="T276" s="504"/>
    </row>
    <row r="277" spans="1:21">
      <c r="A277" s="934"/>
      <c r="B277" s="541"/>
      <c r="C277" s="84" t="s">
        <v>97</v>
      </c>
      <c r="D277" s="508"/>
      <c r="E277" s="41"/>
      <c r="F277" s="41"/>
      <c r="G277" s="50">
        <f>D277*(E277+F277)</f>
        <v>0</v>
      </c>
      <c r="H277" s="432"/>
      <c r="I277" s="362"/>
      <c r="J277" s="41"/>
      <c r="K277" s="510"/>
      <c r="L277" s="600"/>
      <c r="M277" s="520"/>
      <c r="N277" s="521"/>
      <c r="O277" s="522"/>
      <c r="P277" s="523"/>
      <c r="Q277" s="362"/>
      <c r="R277" s="502"/>
      <c r="S277" s="503"/>
      <c r="T277" s="504"/>
    </row>
    <row r="278" spans="1:21">
      <c r="A278" s="934"/>
      <c r="B278" s="506"/>
      <c r="C278" s="48" t="s">
        <v>124</v>
      </c>
      <c r="D278" s="37">
        <f>фев18!D275+фев18!D276</f>
        <v>2926</v>
      </c>
      <c r="E278" s="41">
        <f>6.6987-6.6231</f>
        <v>7.5599999999999667E-2</v>
      </c>
      <c r="F278" s="297">
        <f t="shared" ref="F278:F280" si="54">+E278</f>
        <v>7.5599999999999667E-2</v>
      </c>
      <c r="G278" s="39">
        <f>ROUND(D278*(E278),2)</f>
        <v>221.21</v>
      </c>
      <c r="H278" s="432"/>
      <c r="I278" s="362"/>
      <c r="J278" s="41"/>
      <c r="K278" s="510"/>
      <c r="L278" s="600"/>
      <c r="M278" s="520"/>
      <c r="N278" s="521"/>
      <c r="O278" s="522"/>
      <c r="P278" s="523"/>
      <c r="Q278" s="362"/>
      <c r="R278" s="502"/>
      <c r="S278" s="503"/>
      <c r="T278" s="504"/>
    </row>
    <row r="279" spans="1:21">
      <c r="A279" s="934"/>
      <c r="B279" s="506"/>
      <c r="C279" s="48" t="s">
        <v>125</v>
      </c>
      <c r="D279" s="37">
        <v>136</v>
      </c>
      <c r="E279" s="41">
        <v>6.6986999999999997</v>
      </c>
      <c r="F279" s="298">
        <f t="shared" si="54"/>
        <v>6.6986999999999997</v>
      </c>
      <c r="G279" s="39">
        <f>ROUND(D279*(E279),2)</f>
        <v>911.02</v>
      </c>
      <c r="H279" s="432"/>
      <c r="I279" s="362"/>
      <c r="J279" s="41"/>
      <c r="K279" s="510"/>
      <c r="L279" s="600"/>
      <c r="M279" s="520"/>
      <c r="N279" s="521"/>
      <c r="O279" s="522"/>
      <c r="P279" s="523"/>
      <c r="Q279" s="362"/>
      <c r="R279" s="502"/>
      <c r="S279" s="503"/>
      <c r="T279" s="504"/>
      <c r="U279" s="33"/>
    </row>
    <row r="280" spans="1:21" ht="15.75" thickBot="1">
      <c r="A280" s="934"/>
      <c r="B280" s="526"/>
      <c r="C280" s="99" t="s">
        <v>29</v>
      </c>
      <c r="D280" s="55">
        <v>3076</v>
      </c>
      <c r="E280" s="56">
        <v>6.6986999999999997</v>
      </c>
      <c r="F280" s="57">
        <f t="shared" si="54"/>
        <v>6.6986999999999997</v>
      </c>
      <c r="G280" s="414">
        <f>ROUND(D280*(E280),2)</f>
        <v>20605.2</v>
      </c>
      <c r="H280" s="248"/>
      <c r="I280" s="203"/>
      <c r="J280" s="60"/>
      <c r="K280" s="61"/>
      <c r="L280" s="204"/>
      <c r="M280" s="54"/>
      <c r="N280" s="527"/>
      <c r="O280" s="528"/>
      <c r="P280" s="529" t="s">
        <v>87</v>
      </c>
      <c r="Q280" s="362">
        <f>+G280+J280-M280-N280-O280</f>
        <v>20605.2</v>
      </c>
      <c r="R280" s="502" t="s">
        <v>88</v>
      </c>
      <c r="S280" s="598">
        <f>SUM(N273:N280)+O273:O280</f>
        <v>0</v>
      </c>
      <c r="T280" s="598">
        <f>SUM(Q273:Q280)</f>
        <v>-542.47999999999956</v>
      </c>
    </row>
    <row r="281" spans="1:21">
      <c r="A281" s="376">
        <v>407</v>
      </c>
      <c r="B281" s="494" t="s">
        <v>108</v>
      </c>
      <c r="C281" s="71">
        <f>+[1]дек!U87</f>
        <v>0</v>
      </c>
      <c r="D281" s="495">
        <v>4</v>
      </c>
      <c r="E281" s="21">
        <v>36.214199999999998</v>
      </c>
      <c r="F281" s="21">
        <v>42.4328</v>
      </c>
      <c r="G281" s="185">
        <f>ROUND(D281*(E281+F281),2)</f>
        <v>314.58999999999997</v>
      </c>
      <c r="H281" s="496"/>
      <c r="I281" s="73"/>
      <c r="J281" s="73"/>
      <c r="K281" s="497"/>
      <c r="L281" s="498">
        <f>SUM(G281:G287)+SUM(J281:J286)</f>
        <v>2323.3199999999997</v>
      </c>
      <c r="M281" s="26">
        <v>2323.3200000000002</v>
      </c>
      <c r="N281" s="499"/>
      <c r="O281" s="500"/>
      <c r="P281" s="501" t="s">
        <v>87</v>
      </c>
      <c r="Q281" s="304">
        <f t="shared" ref="Q281:Q283" si="55">C281+G281+J281-M281-N281-O281</f>
        <v>-2008.7300000000002</v>
      </c>
    </row>
    <row r="282" spans="1:21">
      <c r="A282" s="389"/>
      <c r="B282" s="506"/>
      <c r="C282" s="542" t="s">
        <v>96</v>
      </c>
      <c r="D282" s="234"/>
      <c r="E282" s="38"/>
      <c r="F282" s="38"/>
      <c r="G282" s="235">
        <f>ROUND(D282*(E282+F282),2)</f>
        <v>0</v>
      </c>
      <c r="H282" s="448"/>
      <c r="I282" s="509"/>
      <c r="J282" s="409"/>
      <c r="K282" s="510"/>
      <c r="L282" s="632"/>
      <c r="M282" s="512"/>
      <c r="N282" s="513"/>
      <c r="O282" s="514"/>
      <c r="P282" s="515"/>
      <c r="Q282" s="262"/>
    </row>
    <row r="283" spans="1:21">
      <c r="A283" s="389"/>
      <c r="B283" s="516" t="s">
        <v>109</v>
      </c>
      <c r="C283" s="633"/>
      <c r="D283" s="508">
        <v>0</v>
      </c>
      <c r="E283" s="101">
        <v>326.58</v>
      </c>
      <c r="F283" s="38">
        <v>42.4328</v>
      </c>
      <c r="G283" s="50">
        <f>D283*(E283+F283)</f>
        <v>0</v>
      </c>
      <c r="H283" s="270"/>
      <c r="I283" s="41"/>
      <c r="J283" s="409"/>
      <c r="K283" s="510"/>
      <c r="L283" s="597"/>
      <c r="M283" s="99"/>
      <c r="N283" s="518"/>
      <c r="O283" s="519"/>
      <c r="P283" s="515" t="s">
        <v>87</v>
      </c>
      <c r="Q283" s="271">
        <f t="shared" si="55"/>
        <v>0</v>
      </c>
    </row>
    <row r="284" spans="1:21">
      <c r="A284" s="389"/>
      <c r="B284" s="541"/>
      <c r="C284" s="84" t="s">
        <v>97</v>
      </c>
      <c r="D284" s="508">
        <f>фев18!D279</f>
        <v>0</v>
      </c>
      <c r="E284" s="41">
        <f>326.58-444.53</f>
        <v>-117.94999999999999</v>
      </c>
      <c r="F284" s="41"/>
      <c r="G284" s="50">
        <f>D284*(E284+F284)</f>
        <v>0</v>
      </c>
      <c r="H284" s="432"/>
      <c r="I284" s="362"/>
      <c r="J284" s="207"/>
      <c r="K284" s="510"/>
      <c r="L284" s="597"/>
      <c r="M284" s="520"/>
      <c r="N284" s="521"/>
      <c r="O284" s="522"/>
      <c r="P284" s="523"/>
      <c r="Q284" s="362"/>
    </row>
    <row r="285" spans="1:21">
      <c r="A285" s="389"/>
      <c r="B285" s="506"/>
      <c r="C285" s="48" t="s">
        <v>124</v>
      </c>
      <c r="D285" s="37">
        <f>фев18!D282+фев18!D283</f>
        <v>520</v>
      </c>
      <c r="E285" s="41">
        <f>6.6987-6.6231</f>
        <v>7.5599999999999667E-2</v>
      </c>
      <c r="F285" s="41">
        <f>+E285</f>
        <v>7.5599999999999667E-2</v>
      </c>
      <c r="G285" s="39">
        <f>ROUND(D285*(E285),2)+0.01</f>
        <v>39.32</v>
      </c>
      <c r="H285" s="432"/>
      <c r="I285" s="362"/>
      <c r="J285" s="207"/>
      <c r="K285" s="510"/>
      <c r="L285" s="597"/>
      <c r="M285" s="520"/>
      <c r="N285" s="521"/>
      <c r="O285" s="522"/>
      <c r="P285" s="523"/>
      <c r="Q285" s="362"/>
    </row>
    <row r="286" spans="1:21">
      <c r="A286" s="389"/>
      <c r="B286" s="506"/>
      <c r="C286" s="48" t="s">
        <v>125</v>
      </c>
      <c r="D286" s="37">
        <v>12</v>
      </c>
      <c r="E286" s="41">
        <v>6.6986999999999997</v>
      </c>
      <c r="F286" s="41">
        <f>+E286</f>
        <v>6.6986999999999997</v>
      </c>
      <c r="G286" s="39">
        <f t="shared" ref="G286:G287" si="56">ROUND(D286*(E286),2)</f>
        <v>80.38</v>
      </c>
      <c r="H286" s="432"/>
      <c r="I286" s="362"/>
      <c r="J286" s="207"/>
      <c r="K286" s="510"/>
      <c r="L286" s="597"/>
      <c r="M286" s="520"/>
      <c r="N286" s="521"/>
      <c r="O286" s="522"/>
      <c r="P286" s="523"/>
      <c r="Q286" s="362"/>
    </row>
    <row r="287" spans="1:21" ht="15.75" thickBot="1">
      <c r="A287" s="411"/>
      <c r="B287" s="526"/>
      <c r="C287" s="54" t="s">
        <v>29</v>
      </c>
      <c r="D287" s="55">
        <v>282</v>
      </c>
      <c r="E287" s="56">
        <v>6.6986999999999997</v>
      </c>
      <c r="F287" s="281">
        <f>+E287</f>
        <v>6.6986999999999997</v>
      </c>
      <c r="G287" s="414">
        <f t="shared" si="56"/>
        <v>1889.03</v>
      </c>
      <c r="H287" s="248"/>
      <c r="I287" s="203"/>
      <c r="J287" s="60"/>
      <c r="K287" s="61"/>
      <c r="L287" s="249"/>
      <c r="M287" s="54"/>
      <c r="N287" s="527"/>
      <c r="O287" s="528"/>
      <c r="P287" s="529" t="s">
        <v>87</v>
      </c>
      <c r="Q287" s="282">
        <f>+G287+J287-M287-N287-O287</f>
        <v>1889.03</v>
      </c>
    </row>
    <row r="288" spans="1:21" collapsed="1">
      <c r="A288" s="376">
        <v>411</v>
      </c>
      <c r="B288" s="602" t="s">
        <v>127</v>
      </c>
      <c r="C288" s="439" t="s">
        <v>124</v>
      </c>
      <c r="D288" s="184">
        <f>фев18!D285+фев18!D286</f>
        <v>439.7</v>
      </c>
      <c r="E288" s="23">
        <f>6.6987-6.6231</f>
        <v>7.5599999999999667E-2</v>
      </c>
      <c r="F288" s="23">
        <f t="shared" ref="F288" si="57">+E288</f>
        <v>7.5599999999999667E-2</v>
      </c>
      <c r="G288" s="185">
        <f>ROUND(D288*(E288),2)+0.01</f>
        <v>33.25</v>
      </c>
      <c r="H288" s="669"/>
      <c r="I288" s="620"/>
      <c r="J288" s="620"/>
      <c r="K288" s="634"/>
      <c r="L288" s="603">
        <f>SUM(G288:G291)</f>
        <v>3258</v>
      </c>
      <c r="M288" s="187">
        <v>3258</v>
      </c>
      <c r="N288" s="604"/>
      <c r="O288" s="635"/>
      <c r="P288" s="636"/>
      <c r="Q288" s="605"/>
    </row>
    <row r="289" spans="1:21">
      <c r="A289" s="934"/>
      <c r="B289" s="506"/>
      <c r="C289" s="48" t="s">
        <v>125</v>
      </c>
      <c r="D289" s="49">
        <v>20.399999999999999</v>
      </c>
      <c r="E289" s="41">
        <v>6.6986999999999997</v>
      </c>
      <c r="F289" s="41">
        <f>+E289</f>
        <v>6.6986999999999997</v>
      </c>
      <c r="G289" s="50">
        <f>ROUND(D289*(E289),2)</f>
        <v>136.65</v>
      </c>
      <c r="H289" s="296"/>
      <c r="I289" s="298"/>
      <c r="J289" s="298"/>
      <c r="K289" s="637"/>
      <c r="L289" s="606"/>
      <c r="M289" s="935"/>
      <c r="N289" s="607"/>
      <c r="O289" s="608"/>
      <c r="P289" s="609"/>
      <c r="Q289" s="610"/>
    </row>
    <row r="290" spans="1:21">
      <c r="A290" s="934"/>
      <c r="B290" s="506"/>
      <c r="C290" s="99" t="s">
        <v>29</v>
      </c>
      <c r="D290" s="296">
        <v>461</v>
      </c>
      <c r="E290" s="101">
        <v>6.6986999999999997</v>
      </c>
      <c r="F290" s="41">
        <f t="shared" ref="F290" si="58">+E290</f>
        <v>6.6986999999999997</v>
      </c>
      <c r="G290" s="50">
        <f t="shared" ref="G290" si="59">ROUND(D290*(E290),2)</f>
        <v>3088.1</v>
      </c>
      <c r="H290" s="296"/>
      <c r="I290" s="298"/>
      <c r="J290" s="298"/>
      <c r="K290" s="637"/>
      <c r="L290" s="606"/>
      <c r="M290" s="935"/>
      <c r="N290" s="615"/>
      <c r="O290" s="615"/>
      <c r="P290" s="615"/>
      <c r="Q290" s="616"/>
    </row>
    <row r="291" spans="1:21" ht="15.75" thickBot="1">
      <c r="A291" s="942"/>
      <c r="B291" s="278"/>
      <c r="C291" s="784"/>
      <c r="D291" s="941"/>
      <c r="E291" s="281"/>
      <c r="F291" s="57"/>
      <c r="G291" s="58"/>
      <c r="H291" s="613"/>
      <c r="I291" s="57"/>
      <c r="J291" s="57"/>
      <c r="K291" s="637"/>
      <c r="L291" s="606"/>
      <c r="M291" s="935"/>
      <c r="N291" s="615"/>
      <c r="O291" s="615"/>
      <c r="P291" s="615"/>
      <c r="Q291" s="615"/>
    </row>
    <row r="292" spans="1:21">
      <c r="A292" s="376">
        <v>501</v>
      </c>
      <c r="B292" s="494" t="s">
        <v>202</v>
      </c>
      <c r="C292" s="71"/>
      <c r="D292" s="495">
        <v>24</v>
      </c>
      <c r="E292" s="21">
        <v>36.214199999999998</v>
      </c>
      <c r="F292" s="21">
        <v>42.4328</v>
      </c>
      <c r="G292" s="185">
        <f>ROUND(D292*(E292+F292),2)</f>
        <v>1887.53</v>
      </c>
      <c r="H292" s="496"/>
      <c r="I292" s="73"/>
      <c r="J292" s="73"/>
      <c r="K292" s="497"/>
      <c r="L292" s="498">
        <f>+SUM(G292:G299,C299)+SUM(J292:J299)</f>
        <v>61250.166400000002</v>
      </c>
      <c r="M292" s="26">
        <v>61250.17</v>
      </c>
      <c r="N292" s="499"/>
      <c r="O292" s="500"/>
      <c r="P292" s="501" t="s">
        <v>87</v>
      </c>
      <c r="Q292" s="304">
        <f t="shared" ref="Q292:Q309" si="60">C292+G292+J292-M292-N292-O292</f>
        <v>-59362.64</v>
      </c>
      <c r="R292" s="502" t="s">
        <v>88</v>
      </c>
      <c r="S292" s="503"/>
      <c r="T292" s="504"/>
      <c r="U292" s="33"/>
    </row>
    <row r="293" spans="1:21">
      <c r="A293" s="389"/>
      <c r="B293" s="506"/>
      <c r="C293" s="507"/>
      <c r="D293" s="508"/>
      <c r="E293" s="38"/>
      <c r="F293" s="38"/>
      <c r="G293" s="50">
        <f>ROUND(D293*(E293+F293),2)</f>
        <v>0</v>
      </c>
      <c r="H293" s="448"/>
      <c r="I293" s="509"/>
      <c r="J293" s="409"/>
      <c r="K293" s="510"/>
      <c r="L293" s="511"/>
      <c r="M293" s="512"/>
      <c r="N293" s="513"/>
      <c r="O293" s="514"/>
      <c r="P293" s="515"/>
      <c r="Q293" s="262"/>
      <c r="R293" s="502"/>
      <c r="S293" s="503"/>
      <c r="T293" s="504"/>
      <c r="U293" s="33"/>
    </row>
    <row r="294" spans="1:21">
      <c r="A294" s="389"/>
      <c r="B294" s="516" t="s">
        <v>89</v>
      </c>
      <c r="C294" s="512" t="s">
        <v>90</v>
      </c>
      <c r="D294" s="508">
        <v>13</v>
      </c>
      <c r="E294" s="101">
        <v>326.58</v>
      </c>
      <c r="F294" s="38">
        <v>42.4328</v>
      </c>
      <c r="G294" s="50">
        <f>D294*(E294+F294)</f>
        <v>4797.1664000000001</v>
      </c>
      <c r="H294" s="270"/>
      <c r="I294" s="41"/>
      <c r="J294" s="409"/>
      <c r="K294" s="510"/>
      <c r="L294" s="517"/>
      <c r="M294" s="99"/>
      <c r="N294" s="518"/>
      <c r="O294" s="519"/>
      <c r="P294" s="515" t="s">
        <v>87</v>
      </c>
      <c r="Q294" s="271">
        <f>+G294+J294-M294-N294-O294</f>
        <v>4797.1664000000001</v>
      </c>
      <c r="R294" s="502" t="s">
        <v>88</v>
      </c>
      <c r="S294" s="503"/>
      <c r="T294" s="504"/>
    </row>
    <row r="295" spans="1:21">
      <c r="A295" s="389"/>
      <c r="B295" s="506" t="s">
        <v>91</v>
      </c>
      <c r="C295" s="507"/>
      <c r="D295" s="508">
        <f>фев18!D290</f>
        <v>5</v>
      </c>
      <c r="E295" s="41">
        <f>326.58-444.53</f>
        <v>-117.94999999999999</v>
      </c>
      <c r="F295" s="38"/>
      <c r="G295" s="50">
        <f>ROUND(D295*(E295+F295),2)</f>
        <v>-589.75</v>
      </c>
      <c r="H295" s="432"/>
      <c r="I295" s="362"/>
      <c r="J295" s="409"/>
      <c r="K295" s="510"/>
      <c r="L295" s="517"/>
      <c r="M295" s="520"/>
      <c r="N295" s="521"/>
      <c r="O295" s="522"/>
      <c r="P295" s="523"/>
      <c r="Q295" s="362"/>
      <c r="R295" s="502"/>
      <c r="S295" s="503"/>
      <c r="T295" s="504"/>
    </row>
    <row r="296" spans="1:21">
      <c r="A296" s="389"/>
      <c r="B296" s="506" t="s">
        <v>91</v>
      </c>
      <c r="C296" s="507"/>
      <c r="D296" s="508"/>
      <c r="E296" s="38"/>
      <c r="F296" s="41"/>
      <c r="G296" s="50">
        <f>D296*(E296+F296)</f>
        <v>0</v>
      </c>
      <c r="H296" s="432"/>
      <c r="I296" s="362"/>
      <c r="J296" s="409"/>
      <c r="K296" s="510"/>
      <c r="L296" s="517"/>
      <c r="M296" s="520"/>
      <c r="N296" s="521"/>
      <c r="O296" s="522"/>
      <c r="P296" s="523"/>
      <c r="Q296" s="362"/>
      <c r="R296" s="502"/>
      <c r="S296" s="503"/>
      <c r="T296" s="504"/>
    </row>
    <row r="297" spans="1:21">
      <c r="A297" s="389"/>
      <c r="B297" s="506" t="s">
        <v>92</v>
      </c>
      <c r="C297" s="48" t="s">
        <v>124</v>
      </c>
      <c r="D297" s="508">
        <f>фев18!D294+фев18!D295</f>
        <v>7241</v>
      </c>
      <c r="E297" s="41">
        <f>6.6987-6.6231</f>
        <v>7.5599999999999667E-2</v>
      </c>
      <c r="F297" s="41">
        <f>+E297</f>
        <v>7.5599999999999667E-2</v>
      </c>
      <c r="G297" s="39">
        <f>ROUNDDOWN(D297*E297,2)+0.01</f>
        <v>547.41999999999996</v>
      </c>
      <c r="H297" s="432"/>
      <c r="I297" s="362"/>
      <c r="J297" s="41"/>
      <c r="K297" s="510"/>
      <c r="L297" s="517"/>
      <c r="M297" s="520"/>
      <c r="N297" s="521"/>
      <c r="O297" s="522"/>
      <c r="P297" s="523"/>
      <c r="Q297" s="362"/>
      <c r="R297" s="502"/>
      <c r="S297" s="503"/>
      <c r="T297" s="504"/>
    </row>
    <row r="298" spans="1:21">
      <c r="A298" s="389"/>
      <c r="B298" s="506"/>
      <c r="C298" s="48" t="s">
        <v>125</v>
      </c>
      <c r="D298" s="508">
        <v>346</v>
      </c>
      <c r="E298" s="41">
        <v>6.6986999999999997</v>
      </c>
      <c r="F298" s="41">
        <f>+E298</f>
        <v>6.6986999999999997</v>
      </c>
      <c r="G298" s="39">
        <f>ROUND(D298*E298,2)</f>
        <v>2317.75</v>
      </c>
      <c r="H298" s="432"/>
      <c r="I298" s="362"/>
      <c r="J298" s="207"/>
      <c r="K298" s="524"/>
      <c r="L298" s="517"/>
      <c r="M298" s="520"/>
      <c r="N298" s="521"/>
      <c r="O298" s="522"/>
      <c r="P298" s="523"/>
      <c r="Q298" s="362"/>
      <c r="R298" s="502"/>
      <c r="S298" s="503"/>
      <c r="T298" s="504"/>
    </row>
    <row r="299" spans="1:21" ht="15.75" thickBot="1">
      <c r="A299" s="411"/>
      <c r="B299" s="526"/>
      <c r="C299" s="99" t="s">
        <v>29</v>
      </c>
      <c r="D299" s="55">
        <v>7806</v>
      </c>
      <c r="E299" s="56">
        <v>6.6986999999999997</v>
      </c>
      <c r="F299" s="57">
        <f>+E299</f>
        <v>6.6986999999999997</v>
      </c>
      <c r="G299" s="58">
        <f>ROUND(D299*E299,2)</f>
        <v>52290.05</v>
      </c>
      <c r="H299" s="248"/>
      <c r="I299" s="203"/>
      <c r="J299" s="60"/>
      <c r="K299" s="61"/>
      <c r="L299" s="249"/>
      <c r="M299" s="54"/>
      <c r="N299" s="527"/>
      <c r="O299" s="528"/>
      <c r="P299" s="529" t="s">
        <v>87</v>
      </c>
      <c r="Q299" s="282">
        <f>+G299+J299-M299-N299-O299</f>
        <v>52290.05</v>
      </c>
      <c r="R299" s="530" t="s">
        <v>88</v>
      </c>
      <c r="S299" s="531">
        <f>SUM(N292:N299)+O292:O299</f>
        <v>0</v>
      </c>
      <c r="T299" s="531">
        <f>SUM(Q292:Q299)</f>
        <v>-2275.4235999999946</v>
      </c>
      <c r="U299" s="33"/>
    </row>
    <row r="300" spans="1:21" ht="15.75" thickTop="1">
      <c r="A300" s="339">
        <v>502</v>
      </c>
      <c r="B300" s="532" t="s">
        <v>192</v>
      </c>
      <c r="C300" s="71">
        <f>+[1]дек!U51</f>
        <v>-6.0000000303261913E-4</v>
      </c>
      <c r="D300" s="213">
        <v>38</v>
      </c>
      <c r="E300" s="21">
        <v>36.214199999999998</v>
      </c>
      <c r="F300" s="21">
        <v>42.4328</v>
      </c>
      <c r="G300" s="214">
        <f>ROUND(D300*(E300+F300),2)</f>
        <v>2988.59</v>
      </c>
      <c r="H300" s="496"/>
      <c r="I300" s="73"/>
      <c r="J300" s="73"/>
      <c r="K300" s="497"/>
      <c r="L300" s="533">
        <f>+SUM(G300:G307,)+SUM(J300:J307)</f>
        <v>50950.14</v>
      </c>
      <c r="M300" s="26">
        <v>50950.14</v>
      </c>
      <c r="N300" s="534"/>
      <c r="O300" s="535"/>
      <c r="P300" s="536" t="s">
        <v>87</v>
      </c>
      <c r="Q300" s="537">
        <f t="shared" si="60"/>
        <v>-47961.550600000002</v>
      </c>
      <c r="R300" s="538" t="s">
        <v>95</v>
      </c>
      <c r="S300" s="539"/>
      <c r="T300" s="540"/>
      <c r="U300" s="33"/>
    </row>
    <row r="301" spans="1:21">
      <c r="A301" s="353"/>
      <c r="B301" s="541"/>
      <c r="C301" s="542" t="s">
        <v>96</v>
      </c>
      <c r="D301" s="234"/>
      <c r="E301" s="38"/>
      <c r="F301" s="38"/>
      <c r="G301" s="235">
        <f>ROUND(D301*(E301+F301),2)</f>
        <v>0</v>
      </c>
      <c r="H301" s="448"/>
      <c r="I301" s="509"/>
      <c r="J301" s="509"/>
      <c r="K301" s="543"/>
      <c r="L301" s="544"/>
      <c r="M301" s="545"/>
      <c r="N301" s="546"/>
      <c r="O301" s="547"/>
      <c r="P301" s="548"/>
      <c r="Q301" s="549"/>
      <c r="R301" s="550"/>
      <c r="S301" s="551"/>
      <c r="T301" s="552"/>
      <c r="U301" s="33"/>
    </row>
    <row r="302" spans="1:21">
      <c r="A302" s="353"/>
      <c r="B302" s="516" t="s">
        <v>32</v>
      </c>
      <c r="C302" s="99" t="s">
        <v>90</v>
      </c>
      <c r="D302" s="234">
        <v>28</v>
      </c>
      <c r="E302" s="101">
        <v>326.58</v>
      </c>
      <c r="F302" s="38">
        <v>42.4328</v>
      </c>
      <c r="G302" s="235">
        <f>ROUND(D302*(E302+F302),2)</f>
        <v>10332.36</v>
      </c>
      <c r="H302" s="270"/>
      <c r="I302" s="41"/>
      <c r="J302" s="41"/>
      <c r="K302" s="510"/>
      <c r="L302" s="553"/>
      <c r="M302" s="554"/>
      <c r="N302" s="555"/>
      <c r="O302" s="556"/>
      <c r="P302" s="557" t="s">
        <v>87</v>
      </c>
      <c r="Q302" s="558">
        <f>+G302+J302-M302-N302-O302</f>
        <v>10332.36</v>
      </c>
      <c r="R302" s="550" t="s">
        <v>95</v>
      </c>
      <c r="S302" s="551"/>
      <c r="T302" s="552"/>
    </row>
    <row r="303" spans="1:21">
      <c r="A303" s="353"/>
      <c r="B303" s="541"/>
      <c r="C303" s="84" t="s">
        <v>97</v>
      </c>
      <c r="D303" s="234">
        <f>фев18!D298</f>
        <v>28</v>
      </c>
      <c r="E303" s="41">
        <f>326.58-444.53</f>
        <v>-117.94999999999999</v>
      </c>
      <c r="F303" s="38"/>
      <c r="G303" s="50">
        <f>ROUND(D303*E303,2)</f>
        <v>-3302.6</v>
      </c>
      <c r="H303" s="432"/>
      <c r="I303" s="362"/>
      <c r="J303" s="41"/>
      <c r="K303" s="510"/>
      <c r="L303" s="559"/>
      <c r="M303" s="560"/>
      <c r="N303" s="561"/>
      <c r="O303" s="562"/>
      <c r="P303" s="563"/>
      <c r="Q303" s="564"/>
      <c r="R303" s="550"/>
      <c r="S303" s="551"/>
      <c r="T303" s="552"/>
    </row>
    <row r="304" spans="1:21">
      <c r="A304" s="353"/>
      <c r="B304" s="541"/>
      <c r="C304" s="84" t="s">
        <v>97</v>
      </c>
      <c r="D304" s="234"/>
      <c r="E304" s="38"/>
      <c r="F304" s="240"/>
      <c r="G304" s="50">
        <f>D304*(E304+F304)</f>
        <v>0</v>
      </c>
      <c r="H304" s="432"/>
      <c r="I304" s="362"/>
      <c r="J304" s="41"/>
      <c r="K304" s="510"/>
      <c r="L304" s="559"/>
      <c r="M304" s="560"/>
      <c r="N304" s="561"/>
      <c r="O304" s="562"/>
      <c r="P304" s="563"/>
      <c r="Q304" s="564"/>
      <c r="R304" s="550"/>
      <c r="S304" s="551"/>
      <c r="T304" s="552"/>
    </row>
    <row r="305" spans="1:21">
      <c r="A305" s="353"/>
      <c r="B305" s="541"/>
      <c r="C305" s="48" t="s">
        <v>124</v>
      </c>
      <c r="D305" s="37">
        <f>фев18!D302+фев18!D303</f>
        <v>5264</v>
      </c>
      <c r="E305" s="41">
        <f>6.6987-6.6231</f>
        <v>7.5599999999999667E-2</v>
      </c>
      <c r="F305" s="41">
        <f>+E305</f>
        <v>7.5599999999999667E-2</v>
      </c>
      <c r="G305" s="235">
        <f>ROUND(D305*E305,2)-0.01</f>
        <v>397.95</v>
      </c>
      <c r="H305" s="565"/>
      <c r="I305" s="564"/>
      <c r="J305" s="566"/>
      <c r="K305" s="567"/>
      <c r="L305" s="559"/>
      <c r="M305" s="560"/>
      <c r="N305" s="561"/>
      <c r="O305" s="562"/>
      <c r="P305" s="563"/>
      <c r="Q305" s="564"/>
      <c r="R305" s="550"/>
      <c r="S305" s="551"/>
      <c r="T305" s="552"/>
      <c r="U305" s="352"/>
    </row>
    <row r="306" spans="1:21">
      <c r="A306" s="353"/>
      <c r="B306" s="541"/>
      <c r="C306" s="48" t="s">
        <v>125</v>
      </c>
      <c r="D306" s="37">
        <v>257</v>
      </c>
      <c r="E306" s="41">
        <v>6.6986999999999997</v>
      </c>
      <c r="F306" s="41">
        <f>+E306</f>
        <v>6.6986999999999997</v>
      </c>
      <c r="G306" s="235">
        <f>ROUND(D306*E306,2)</f>
        <v>1721.57</v>
      </c>
      <c r="H306" s="565"/>
      <c r="I306" s="564"/>
      <c r="J306" s="566"/>
      <c r="K306" s="567"/>
      <c r="L306" s="559"/>
      <c r="M306" s="560"/>
      <c r="N306" s="561"/>
      <c r="O306" s="562"/>
      <c r="P306" s="563"/>
      <c r="Q306" s="564"/>
      <c r="R306" s="550"/>
      <c r="S306" s="551"/>
      <c r="T306" s="552"/>
      <c r="U306" s="33"/>
    </row>
    <row r="307" spans="1:21" ht="15.75" thickBot="1">
      <c r="A307" s="369"/>
      <c r="B307" s="568"/>
      <c r="C307" s="99" t="s">
        <v>29</v>
      </c>
      <c r="D307" s="246">
        <v>5794</v>
      </c>
      <c r="E307" s="56">
        <v>6.6986999999999997</v>
      </c>
      <c r="F307" s="57">
        <f>+E307</f>
        <v>6.6986999999999997</v>
      </c>
      <c r="G307" s="247">
        <f>ROUND(D307*E307,2)</f>
        <v>38812.269999999997</v>
      </c>
      <c r="H307" s="248"/>
      <c r="I307" s="203"/>
      <c r="J307" s="60"/>
      <c r="K307" s="61"/>
      <c r="L307" s="204"/>
      <c r="M307" s="560"/>
      <c r="N307" s="561"/>
      <c r="O307" s="528"/>
      <c r="P307" s="529" t="s">
        <v>87</v>
      </c>
      <c r="Q307" s="564">
        <f>+G307+J307-M307-N307-O307</f>
        <v>38812.269999999997</v>
      </c>
      <c r="R307" s="550" t="s">
        <v>95</v>
      </c>
      <c r="S307" s="569">
        <f>SUM(N300:N307)+O300:O307</f>
        <v>0</v>
      </c>
      <c r="T307" s="570">
        <f>SUM(Q302:Q307)</f>
        <v>49144.63</v>
      </c>
    </row>
    <row r="308" spans="1:21" ht="15.75" hidden="1" outlineLevel="1" thickBot="1">
      <c r="A308" s="571"/>
      <c r="B308" s="572" t="s">
        <v>98</v>
      </c>
      <c r="C308" s="573" t="s">
        <v>99</v>
      </c>
      <c r="D308" s="574"/>
      <c r="E308" s="575">
        <f>3.193-2.9732</f>
        <v>0.21980000000000022</v>
      </c>
      <c r="F308" s="575">
        <f>3.193-2.9732</f>
        <v>0.21980000000000022</v>
      </c>
      <c r="G308" s="576">
        <f>D308*E308*70%+D308*F308*30%</f>
        <v>0</v>
      </c>
      <c r="H308" s="577"/>
      <c r="I308" s="578"/>
      <c r="J308" s="579"/>
      <c r="K308" s="579"/>
      <c r="L308" s="580"/>
      <c r="M308" s="581"/>
      <c r="N308" s="582"/>
      <c r="O308" s="535"/>
      <c r="P308" s="536"/>
      <c r="Q308" s="583"/>
      <c r="R308" s="584"/>
      <c r="S308" s="569"/>
      <c r="T308" s="585"/>
    </row>
    <row r="309" spans="1:21" s="81" customFormat="1" ht="16.5" hidden="1" customHeight="1" outlineLevel="1" thickBot="1">
      <c r="A309" s="933" t="s">
        <v>100</v>
      </c>
      <c r="B309" s="587" t="s">
        <v>98</v>
      </c>
      <c r="C309" s="588">
        <f>+[1]авг!C52</f>
        <v>0</v>
      </c>
      <c r="D309" s="589"/>
      <c r="E309" s="575">
        <v>3.1930000000000001</v>
      </c>
      <c r="F309" s="575">
        <f>+E309</f>
        <v>3.1930000000000001</v>
      </c>
      <c r="G309" s="576">
        <f>D309*E309*70%+D309*F309*30%</f>
        <v>0</v>
      </c>
      <c r="H309" s="579"/>
      <c r="I309" s="579"/>
      <c r="J309" s="579"/>
      <c r="K309" s="579"/>
      <c r="L309" s="579">
        <f>+C309+G309+G308</f>
        <v>0</v>
      </c>
      <c r="M309" s="590"/>
      <c r="N309" s="500"/>
      <c r="O309" s="528"/>
      <c r="P309" s="529" t="s">
        <v>87</v>
      </c>
      <c r="Q309" s="591">
        <f t="shared" si="60"/>
        <v>0</v>
      </c>
      <c r="R309" s="592" t="s">
        <v>101</v>
      </c>
      <c r="S309" s="77">
        <f>SUM(N309:N309)+SUM(O309:O309)</f>
        <v>0</v>
      </c>
      <c r="T309" s="593">
        <f>SUM(Q309:Q309)</f>
        <v>0</v>
      </c>
    </row>
    <row r="310" spans="1:21" ht="15.75" hidden="1" outlineLevel="1" thickBot="1">
      <c r="A310" s="944"/>
      <c r="B310" s="945" t="s">
        <v>128</v>
      </c>
      <c r="C310" s="573" t="s">
        <v>115</v>
      </c>
      <c r="D310" s="946"/>
      <c r="E310" s="579">
        <f>6.8021-6.8946</f>
        <v>-9.2499999999999361E-2</v>
      </c>
      <c r="F310" s="579">
        <f t="shared" ref="F310" si="61">+E310</f>
        <v>-9.2499999999999361E-2</v>
      </c>
      <c r="G310" s="947">
        <f>ROUND(D310*(E310),2)</f>
        <v>0</v>
      </c>
      <c r="H310" s="948"/>
      <c r="I310" s="949"/>
      <c r="J310" s="949"/>
      <c r="K310" s="950"/>
      <c r="L310" s="951"/>
      <c r="M310" s="952"/>
      <c r="N310" s="604"/>
      <c r="O310" s="635"/>
      <c r="P310" s="636"/>
      <c r="Q310" s="605"/>
    </row>
    <row r="311" spans="1:21" ht="15.75" hidden="1" outlineLevel="1" thickBot="1">
      <c r="A311" s="953"/>
      <c r="B311" s="954"/>
      <c r="C311" s="573" t="s">
        <v>114</v>
      </c>
      <c r="D311" s="946"/>
      <c r="E311" s="579">
        <v>6.8021000000000003</v>
      </c>
      <c r="F311" s="579">
        <f>+E311</f>
        <v>6.8021000000000003</v>
      </c>
      <c r="G311" s="947">
        <f>ROUND(D311*(E311),2)</f>
        <v>0</v>
      </c>
      <c r="H311" s="948"/>
      <c r="I311" s="949"/>
      <c r="J311" s="949"/>
      <c r="K311" s="950"/>
      <c r="L311" s="955"/>
      <c r="M311" s="956"/>
      <c r="N311" s="607"/>
      <c r="O311" s="608"/>
      <c r="P311" s="609"/>
      <c r="Q311" s="610"/>
    </row>
    <row r="312" spans="1:21" ht="15.75" hidden="1" outlineLevel="1" thickBot="1">
      <c r="A312" s="944"/>
      <c r="B312" s="954"/>
      <c r="C312" s="916" t="s">
        <v>29</v>
      </c>
      <c r="D312" s="948"/>
      <c r="E312" s="917">
        <v>6.8021000000000003</v>
      </c>
      <c r="F312" s="579">
        <f t="shared" ref="F312" si="62">+E312</f>
        <v>6.8021000000000003</v>
      </c>
      <c r="G312" s="947">
        <f t="shared" ref="G312" si="63">ROUND(D312*(E312),2)</f>
        <v>0</v>
      </c>
      <c r="H312" s="948"/>
      <c r="I312" s="949"/>
      <c r="J312" s="949"/>
      <c r="K312" s="950"/>
      <c r="L312" s="951"/>
      <c r="M312" s="956"/>
      <c r="N312" s="615"/>
      <c r="O312" s="615"/>
      <c r="P312" s="615"/>
      <c r="Q312" s="616"/>
    </row>
    <row r="313" spans="1:21" ht="15.75" hidden="1" outlineLevel="1" thickBot="1">
      <c r="A313" s="953"/>
      <c r="B313" s="955"/>
      <c r="C313" s="575"/>
      <c r="D313" s="957"/>
      <c r="E313" s="580"/>
      <c r="F313" s="575"/>
      <c r="G313" s="958"/>
      <c r="H313" s="959"/>
      <c r="I313" s="575"/>
      <c r="J313" s="575"/>
      <c r="K313" s="575"/>
      <c r="L313" s="955"/>
      <c r="M313" s="956"/>
      <c r="N313" s="615"/>
      <c r="O313" s="615"/>
      <c r="P313" s="615"/>
      <c r="Q313" s="615"/>
    </row>
    <row r="314" spans="1:21" collapsed="1">
      <c r="A314" s="963"/>
      <c r="B314" s="621"/>
      <c r="C314" s="621"/>
      <c r="D314" s="964"/>
      <c r="E314" s="905"/>
      <c r="F314" s="621"/>
      <c r="G314" s="905"/>
      <c r="H314" s="621"/>
      <c r="I314" s="621"/>
      <c r="J314" s="621"/>
      <c r="K314" s="621"/>
      <c r="L314" s="621"/>
      <c r="M314" s="965"/>
      <c r="N314" s="615"/>
      <c r="O314" s="615"/>
      <c r="P314" s="615"/>
      <c r="Q314" s="615"/>
    </row>
    <row r="315" spans="1:21" ht="15.75" thickBot="1">
      <c r="A315" s="966"/>
      <c r="B315" s="615"/>
      <c r="C315" s="615"/>
      <c r="D315" s="696"/>
      <c r="E315" s="473"/>
      <c r="F315" s="615"/>
      <c r="G315" s="473"/>
      <c r="H315" s="615"/>
      <c r="I315" s="615"/>
      <c r="J315" s="615"/>
      <c r="K315" s="615"/>
      <c r="L315" s="615"/>
      <c r="M315" s="967"/>
      <c r="N315" s="615"/>
      <c r="O315" s="615"/>
      <c r="P315" s="615"/>
      <c r="Q315" s="615"/>
    </row>
    <row r="316" spans="1:21" s="81" customFormat="1" ht="15" customHeight="1" thickTop="1">
      <c r="A316" s="476"/>
      <c r="B316" s="158"/>
      <c r="C316" s="322"/>
      <c r="D316" s="477"/>
      <c r="E316" s="163"/>
      <c r="F316" s="163"/>
      <c r="G316" s="478"/>
      <c r="H316" s="163"/>
      <c r="I316" s="163"/>
      <c r="J316" s="163"/>
      <c r="K316" s="163"/>
      <c r="L316" s="163"/>
      <c r="M316" s="164"/>
      <c r="N316" s="479"/>
      <c r="O316" s="479"/>
      <c r="P316" s="479"/>
      <c r="Q316" s="479"/>
      <c r="R316" s="422"/>
      <c r="S316"/>
      <c r="T316" s="399"/>
    </row>
    <row r="317" spans="1:21" ht="15.75" thickBot="1">
      <c r="A317" s="968" t="s">
        <v>113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</row>
    <row r="318" spans="1:21" ht="15.75" customHeight="1" thickTop="1" thickBot="1">
      <c r="A318" s="1559" t="s">
        <v>1</v>
      </c>
      <c r="B318" s="1543" t="s">
        <v>2</v>
      </c>
      <c r="C318" s="1545" t="s">
        <v>3</v>
      </c>
      <c r="D318" s="1546" t="s">
        <v>4</v>
      </c>
      <c r="E318" s="1546"/>
      <c r="F318" s="1546"/>
      <c r="G318" s="1546"/>
      <c r="H318" s="1547"/>
      <c r="I318" s="1548"/>
      <c r="J318" s="1548"/>
      <c r="K318" s="1549"/>
      <c r="L318" s="1524" t="s">
        <v>6</v>
      </c>
      <c r="M318" s="1511" t="s">
        <v>7</v>
      </c>
      <c r="N318" s="1551" t="s">
        <v>8</v>
      </c>
      <c r="O318" s="1551"/>
      <c r="P318" s="1551"/>
      <c r="Q318" s="1552"/>
      <c r="R318" s="481"/>
      <c r="S318" s="482" t="s">
        <v>20</v>
      </c>
      <c r="T318" s="482" t="s">
        <v>21</v>
      </c>
    </row>
    <row r="319" spans="1:21" ht="26.25" thickBot="1">
      <c r="A319" s="1560"/>
      <c r="B319" s="1557"/>
      <c r="C319" s="1558" t="s">
        <v>10</v>
      </c>
      <c r="D319" s="483" t="s">
        <v>11</v>
      </c>
      <c r="E319" s="649" t="s">
        <v>12</v>
      </c>
      <c r="F319" s="649" t="s">
        <v>13</v>
      </c>
      <c r="G319" s="650" t="s">
        <v>14</v>
      </c>
      <c r="H319" s="651" t="s">
        <v>11</v>
      </c>
      <c r="I319" s="652" t="s">
        <v>15</v>
      </c>
      <c r="J319" s="653"/>
      <c r="K319" s="654" t="s">
        <v>16</v>
      </c>
      <c r="L319" s="1525"/>
      <c r="M319" s="1554"/>
      <c r="N319" s="655"/>
      <c r="O319" s="653"/>
      <c r="P319" s="656" t="s">
        <v>18</v>
      </c>
      <c r="Q319" s="657" t="s">
        <v>19</v>
      </c>
      <c r="R319" s="491"/>
      <c r="S319" s="492"/>
      <c r="T319" s="492"/>
    </row>
    <row r="320" spans="1:21">
      <c r="A320" s="961" t="s">
        <v>212</v>
      </c>
      <c r="B320" s="659" t="s">
        <v>116</v>
      </c>
      <c r="C320" s="668" t="s">
        <v>73</v>
      </c>
      <c r="D320" s="669">
        <v>5</v>
      </c>
      <c r="E320" s="21">
        <v>36.214199999999998</v>
      </c>
      <c r="F320" s="21">
        <v>42.4328</v>
      </c>
      <c r="G320" s="214">
        <f>+D320*(E320+F320)</f>
        <v>393.23499999999996</v>
      </c>
      <c r="H320" s="687"/>
      <c r="I320" s="688"/>
      <c r="J320" s="670"/>
      <c r="K320" s="689"/>
      <c r="L320" s="603">
        <f>SUM(G320:G326)+SUM(J320:J324)</f>
        <v>12213.205</v>
      </c>
      <c r="M320" s="187">
        <v>12213.21</v>
      </c>
      <c r="N320" s="670"/>
      <c r="O320" s="670"/>
      <c r="P320" s="670"/>
      <c r="Q320" s="670"/>
    </row>
    <row r="321" spans="1:18">
      <c r="A321" s="970"/>
      <c r="B321" s="672"/>
      <c r="C321" s="48"/>
      <c r="D321" s="673"/>
      <c r="E321" s="41"/>
      <c r="F321" s="298"/>
      <c r="G321" s="235">
        <f>+D321*E321</f>
        <v>0</v>
      </c>
      <c r="H321" s="687"/>
      <c r="I321" s="688"/>
      <c r="J321" s="670"/>
      <c r="K321" s="689"/>
      <c r="L321" s="606"/>
      <c r="M321" s="935"/>
      <c r="N321" s="298"/>
      <c r="O321" s="298"/>
      <c r="P321" s="298"/>
      <c r="Q321" s="298"/>
    </row>
    <row r="322" spans="1:18">
      <c r="A322" s="970"/>
      <c r="B322" s="442"/>
      <c r="C322" s="48"/>
      <c r="D322" s="673"/>
      <c r="E322" s="41"/>
      <c r="F322" s="298"/>
      <c r="G322" s="235">
        <f t="shared" ref="G322:G332" si="64">ROUND(D322*E322,2)</f>
        <v>0</v>
      </c>
      <c r="H322" s="687"/>
      <c r="I322" s="688"/>
      <c r="J322" s="670"/>
      <c r="K322" s="850"/>
      <c r="L322" s="614"/>
      <c r="M322" s="935"/>
      <c r="N322" s="298"/>
      <c r="O322" s="298"/>
      <c r="P322" s="298"/>
      <c r="Q322" s="298"/>
    </row>
    <row r="323" spans="1:18">
      <c r="A323" s="970"/>
      <c r="B323" s="35"/>
      <c r="C323" s="606"/>
      <c r="D323" s="673"/>
      <c r="E323" s="41"/>
      <c r="F323" s="298"/>
      <c r="G323" s="235">
        <f t="shared" si="64"/>
        <v>0</v>
      </c>
      <c r="H323" s="270"/>
      <c r="I323" s="688"/>
      <c r="J323" s="670"/>
      <c r="K323" s="689"/>
      <c r="L323" s="614"/>
      <c r="M323" s="273"/>
      <c r="N323" s="298"/>
      <c r="O323" s="298"/>
      <c r="P323" s="298"/>
      <c r="Q323" s="298"/>
    </row>
    <row r="324" spans="1:18" ht="15.75">
      <c r="A324" s="971"/>
      <c r="B324" s="672"/>
      <c r="C324" s="48" t="s">
        <v>124</v>
      </c>
      <c r="D324" s="269">
        <f>фев18!D321+фев18!D322</f>
        <v>1782.5</v>
      </c>
      <c r="E324" s="41">
        <f>6.6987-6.6231</f>
        <v>7.5599999999999667E-2</v>
      </c>
      <c r="F324" s="298">
        <f t="shared" ref="F324:F325" si="65">+E324</f>
        <v>7.5599999999999667E-2</v>
      </c>
      <c r="G324" s="235">
        <f t="shared" si="64"/>
        <v>134.76</v>
      </c>
      <c r="H324" s="270"/>
      <c r="I324" s="41"/>
      <c r="J324" s="670"/>
      <c r="K324" s="689"/>
      <c r="L324" s="606"/>
      <c r="M324" s="935"/>
      <c r="N324" s="663"/>
      <c r="O324" s="237"/>
      <c r="P324" s="275"/>
      <c r="Q324" s="237"/>
    </row>
    <row r="325" spans="1:18" ht="15.75">
      <c r="A325" s="972"/>
      <c r="B325" s="35"/>
      <c r="C325" s="48" t="s">
        <v>125</v>
      </c>
      <c r="D325" s="269">
        <v>58.3</v>
      </c>
      <c r="E325" s="41">
        <v>6.6986999999999997</v>
      </c>
      <c r="F325" s="298">
        <f t="shared" si="65"/>
        <v>6.6986999999999997</v>
      </c>
      <c r="G325" s="235">
        <f t="shared" si="64"/>
        <v>390.53</v>
      </c>
      <c r="H325" s="270"/>
      <c r="I325" s="41"/>
      <c r="J325" s="41"/>
      <c r="K325" s="41"/>
      <c r="L325" s="614"/>
      <c r="M325" s="935"/>
      <c r="N325" s="663"/>
      <c r="O325" s="237"/>
      <c r="P325" s="275"/>
      <c r="Q325" s="237"/>
    </row>
    <row r="326" spans="1:18" ht="15.75" thickBot="1">
      <c r="A326" s="973"/>
      <c r="B326" s="665"/>
      <c r="C326" s="54" t="s">
        <v>29</v>
      </c>
      <c r="D326" s="613">
        <v>1686.1</v>
      </c>
      <c r="E326" s="56">
        <v>6.6986999999999997</v>
      </c>
      <c r="F326" s="57"/>
      <c r="G326" s="247">
        <f t="shared" si="64"/>
        <v>11294.68</v>
      </c>
      <c r="H326" s="613"/>
      <c r="I326" s="57"/>
      <c r="J326" s="57"/>
      <c r="K326" s="57"/>
      <c r="L326" s="783"/>
      <c r="M326" s="250"/>
      <c r="N326" s="57"/>
      <c r="O326" s="57"/>
      <c r="P326" s="57"/>
      <c r="Q326" s="57"/>
      <c r="R326" s="615"/>
    </row>
    <row r="327" spans="1:18" ht="15.75">
      <c r="A327" s="658">
        <v>212</v>
      </c>
      <c r="B327" s="659" t="s">
        <v>148</v>
      </c>
      <c r="C327" s="786" t="s">
        <v>124</v>
      </c>
      <c r="D327" s="259">
        <f>фев18!D324+фев18!D325</f>
        <v>194.2</v>
      </c>
      <c r="E327" s="41">
        <f>6.6987-6.6231</f>
        <v>7.5599999999999667E-2</v>
      </c>
      <c r="F327" s="691">
        <f>+E327</f>
        <v>7.5599999999999667E-2</v>
      </c>
      <c r="G327" s="214">
        <f t="shared" si="64"/>
        <v>14.68</v>
      </c>
      <c r="H327" s="303"/>
      <c r="I327" s="23"/>
      <c r="J327" s="23"/>
      <c r="K327" s="23"/>
      <c r="L327" s="603">
        <f>SUM(G327:G329)</f>
        <v>1310.21</v>
      </c>
      <c r="M327" s="187">
        <v>1310.21</v>
      </c>
      <c r="N327" s="660"/>
      <c r="O327" s="217"/>
      <c r="P327" s="661"/>
      <c r="Q327" s="219"/>
    </row>
    <row r="328" spans="1:18" ht="15.75">
      <c r="A328" s="662"/>
      <c r="B328" s="35"/>
      <c r="C328" s="48" t="s">
        <v>125</v>
      </c>
      <c r="D328" s="269">
        <v>6.5</v>
      </c>
      <c r="E328" s="41">
        <v>6.6986999999999997</v>
      </c>
      <c r="F328" s="298">
        <f t="shared" ref="F328" si="66">+E328</f>
        <v>6.6986999999999997</v>
      </c>
      <c r="G328" s="235">
        <f t="shared" si="64"/>
        <v>43.54</v>
      </c>
      <c r="H328" s="270"/>
      <c r="I328" s="41"/>
      <c r="J328" s="41"/>
      <c r="K328" s="41"/>
      <c r="L328" s="606"/>
      <c r="M328" s="935"/>
      <c r="N328" s="663"/>
      <c r="O328" s="237"/>
      <c r="P328" s="275"/>
      <c r="Q328" s="238"/>
    </row>
    <row r="329" spans="1:18" ht="15.75" thickBot="1">
      <c r="A329" s="975"/>
      <c r="B329" s="665"/>
      <c r="C329" s="99" t="s">
        <v>29</v>
      </c>
      <c r="D329" s="613">
        <v>186.9</v>
      </c>
      <c r="E329" s="56">
        <v>6.6986999999999997</v>
      </c>
      <c r="F329" s="57"/>
      <c r="G329" s="247">
        <f t="shared" si="64"/>
        <v>1251.99</v>
      </c>
      <c r="H329" s="613"/>
      <c r="I329" s="57"/>
      <c r="J329" s="57"/>
      <c r="K329" s="57"/>
      <c r="L329" s="614"/>
      <c r="M329" s="606"/>
      <c r="N329" s="57"/>
      <c r="O329" s="57"/>
      <c r="P329" s="57"/>
      <c r="Q329" s="666"/>
    </row>
    <row r="330" spans="1:18" ht="15.75">
      <c r="A330" s="658">
        <v>218</v>
      </c>
      <c r="B330" s="659" t="s">
        <v>117</v>
      </c>
      <c r="C330" s="439" t="s">
        <v>124</v>
      </c>
      <c r="D330" s="259">
        <f>фев18!D327+фев18!D328</f>
        <v>396.90000000000003</v>
      </c>
      <c r="E330" s="23">
        <f>6.6987-6.6231</f>
        <v>7.5599999999999667E-2</v>
      </c>
      <c r="F330" s="691">
        <f>+E330</f>
        <v>7.5599999999999667E-2</v>
      </c>
      <c r="G330" s="214">
        <f>ROUND(D330*E330,2)+0.01</f>
        <v>30.020000000000003</v>
      </c>
      <c r="H330" s="303"/>
      <c r="I330" s="23"/>
      <c r="J330" s="23"/>
      <c r="K330" s="23"/>
      <c r="L330" s="603">
        <f>SUM(G330:G332)</f>
        <v>2621.0699999999997</v>
      </c>
      <c r="M330" s="187">
        <v>2621.0700000000002</v>
      </c>
      <c r="N330" s="660"/>
      <c r="O330" s="217"/>
      <c r="P330" s="661"/>
      <c r="Q330" s="219"/>
      <c r="R330" s="615"/>
    </row>
    <row r="331" spans="1:18" ht="15.75">
      <c r="A331" s="662"/>
      <c r="B331" s="506"/>
      <c r="C331" s="48" t="s">
        <v>125</v>
      </c>
      <c r="D331" s="773">
        <v>12.9</v>
      </c>
      <c r="E331" s="41">
        <v>6.6986999999999997</v>
      </c>
      <c r="F331" s="774">
        <f t="shared" ref="F331" si="67">+E331</f>
        <v>6.6986999999999997</v>
      </c>
      <c r="G331" s="775">
        <f t="shared" si="64"/>
        <v>86.41</v>
      </c>
      <c r="H331" s="432"/>
      <c r="I331" s="207"/>
      <c r="J331" s="207"/>
      <c r="K331" s="207"/>
      <c r="L331" s="776"/>
      <c r="M331" s="974"/>
      <c r="N331" s="777"/>
      <c r="O331" s="778"/>
      <c r="P331" s="779"/>
      <c r="Q331" s="780"/>
    </row>
    <row r="332" spans="1:18" ht="15.75" thickBot="1">
      <c r="A332" s="975"/>
      <c r="B332" s="278"/>
      <c r="C332" s="54" t="s">
        <v>29</v>
      </c>
      <c r="D332" s="613">
        <v>373.9</v>
      </c>
      <c r="E332" s="56">
        <v>6.6986999999999997</v>
      </c>
      <c r="F332" s="57"/>
      <c r="G332" s="247">
        <f t="shared" si="64"/>
        <v>2504.64</v>
      </c>
      <c r="H332" s="613"/>
      <c r="I332" s="57"/>
      <c r="J332" s="57"/>
      <c r="K332" s="57"/>
      <c r="L332" s="783"/>
      <c r="M332" s="938"/>
      <c r="N332" s="57"/>
      <c r="O332" s="57"/>
      <c r="P332" s="57"/>
      <c r="Q332" s="666"/>
    </row>
    <row r="333" spans="1:18" ht="15.75">
      <c r="A333" s="658">
        <v>311</v>
      </c>
      <c r="B333" s="602" t="s">
        <v>142</v>
      </c>
      <c r="C333" s="786" t="s">
        <v>73</v>
      </c>
      <c r="D333" s="787">
        <v>168</v>
      </c>
      <c r="E333" s="21">
        <v>36.214199999999998</v>
      </c>
      <c r="F333" s="21">
        <v>42.4328</v>
      </c>
      <c r="G333" s="214">
        <f>+D333*(E333+F333)</f>
        <v>13212.695999999998</v>
      </c>
      <c r="H333" s="687"/>
      <c r="I333" s="688"/>
      <c r="J333" s="670"/>
      <c r="K333" s="850"/>
      <c r="L333" s="603">
        <f>SUM(G333:G336,J333:J336)</f>
        <v>30250.326000000001</v>
      </c>
      <c r="M333" s="187">
        <v>30250.33</v>
      </c>
      <c r="N333" s="788"/>
      <c r="O333" s="789"/>
      <c r="P333" s="790"/>
      <c r="Q333" s="791"/>
    </row>
    <row r="334" spans="1:18" ht="15.75">
      <c r="A334" s="662"/>
      <c r="B334" s="939"/>
      <c r="C334" s="48" t="s">
        <v>124</v>
      </c>
      <c r="D334" s="269">
        <f>фев18!D331+фев18!D332</f>
        <v>2562.7000000000003</v>
      </c>
      <c r="E334" s="41">
        <f>6.6987-6.6231</f>
        <v>7.5599999999999667E-2</v>
      </c>
      <c r="F334" s="297">
        <f>+E334</f>
        <v>7.5599999999999667E-2</v>
      </c>
      <c r="G334" s="235">
        <f>ROUND(D334*E334,2)+0.01</f>
        <v>193.75</v>
      </c>
      <c r="H334" s="270"/>
      <c r="I334" s="688"/>
      <c r="J334" s="670"/>
      <c r="K334" s="689"/>
      <c r="L334" s="614"/>
      <c r="M334" s="273"/>
      <c r="N334" s="663"/>
      <c r="O334" s="237"/>
      <c r="P334" s="275"/>
      <c r="Q334" s="238"/>
    </row>
    <row r="335" spans="1:18" ht="15.75">
      <c r="A335" s="662"/>
      <c r="B335" s="506"/>
      <c r="C335" s="48" t="s">
        <v>125</v>
      </c>
      <c r="D335" s="269">
        <v>84.11</v>
      </c>
      <c r="E335" s="41">
        <v>6.6986999999999997</v>
      </c>
      <c r="F335" s="298">
        <f t="shared" ref="F335" si="68">+E335</f>
        <v>6.6986999999999997</v>
      </c>
      <c r="G335" s="235">
        <f t="shared" ref="G335:G336" si="69">ROUND(D335*E335,2)</f>
        <v>563.42999999999995</v>
      </c>
      <c r="H335" s="270"/>
      <c r="I335" s="41"/>
      <c r="J335" s="670"/>
      <c r="K335" s="689"/>
      <c r="L335" s="606"/>
      <c r="M335" s="935"/>
      <c r="N335" s="663"/>
      <c r="O335" s="237"/>
      <c r="P335" s="275"/>
      <c r="Q335" s="238"/>
    </row>
    <row r="336" spans="1:18" ht="15.75" thickBot="1">
      <c r="A336" s="975"/>
      <c r="B336" s="278"/>
      <c r="C336" s="54" t="s">
        <v>29</v>
      </c>
      <c r="D336" s="795">
        <v>2430.39</v>
      </c>
      <c r="E336" s="56">
        <v>6.6986999999999997</v>
      </c>
      <c r="F336" s="797"/>
      <c r="G336" s="798">
        <f t="shared" si="69"/>
        <v>16280.45</v>
      </c>
      <c r="H336" s="795"/>
      <c r="I336" s="797"/>
      <c r="J336" s="797"/>
      <c r="K336" s="797"/>
      <c r="L336" s="799"/>
      <c r="M336" s="976"/>
      <c r="N336" s="797"/>
      <c r="O336" s="797"/>
      <c r="P336" s="797"/>
      <c r="Q336" s="800"/>
    </row>
    <row r="337" spans="1:17" ht="15.75">
      <c r="A337" s="658">
        <v>500</v>
      </c>
      <c r="B337" s="659" t="s">
        <v>55</v>
      </c>
      <c r="C337" s="48" t="s">
        <v>124</v>
      </c>
      <c r="D337" s="259">
        <f>фев18!D334+фев18!D335</f>
        <v>2130.1999999999998</v>
      </c>
      <c r="E337" s="41">
        <f>6.6987-6.6231</f>
        <v>7.5599999999999667E-2</v>
      </c>
      <c r="F337" s="691">
        <f>+E337</f>
        <v>7.5599999999999667E-2</v>
      </c>
      <c r="G337" s="214">
        <f>ROUND(D337*E337,2)</f>
        <v>161.04</v>
      </c>
      <c r="H337" s="303"/>
      <c r="I337" s="23"/>
      <c r="J337" s="23"/>
      <c r="K337" s="23"/>
      <c r="L337" s="603">
        <f>SUM(G337:G339)</f>
        <v>14573.300000000001</v>
      </c>
      <c r="M337" s="187">
        <v>14573.3</v>
      </c>
      <c r="N337" s="660"/>
      <c r="O337" s="217"/>
      <c r="P337" s="661"/>
      <c r="Q337" s="219"/>
    </row>
    <row r="338" spans="1:17" ht="15.75">
      <c r="A338" s="662" t="s">
        <v>211</v>
      </c>
      <c r="B338" s="35"/>
      <c r="C338" s="48" t="s">
        <v>125</v>
      </c>
      <c r="D338" s="269">
        <v>72</v>
      </c>
      <c r="E338" s="41">
        <v>6.6986999999999997</v>
      </c>
      <c r="F338" s="298">
        <f t="shared" ref="F338" si="70">+E338</f>
        <v>6.6986999999999997</v>
      </c>
      <c r="G338" s="235">
        <f>ROUND(D338*E338,2)</f>
        <v>482.31</v>
      </c>
      <c r="H338" s="270"/>
      <c r="I338" s="41"/>
      <c r="J338" s="41"/>
      <c r="K338" s="41"/>
      <c r="L338" s="606"/>
      <c r="M338" s="935"/>
      <c r="N338" s="663"/>
      <c r="O338" s="237"/>
      <c r="P338" s="275"/>
      <c r="Q338" s="238"/>
    </row>
    <row r="339" spans="1:17" ht="15.75" thickBot="1">
      <c r="A339" s="969"/>
      <c r="B339" s="665"/>
      <c r="C339" s="99" t="s">
        <v>29</v>
      </c>
      <c r="D339" s="613">
        <v>2079.5</v>
      </c>
      <c r="E339" s="56">
        <v>6.6986999999999997</v>
      </c>
      <c r="F339" s="57"/>
      <c r="G339" s="247">
        <f>ROUND(D339*E339,2)</f>
        <v>13929.95</v>
      </c>
      <c r="H339" s="613"/>
      <c r="I339" s="57"/>
      <c r="J339" s="57"/>
      <c r="K339" s="57"/>
      <c r="L339" s="614"/>
      <c r="M339" s="935"/>
      <c r="N339" s="57"/>
      <c r="O339" s="57"/>
      <c r="P339" s="57"/>
      <c r="Q339" s="666"/>
    </row>
    <row r="340" spans="1:17">
      <c r="A340" s="977"/>
    </row>
    <row r="341" spans="1:17">
      <c r="A341" s="977"/>
    </row>
    <row r="342" spans="1:17">
      <c r="A342" s="977"/>
    </row>
  </sheetData>
  <mergeCells count="40"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  <mergeCell ref="M97:M98"/>
    <mergeCell ref="N97:Q97"/>
    <mergeCell ref="A219:A220"/>
    <mergeCell ref="B219:B220"/>
    <mergeCell ref="C219:C220"/>
    <mergeCell ref="D219:G219"/>
    <mergeCell ref="H219:K219"/>
    <mergeCell ref="L219:L220"/>
    <mergeCell ref="M219:M220"/>
    <mergeCell ref="N219:Q219"/>
    <mergeCell ref="A97:A98"/>
    <mergeCell ref="B97:B98"/>
    <mergeCell ref="C97:C98"/>
    <mergeCell ref="D97:G97"/>
    <mergeCell ref="H97:K97"/>
    <mergeCell ref="L97:L98"/>
    <mergeCell ref="M318:M319"/>
    <mergeCell ref="N318:Q318"/>
    <mergeCell ref="A318:A319"/>
    <mergeCell ref="B318:B319"/>
    <mergeCell ref="C318:C319"/>
    <mergeCell ref="D318:G318"/>
    <mergeCell ref="H318:K318"/>
    <mergeCell ref="L318:L319"/>
  </mergeCells>
  <pageMargins left="0.7" right="0.7" top="0.75" bottom="0.75" header="0.3" footer="0.3"/>
  <pageSetup paperSize="9" orientation="portrait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342"/>
  <sheetViews>
    <sheetView topLeftCell="A41" workbookViewId="0">
      <pane xSplit="3" topLeftCell="D1" activePane="topRight" state="frozen"/>
      <selection pane="topRight" activeCell="E106" sqref="E10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26.088999999999999</v>
      </c>
      <c r="E4" s="21">
        <v>36.214199999999998</v>
      </c>
      <c r="F4" s="21">
        <v>42.4328</v>
      </c>
      <c r="G4" s="22">
        <f>ROUND(D4*(E4+F4),2)</f>
        <v>2051.8200000000002</v>
      </c>
      <c r="H4" s="20"/>
      <c r="I4" s="23"/>
      <c r="J4" s="23"/>
      <c r="K4" s="24"/>
      <c r="L4" s="25">
        <f>SUM(G4:G8,J4:J7)</f>
        <v>115495.81</v>
      </c>
      <c r="M4" s="26">
        <v>115495.81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129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113443.99</v>
      </c>
      <c r="S6" s="31"/>
      <c r="T6" s="32"/>
    </row>
    <row r="7" spans="1:22">
      <c r="A7" s="34"/>
      <c r="B7" s="35"/>
      <c r="C7" s="48" t="s">
        <v>131</v>
      </c>
      <c r="D7" s="49">
        <v>493.8</v>
      </c>
      <c r="E7" s="41">
        <v>6.6913999999999998</v>
      </c>
      <c r="F7" s="41">
        <f>+E7</f>
        <v>6.6913999999999998</v>
      </c>
      <c r="G7" s="50">
        <f>ROUND(D7*E7,2)+0.01</f>
        <v>3304.2200000000003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113443.99</v>
      </c>
    </row>
    <row r="8" spans="1:22" ht="15.75" thickBot="1">
      <c r="A8" s="52"/>
      <c r="B8" s="53"/>
      <c r="C8" s="99" t="s">
        <v>29</v>
      </c>
      <c r="D8" s="55">
        <v>16459.900000000001</v>
      </c>
      <c r="E8" s="56">
        <v>6.6913999999999998</v>
      </c>
      <c r="F8" s="57">
        <f>+E8</f>
        <v>6.6913999999999998</v>
      </c>
      <c r="G8" s="58">
        <f>ROUND(D8*E8,2)</f>
        <v>110139.77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110139.77</v>
      </c>
      <c r="R8" s="66" t="s">
        <v>25</v>
      </c>
      <c r="S8" s="67">
        <f>SUM(O4:O8)</f>
        <v>0</v>
      </c>
      <c r="T8" s="68">
        <f>SUM(Q4:Q8)</f>
        <v>110139.77</v>
      </c>
    </row>
    <row r="9" spans="1:22" s="140" customFormat="1" collapsed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1334.57</v>
      </c>
      <c r="M9" s="26">
        <v>1334.57</v>
      </c>
      <c r="N9" s="27"/>
      <c r="O9" s="28"/>
      <c r="P9" s="29" t="s">
        <v>24</v>
      </c>
      <c r="Q9" s="28"/>
      <c r="R9" s="30"/>
      <c r="S9" s="31"/>
      <c r="T9" s="32"/>
      <c r="U9" s="33">
        <f>+C9+L9-M9</f>
        <v>0</v>
      </c>
    </row>
    <row r="10" spans="1:22" s="140" customFormat="1">
      <c r="A10" s="34"/>
      <c r="B10" s="35"/>
      <c r="C10" s="48" t="s">
        <v>129</v>
      </c>
      <c r="D10" s="37">
        <f>мар18!D11+мар18!D12</f>
        <v>282.2</v>
      </c>
      <c r="E10" s="41">
        <f>6.3259-6.6987</f>
        <v>-0.3727999999999998</v>
      </c>
      <c r="F10" s="38"/>
      <c r="G10" s="39">
        <f>ROUND(D10*(E10+F10),2)</f>
        <v>-105.2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>
      <c r="A11" s="34"/>
      <c r="B11" s="35"/>
      <c r="C11" s="48" t="s">
        <v>131</v>
      </c>
      <c r="D11" s="49">
        <v>6.6</v>
      </c>
      <c r="E11" s="41">
        <v>6.3258999999999999</v>
      </c>
      <c r="F11" s="41">
        <f>+E11</f>
        <v>6.3258999999999999</v>
      </c>
      <c r="G11" s="50">
        <f>ROUND(D11*E11,2)</f>
        <v>41.75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thickBot="1">
      <c r="A12" s="766"/>
      <c r="B12" s="767"/>
      <c r="C12" s="99" t="s">
        <v>29</v>
      </c>
      <c r="D12" s="49">
        <v>221</v>
      </c>
      <c r="E12" s="56">
        <v>6.3258999999999999</v>
      </c>
      <c r="F12" s="41">
        <f>+E12</f>
        <v>6.3258999999999999</v>
      </c>
      <c r="G12" s="50">
        <f>ROUND(D12*E12,2)</f>
        <v>1398.02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74</v>
      </c>
      <c r="E13" s="21">
        <v>36.214199999999998</v>
      </c>
      <c r="F13" s="21">
        <v>42.4328</v>
      </c>
      <c r="G13" s="22">
        <f>ROUND(D13*(E13+F13),2)</f>
        <v>5819.88</v>
      </c>
      <c r="H13" s="72"/>
      <c r="I13" s="21"/>
      <c r="J13" s="73"/>
      <c r="K13" s="24"/>
      <c r="L13" s="74">
        <f>SUM(G13:G20,J13:J19)</f>
        <v>52003.37</v>
      </c>
      <c r="M13" s="26">
        <v>52003.37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47</v>
      </c>
      <c r="E15" s="101">
        <v>341.87</v>
      </c>
      <c r="F15" s="38">
        <v>42.4328</v>
      </c>
      <c r="G15" s="39">
        <f>ROUND(D15*(E15+F15),2)</f>
        <v>18062.23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мар18!D15</f>
        <v>48</v>
      </c>
      <c r="E16" s="41">
        <f>341.87-326.58</f>
        <v>15.29000000000002</v>
      </c>
      <c r="F16" s="38"/>
      <c r="G16" s="50">
        <f>+D16*(E16+F16)</f>
        <v>733.92000000000098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129</v>
      </c>
      <c r="D18" s="49">
        <f>мар18!D19+мар18!D20</f>
        <v>4620.6000000000004</v>
      </c>
      <c r="E18" s="881">
        <f>6.3259-6.6987</f>
        <v>-0.3727999999999998</v>
      </c>
      <c r="F18" s="41">
        <f>+E18</f>
        <v>-0.3727999999999998</v>
      </c>
      <c r="G18" s="50">
        <f>ROUND(D18*E18*70%+D18*F18*30%,2)+0.01</f>
        <v>-1722.55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131</v>
      </c>
      <c r="D19" s="49">
        <f>8.7+120.2+5.2</f>
        <v>134.1</v>
      </c>
      <c r="E19" s="41">
        <v>6.3258999999999999</v>
      </c>
      <c r="F19" s="41">
        <f>E19</f>
        <v>6.3258999999999999</v>
      </c>
      <c r="G19" s="50">
        <f>ROUND(D19*E19*70%+D19*F19*30%,2)</f>
        <v>848.3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290.6+4005+172</f>
        <v>4467.6000000000004</v>
      </c>
      <c r="E20" s="56">
        <v>6.3258999999999999</v>
      </c>
      <c r="F20" s="109">
        <f>+E20</f>
        <v>6.3258999999999999</v>
      </c>
      <c r="G20" s="110">
        <f>ROUND(D20*E20*70%+D20*F20*30%,2)</f>
        <v>28261.59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92">
        <v>202</v>
      </c>
      <c r="B30" s="183" t="s">
        <v>159</v>
      </c>
      <c r="C30" s="439" t="s">
        <v>129</v>
      </c>
      <c r="D30" s="296">
        <f>мар18!D31+мар18!D32</f>
        <v>153.53</v>
      </c>
      <c r="E30" s="41">
        <f>6.3259-6.6987</f>
        <v>-0.3727999999999998</v>
      </c>
      <c r="F30" s="41">
        <f t="shared" ref="F30:F35" si="0">+E30</f>
        <v>-0.3727999999999998</v>
      </c>
      <c r="G30" s="235">
        <f>ROUND(D30*E30,2)+0.01</f>
        <v>-57.230000000000004</v>
      </c>
      <c r="H30" s="270"/>
      <c r="I30" s="41"/>
      <c r="J30" s="41"/>
      <c r="K30" s="271"/>
      <c r="L30" s="294">
        <f>SUM(G30:G32)</f>
        <v>864.06999999999994</v>
      </c>
      <c r="M30" s="227">
        <v>864.07</v>
      </c>
      <c r="N30" s="274"/>
      <c r="O30" s="237"/>
      <c r="P30" s="275"/>
      <c r="Q30" s="237"/>
      <c r="R30" s="242"/>
      <c r="S30" s="266"/>
      <c r="T30" s="266"/>
    </row>
    <row r="31" spans="1:21" ht="15.75">
      <c r="A31" s="896"/>
      <c r="B31" s="192"/>
      <c r="C31" s="48" t="s">
        <v>131</v>
      </c>
      <c r="D31" s="269">
        <v>1.54</v>
      </c>
      <c r="E31" s="41">
        <v>6.3258999999999999</v>
      </c>
      <c r="F31" s="41">
        <f t="shared" si="0"/>
        <v>6.3258999999999999</v>
      </c>
      <c r="G31" s="235">
        <f t="shared" ref="G31:G32" si="1">ROUND(D31*E31,2)</f>
        <v>9.74</v>
      </c>
      <c r="H31" s="270"/>
      <c r="I31" s="41"/>
      <c r="J31" s="41"/>
      <c r="K31" s="271"/>
      <c r="L31" s="272"/>
      <c r="M31" s="273"/>
      <c r="N31" s="274"/>
      <c r="O31" s="237"/>
      <c r="P31" s="275"/>
      <c r="Q31" s="237"/>
      <c r="R31" s="242"/>
      <c r="S31" s="266"/>
      <c r="T31" s="266"/>
    </row>
    <row r="32" spans="1:21" ht="16.5" thickBot="1">
      <c r="A32" s="891"/>
      <c r="B32" s="887"/>
      <c r="C32" s="54" t="s">
        <v>29</v>
      </c>
      <c r="D32" s="279">
        <v>144.1</v>
      </c>
      <c r="E32" s="56">
        <v>6.3258999999999999</v>
      </c>
      <c r="F32" s="57">
        <f t="shared" si="0"/>
        <v>6.3258999999999999</v>
      </c>
      <c r="G32" s="247">
        <f t="shared" si="1"/>
        <v>911.56</v>
      </c>
      <c r="H32" s="280"/>
      <c r="I32" s="281"/>
      <c r="J32" s="281"/>
      <c r="K32" s="282"/>
      <c r="L32" s="204"/>
      <c r="M32" s="250"/>
      <c r="N32" s="283"/>
      <c r="O32" s="252"/>
      <c r="P32" s="284"/>
      <c r="Q32" s="252"/>
      <c r="R32" s="242"/>
      <c r="S32" s="266"/>
      <c r="T32" s="266"/>
    </row>
    <row r="33" spans="1:21">
      <c r="A33" s="892">
        <v>204</v>
      </c>
      <c r="B33" s="183" t="s">
        <v>137</v>
      </c>
      <c r="C33" s="439" t="s">
        <v>129</v>
      </c>
      <c r="D33" s="296">
        <f>мар18!D34+мар18!D35</f>
        <v>186.47</v>
      </c>
      <c r="E33" s="41">
        <f>6.3259-6.6987</f>
        <v>-0.3727999999999998</v>
      </c>
      <c r="F33" s="41">
        <f t="shared" si="0"/>
        <v>-0.3727999999999998</v>
      </c>
      <c r="G33" s="235">
        <f>ROUND(D33*E33,2)</f>
        <v>-69.52</v>
      </c>
      <c r="H33" s="270"/>
      <c r="I33" s="41"/>
      <c r="J33" s="41"/>
      <c r="K33" s="271"/>
      <c r="L33" s="294">
        <f>SUM(G33:G35)</f>
        <v>1101.1500000000001</v>
      </c>
      <c r="M33" s="227">
        <v>1101.1500000000001</v>
      </c>
      <c r="N33" s="274"/>
      <c r="O33" s="237"/>
      <c r="P33" s="275"/>
      <c r="Q33" s="237"/>
      <c r="R33" s="242"/>
      <c r="S33" s="266"/>
      <c r="T33" s="266"/>
    </row>
    <row r="34" spans="1:21" ht="15.75">
      <c r="A34" s="896"/>
      <c r="B34" s="192"/>
      <c r="C34" s="48" t="s">
        <v>131</v>
      </c>
      <c r="D34" s="269">
        <v>1.96</v>
      </c>
      <c r="E34" s="41">
        <v>6.3258999999999999</v>
      </c>
      <c r="F34" s="41">
        <f t="shared" si="0"/>
        <v>6.3258999999999999</v>
      </c>
      <c r="G34" s="235">
        <f>ROUND(D34*E34,2)</f>
        <v>12.4</v>
      </c>
      <c r="H34" s="270"/>
      <c r="I34" s="41"/>
      <c r="J34" s="41"/>
      <c r="K34" s="271"/>
      <c r="L34" s="272"/>
      <c r="M34" s="273"/>
      <c r="N34" s="274"/>
      <c r="O34" s="237"/>
      <c r="P34" s="275"/>
      <c r="Q34" s="237"/>
      <c r="R34" s="242"/>
      <c r="S34" s="266"/>
      <c r="T34" s="266"/>
    </row>
    <row r="35" spans="1:21" ht="16.5" thickBot="1">
      <c r="A35" s="891"/>
      <c r="B35" s="887"/>
      <c r="C35" s="54" t="s">
        <v>29</v>
      </c>
      <c r="D35" s="279">
        <v>183.1</v>
      </c>
      <c r="E35" s="56">
        <v>6.3258999999999999</v>
      </c>
      <c r="F35" s="57">
        <f t="shared" si="0"/>
        <v>6.3258999999999999</v>
      </c>
      <c r="G35" s="247">
        <f>ROUND(D35*E35,2)</f>
        <v>1158.27</v>
      </c>
      <c r="H35" s="280"/>
      <c r="I35" s="281"/>
      <c r="J35" s="281"/>
      <c r="K35" s="282"/>
      <c r="L35" s="204"/>
      <c r="M35" s="250"/>
      <c r="N35" s="283"/>
      <c r="O35" s="252"/>
      <c r="P35" s="284"/>
      <c r="Q35" s="252"/>
      <c r="R35" s="242"/>
      <c r="S35" s="266"/>
      <c r="T35" s="266"/>
    </row>
    <row r="36" spans="1:21">
      <c r="A36" s="892">
        <v>215</v>
      </c>
      <c r="B36" s="183" t="s">
        <v>189</v>
      </c>
      <c r="C36" s="71">
        <v>0</v>
      </c>
      <c r="D36" s="213">
        <v>0</v>
      </c>
      <c r="E36" s="21">
        <v>36.214199999999998</v>
      </c>
      <c r="F36" s="21">
        <v>42.4328</v>
      </c>
      <c r="G36" s="214">
        <f>ROUND(D36*(E36+F36),2)</f>
        <v>0</v>
      </c>
      <c r="H36" s="213"/>
      <c r="I36" s="194"/>
      <c r="J36" s="215"/>
      <c r="K36" s="679"/>
      <c r="L36" s="216">
        <f>SUM(G36:G43)+SUM(J36:J43)</f>
        <v>1474.98</v>
      </c>
      <c r="M36" s="187">
        <v>1474.98</v>
      </c>
      <c r="N36" s="188"/>
      <c r="O36" s="217"/>
      <c r="P36" s="218"/>
      <c r="Q36" s="219"/>
      <c r="R36" s="220"/>
      <c r="S36" s="221"/>
      <c r="T36" s="222"/>
      <c r="U36" s="33"/>
    </row>
    <row r="37" spans="1:21">
      <c r="A37" s="890"/>
      <c r="B37" s="872"/>
      <c r="C37" s="84" t="s">
        <v>26</v>
      </c>
      <c r="D37" s="37"/>
      <c r="E37" s="38"/>
      <c r="F37" s="38"/>
      <c r="G37" s="39">
        <f>ROUND(D37*(E37+F37),2)</f>
        <v>0</v>
      </c>
      <c r="H37" s="225"/>
      <c r="I37" s="194"/>
      <c r="J37" s="194"/>
      <c r="K37" s="226"/>
      <c r="L37" s="196"/>
      <c r="M37" s="227"/>
      <c r="N37" s="228"/>
      <c r="O37" s="229"/>
      <c r="P37" s="230"/>
      <c r="Q37" s="231"/>
      <c r="R37" s="232"/>
      <c r="S37" s="233"/>
      <c r="T37" s="224"/>
      <c r="U37" s="33"/>
    </row>
    <row r="38" spans="1:21">
      <c r="A38" s="890"/>
      <c r="B38" s="873" t="s">
        <v>32</v>
      </c>
      <c r="C38" s="99" t="s">
        <v>33</v>
      </c>
      <c r="D38" s="234">
        <v>0</v>
      </c>
      <c r="E38" s="101">
        <v>194.8</v>
      </c>
      <c r="F38" s="38">
        <v>42.4328</v>
      </c>
      <c r="G38" s="235">
        <f>ROUND(D38*(E38+F38),2)</f>
        <v>0</v>
      </c>
      <c r="H38" s="234"/>
      <c r="I38" s="194"/>
      <c r="J38" s="194"/>
      <c r="K38" s="195"/>
      <c r="L38" s="196"/>
      <c r="M38" s="227"/>
      <c r="N38" s="236"/>
      <c r="O38" s="237"/>
      <c r="P38" s="230"/>
      <c r="Q38" s="238"/>
      <c r="R38" s="232"/>
      <c r="S38" s="233"/>
      <c r="T38" s="224"/>
    </row>
    <row r="39" spans="1:21">
      <c r="A39" s="890"/>
      <c r="B39" s="872" t="s">
        <v>33</v>
      </c>
      <c r="C39" s="239" t="s">
        <v>26</v>
      </c>
      <c r="D39" s="234">
        <f>мар18!D38</f>
        <v>0</v>
      </c>
      <c r="E39" s="240">
        <f>194.8-199.58</f>
        <v>-4.7800000000000011</v>
      </c>
      <c r="F39" s="240">
        <v>0</v>
      </c>
      <c r="G39" s="235">
        <f>+ROUND(D39*E39,2)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890"/>
      <c r="B40" s="872"/>
      <c r="C40" s="239" t="s">
        <v>26</v>
      </c>
      <c r="D40" s="234"/>
      <c r="E40" s="240"/>
      <c r="F40" s="41"/>
      <c r="G40" s="235">
        <f>+ROUND(D40*F40,2)</f>
        <v>0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890"/>
      <c r="B41" s="872"/>
      <c r="C41" s="48" t="s">
        <v>129</v>
      </c>
      <c r="D41" s="49">
        <f>мар18!D42+мар18!D43</f>
        <v>102.39999999999999</v>
      </c>
      <c r="E41" s="41">
        <f>6.3259-6.6987</f>
        <v>-0.3727999999999998</v>
      </c>
      <c r="F41" s="41">
        <f t="shared" ref="F41:F43" si="2">+E41</f>
        <v>-0.3727999999999998</v>
      </c>
      <c r="G41" s="50">
        <f>ROUND(D41*E41,2)</f>
        <v>-38.17</v>
      </c>
      <c r="H41" s="241"/>
      <c r="I41" s="194"/>
      <c r="J41" s="194"/>
      <c r="K41" s="195"/>
      <c r="L41" s="196"/>
      <c r="M41" s="227"/>
      <c r="N41" s="236"/>
      <c r="O41" s="237"/>
      <c r="P41" s="230"/>
      <c r="Q41" s="238"/>
      <c r="R41" s="242"/>
      <c r="S41" s="233"/>
      <c r="T41" s="224"/>
    </row>
    <row r="42" spans="1:21">
      <c r="A42" s="890"/>
      <c r="B42" s="872"/>
      <c r="C42" s="48" t="s">
        <v>131</v>
      </c>
      <c r="D42" s="49">
        <v>2.5</v>
      </c>
      <c r="E42" s="41">
        <v>6.3258999999999999</v>
      </c>
      <c r="F42" s="41">
        <f t="shared" si="2"/>
        <v>6.3258999999999999</v>
      </c>
      <c r="G42" s="50">
        <f>ROUND(D42*E42,2)</f>
        <v>15.81</v>
      </c>
      <c r="H42" s="241"/>
      <c r="I42" s="194"/>
      <c r="J42" s="243"/>
      <c r="K42" s="195"/>
      <c r="L42" s="196"/>
      <c r="M42" s="227"/>
      <c r="N42" s="236"/>
      <c r="O42" s="237"/>
      <c r="P42" s="230"/>
      <c r="Q42" s="238"/>
      <c r="R42" s="242"/>
      <c r="S42" s="233"/>
      <c r="T42" s="224"/>
      <c r="U42" s="33"/>
    </row>
    <row r="43" spans="1:21" ht="15.75" thickBot="1">
      <c r="A43" s="897"/>
      <c r="B43" s="875"/>
      <c r="C43" s="99" t="s">
        <v>29</v>
      </c>
      <c r="D43" s="246">
        <v>236.7</v>
      </c>
      <c r="E43" s="56">
        <v>6.3258999999999999</v>
      </c>
      <c r="F43" s="57">
        <f t="shared" si="2"/>
        <v>6.3258999999999999</v>
      </c>
      <c r="G43" s="247">
        <f>ROUND(D43*E43*70%+D43*F43*30%,2)</f>
        <v>1497.34</v>
      </c>
      <c r="H43" s="248"/>
      <c r="I43" s="203"/>
      <c r="J43" s="60"/>
      <c r="K43" s="61"/>
      <c r="L43" s="249"/>
      <c r="M43" s="250"/>
      <c r="N43" s="251"/>
      <c r="O43" s="252"/>
      <c r="P43" s="253"/>
      <c r="Q43" s="254"/>
      <c r="R43" s="255"/>
      <c r="S43" s="256"/>
      <c r="T43" s="256"/>
    </row>
    <row r="44" spans="1:21" ht="16.5" collapsed="1" thickTop="1" thickBot="1">
      <c r="A44" s="891">
        <v>309</v>
      </c>
      <c r="B44" s="887" t="s">
        <v>152</v>
      </c>
      <c r="C44" s="54" t="s">
        <v>129</v>
      </c>
      <c r="D44" s="296">
        <f>мар18!D45+мар18!D46</f>
        <v>280.67</v>
      </c>
      <c r="E44" s="41">
        <f>6.3259-6.6987</f>
        <v>-0.3727999999999998</v>
      </c>
      <c r="F44" s="41">
        <f>+E44</f>
        <v>-0.3727999999999998</v>
      </c>
      <c r="G44" s="235">
        <f>ROUND(D44*E44,2)-0.01</f>
        <v>-104.64</v>
      </c>
      <c r="H44" s="270"/>
      <c r="I44" s="41"/>
      <c r="J44" s="41"/>
      <c r="K44" s="271"/>
      <c r="L44" s="294">
        <f>SUM(G44:G46)</f>
        <v>1615.25</v>
      </c>
      <c r="M44" s="227">
        <v>1615.25</v>
      </c>
      <c r="N44" s="274"/>
      <c r="O44" s="237"/>
      <c r="P44" s="275"/>
      <c r="Q44" s="237"/>
      <c r="R44" s="242"/>
      <c r="S44" s="266"/>
      <c r="T44" s="266"/>
    </row>
    <row r="45" spans="1:21" ht="15.75">
      <c r="A45" s="896"/>
      <c r="B45" s="885"/>
      <c r="C45" s="48" t="s">
        <v>131</v>
      </c>
      <c r="D45" s="269">
        <v>2.88</v>
      </c>
      <c r="E45" s="41">
        <v>6.3258999999999999</v>
      </c>
      <c r="F45" s="41">
        <f>+E45</f>
        <v>6.3258999999999999</v>
      </c>
      <c r="G45" s="235">
        <f t="shared" ref="G45:G46" si="3">ROUND(D45*E45,2)</f>
        <v>18.22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1" ht="16.5" thickBot="1">
      <c r="A46" s="891"/>
      <c r="B46" s="887"/>
      <c r="C46" s="54" t="s">
        <v>29</v>
      </c>
      <c r="D46" s="279">
        <v>269</v>
      </c>
      <c r="E46" s="56">
        <v>6.3258999999999999</v>
      </c>
      <c r="F46" s="57">
        <f>+E46</f>
        <v>6.3258999999999999</v>
      </c>
      <c r="G46" s="247">
        <f t="shared" si="3"/>
        <v>1701.67</v>
      </c>
      <c r="H46" s="280"/>
      <c r="I46" s="281"/>
      <c r="J46" s="281"/>
      <c r="K46" s="282"/>
      <c r="L46" s="204"/>
      <c r="M46" s="250"/>
      <c r="N46" s="283"/>
      <c r="O46" s="252"/>
      <c r="P46" s="284"/>
      <c r="Q46" s="252"/>
      <c r="R46" s="242"/>
      <c r="S46" s="266"/>
      <c r="T46" s="266"/>
    </row>
    <row r="47" spans="1:21">
      <c r="A47" s="888">
        <v>314</v>
      </c>
      <c r="B47" s="889" t="s">
        <v>52</v>
      </c>
      <c r="C47" s="71">
        <v>0</v>
      </c>
      <c r="D47" s="213">
        <v>92</v>
      </c>
      <c r="E47" s="21">
        <v>36.214199999999998</v>
      </c>
      <c r="F47" s="21">
        <v>42.4328</v>
      </c>
      <c r="G47" s="214">
        <f>ROUND(D47*(E47+F47),2)</f>
        <v>7235.52</v>
      </c>
      <c r="H47" s="213"/>
      <c r="J47" s="215"/>
      <c r="K47" s="679"/>
      <c r="L47" s="216">
        <f>SUM(G47:G54)+SUM(J47:J54)</f>
        <v>61033.36</v>
      </c>
      <c r="M47" s="187">
        <v>61033.36</v>
      </c>
      <c r="N47" s="188"/>
      <c r="O47" s="217">
        <v>4253.6899999999996</v>
      </c>
      <c r="P47" s="218" t="s">
        <v>47</v>
      </c>
      <c r="Q47" s="219">
        <f t="shared" ref="Q47" si="4">C47+G47+J47-M47-N47-O47</f>
        <v>-58051.53</v>
      </c>
      <c r="R47" s="220" t="s">
        <v>53</v>
      </c>
      <c r="S47" s="221"/>
      <c r="T47" s="222"/>
      <c r="U47" s="33">
        <f>+C47+L47-M47</f>
        <v>0</v>
      </c>
    </row>
    <row r="48" spans="1:21" ht="15.75" thickBot="1">
      <c r="A48" s="890"/>
      <c r="B48" s="872"/>
      <c r="C48" s="84" t="s">
        <v>26</v>
      </c>
      <c r="D48" s="37"/>
      <c r="E48" s="38"/>
      <c r="F48" s="38"/>
      <c r="G48" s="39">
        <f>ROUND(D48*(E48+F48),2)</f>
        <v>0</v>
      </c>
      <c r="H48" s="225"/>
      <c r="I48" s="194"/>
      <c r="J48" s="194"/>
      <c r="K48" s="226"/>
      <c r="L48" s="196"/>
      <c r="M48" s="227"/>
      <c r="N48" s="228"/>
      <c r="O48" s="229"/>
      <c r="P48" s="230"/>
      <c r="Q48" s="231"/>
      <c r="R48" s="232"/>
      <c r="S48" s="233"/>
      <c r="T48" s="224"/>
      <c r="U48" s="33"/>
    </row>
    <row r="49" spans="1:21">
      <c r="A49" s="890"/>
      <c r="B49" s="873" t="s">
        <v>32</v>
      </c>
      <c r="C49" s="99" t="s">
        <v>33</v>
      </c>
      <c r="D49" s="234">
        <v>50</v>
      </c>
      <c r="E49" s="101">
        <v>194.8</v>
      </c>
      <c r="F49" s="21">
        <v>42.4328</v>
      </c>
      <c r="G49" s="235">
        <f>ROUND(D49*(E49+F49),2)</f>
        <v>11861.64</v>
      </c>
      <c r="H49" s="234"/>
      <c r="I49" s="194"/>
      <c r="J49" s="194"/>
      <c r="K49" s="195"/>
      <c r="L49" s="196"/>
      <c r="M49" s="227"/>
      <c r="N49" s="236"/>
      <c r="O49" s="237">
        <v>5456.6</v>
      </c>
      <c r="P49" s="230" t="s">
        <v>47</v>
      </c>
      <c r="Q49" s="238">
        <f>+G49+J49-M49-N49-O49</f>
        <v>6405.0399999999991</v>
      </c>
      <c r="R49" s="232"/>
      <c r="S49" s="233"/>
      <c r="T49" s="224"/>
    </row>
    <row r="50" spans="1:21">
      <c r="A50" s="890"/>
      <c r="B50" s="872" t="s">
        <v>33</v>
      </c>
      <c r="C50" s="239" t="s">
        <v>26</v>
      </c>
      <c r="D50" s="234">
        <f>мар18!D49</f>
        <v>45.22</v>
      </c>
      <c r="E50" s="240">
        <f>194.8-199.58</f>
        <v>-4.7800000000000011</v>
      </c>
      <c r="F50" s="240">
        <v>0</v>
      </c>
      <c r="G50" s="235">
        <f>+ROUND(D50*E50,2)</f>
        <v>-216.15</v>
      </c>
      <c r="H50" s="241"/>
      <c r="I50" s="194"/>
      <c r="J50" s="194"/>
      <c r="K50" s="195"/>
      <c r="L50" s="196"/>
      <c r="M50" s="227"/>
      <c r="N50" s="236"/>
      <c r="O50" s="237"/>
      <c r="P50" s="230"/>
      <c r="Q50" s="238"/>
      <c r="R50" s="242"/>
      <c r="S50" s="233"/>
      <c r="T50" s="224"/>
    </row>
    <row r="51" spans="1:21">
      <c r="A51" s="890"/>
      <c r="B51" s="872"/>
      <c r="C51" s="239" t="s">
        <v>26</v>
      </c>
      <c r="D51" s="234"/>
      <c r="E51" s="240"/>
      <c r="F51" s="41"/>
      <c r="G51" s="235">
        <f>+ROUND(D51*F51,2)</f>
        <v>0</v>
      </c>
      <c r="H51" s="241"/>
      <c r="I51" s="194"/>
      <c r="J51" s="194"/>
      <c r="K51" s="195"/>
      <c r="L51" s="196"/>
      <c r="M51" s="227"/>
      <c r="N51" s="236"/>
      <c r="O51" s="237"/>
      <c r="P51" s="230"/>
      <c r="Q51" s="238"/>
      <c r="R51" s="242"/>
      <c r="S51" s="233"/>
      <c r="T51" s="224"/>
    </row>
    <row r="52" spans="1:21">
      <c r="A52" s="890"/>
      <c r="B52" s="872"/>
      <c r="C52" s="48" t="s">
        <v>129</v>
      </c>
      <c r="D52" s="49">
        <f>мар18!D53+мар18!D54</f>
        <v>6153.6</v>
      </c>
      <c r="E52" s="41">
        <f>6.3259-6.6987</f>
        <v>-0.3727999999999998</v>
      </c>
      <c r="F52" s="41">
        <f t="shared" ref="F52:F89" si="5">+E52</f>
        <v>-0.3727999999999998</v>
      </c>
      <c r="G52" s="50">
        <f>ROUND(D52*E52,2)</f>
        <v>-2294.06</v>
      </c>
      <c r="H52" s="241"/>
      <c r="I52" s="194"/>
      <c r="J52" s="194"/>
      <c r="K52" s="195"/>
      <c r="L52" s="196"/>
      <c r="M52" s="227"/>
      <c r="N52" s="236"/>
      <c r="O52" s="237"/>
      <c r="P52" s="230"/>
      <c r="Q52" s="238"/>
      <c r="R52" s="242"/>
      <c r="S52" s="233"/>
      <c r="T52" s="224"/>
    </row>
    <row r="53" spans="1:21">
      <c r="A53" s="890"/>
      <c r="B53" s="872"/>
      <c r="C53" s="48" t="s">
        <v>131</v>
      </c>
      <c r="D53" s="49">
        <v>74.400000000000006</v>
      </c>
      <c r="E53" s="41">
        <v>6.3258999999999999</v>
      </c>
      <c r="F53" s="41">
        <f t="shared" si="5"/>
        <v>6.3258999999999999</v>
      </c>
      <c r="G53" s="50">
        <f>ROUND(D53*E53,2)</f>
        <v>470.65</v>
      </c>
      <c r="H53" s="241"/>
      <c r="I53" s="194"/>
      <c r="J53" s="243"/>
      <c r="K53" s="195"/>
      <c r="L53" s="196"/>
      <c r="M53" s="227"/>
      <c r="N53" s="236"/>
      <c r="O53" s="237"/>
      <c r="P53" s="230"/>
      <c r="Q53" s="238"/>
      <c r="R53" s="242"/>
      <c r="S53" s="233"/>
      <c r="T53" s="224"/>
      <c r="U53" s="33"/>
    </row>
    <row r="54" spans="1:21" ht="15.75" thickBot="1">
      <c r="A54" s="891"/>
      <c r="B54" s="887"/>
      <c r="C54" s="54" t="s">
        <v>29</v>
      </c>
      <c r="D54" s="246">
        <v>6951.7</v>
      </c>
      <c r="E54" s="56">
        <v>6.3258999999999999</v>
      </c>
      <c r="F54" s="57">
        <f t="shared" si="5"/>
        <v>6.3258999999999999</v>
      </c>
      <c r="G54" s="247">
        <f>ROUND(D54*E54*70%+D54*F54*30%,2)</f>
        <v>43975.76</v>
      </c>
      <c r="H54" s="248"/>
      <c r="I54" s="203"/>
      <c r="J54" s="60"/>
      <c r="K54" s="61"/>
      <c r="L54" s="249"/>
      <c r="M54" s="250"/>
      <c r="N54" s="251"/>
      <c r="O54" s="252">
        <v>15777.9</v>
      </c>
      <c r="P54" s="253" t="s">
        <v>47</v>
      </c>
      <c r="Q54" s="254">
        <f>+G54+J54-M54-N54-O54</f>
        <v>28197.86</v>
      </c>
      <c r="R54" s="255" t="s">
        <v>54</v>
      </c>
      <c r="S54" s="256">
        <f>SUM(O47:O54)</f>
        <v>25488.190000000002</v>
      </c>
      <c r="T54" s="256">
        <f>SUM(Q47:Q54)</f>
        <v>-23448.629999999997</v>
      </c>
    </row>
    <row r="55" spans="1:21">
      <c r="A55" s="892">
        <v>402</v>
      </c>
      <c r="B55" s="183" t="s">
        <v>178</v>
      </c>
      <c r="C55" s="439" t="s">
        <v>129</v>
      </c>
      <c r="D55" s="296">
        <f>мар18!D56+мар18!D57</f>
        <v>165.78</v>
      </c>
      <c r="E55" s="41">
        <f>6.3259-6.6987</f>
        <v>-0.3727999999999998</v>
      </c>
      <c r="F55" s="41">
        <f t="shared" si="5"/>
        <v>-0.3727999999999998</v>
      </c>
      <c r="G55" s="235">
        <f t="shared" ref="G55:G63" si="6">ROUND(D55*E55,2)</f>
        <v>-61.8</v>
      </c>
      <c r="H55" s="270"/>
      <c r="I55" s="41"/>
      <c r="J55" s="41"/>
      <c r="K55" s="271"/>
      <c r="L55" s="294">
        <f>SUM(G55:G57)</f>
        <v>987.98000000000013</v>
      </c>
      <c r="M55" s="227">
        <v>987.98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192"/>
      <c r="C56" s="48" t="s">
        <v>131</v>
      </c>
      <c r="D56" s="269">
        <v>1.76</v>
      </c>
      <c r="E56" s="41">
        <v>6.3258999999999999</v>
      </c>
      <c r="F56" s="41">
        <f t="shared" si="5"/>
        <v>6.3258999999999999</v>
      </c>
      <c r="G56" s="235">
        <f t="shared" si="6"/>
        <v>11.13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202"/>
      <c r="C57" s="54" t="s">
        <v>29</v>
      </c>
      <c r="D57" s="279">
        <v>164.19</v>
      </c>
      <c r="E57" s="56">
        <v>6.3258999999999999</v>
      </c>
      <c r="F57" s="57">
        <f t="shared" si="5"/>
        <v>6.3258999999999999</v>
      </c>
      <c r="G57" s="247">
        <f t="shared" si="6"/>
        <v>1038.6500000000001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92">
        <v>409</v>
      </c>
      <c r="B58" s="183" t="s">
        <v>218</v>
      </c>
      <c r="C58" s="439" t="s">
        <v>129</v>
      </c>
      <c r="D58" s="296">
        <f>мар18!D59+мар18!D60</f>
        <v>46.690000000000005</v>
      </c>
      <c r="E58" s="41">
        <f>6.3259-6.6987</f>
        <v>-0.3727999999999998</v>
      </c>
      <c r="F58" s="41">
        <f t="shared" si="5"/>
        <v>-0.3727999999999998</v>
      </c>
      <c r="G58" s="235">
        <f>ROUND(D58*E58,2)+0.01</f>
        <v>-17.399999999999999</v>
      </c>
      <c r="H58" s="270"/>
      <c r="I58" s="41"/>
      <c r="J58" s="41"/>
      <c r="K58" s="271"/>
      <c r="L58" s="294">
        <f>SUM(G58:G60)</f>
        <v>671.8</v>
      </c>
      <c r="M58" s="227">
        <v>671.8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192"/>
      <c r="C59" s="48" t="s">
        <v>131</v>
      </c>
      <c r="D59" s="269">
        <v>1.1499999999999999</v>
      </c>
      <c r="E59" s="41">
        <v>6.3258999999999999</v>
      </c>
      <c r="F59" s="41">
        <f t="shared" si="5"/>
        <v>6.3258999999999999</v>
      </c>
      <c r="G59" s="235">
        <f t="shared" si="6"/>
        <v>7.27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107.8</v>
      </c>
      <c r="E60" s="56">
        <v>6.3258999999999999</v>
      </c>
      <c r="F60" s="57">
        <f t="shared" si="5"/>
        <v>6.3258999999999999</v>
      </c>
      <c r="G60" s="247">
        <f t="shared" si="6"/>
        <v>681.93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>
      <c r="A61" s="892">
        <v>410</v>
      </c>
      <c r="B61" s="183" t="s">
        <v>138</v>
      </c>
      <c r="C61" s="439" t="s">
        <v>129</v>
      </c>
      <c r="D61" s="296">
        <f>мар18!D62+мар18!D63</f>
        <v>236</v>
      </c>
      <c r="E61" s="41">
        <f>6.3259-6.6987</f>
        <v>-0.3727999999999998</v>
      </c>
      <c r="F61" s="41">
        <f t="shared" si="5"/>
        <v>-0.3727999999999998</v>
      </c>
      <c r="G61" s="235">
        <f t="shared" si="6"/>
        <v>-87.98</v>
      </c>
      <c r="H61" s="270"/>
      <c r="I61" s="41"/>
      <c r="J61" s="41"/>
      <c r="K61" s="271"/>
      <c r="L61" s="294">
        <f>SUM(G61:G63)</f>
        <v>1419.6100000000001</v>
      </c>
      <c r="M61" s="227">
        <v>1419.61</v>
      </c>
      <c r="N61" s="274"/>
      <c r="O61" s="237"/>
      <c r="P61" s="275"/>
      <c r="Q61" s="237"/>
      <c r="R61" s="242"/>
      <c r="S61" s="266"/>
      <c r="T61" s="266"/>
    </row>
    <row r="62" spans="1:21" ht="15.75">
      <c r="A62" s="896"/>
      <c r="B62" s="192"/>
      <c r="C62" s="48" t="s">
        <v>131</v>
      </c>
      <c r="D62" s="269">
        <v>2.52</v>
      </c>
      <c r="E62" s="41">
        <v>6.3258999999999999</v>
      </c>
      <c r="F62" s="41">
        <f t="shared" si="5"/>
        <v>6.3258999999999999</v>
      </c>
      <c r="G62" s="235">
        <f t="shared" si="6"/>
        <v>15.94</v>
      </c>
      <c r="H62" s="270"/>
      <c r="I62" s="41"/>
      <c r="J62" s="41"/>
      <c r="K62" s="271"/>
      <c r="L62" s="272"/>
      <c r="M62" s="273"/>
      <c r="N62" s="274"/>
      <c r="O62" s="237"/>
      <c r="P62" s="275"/>
      <c r="Q62" s="237"/>
      <c r="R62" s="242"/>
      <c r="S62" s="266"/>
      <c r="T62" s="266"/>
    </row>
    <row r="63" spans="1:21" ht="16.5" thickBot="1">
      <c r="A63" s="891"/>
      <c r="B63" s="887"/>
      <c r="C63" s="54" t="s">
        <v>29</v>
      </c>
      <c r="D63" s="279">
        <v>235.8</v>
      </c>
      <c r="E63" s="56">
        <v>6.3258999999999999</v>
      </c>
      <c r="F63" s="57">
        <f t="shared" si="5"/>
        <v>6.3258999999999999</v>
      </c>
      <c r="G63" s="247">
        <f t="shared" si="6"/>
        <v>1491.65</v>
      </c>
      <c r="H63" s="280"/>
      <c r="I63" s="281"/>
      <c r="J63" s="281"/>
      <c r="K63" s="282"/>
      <c r="L63" s="204"/>
      <c r="M63" s="250"/>
      <c r="N63" s="283"/>
      <c r="O63" s="252"/>
      <c r="P63" s="284"/>
      <c r="Q63" s="252"/>
      <c r="R63" s="242"/>
      <c r="S63" s="266"/>
      <c r="T63" s="266"/>
    </row>
    <row r="64" spans="1:21">
      <c r="A64" s="892">
        <v>411</v>
      </c>
      <c r="B64" s="183" t="s">
        <v>229</v>
      </c>
      <c r="C64" s="439" t="s">
        <v>129</v>
      </c>
      <c r="D64" s="296"/>
      <c r="E64" s="41">
        <f>6.3259-6.6987</f>
        <v>-0.3727999999999998</v>
      </c>
      <c r="F64" s="41">
        <f t="shared" ref="F64:F66" si="7">+E64</f>
        <v>-0.3727999999999998</v>
      </c>
      <c r="G64" s="235">
        <f t="shared" ref="G64:G66" si="8">ROUND(D64*E64,2)</f>
        <v>0</v>
      </c>
      <c r="H64" s="270"/>
      <c r="I64" s="41"/>
      <c r="J64" s="41"/>
      <c r="K64" s="271"/>
      <c r="L64" s="294">
        <f>SUM(G64:G66)</f>
        <v>63.949999999999996</v>
      </c>
      <c r="M64" s="227">
        <v>63.95</v>
      </c>
      <c r="N64" s="274"/>
      <c r="O64" s="237"/>
      <c r="P64" s="275"/>
      <c r="Q64" s="237"/>
      <c r="R64" s="242"/>
      <c r="S64" s="266"/>
      <c r="T64" s="266"/>
    </row>
    <row r="65" spans="1:20" ht="15.75">
      <c r="A65" s="896"/>
      <c r="B65" s="192"/>
      <c r="C65" s="48" t="s">
        <v>131</v>
      </c>
      <c r="D65" s="269">
        <v>0.11</v>
      </c>
      <c r="E65" s="41">
        <v>6.3258999999999999</v>
      </c>
      <c r="F65" s="41">
        <f t="shared" si="7"/>
        <v>6.3258999999999999</v>
      </c>
      <c r="G65" s="235">
        <f>ROUND(D65*E65,2)-0.01</f>
        <v>0.69</v>
      </c>
      <c r="H65" s="270"/>
      <c r="I65" s="41"/>
      <c r="J65" s="41"/>
      <c r="K65" s="271"/>
      <c r="L65" s="272"/>
      <c r="M65" s="273"/>
      <c r="N65" s="274"/>
      <c r="O65" s="237"/>
      <c r="P65" s="275"/>
      <c r="Q65" s="237"/>
      <c r="R65" s="242"/>
      <c r="S65" s="266"/>
      <c r="T65" s="266"/>
    </row>
    <row r="66" spans="1:20" ht="16.5" thickBot="1">
      <c r="A66" s="891"/>
      <c r="B66" s="887"/>
      <c r="C66" s="54" t="s">
        <v>29</v>
      </c>
      <c r="D66" s="279">
        <v>10</v>
      </c>
      <c r="E66" s="56">
        <v>6.3258999999999999</v>
      </c>
      <c r="F66" s="57">
        <f t="shared" si="7"/>
        <v>6.3258999999999999</v>
      </c>
      <c r="G66" s="247">
        <f t="shared" si="8"/>
        <v>63.26</v>
      </c>
      <c r="H66" s="280"/>
      <c r="I66" s="281"/>
      <c r="J66" s="281"/>
      <c r="K66" s="282"/>
      <c r="L66" s="204"/>
      <c r="M66" s="250"/>
      <c r="N66" s="283"/>
      <c r="O66" s="252"/>
      <c r="P66" s="284"/>
      <c r="Q66" s="252"/>
      <c r="R66" s="242"/>
      <c r="S66" s="266"/>
      <c r="T66" s="266"/>
    </row>
    <row r="67" spans="1:20" ht="16.5" collapsed="1" thickBot="1">
      <c r="A67" s="891">
        <v>412</v>
      </c>
      <c r="B67" s="887" t="s">
        <v>58</v>
      </c>
      <c r="C67" s="54" t="s">
        <v>59</v>
      </c>
      <c r="D67" s="822">
        <v>0.22</v>
      </c>
      <c r="E67" s="21">
        <v>36.214199999999998</v>
      </c>
      <c r="F67" s="21">
        <v>42.4328</v>
      </c>
      <c r="G67" s="214">
        <f>ROUND(D67*(E67+F67),2)</f>
        <v>17.3</v>
      </c>
      <c r="H67" s="213"/>
      <c r="I67" s="41"/>
      <c r="J67" s="215"/>
      <c r="K67" s="679"/>
      <c r="L67" s="294">
        <f>SUM(G67:G71)</f>
        <v>988.81000000000006</v>
      </c>
      <c r="M67" s="227">
        <v>988.81</v>
      </c>
      <c r="N67" s="264"/>
      <c r="O67" s="229"/>
      <c r="P67" s="265"/>
      <c r="Q67" s="229"/>
      <c r="R67" s="242"/>
      <c r="S67" s="266"/>
      <c r="T67" s="266"/>
    </row>
    <row r="68" spans="1:20" ht="15.75">
      <c r="A68" s="896"/>
      <c r="B68" s="885"/>
      <c r="C68" s="292"/>
      <c r="D68" s="269"/>
      <c r="E68" s="38"/>
      <c r="F68" s="38"/>
      <c r="G68" s="235">
        <f>ROUND(D68*(E68+F68),2)</f>
        <v>0</v>
      </c>
      <c r="H68" s="225"/>
      <c r="I68" s="41"/>
      <c r="J68" s="194"/>
      <c r="K68" s="295"/>
      <c r="L68" s="294"/>
      <c r="M68" s="227"/>
      <c r="N68" s="264"/>
      <c r="O68" s="229"/>
      <c r="P68" s="265"/>
      <c r="Q68" s="229"/>
      <c r="R68" s="242"/>
      <c r="S68" s="266"/>
      <c r="T68" s="266"/>
    </row>
    <row r="69" spans="1:20">
      <c r="A69" s="896"/>
      <c r="B69" s="885"/>
      <c r="C69" s="48" t="s">
        <v>129</v>
      </c>
      <c r="D69" s="296">
        <f>мар18!D67+мар18!D68</f>
        <v>204</v>
      </c>
      <c r="E69" s="41">
        <f>6.3259-6.6987</f>
        <v>-0.3727999999999998</v>
      </c>
      <c r="F69" s="41">
        <f t="shared" ref="F69:F86" si="9">+E69</f>
        <v>-0.3727999999999998</v>
      </c>
      <c r="G69" s="235">
        <f>ROUND(D69*E69,2)-0.01</f>
        <v>-76.06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5.75">
      <c r="A70" s="896"/>
      <c r="B70" s="885"/>
      <c r="C70" s="48" t="s">
        <v>131</v>
      </c>
      <c r="D70" s="269">
        <v>1.8</v>
      </c>
      <c r="E70" s="41">
        <v>6.3258999999999999</v>
      </c>
      <c r="F70" s="41">
        <f t="shared" si="9"/>
        <v>6.3258999999999999</v>
      </c>
      <c r="G70" s="235">
        <f t="shared" ref="G70:G71" si="10">ROUND(D70*E70,2)</f>
        <v>11.39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0" ht="16.5" thickBot="1">
      <c r="A71" s="891"/>
      <c r="B71" s="887"/>
      <c r="C71" s="54" t="s">
        <v>29</v>
      </c>
      <c r="D71" s="279">
        <v>163.80000000000001</v>
      </c>
      <c r="E71" s="56">
        <v>6.3258999999999999</v>
      </c>
      <c r="F71" s="57">
        <f t="shared" si="9"/>
        <v>6.3258999999999999</v>
      </c>
      <c r="G71" s="247">
        <f t="shared" si="10"/>
        <v>1036.18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0" ht="15" customHeight="1">
      <c r="A72" s="892">
        <v>413</v>
      </c>
      <c r="B72" s="883" t="s">
        <v>56</v>
      </c>
      <c r="C72" s="439" t="s">
        <v>129</v>
      </c>
      <c r="D72" s="894">
        <f>мар18!D70+мар18!D71</f>
        <v>325.79999999999995</v>
      </c>
      <c r="E72" s="41">
        <f>6.3259-6.6987</f>
        <v>-0.3727999999999998</v>
      </c>
      <c r="F72" s="41">
        <f t="shared" si="9"/>
        <v>-0.3727999999999998</v>
      </c>
      <c r="G72" s="214">
        <f>ROUND(D72*E72,2)</f>
        <v>-121.46</v>
      </c>
      <c r="H72" s="260"/>
      <c r="I72" s="261"/>
      <c r="J72" s="261"/>
      <c r="K72" s="262"/>
      <c r="L72" s="286">
        <f>SUM(G72:G74)</f>
        <v>1927.5</v>
      </c>
      <c r="M72" s="227">
        <v>1927.5</v>
      </c>
      <c r="N72" s="264"/>
      <c r="O72" s="229"/>
      <c r="P72" s="265"/>
      <c r="Q72" s="229"/>
      <c r="R72" s="287"/>
      <c r="S72" s="288"/>
      <c r="T72" s="288"/>
    </row>
    <row r="73" spans="1:20" ht="15.75">
      <c r="A73" s="893"/>
      <c r="B73" s="885"/>
      <c r="C73" s="48" t="s">
        <v>131</v>
      </c>
      <c r="D73" s="895">
        <v>3.4</v>
      </c>
      <c r="E73" s="41">
        <v>6.3258999999999999</v>
      </c>
      <c r="F73" s="41">
        <f t="shared" si="9"/>
        <v>6.3258999999999999</v>
      </c>
      <c r="G73" s="235">
        <f t="shared" ref="G73:G77" si="11">ROUND(D73*E73,2)</f>
        <v>21.51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87"/>
      <c r="S73" s="288"/>
      <c r="T73" s="288"/>
    </row>
    <row r="74" spans="1:20" ht="16.5" thickBot="1">
      <c r="A74" s="891"/>
      <c r="B74" s="887"/>
      <c r="C74" s="54" t="s">
        <v>29</v>
      </c>
      <c r="D74" s="279">
        <v>320.5</v>
      </c>
      <c r="E74" s="56">
        <v>6.3258999999999999</v>
      </c>
      <c r="F74" s="57">
        <f t="shared" si="9"/>
        <v>6.3258999999999999</v>
      </c>
      <c r="G74" s="247">
        <f t="shared" si="11"/>
        <v>2027.45</v>
      </c>
      <c r="H74" s="280"/>
      <c r="I74" s="281"/>
      <c r="J74" s="281"/>
      <c r="K74" s="682"/>
      <c r="L74" s="204"/>
      <c r="M74" s="250"/>
      <c r="N74" s="283"/>
      <c r="O74" s="252"/>
      <c r="P74" s="284"/>
      <c r="Q74" s="252"/>
      <c r="R74" s="287"/>
      <c r="S74" s="288"/>
      <c r="T74" s="288"/>
    </row>
    <row r="75" spans="1:20">
      <c r="A75" s="892">
        <v>414</v>
      </c>
      <c r="B75" s="183" t="s">
        <v>179</v>
      </c>
      <c r="C75" s="439" t="s">
        <v>129</v>
      </c>
      <c r="D75" s="296">
        <f>мар18!D73+мар18!D74</f>
        <v>26.78</v>
      </c>
      <c r="E75" s="41">
        <f>6.3259-6.6987</f>
        <v>-0.3727999999999998</v>
      </c>
      <c r="F75" s="41">
        <f t="shared" si="9"/>
        <v>-0.3727999999999998</v>
      </c>
      <c r="G75" s="235">
        <f>ROUND(D75*E75,2)</f>
        <v>-9.98</v>
      </c>
      <c r="H75" s="270"/>
      <c r="I75" s="41"/>
      <c r="J75" s="41"/>
      <c r="K75" s="271"/>
      <c r="L75" s="294">
        <f>SUM(G75:G77)</f>
        <v>174.79999999999998</v>
      </c>
      <c r="M75" s="227">
        <v>174.8</v>
      </c>
      <c r="N75" s="274"/>
      <c r="O75" s="237"/>
      <c r="P75" s="275"/>
      <c r="Q75" s="237"/>
      <c r="R75" s="242"/>
      <c r="S75" s="266"/>
      <c r="T75" s="266"/>
    </row>
    <row r="76" spans="1:20" ht="15.75">
      <c r="A76" s="896"/>
      <c r="B76" s="192"/>
      <c r="C76" s="48" t="s">
        <v>131</v>
      </c>
      <c r="D76" s="269">
        <v>0.31</v>
      </c>
      <c r="E76" s="41">
        <v>6.3258999999999999</v>
      </c>
      <c r="F76" s="41">
        <f t="shared" si="9"/>
        <v>6.3258999999999999</v>
      </c>
      <c r="G76" s="235">
        <f t="shared" si="11"/>
        <v>1.96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6.5" thickBot="1">
      <c r="A77" s="891"/>
      <c r="B77" s="887"/>
      <c r="C77" s="99" t="s">
        <v>29</v>
      </c>
      <c r="D77" s="279">
        <v>28.9</v>
      </c>
      <c r="E77" s="56">
        <v>6.3258999999999999</v>
      </c>
      <c r="F77" s="57">
        <f t="shared" si="9"/>
        <v>6.3258999999999999</v>
      </c>
      <c r="G77" s="247">
        <f t="shared" si="11"/>
        <v>182.82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0" collapsed="1">
      <c r="A78" s="892">
        <v>415</v>
      </c>
      <c r="B78" s="183" t="s">
        <v>166</v>
      </c>
      <c r="C78" s="439" t="s">
        <v>129</v>
      </c>
      <c r="D78" s="296">
        <f>мар18!D76+мар18!D77</f>
        <v>168.89</v>
      </c>
      <c r="E78" s="41">
        <f>6.3259-6.6987</f>
        <v>-0.3727999999999998</v>
      </c>
      <c r="F78" s="41">
        <f t="shared" si="9"/>
        <v>-0.3727999999999998</v>
      </c>
      <c r="G78" s="235">
        <f>ROUND(D78*E78,2)</f>
        <v>-62.96</v>
      </c>
      <c r="H78" s="270"/>
      <c r="I78" s="41"/>
      <c r="J78" s="41"/>
      <c r="K78" s="271"/>
      <c r="L78" s="294">
        <f>SUM(G78:G80)</f>
        <v>988.77999999999986</v>
      </c>
      <c r="M78" s="227">
        <v>988.78</v>
      </c>
      <c r="N78" s="274"/>
      <c r="O78" s="237"/>
      <c r="P78" s="275"/>
      <c r="Q78" s="237"/>
      <c r="R78" s="242"/>
      <c r="S78" s="266"/>
      <c r="T78" s="266"/>
    </row>
    <row r="79" spans="1:20" ht="15.75">
      <c r="A79" s="896"/>
      <c r="B79" s="192"/>
      <c r="C79" s="48" t="s">
        <v>131</v>
      </c>
      <c r="D79" s="269">
        <v>1.76</v>
      </c>
      <c r="E79" s="41">
        <v>6.3258999999999999</v>
      </c>
      <c r="F79" s="41">
        <f t="shared" si="9"/>
        <v>6.3258999999999999</v>
      </c>
      <c r="G79" s="235">
        <f t="shared" ref="G79:G80" si="12">ROUND(D79*E79,2)</f>
        <v>11.13</v>
      </c>
      <c r="H79" s="270"/>
      <c r="I79" s="41"/>
      <c r="J79" s="41"/>
      <c r="K79" s="271"/>
      <c r="L79" s="272"/>
      <c r="M79" s="273"/>
      <c r="N79" s="274"/>
      <c r="O79" s="237"/>
      <c r="P79" s="275"/>
      <c r="Q79" s="237"/>
      <c r="R79" s="242"/>
      <c r="S79" s="266"/>
      <c r="T79" s="266"/>
    </row>
    <row r="80" spans="1:20" ht="16.5" thickBot="1">
      <c r="A80" s="891"/>
      <c r="B80" s="887"/>
      <c r="C80" s="54" t="s">
        <v>29</v>
      </c>
      <c r="D80" s="279">
        <v>164.5</v>
      </c>
      <c r="E80" s="56">
        <v>6.3258999999999999</v>
      </c>
      <c r="F80" s="57">
        <f t="shared" si="9"/>
        <v>6.3258999999999999</v>
      </c>
      <c r="G80" s="247">
        <f t="shared" si="12"/>
        <v>1040.6099999999999</v>
      </c>
      <c r="H80" s="280"/>
      <c r="I80" s="281"/>
      <c r="J80" s="281"/>
      <c r="K80" s="282"/>
      <c r="L80" s="204"/>
      <c r="M80" s="250"/>
      <c r="N80" s="283"/>
      <c r="O80" s="252"/>
      <c r="P80" s="284"/>
      <c r="Q80" s="252"/>
      <c r="R80" s="242"/>
      <c r="S80" s="266"/>
      <c r="T80" s="266"/>
    </row>
    <row r="81" spans="1:20">
      <c r="A81" s="892">
        <v>416</v>
      </c>
      <c r="B81" s="183" t="s">
        <v>173</v>
      </c>
      <c r="C81" s="439" t="s">
        <v>129</v>
      </c>
      <c r="D81" s="296">
        <f>мар18!D79+мар18!D80</f>
        <v>384.97999999999996</v>
      </c>
      <c r="E81" s="41">
        <f>6.3259-6.6987</f>
        <v>-0.3727999999999998</v>
      </c>
      <c r="F81" s="41">
        <f t="shared" si="9"/>
        <v>-0.3727999999999998</v>
      </c>
      <c r="G81" s="235">
        <f>ROUND(D81*E81,2)-0.01</f>
        <v>-143.53</v>
      </c>
      <c r="H81" s="270"/>
      <c r="I81" s="41"/>
      <c r="J81" s="41"/>
      <c r="K81" s="271"/>
      <c r="L81" s="294">
        <f>SUM(G81:G83)</f>
        <v>1972.0999999999997</v>
      </c>
      <c r="M81" s="227">
        <v>1972.1</v>
      </c>
      <c r="N81" s="274"/>
      <c r="O81" s="237"/>
      <c r="P81" s="275"/>
      <c r="Q81" s="237"/>
      <c r="R81" s="242"/>
      <c r="S81" s="266"/>
      <c r="T81" s="266"/>
    </row>
    <row r="82" spans="1:20" ht="15.75">
      <c r="A82" s="896"/>
      <c r="B82" s="192"/>
      <c r="C82" s="48" t="s">
        <v>131</v>
      </c>
      <c r="D82" s="269">
        <v>3.54</v>
      </c>
      <c r="E82" s="41">
        <v>6.3258999999999999</v>
      </c>
      <c r="F82" s="41">
        <f t="shared" si="9"/>
        <v>6.3258999999999999</v>
      </c>
      <c r="G82" s="235">
        <f>ROUND(D82*E82,2)</f>
        <v>22.39</v>
      </c>
      <c r="H82" s="270"/>
      <c r="I82" s="41"/>
      <c r="J82" s="41"/>
      <c r="K82" s="271"/>
      <c r="L82" s="272"/>
      <c r="M82" s="273"/>
      <c r="N82" s="274"/>
      <c r="O82" s="237"/>
      <c r="P82" s="275"/>
      <c r="Q82" s="237"/>
      <c r="R82" s="242"/>
      <c r="S82" s="266"/>
      <c r="T82" s="266"/>
    </row>
    <row r="83" spans="1:20" ht="16.5" thickBot="1">
      <c r="A83" s="891"/>
      <c r="B83" s="887"/>
      <c r="C83" s="54" t="s">
        <v>29</v>
      </c>
      <c r="D83" s="279">
        <v>330.9</v>
      </c>
      <c r="E83" s="56">
        <v>6.3258999999999999</v>
      </c>
      <c r="F83" s="57">
        <f t="shared" si="9"/>
        <v>6.3258999999999999</v>
      </c>
      <c r="G83" s="247">
        <f>ROUND(D83*E83,2)</f>
        <v>2093.2399999999998</v>
      </c>
      <c r="H83" s="280"/>
      <c r="I83" s="281"/>
      <c r="J83" s="281"/>
      <c r="K83" s="282"/>
      <c r="L83" s="204"/>
      <c r="M83" s="250"/>
      <c r="N83" s="283"/>
      <c r="O83" s="252"/>
      <c r="P83" s="284"/>
      <c r="Q83" s="252"/>
      <c r="R83" s="242"/>
      <c r="S83" s="266"/>
      <c r="T83" s="266"/>
    </row>
    <row r="84" spans="1:20">
      <c r="A84" s="892">
        <v>417</v>
      </c>
      <c r="B84" s="183" t="s">
        <v>174</v>
      </c>
      <c r="C84" s="439" t="s">
        <v>129</v>
      </c>
      <c r="D84" s="296">
        <f>мар18!D82+мар18!D83</f>
        <v>201.23</v>
      </c>
      <c r="E84" s="41">
        <f>6.3259-6.6987</f>
        <v>-0.3727999999999998</v>
      </c>
      <c r="F84" s="41">
        <f t="shared" si="9"/>
        <v>-0.3727999999999998</v>
      </c>
      <c r="G84" s="235">
        <f>ROUND(D84*E84,2)</f>
        <v>-75.02</v>
      </c>
      <c r="H84" s="270"/>
      <c r="I84" s="41"/>
      <c r="J84" s="41"/>
      <c r="K84" s="271"/>
      <c r="L84" s="294">
        <f>SUM(G84:G86)</f>
        <v>1204.33</v>
      </c>
      <c r="M84" s="227">
        <v>1204.33</v>
      </c>
      <c r="N84" s="274"/>
      <c r="O84" s="237"/>
      <c r="P84" s="275"/>
      <c r="Q84" s="237"/>
      <c r="R84" s="242"/>
      <c r="S84" s="266"/>
      <c r="T84" s="266"/>
    </row>
    <row r="85" spans="1:20" ht="15.75">
      <c r="A85" s="896"/>
      <c r="B85" s="192"/>
      <c r="C85" s="48" t="s">
        <v>131</v>
      </c>
      <c r="D85" s="269">
        <v>2.14</v>
      </c>
      <c r="E85" s="41">
        <v>6.3258999999999999</v>
      </c>
      <c r="F85" s="41">
        <f t="shared" si="9"/>
        <v>6.3258999999999999</v>
      </c>
      <c r="G85" s="235">
        <f t="shared" ref="G85:G86" si="13">ROUND(D85*E85,2)</f>
        <v>13.54</v>
      </c>
      <c r="H85" s="270"/>
      <c r="I85" s="41"/>
      <c r="J85" s="41"/>
      <c r="K85" s="271"/>
      <c r="L85" s="272"/>
      <c r="M85" s="273"/>
      <c r="N85" s="274"/>
      <c r="O85" s="237"/>
      <c r="P85" s="275"/>
      <c r="Q85" s="237"/>
      <c r="R85" s="242"/>
      <c r="S85" s="266"/>
      <c r="T85" s="266"/>
    </row>
    <row r="86" spans="1:20" ht="16.5" thickBot="1">
      <c r="A86" s="891"/>
      <c r="B86" s="202"/>
      <c r="C86" s="54" t="s">
        <v>29</v>
      </c>
      <c r="D86" s="279">
        <v>200.1</v>
      </c>
      <c r="E86" s="56">
        <v>6.3258999999999999</v>
      </c>
      <c r="F86" s="57">
        <f t="shared" si="9"/>
        <v>6.3258999999999999</v>
      </c>
      <c r="G86" s="247">
        <f t="shared" si="13"/>
        <v>1265.81</v>
      </c>
      <c r="H86" s="280"/>
      <c r="I86" s="281"/>
      <c r="J86" s="281"/>
      <c r="K86" s="282"/>
      <c r="L86" s="204"/>
      <c r="M86" s="250"/>
      <c r="N86" s="283"/>
      <c r="O86" s="252"/>
      <c r="P86" s="284"/>
      <c r="Q86" s="252"/>
      <c r="R86" s="242"/>
      <c r="S86" s="266"/>
      <c r="T86" s="266"/>
    </row>
    <row r="87" spans="1:20" ht="15.75">
      <c r="A87" s="892">
        <v>500</v>
      </c>
      <c r="B87" s="883" t="s">
        <v>55</v>
      </c>
      <c r="C87" s="439" t="s">
        <v>129</v>
      </c>
      <c r="D87" s="259">
        <f>мар18!D85+мар18!D86</f>
        <v>2461.21</v>
      </c>
      <c r="E87" s="41">
        <f>6.3259-6.6987</f>
        <v>-0.3727999999999998</v>
      </c>
      <c r="F87" s="41">
        <f t="shared" si="5"/>
        <v>-0.3727999999999998</v>
      </c>
      <c r="G87" s="214">
        <f>ROUND(D87*E87,2)</f>
        <v>-917.54</v>
      </c>
      <c r="H87" s="260"/>
      <c r="I87" s="261"/>
      <c r="J87" s="261"/>
      <c r="K87" s="262"/>
      <c r="L87" s="263">
        <f>SUM(G87:G89)</f>
        <v>14223.25</v>
      </c>
      <c r="M87" s="187">
        <v>14223.25</v>
      </c>
      <c r="N87" s="264"/>
      <c r="O87" s="229"/>
      <c r="P87" s="265"/>
      <c r="Q87" s="229"/>
      <c r="R87" s="242"/>
      <c r="S87" s="266"/>
      <c r="T87" s="266"/>
    </row>
    <row r="88" spans="1:20" ht="15.75">
      <c r="A88" s="893" t="s">
        <v>197</v>
      </c>
      <c r="B88" s="885"/>
      <c r="C88" s="48" t="s">
        <v>131</v>
      </c>
      <c r="D88" s="269">
        <v>25.34</v>
      </c>
      <c r="E88" s="41">
        <v>6.3258999999999999</v>
      </c>
      <c r="F88" s="41">
        <f t="shared" si="5"/>
        <v>6.3258999999999999</v>
      </c>
      <c r="G88" s="235">
        <f>ROUND(D88*E88,2)</f>
        <v>160.30000000000001</v>
      </c>
      <c r="H88" s="270"/>
      <c r="I88" s="41"/>
      <c r="J88" s="41"/>
      <c r="K88" s="271"/>
      <c r="L88" s="272"/>
      <c r="M88" s="273"/>
      <c r="N88" s="274"/>
      <c r="O88" s="237"/>
      <c r="P88" s="275"/>
      <c r="Q88" s="237"/>
      <c r="R88" s="242"/>
      <c r="S88" s="266"/>
      <c r="T88" s="266"/>
    </row>
    <row r="89" spans="1:20" ht="16.5" thickBot="1">
      <c r="A89" s="891"/>
      <c r="B89" s="887"/>
      <c r="C89" s="54" t="s">
        <v>29</v>
      </c>
      <c r="D89" s="279">
        <v>2368.12</v>
      </c>
      <c r="E89" s="56">
        <v>6.3258999999999999</v>
      </c>
      <c r="F89" s="57">
        <f t="shared" si="5"/>
        <v>6.3258999999999999</v>
      </c>
      <c r="G89" s="247">
        <f t="shared" ref="G89" si="14">ROUND(D89*E89,2)</f>
        <v>14980.49</v>
      </c>
      <c r="H89" s="280"/>
      <c r="I89" s="281"/>
      <c r="J89" s="281"/>
      <c r="K89" s="282"/>
      <c r="L89" s="204"/>
      <c r="M89" s="250"/>
      <c r="N89" s="283"/>
      <c r="O89" s="252"/>
      <c r="P89" s="284"/>
      <c r="Q89" s="252"/>
      <c r="R89" s="242"/>
      <c r="S89" s="266"/>
      <c r="T89" s="266"/>
    </row>
    <row r="90" spans="1:20" ht="16.5" hidden="1" outlineLevel="1" thickBot="1">
      <c r="A90" s="892"/>
      <c r="B90" s="883" t="s">
        <v>57</v>
      </c>
      <c r="C90" s="439"/>
      <c r="D90" s="259"/>
      <c r="E90" s="21">
        <v>36.214199999999998</v>
      </c>
      <c r="F90" s="21">
        <v>42.4328</v>
      </c>
      <c r="G90" s="214">
        <f>ROUND(D90*(E90+F90),2)</f>
        <v>0</v>
      </c>
      <c r="H90" s="213">
        <v>0</v>
      </c>
      <c r="I90">
        <v>22.478999999999999</v>
      </c>
      <c r="J90" s="215">
        <f t="shared" ref="J90" si="15">H90*I90</f>
        <v>0</v>
      </c>
      <c r="K90" s="679">
        <v>42705</v>
      </c>
      <c r="L90" s="294">
        <f>SUM(G90:G94)+J90+J92</f>
        <v>0</v>
      </c>
      <c r="M90" s="227"/>
      <c r="N90" s="264"/>
      <c r="O90" s="229"/>
      <c r="P90" s="265"/>
      <c r="Q90" s="229"/>
      <c r="R90" s="242"/>
      <c r="S90" s="266"/>
      <c r="T90" s="266"/>
    </row>
    <row r="91" spans="1:20" ht="16.5" hidden="1" outlineLevel="1" thickBot="1">
      <c r="A91" s="891"/>
      <c r="B91" s="887"/>
      <c r="C91" s="54"/>
      <c r="D91" s="269"/>
      <c r="E91" s="38">
        <f>32.332-28.8628</f>
        <v>3.4692000000000007</v>
      </c>
      <c r="F91" s="38">
        <f>37.8898-33.8306</f>
        <v>4.0592000000000041</v>
      </c>
      <c r="G91" s="235">
        <f>ROUND(D91*(E91+F91),2)</f>
        <v>0</v>
      </c>
      <c r="H91" s="225"/>
      <c r="J91" s="194"/>
      <c r="K91" s="683"/>
      <c r="L91" s="294"/>
      <c r="M91" s="227"/>
      <c r="N91" s="264"/>
      <c r="O91" s="229"/>
      <c r="P91" s="265"/>
      <c r="Q91" s="229"/>
      <c r="R91" s="242"/>
      <c r="S91" s="266"/>
      <c r="T91" s="266"/>
    </row>
    <row r="92" spans="1:20" ht="15.75" hidden="1" outlineLevel="1" thickBot="1">
      <c r="A92" s="892"/>
      <c r="B92" s="883"/>
      <c r="C92" s="439" t="s">
        <v>170</v>
      </c>
      <c r="D92" s="296"/>
      <c r="E92" s="41">
        <f>7.0207-6.6426</f>
        <v>0.37809999999999988</v>
      </c>
      <c r="F92" s="41">
        <f>+E92</f>
        <v>0.37809999999999988</v>
      </c>
      <c r="G92" s="235">
        <f>ROUND(D92*E92,2)</f>
        <v>0</v>
      </c>
      <c r="H92" s="270"/>
      <c r="I92" s="41"/>
      <c r="J92" s="41"/>
      <c r="K92" s="684"/>
      <c r="L92" s="272"/>
      <c r="M92" s="273"/>
      <c r="N92" s="274"/>
      <c r="O92" s="237"/>
      <c r="P92" s="275"/>
      <c r="Q92" s="237"/>
      <c r="R92" s="242"/>
      <c r="S92" s="266"/>
      <c r="T92" s="266"/>
    </row>
    <row r="93" spans="1:20" ht="16.5" hidden="1" outlineLevel="1" thickBot="1">
      <c r="A93" s="891"/>
      <c r="B93" s="887"/>
      <c r="C93" s="54" t="s">
        <v>171</v>
      </c>
      <c r="D93" s="269"/>
      <c r="E93" s="41">
        <v>7.0206999999999997</v>
      </c>
      <c r="F93" s="41">
        <f>+E93</f>
        <v>7.0206999999999997</v>
      </c>
      <c r="G93" s="235">
        <f>ROUND(D93*E93,2)</f>
        <v>0</v>
      </c>
      <c r="H93" s="270"/>
      <c r="I93" s="41"/>
      <c r="J93" s="41"/>
      <c r="K93" s="684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hidden="1" outlineLevel="1" thickBot="1">
      <c r="A94" s="892"/>
      <c r="B94" s="883"/>
      <c r="C94" s="439" t="s">
        <v>29</v>
      </c>
      <c r="D94" s="279"/>
      <c r="E94" s="56">
        <v>7.0206999999999997</v>
      </c>
      <c r="F94" s="57">
        <f>+E94</f>
        <v>7.0206999999999997</v>
      </c>
      <c r="G94" s="247">
        <f>ROUND(D94*E94,2)</f>
        <v>0</v>
      </c>
      <c r="H94" s="280"/>
      <c r="I94" s="281"/>
      <c r="J94" s="281"/>
      <c r="K94" s="6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 ht="15.75" hidden="1" outlineLevel="1" thickBot="1">
      <c r="A95" s="892"/>
      <c r="B95" s="183" t="s">
        <v>145</v>
      </c>
      <c r="C95" s="439" t="s">
        <v>170</v>
      </c>
      <c r="D95" s="296"/>
      <c r="E95" s="41">
        <f>7.0207-6.6426</f>
        <v>0.37809999999999988</v>
      </c>
      <c r="F95" s="41">
        <f t="shared" ref="F95:F97" si="16">+E95</f>
        <v>0.37809999999999988</v>
      </c>
      <c r="G95" s="235">
        <f>ROUND(D95*E95,2)</f>
        <v>0</v>
      </c>
      <c r="H95" s="270"/>
      <c r="I95" s="41"/>
      <c r="J95" s="41"/>
      <c r="K95" s="271"/>
      <c r="L95" s="294">
        <f>SUM(G95:G97)</f>
        <v>0</v>
      </c>
      <c r="M95" s="227"/>
      <c r="N95" s="274"/>
      <c r="O95" s="237"/>
      <c r="P95" s="275"/>
      <c r="Q95" s="237"/>
      <c r="R95" s="242"/>
      <c r="S95" s="266"/>
      <c r="T95" s="266"/>
    </row>
    <row r="96" spans="1:20" ht="16.5" hidden="1" outlineLevel="1" thickBot="1">
      <c r="A96" s="891"/>
      <c r="B96" s="887"/>
      <c r="C96" s="54" t="s">
        <v>171</v>
      </c>
      <c r="D96" s="269"/>
      <c r="E96" s="41">
        <v>7.0206999999999997</v>
      </c>
      <c r="F96" s="41">
        <f t="shared" si="16"/>
        <v>7.0206999999999997</v>
      </c>
      <c r="G96" s="235">
        <f t="shared" ref="G96:G97" si="17">ROUND(D96*E96,2)</f>
        <v>0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1" ht="16.5" hidden="1" outlineLevel="1" thickBot="1">
      <c r="A97" s="892"/>
      <c r="B97" s="183"/>
      <c r="C97" s="439" t="s">
        <v>29</v>
      </c>
      <c r="D97" s="279"/>
      <c r="E97" s="56">
        <v>7.0206999999999997</v>
      </c>
      <c r="F97" s="57">
        <f t="shared" si="16"/>
        <v>7.0206999999999997</v>
      </c>
      <c r="G97" s="247">
        <f t="shared" si="17"/>
        <v>0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1" ht="16.5" collapsed="1" thickTop="1">
      <c r="A98" s="898"/>
      <c r="B98" s="321"/>
      <c r="C98" s="322"/>
      <c r="D98" s="323"/>
      <c r="E98" s="163"/>
      <c r="F98" s="324"/>
      <c r="G98" s="325"/>
      <c r="H98" s="163"/>
      <c r="I98" s="163"/>
      <c r="J98" s="163"/>
      <c r="K98" s="163"/>
      <c r="L98" s="163"/>
      <c r="M98" s="326"/>
      <c r="N98" s="327"/>
      <c r="O98" s="328"/>
      <c r="P98" s="329"/>
      <c r="Q98" s="328"/>
      <c r="R98" s="330"/>
      <c r="S98" s="331"/>
      <c r="T98" s="266"/>
    </row>
    <row r="99" spans="1:21" ht="21.75" thickBot="1">
      <c r="A99" s="171" t="s">
        <v>60</v>
      </c>
      <c r="B99" s="2"/>
      <c r="C99" s="3"/>
      <c r="D99" s="2"/>
      <c r="E99" s="2"/>
      <c r="F99" s="2"/>
      <c r="G99" s="332"/>
      <c r="H99" s="332"/>
      <c r="I99" s="332"/>
      <c r="J99" s="2"/>
      <c r="K99" s="2"/>
      <c r="L99" s="2"/>
      <c r="M99" s="3"/>
      <c r="N99" s="2"/>
      <c r="O99" s="2"/>
      <c r="P99" s="2"/>
      <c r="Q99" s="2"/>
      <c r="R99" s="2"/>
      <c r="S99" s="2"/>
    </row>
    <row r="100" spans="1:21" ht="15" customHeight="1" thickTop="1">
      <c r="A100" s="1553" t="s">
        <v>1</v>
      </c>
      <c r="B100" s="1516" t="s">
        <v>2</v>
      </c>
      <c r="C100" s="1518" t="s">
        <v>3</v>
      </c>
      <c r="D100" s="1532" t="s">
        <v>4</v>
      </c>
      <c r="E100" s="1532"/>
      <c r="F100" s="1532"/>
      <c r="G100" s="1532"/>
      <c r="H100" s="1533" t="s">
        <v>5</v>
      </c>
      <c r="I100" s="1534"/>
      <c r="J100" s="1534"/>
      <c r="K100" s="1534"/>
      <c r="L100" s="1524" t="s">
        <v>6</v>
      </c>
      <c r="M100" s="1537" t="s">
        <v>7</v>
      </c>
      <c r="N100" s="1538" t="s">
        <v>8</v>
      </c>
      <c r="O100" s="1538"/>
      <c r="P100" s="1538"/>
      <c r="Q100" s="1539"/>
      <c r="R100" s="5"/>
      <c r="S100" s="5"/>
      <c r="T100" s="5" t="s">
        <v>61</v>
      </c>
      <c r="U100" t="s">
        <v>21</v>
      </c>
    </row>
    <row r="101" spans="1:21" ht="27" customHeight="1" thickBot="1">
      <c r="A101" s="1531"/>
      <c r="B101" s="1517"/>
      <c r="C101" s="1519" t="s">
        <v>10</v>
      </c>
      <c r="D101" s="333" t="s">
        <v>11</v>
      </c>
      <c r="E101" s="7" t="s">
        <v>12</v>
      </c>
      <c r="F101" s="7" t="s">
        <v>13</v>
      </c>
      <c r="G101" s="334" t="s">
        <v>14</v>
      </c>
      <c r="H101" s="335" t="s">
        <v>11</v>
      </c>
      <c r="I101" s="333" t="s">
        <v>15</v>
      </c>
      <c r="J101" s="336" t="s">
        <v>14</v>
      </c>
      <c r="K101" s="11" t="s">
        <v>16</v>
      </c>
      <c r="L101" s="1525"/>
      <c r="M101" s="1511"/>
      <c r="N101" s="337" t="s">
        <v>62</v>
      </c>
      <c r="O101" s="338" t="s">
        <v>44</v>
      </c>
      <c r="P101" s="13" t="s">
        <v>18</v>
      </c>
      <c r="Q101" s="14" t="s">
        <v>19</v>
      </c>
    </row>
    <row r="102" spans="1:21" ht="14.25" customHeight="1">
      <c r="A102" s="339" t="s">
        <v>63</v>
      </c>
      <c r="B102" s="18" t="s">
        <v>64</v>
      </c>
      <c r="C102" s="71"/>
      <c r="D102" s="340">
        <v>58</v>
      </c>
      <c r="E102" s="21">
        <v>36.214199999999998</v>
      </c>
      <c r="F102" s="21">
        <v>42.4328</v>
      </c>
      <c r="G102" s="185">
        <f>ROUND(D102*(E102+F102),2)</f>
        <v>4561.53</v>
      </c>
      <c r="H102" s="184"/>
      <c r="I102" s="23"/>
      <c r="J102" s="341"/>
      <c r="K102" s="342"/>
      <c r="L102" s="343">
        <f>SUM(G102:G107,J102:J106)</f>
        <v>257632.55</v>
      </c>
      <c r="M102" s="344">
        <v>257632.55</v>
      </c>
      <c r="N102" s="345"/>
      <c r="O102" s="346">
        <v>7157.88</v>
      </c>
      <c r="P102" s="347" t="s">
        <v>24</v>
      </c>
      <c r="Q102" s="348">
        <f t="shared" ref="Q102:Q168" si="18">C102+G102+J102-M102-N102-O102</f>
        <v>-260228.9</v>
      </c>
      <c r="R102" s="349" t="s">
        <v>65</v>
      </c>
      <c r="S102" s="350" t="s">
        <v>20</v>
      </c>
      <c r="T102" s="351" t="s">
        <v>21</v>
      </c>
      <c r="U102" s="352">
        <f>+L102-M102+C102</f>
        <v>0</v>
      </c>
    </row>
    <row r="103" spans="1:21" ht="14.25" customHeight="1">
      <c r="A103" s="353"/>
      <c r="B103" s="35"/>
      <c r="C103" s="84" t="s">
        <v>26</v>
      </c>
      <c r="D103" s="37"/>
      <c r="E103" s="38"/>
      <c r="F103" s="38"/>
      <c r="G103" s="39">
        <f>ROUND(D103*(E103+F103),2)</f>
        <v>0</v>
      </c>
      <c r="H103" s="49"/>
      <c r="I103" s="271"/>
      <c r="J103" s="101"/>
      <c r="K103" s="354"/>
      <c r="L103" s="355"/>
      <c r="M103" s="356"/>
      <c r="N103" s="357"/>
      <c r="O103" s="358"/>
      <c r="P103" s="359"/>
      <c r="Q103" s="358"/>
      <c r="R103" s="349"/>
      <c r="S103" s="350"/>
      <c r="T103" s="351"/>
      <c r="U103" s="352"/>
    </row>
    <row r="104" spans="1:21">
      <c r="A104" s="353"/>
      <c r="B104" s="35"/>
      <c r="C104" s="48"/>
      <c r="D104" s="49"/>
      <c r="E104" s="41"/>
      <c r="F104" s="41"/>
      <c r="G104" s="50">
        <f>ROUND(D104*E104*70%+D104*F104*30%,2)</f>
        <v>0</v>
      </c>
      <c r="H104" s="49"/>
      <c r="I104" s="271"/>
      <c r="J104" s="41"/>
      <c r="K104" s="354"/>
      <c r="L104" s="355"/>
      <c r="M104" s="356"/>
      <c r="N104" s="357"/>
      <c r="O104" s="358"/>
      <c r="P104" s="359"/>
      <c r="Q104" s="358"/>
      <c r="R104" s="349"/>
      <c r="S104" s="350"/>
      <c r="T104" s="351"/>
      <c r="U104" s="352"/>
    </row>
    <row r="105" spans="1:21">
      <c r="A105" s="353"/>
      <c r="B105" s="35"/>
      <c r="C105" s="48" t="s">
        <v>129</v>
      </c>
      <c r="D105" s="49"/>
      <c r="E105" s="41"/>
      <c r="F105" s="38"/>
      <c r="G105" s="50">
        <f>ROUND(+D105*E105,2)</f>
        <v>0</v>
      </c>
      <c r="H105" s="49"/>
      <c r="I105" s="271"/>
      <c r="J105" s="41"/>
      <c r="K105" s="354"/>
      <c r="L105" s="355"/>
      <c r="M105" s="356"/>
      <c r="N105" s="357"/>
      <c r="O105" s="358"/>
      <c r="P105" s="359"/>
      <c r="Q105" s="358"/>
      <c r="R105" s="349"/>
      <c r="S105" s="350"/>
      <c r="T105" s="351"/>
      <c r="U105" s="352"/>
    </row>
    <row r="106" spans="1:21">
      <c r="A106" s="353"/>
      <c r="B106" s="35"/>
      <c r="C106" s="48" t="s">
        <v>131</v>
      </c>
      <c r="D106" s="49">
        <v>88</v>
      </c>
      <c r="E106" s="41">
        <v>6.8921000000000001</v>
      </c>
      <c r="F106" s="41">
        <f>+E106</f>
        <v>6.8921000000000001</v>
      </c>
      <c r="G106" s="50">
        <f>ROUND(D106*E106,2)</f>
        <v>606.5</v>
      </c>
      <c r="H106" s="361"/>
      <c r="I106" s="362"/>
      <c r="J106" s="207"/>
      <c r="K106" s="363"/>
      <c r="L106" s="364"/>
      <c r="M106" s="365"/>
      <c r="N106" s="366"/>
      <c r="O106" s="367"/>
      <c r="P106" s="368"/>
      <c r="Q106" s="358"/>
      <c r="R106" s="349"/>
      <c r="S106" s="350"/>
      <c r="T106" s="351"/>
      <c r="U106" s="352"/>
    </row>
    <row r="107" spans="1:21" ht="15.75" thickBot="1">
      <c r="A107" s="369"/>
      <c r="B107" s="53" t="s">
        <v>66</v>
      </c>
      <c r="C107" s="99" t="s">
        <v>29</v>
      </c>
      <c r="D107" s="55">
        <v>36631</v>
      </c>
      <c r="E107" s="56">
        <v>6.8921000000000001</v>
      </c>
      <c r="F107" s="370">
        <f>+E107</f>
        <v>6.8921000000000001</v>
      </c>
      <c r="G107" s="58">
        <f>ROUND(D107*E107,2)</f>
        <v>252464.52</v>
      </c>
      <c r="H107" s="248"/>
      <c r="I107" s="203"/>
      <c r="J107" s="60"/>
      <c r="K107" s="203"/>
      <c r="L107" s="204"/>
      <c r="M107" s="371"/>
      <c r="N107" s="372"/>
      <c r="O107" s="373">
        <v>165882.5</v>
      </c>
      <c r="P107" s="374" t="s">
        <v>24</v>
      </c>
      <c r="Q107" s="373">
        <f>G107+J107-M107-N107-O107</f>
        <v>86582.01999999999</v>
      </c>
      <c r="R107" s="349" t="s">
        <v>65</v>
      </c>
      <c r="S107" s="375">
        <f>SUM(O102:O107)</f>
        <v>173040.38</v>
      </c>
      <c r="T107" s="375">
        <f>SUM(Q102:Q107)</f>
        <v>-173646.88</v>
      </c>
    </row>
    <row r="108" spans="1:21" s="81" customFormat="1" ht="15" customHeight="1">
      <c r="A108" s="437">
        <v>101</v>
      </c>
      <c r="B108" s="438" t="s">
        <v>82</v>
      </c>
      <c r="C108" s="377" t="s">
        <v>73</v>
      </c>
      <c r="D108" s="378">
        <v>26</v>
      </c>
      <c r="E108" s="21">
        <v>36.214199999999998</v>
      </c>
      <c r="F108" s="21">
        <v>42.4328</v>
      </c>
      <c r="G108" s="22">
        <f>+D108*(E108+F108)</f>
        <v>2044.8219999999997</v>
      </c>
      <c r="H108" s="303"/>
      <c r="I108" s="381"/>
      <c r="J108" s="381"/>
      <c r="K108" s="342"/>
      <c r="L108" s="263">
        <f>SUM(G108:G112,J108:J112)</f>
        <v>83671.062000000005</v>
      </c>
      <c r="M108" s="26">
        <v>83671.06</v>
      </c>
      <c r="N108" s="421"/>
      <c r="O108" s="77"/>
      <c r="P108" s="77"/>
      <c r="Q108" s="384"/>
      <c r="R108" s="422"/>
      <c r="S108" s="399"/>
      <c r="T108" s="399"/>
    </row>
    <row r="109" spans="1:21" s="81" customFormat="1" ht="15" customHeight="1">
      <c r="A109" s="441"/>
      <c r="B109" s="442"/>
      <c r="C109" s="36" t="s">
        <v>26</v>
      </c>
      <c r="D109" s="37"/>
      <c r="E109" s="38"/>
      <c r="F109" s="38"/>
      <c r="G109" s="39">
        <f>ROUND(D109*(E109+F109),2)</f>
        <v>0</v>
      </c>
      <c r="H109" s="457"/>
      <c r="I109" s="392"/>
      <c r="J109" s="402"/>
      <c r="K109" s="393"/>
      <c r="L109" s="459"/>
      <c r="M109" s="44"/>
      <c r="N109" s="430"/>
      <c r="O109" s="435"/>
      <c r="P109" s="435"/>
      <c r="Q109" s="425"/>
      <c r="R109" s="422"/>
      <c r="S109" s="399"/>
      <c r="T109" s="399"/>
    </row>
    <row r="110" spans="1:21" s="81" customFormat="1" ht="15" customHeight="1">
      <c r="A110" s="441"/>
      <c r="B110" s="442"/>
      <c r="C110" s="48" t="s">
        <v>129</v>
      </c>
      <c r="D110" s="37">
        <f>мар18!D108+мар18!D109</f>
        <v>15517</v>
      </c>
      <c r="E110" s="41">
        <f>6.5258-6.8264</f>
        <v>-0.30059999999999931</v>
      </c>
      <c r="F110" s="38"/>
      <c r="G110" s="39">
        <f>ROUND(D110*(E110),2)-0.01</f>
        <v>-4664.42</v>
      </c>
      <c r="H110" s="270"/>
      <c r="I110" s="41"/>
      <c r="J110" s="41"/>
      <c r="K110" s="271"/>
      <c r="L110" s="272"/>
      <c r="M110" s="102"/>
      <c r="N110" s="430"/>
      <c r="O110" s="435"/>
      <c r="P110" s="435"/>
      <c r="Q110" s="425"/>
      <c r="R110" s="422"/>
      <c r="S110" s="399"/>
      <c r="T110" s="399"/>
    </row>
    <row r="111" spans="1:21" s="81" customFormat="1" ht="15" customHeight="1">
      <c r="A111" s="441"/>
      <c r="B111" s="442"/>
      <c r="C111" s="48" t="s">
        <v>131</v>
      </c>
      <c r="D111" s="37">
        <v>32</v>
      </c>
      <c r="E111" s="41">
        <v>6.5258000000000003</v>
      </c>
      <c r="F111" s="38"/>
      <c r="G111" s="39">
        <f>ROUND(D111*(E111),2)</f>
        <v>208.83</v>
      </c>
      <c r="H111" s="270"/>
      <c r="I111" s="41"/>
      <c r="J111" s="41"/>
      <c r="K111" s="271"/>
      <c r="L111" s="272"/>
      <c r="M111" s="102"/>
      <c r="N111" s="434"/>
      <c r="O111" s="435"/>
      <c r="P111" s="435"/>
      <c r="Q111" s="425"/>
      <c r="R111" s="422"/>
      <c r="S111" s="399"/>
      <c r="T111" s="399"/>
    </row>
    <row r="112" spans="1:21" s="81" customFormat="1" ht="15" customHeight="1" thickBot="1">
      <c r="A112" s="445"/>
      <c r="B112" s="446"/>
      <c r="C112" s="54" t="s">
        <v>29</v>
      </c>
      <c r="D112" s="413">
        <v>13191</v>
      </c>
      <c r="E112" s="56">
        <v>6.5258000000000003</v>
      </c>
      <c r="F112" s="281"/>
      <c r="G112" s="414">
        <f>ROUND(D112*(E112),2)</f>
        <v>86081.83</v>
      </c>
      <c r="H112" s="280"/>
      <c r="I112" s="281"/>
      <c r="J112" s="281"/>
      <c r="K112" s="282"/>
      <c r="L112" s="204"/>
      <c r="M112" s="371"/>
      <c r="N112" s="426"/>
      <c r="O112" s="416"/>
      <c r="P112" s="416"/>
      <c r="Q112" s="417"/>
      <c r="R112" s="899"/>
      <c r="S112" s="399"/>
      <c r="T112" s="399"/>
    </row>
    <row r="113" spans="1:20" s="81" customFormat="1" ht="15.75" customHeight="1">
      <c r="A113" s="902">
        <v>107</v>
      </c>
      <c r="B113" s="903" t="s">
        <v>214</v>
      </c>
      <c r="C113" s="439" t="s">
        <v>129</v>
      </c>
      <c r="D113" s="904">
        <f>мар18!D111+мар18!D112</f>
        <v>781.9</v>
      </c>
      <c r="E113" s="23">
        <f>6.5258-6.8264</f>
        <v>-0.30059999999999931</v>
      </c>
      <c r="F113" s="905"/>
      <c r="G113" s="22">
        <f>ROUND(D113*E113,2)+0.01</f>
        <v>-235.03</v>
      </c>
      <c r="H113" s="303"/>
      <c r="I113" s="23"/>
      <c r="J113" s="23"/>
      <c r="K113" s="304"/>
      <c r="L113" s="263">
        <f>SUM(G113:G115)</f>
        <v>3061.8</v>
      </c>
      <c r="M113" s="26">
        <v>3061.8</v>
      </c>
      <c r="N113" s="421"/>
      <c r="O113" s="77"/>
      <c r="P113" s="77"/>
      <c r="Q113" s="384"/>
      <c r="R113" s="422"/>
      <c r="S113" s="399"/>
      <c r="T113" s="399"/>
    </row>
    <row r="114" spans="1:20" s="81" customFormat="1" ht="15.75" customHeight="1">
      <c r="A114" s="468"/>
      <c r="B114" s="469"/>
      <c r="C114" s="48" t="s">
        <v>131</v>
      </c>
      <c r="D114" s="471">
        <v>1.2</v>
      </c>
      <c r="E114" s="41">
        <v>6.5258000000000003</v>
      </c>
      <c r="F114" s="473"/>
      <c r="G114" s="449">
        <f>ROUND(D114*E114,2)</f>
        <v>7.83</v>
      </c>
      <c r="H114" s="260"/>
      <c r="I114" s="261"/>
      <c r="J114" s="261"/>
      <c r="K114" s="262"/>
      <c r="L114" s="286"/>
      <c r="M114" s="90"/>
      <c r="N114" s="423"/>
      <c r="O114" s="406"/>
      <c r="P114" s="406"/>
      <c r="Q114" s="407"/>
      <c r="R114" s="422"/>
      <c r="S114" s="399"/>
      <c r="T114" s="399"/>
    </row>
    <row r="115" spans="1:20" s="81" customFormat="1" ht="15.75" customHeight="1" thickBot="1">
      <c r="A115" s="858"/>
      <c r="B115" s="859"/>
      <c r="C115" s="54" t="s">
        <v>29</v>
      </c>
      <c r="D115" s="860">
        <v>504</v>
      </c>
      <c r="E115" s="56">
        <v>6.5258000000000003</v>
      </c>
      <c r="F115" s="861"/>
      <c r="G115" s="414">
        <f t="shared" ref="G115" si="19">ROUND(D115*E115,2)</f>
        <v>3289</v>
      </c>
      <c r="H115" s="280"/>
      <c r="I115" s="281"/>
      <c r="J115" s="281"/>
      <c r="K115" s="282"/>
      <c r="L115" s="204"/>
      <c r="M115" s="371"/>
      <c r="N115" s="426"/>
      <c r="O115" s="416"/>
      <c r="P115" s="416"/>
      <c r="Q115" s="417"/>
      <c r="R115" s="422"/>
      <c r="S115" s="399"/>
      <c r="T115" s="399"/>
    </row>
    <row r="116" spans="1:20" s="81" customFormat="1" ht="15.75" customHeight="1">
      <c r="A116" s="902">
        <v>108</v>
      </c>
      <c r="B116" s="903" t="s">
        <v>168</v>
      </c>
      <c r="C116" s="439" t="s">
        <v>129</v>
      </c>
      <c r="D116" s="904">
        <f>мар18!D114+мар18!D115</f>
        <v>214.5</v>
      </c>
      <c r="E116" s="23">
        <f>6.5258-6.8264</f>
        <v>-0.30059999999999931</v>
      </c>
      <c r="F116" s="905"/>
      <c r="G116" s="22">
        <f>ROUND(D116*E116,2)</f>
        <v>-64.48</v>
      </c>
      <c r="H116" s="303"/>
      <c r="I116" s="23"/>
      <c r="J116" s="23"/>
      <c r="K116" s="304"/>
      <c r="L116" s="263">
        <f>SUM(G116:G118)</f>
        <v>1145.4000000000001</v>
      </c>
      <c r="M116" s="26">
        <v>1145.4000000000001</v>
      </c>
      <c r="N116" s="421"/>
      <c r="O116" s="77"/>
      <c r="P116" s="77"/>
      <c r="Q116" s="384"/>
      <c r="R116" s="422"/>
      <c r="S116" s="399"/>
      <c r="T116" s="399"/>
    </row>
    <row r="117" spans="1:20" s="81" customFormat="1" ht="15.75" customHeight="1">
      <c r="A117" s="468"/>
      <c r="B117" s="469"/>
      <c r="C117" s="48" t="s">
        <v>131</v>
      </c>
      <c r="D117" s="471">
        <v>0.4</v>
      </c>
      <c r="E117" s="41">
        <v>6.5258000000000003</v>
      </c>
      <c r="F117" s="473"/>
      <c r="G117" s="449">
        <f>ROUND(D117*E117,2)</f>
        <v>2.61</v>
      </c>
      <c r="H117" s="260"/>
      <c r="I117" s="261"/>
      <c r="J117" s="261"/>
      <c r="K117" s="262"/>
      <c r="L117" s="286"/>
      <c r="M117" s="90"/>
      <c r="N117" s="423"/>
      <c r="O117" s="406"/>
      <c r="P117" s="406"/>
      <c r="Q117" s="407"/>
      <c r="R117" s="422"/>
      <c r="S117" s="399"/>
      <c r="T117" s="399"/>
    </row>
    <row r="118" spans="1:20" s="81" customFormat="1" ht="15.75" customHeight="1" thickBot="1">
      <c r="A118" s="858"/>
      <c r="B118" s="859"/>
      <c r="C118" s="54" t="s">
        <v>29</v>
      </c>
      <c r="D118" s="860">
        <v>185</v>
      </c>
      <c r="E118" s="56">
        <v>6.5258000000000003</v>
      </c>
      <c r="F118" s="861"/>
      <c r="G118" s="414">
        <f t="shared" ref="G118" si="20">ROUND(D118*E118,2)</f>
        <v>1207.27</v>
      </c>
      <c r="H118" s="280"/>
      <c r="I118" s="281"/>
      <c r="J118" s="281"/>
      <c r="K118" s="282"/>
      <c r="L118" s="204"/>
      <c r="M118" s="371"/>
      <c r="N118" s="426"/>
      <c r="O118" s="416"/>
      <c r="P118" s="416"/>
      <c r="Q118" s="417"/>
      <c r="R118" s="422"/>
      <c r="S118" s="399"/>
      <c r="T118" s="399"/>
    </row>
    <row r="119" spans="1:20" s="81" customFormat="1" ht="15.75" customHeight="1">
      <c r="A119" s="468">
        <v>109</v>
      </c>
      <c r="B119" s="699" t="s">
        <v>175</v>
      </c>
      <c r="C119" s="439" t="s">
        <v>129</v>
      </c>
      <c r="D119" s="918">
        <f>мар18!D118+мар18!D117</f>
        <v>1790.3</v>
      </c>
      <c r="E119" s="23">
        <f>6.5258-6.8264</f>
        <v>-0.30059999999999931</v>
      </c>
      <c r="F119" s="473"/>
      <c r="G119" s="862">
        <f>ROUND(D119*E119,2)-0.01</f>
        <v>-538.16999999999996</v>
      </c>
      <c r="H119" s="261"/>
      <c r="I119" s="261"/>
      <c r="J119" s="261"/>
      <c r="K119" s="185"/>
      <c r="L119" s="263">
        <f>SUM(G119:G122)+SUM(J119:J122)</f>
        <v>5526.2839999999997</v>
      </c>
      <c r="M119" s="26">
        <v>5526.28</v>
      </c>
      <c r="N119" s="443"/>
      <c r="O119" s="94"/>
      <c r="P119" s="94"/>
      <c r="Q119" s="396"/>
      <c r="R119" s="422"/>
      <c r="S119" s="399"/>
      <c r="T119" s="399"/>
    </row>
    <row r="120" spans="1:20" s="81" customFormat="1" ht="15.75" customHeight="1">
      <c r="A120" s="468"/>
      <c r="B120" s="469"/>
      <c r="C120" s="48" t="s">
        <v>131</v>
      </c>
      <c r="D120" s="919">
        <v>2.2000000000000002</v>
      </c>
      <c r="E120" s="41">
        <v>6.5258000000000003</v>
      </c>
      <c r="F120" s="473"/>
      <c r="G120" s="409">
        <f>ROUND(D120*E120,2)</f>
        <v>14.36</v>
      </c>
      <c r="H120" s="41"/>
      <c r="I120" s="41"/>
      <c r="J120" s="41"/>
      <c r="K120" s="50"/>
      <c r="L120" s="286"/>
      <c r="M120" s="90"/>
      <c r="N120" s="423"/>
      <c r="O120" s="406"/>
      <c r="P120" s="406"/>
      <c r="Q120" s="407"/>
      <c r="R120" s="422"/>
      <c r="S120" s="399"/>
      <c r="T120" s="399"/>
    </row>
    <row r="121" spans="1:20" s="81" customFormat="1" ht="15.75" customHeight="1">
      <c r="A121" s="468"/>
      <c r="B121" s="920"/>
      <c r="C121" s="99" t="s">
        <v>29</v>
      </c>
      <c r="D121" s="919">
        <v>903</v>
      </c>
      <c r="E121" s="101">
        <v>6.5258000000000003</v>
      </c>
      <c r="F121" s="473"/>
      <c r="G121" s="409">
        <f t="shared" ref="G121" si="21">ROUND(D121*E121,2)</f>
        <v>5892.8</v>
      </c>
      <c r="H121" s="41"/>
      <c r="I121" s="41"/>
      <c r="J121" s="41"/>
      <c r="K121" s="50"/>
      <c r="L121" s="286"/>
      <c r="M121" s="90"/>
      <c r="N121" s="423"/>
      <c r="O121" s="406"/>
      <c r="P121" s="406"/>
      <c r="Q121" s="407"/>
      <c r="R121" s="422"/>
      <c r="S121" s="399"/>
      <c r="T121" s="399"/>
    </row>
    <row r="122" spans="1:20" s="81" customFormat="1" ht="15.75" customHeight="1" thickBot="1">
      <c r="A122" s="858"/>
      <c r="B122" s="921"/>
      <c r="C122" s="54" t="s">
        <v>73</v>
      </c>
      <c r="D122" s="922">
        <v>2</v>
      </c>
      <c r="E122" s="56">
        <v>36.214199999999998</v>
      </c>
      <c r="F122" s="861">
        <v>42.4328</v>
      </c>
      <c r="G122" s="923">
        <f>+D122*(E122+F122)</f>
        <v>157.29399999999998</v>
      </c>
      <c r="H122" s="281"/>
      <c r="I122" s="281"/>
      <c r="J122" s="281"/>
      <c r="K122" s="58"/>
      <c r="L122" s="204"/>
      <c r="M122" s="371"/>
      <c r="N122" s="426"/>
      <c r="O122" s="416"/>
      <c r="P122" s="416"/>
      <c r="Q122" s="417"/>
      <c r="R122" s="422"/>
      <c r="S122" s="399"/>
      <c r="T122" s="399"/>
    </row>
    <row r="123" spans="1:20" s="81" customFormat="1" ht="15.75" customHeight="1">
      <c r="A123" s="376">
        <v>117</v>
      </c>
      <c r="B123" s="420" t="s">
        <v>72</v>
      </c>
      <c r="C123" s="377" t="s">
        <v>73</v>
      </c>
      <c r="D123" s="378">
        <v>113</v>
      </c>
      <c r="E123" s="21">
        <v>36.214199999999998</v>
      </c>
      <c r="F123" s="21">
        <v>42.4328</v>
      </c>
      <c r="G123" s="22">
        <f>+D123*(E123+F123)</f>
        <v>8887.110999999999</v>
      </c>
      <c r="H123" s="303"/>
      <c r="I123" s="381"/>
      <c r="J123" s="381"/>
      <c r="K123" s="342"/>
      <c r="L123" s="263">
        <f>SUM(G123:G127,J123:J127)</f>
        <v>196277.71100000001</v>
      </c>
      <c r="M123" s="26">
        <v>196277.71</v>
      </c>
      <c r="N123" s="421"/>
      <c r="O123" s="77"/>
      <c r="P123" s="77"/>
      <c r="Q123" s="384"/>
      <c r="R123" s="422"/>
      <c r="S123" s="399"/>
      <c r="T123" s="399"/>
    </row>
    <row r="124" spans="1:20" s="81" customFormat="1" ht="15.75" customHeight="1">
      <c r="A124" s="389"/>
      <c r="B124" s="83"/>
      <c r="C124" s="84" t="s">
        <v>26</v>
      </c>
      <c r="D124" s="37"/>
      <c r="E124" s="38"/>
      <c r="F124" s="38"/>
      <c r="G124" s="39">
        <f>ROUND(D124*(E124+F124),2)</f>
        <v>0</v>
      </c>
      <c r="H124" s="270"/>
      <c r="I124" s="392"/>
      <c r="J124" s="402"/>
      <c r="K124" s="393"/>
      <c r="L124" s="272"/>
      <c r="M124" s="102"/>
      <c r="N124" s="423"/>
      <c r="O124" s="406"/>
      <c r="P124" s="406"/>
      <c r="Q124" s="407"/>
      <c r="R124" s="422"/>
      <c r="S124" s="399"/>
      <c r="T124" s="399"/>
    </row>
    <row r="125" spans="1:20" s="81" customFormat="1" ht="15.75" customHeight="1">
      <c r="A125" s="389"/>
      <c r="B125" s="83"/>
      <c r="C125" s="48" t="s">
        <v>129</v>
      </c>
      <c r="D125" s="37">
        <f>мар18!D123+мар18!D124</f>
        <v>37289</v>
      </c>
      <c r="E125" s="41">
        <f>6.5258-6.8264</f>
        <v>-0.30059999999999931</v>
      </c>
      <c r="F125" s="38"/>
      <c r="G125" s="39">
        <f>ROUND(D125*(E125),2)</f>
        <v>-11209.07</v>
      </c>
      <c r="H125" s="270"/>
      <c r="I125" s="41"/>
      <c r="J125" s="41"/>
      <c r="K125" s="271"/>
      <c r="L125" s="272"/>
      <c r="M125" s="102"/>
      <c r="N125" s="423"/>
      <c r="O125" s="406"/>
      <c r="P125" s="406"/>
      <c r="Q125" s="407"/>
      <c r="R125" s="422"/>
      <c r="S125" s="399"/>
      <c r="T125" s="399"/>
    </row>
    <row r="126" spans="1:20" s="81" customFormat="1" ht="15.75" customHeight="1">
      <c r="A126" s="389"/>
      <c r="B126" s="83"/>
      <c r="C126" s="48" t="s">
        <v>131</v>
      </c>
      <c r="D126" s="37">
        <v>73</v>
      </c>
      <c r="E126" s="41">
        <v>6.5258000000000003</v>
      </c>
      <c r="F126" s="38"/>
      <c r="G126" s="39">
        <f>ROUND(D126*(E126),2)</f>
        <v>476.38</v>
      </c>
      <c r="H126" s="270"/>
      <c r="I126" s="41"/>
      <c r="J126" s="41"/>
      <c r="K126" s="271"/>
      <c r="L126" s="272"/>
      <c r="M126" s="102"/>
      <c r="N126" s="423"/>
      <c r="O126" s="406"/>
      <c r="P126" s="406"/>
      <c r="Q126" s="425"/>
      <c r="R126" s="422"/>
      <c r="S126" s="399"/>
      <c r="T126" s="399"/>
    </row>
    <row r="127" spans="1:20" s="81" customFormat="1" ht="15.75" customHeight="1" thickBot="1">
      <c r="A127" s="411"/>
      <c r="B127" s="412"/>
      <c r="C127" s="99" t="s">
        <v>29</v>
      </c>
      <c r="D127" s="413">
        <v>30360</v>
      </c>
      <c r="E127" s="56">
        <v>6.5258000000000003</v>
      </c>
      <c r="F127" s="281"/>
      <c r="G127" s="414">
        <f>ROUND(D127*(E127),2)</f>
        <v>198123.29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22"/>
      <c r="S127" s="399"/>
      <c r="T127" s="399"/>
    </row>
    <row r="128" spans="1:20" s="81" customFormat="1" ht="15.75" customHeight="1">
      <c r="A128" s="376">
        <v>118</v>
      </c>
      <c r="B128" s="924" t="s">
        <v>215</v>
      </c>
      <c r="C128" s="377" t="s">
        <v>73</v>
      </c>
      <c r="D128" s="378">
        <v>68</v>
      </c>
      <c r="E128" s="21">
        <v>36.214199999999998</v>
      </c>
      <c r="F128" s="21">
        <v>42.4328</v>
      </c>
      <c r="G128" s="22">
        <f>+D128*(E128+F128)</f>
        <v>5347.9959999999992</v>
      </c>
      <c r="H128" s="303"/>
      <c r="I128" s="381"/>
      <c r="J128" s="41"/>
      <c r="K128" s="342"/>
      <c r="L128" s="263">
        <f>SUM(G128:G132,J128:J132)</f>
        <v>62306.545999999995</v>
      </c>
      <c r="M128" s="26">
        <v>62306.55</v>
      </c>
      <c r="N128" s="421"/>
      <c r="O128" s="77"/>
      <c r="P128" s="77"/>
      <c r="Q128" s="384"/>
      <c r="R128" s="422"/>
      <c r="S128" s="399"/>
      <c r="T128" s="399"/>
    </row>
    <row r="129" spans="1:20" s="81" customFormat="1" ht="15.75" customHeight="1">
      <c r="A129" s="389"/>
      <c r="B129" s="920"/>
      <c r="C129" s="36" t="s">
        <v>26</v>
      </c>
      <c r="D129" s="37"/>
      <c r="E129" s="38"/>
      <c r="F129" s="38"/>
      <c r="G129" s="39">
        <f>ROUND(D129*(E129+F129),2)</f>
        <v>0</v>
      </c>
      <c r="H129" s="457"/>
      <c r="I129" s="392"/>
      <c r="J129" s="41"/>
      <c r="K129" s="393"/>
      <c r="L129" s="459"/>
      <c r="M129" s="44"/>
      <c r="N129" s="430"/>
      <c r="O129" s="406"/>
      <c r="P129" s="406"/>
      <c r="Q129" s="407"/>
      <c r="R129" s="422"/>
      <c r="S129" s="399"/>
      <c r="T129" s="399"/>
    </row>
    <row r="130" spans="1:20" s="81" customFormat="1" ht="15.75" customHeight="1">
      <c r="A130" s="389"/>
      <c r="B130" s="920"/>
      <c r="C130" s="48" t="s">
        <v>129</v>
      </c>
      <c r="D130" s="37">
        <f>мар18!D128+мар18!D129</f>
        <v>10220.5</v>
      </c>
      <c r="E130" s="41">
        <f>6.5258-6.8264</f>
        <v>-0.30059999999999931</v>
      </c>
      <c r="F130" s="38"/>
      <c r="G130" s="39">
        <f>ROUND(D130*(E130),2)-0.01</f>
        <v>-3072.2900000000004</v>
      </c>
      <c r="H130" s="270"/>
      <c r="I130" s="41"/>
      <c r="J130" s="41"/>
      <c r="K130" s="271"/>
      <c r="L130" s="272"/>
      <c r="M130" s="102"/>
      <c r="N130" s="430"/>
      <c r="O130" s="406"/>
      <c r="P130" s="406"/>
      <c r="Q130" s="407"/>
      <c r="R130" s="422"/>
      <c r="S130" s="399"/>
      <c r="T130" s="399"/>
    </row>
    <row r="131" spans="1:20" s="81" customFormat="1" ht="15.75" customHeight="1">
      <c r="A131" s="389"/>
      <c r="B131" s="920"/>
      <c r="C131" s="48" t="s">
        <v>131</v>
      </c>
      <c r="D131" s="37">
        <v>22</v>
      </c>
      <c r="E131" s="41">
        <v>6.5258000000000003</v>
      </c>
      <c r="F131" s="38"/>
      <c r="G131" s="39">
        <f>ROUND(D131*(E131),2)</f>
        <v>143.57</v>
      </c>
      <c r="H131" s="270"/>
      <c r="I131" s="41"/>
      <c r="J131" s="41"/>
      <c r="K131" s="271"/>
      <c r="L131" s="272"/>
      <c r="M131" s="102"/>
      <c r="N131" s="434"/>
      <c r="O131" s="435"/>
      <c r="P131" s="435"/>
      <c r="Q131" s="425"/>
      <c r="R131" s="422"/>
      <c r="S131" s="399"/>
      <c r="T131" s="399"/>
    </row>
    <row r="132" spans="1:20" s="81" customFormat="1" ht="15.75" customHeight="1" thickBot="1">
      <c r="A132" s="411"/>
      <c r="B132" s="921"/>
      <c r="C132" s="54" t="s">
        <v>29</v>
      </c>
      <c r="D132" s="413">
        <v>9177</v>
      </c>
      <c r="E132" s="56">
        <v>6.5258000000000003</v>
      </c>
      <c r="F132" s="281"/>
      <c r="G132" s="414">
        <f>ROUND(D132*(E132),2)</f>
        <v>59887.27</v>
      </c>
      <c r="H132" s="432"/>
      <c r="I132" s="207"/>
      <c r="J132" s="207"/>
      <c r="K132" s="362"/>
      <c r="L132" s="433"/>
      <c r="M132" s="63"/>
      <c r="N132" s="434"/>
      <c r="O132" s="435"/>
      <c r="P132" s="435"/>
      <c r="Q132" s="425"/>
      <c r="R132" s="422"/>
      <c r="S132" s="399"/>
      <c r="T132" s="399"/>
    </row>
    <row r="133" spans="1:20" s="81" customFormat="1" ht="15.75" customHeight="1">
      <c r="A133" s="468">
        <v>121</v>
      </c>
      <c r="B133" s="699" t="s">
        <v>154</v>
      </c>
      <c r="C133" s="700" t="s">
        <v>129</v>
      </c>
      <c r="D133" s="471">
        <f>мар18!D131+мар18!D132</f>
        <v>326.8</v>
      </c>
      <c r="E133" s="261">
        <f>6.5258-6.8264</f>
        <v>-0.30059999999999931</v>
      </c>
      <c r="F133" s="473"/>
      <c r="G133" s="449">
        <f>ROUND(D133*E133,2)</f>
        <v>-98.24</v>
      </c>
      <c r="H133" s="303"/>
      <c r="I133" s="23"/>
      <c r="J133" s="23"/>
      <c r="K133" s="304"/>
      <c r="L133" s="263">
        <f>SUM(G133:G135)</f>
        <v>1942.3799999999999</v>
      </c>
      <c r="M133" s="26">
        <v>1942.38</v>
      </c>
      <c r="N133" s="421"/>
      <c r="O133" s="77"/>
      <c r="P133" s="77"/>
      <c r="Q133" s="384"/>
      <c r="R133" s="422"/>
      <c r="S133" s="399"/>
      <c r="T133" s="399"/>
    </row>
    <row r="134" spans="1:20" s="81" customFormat="1" ht="15.75" customHeight="1">
      <c r="A134" s="468"/>
      <c r="B134" s="469"/>
      <c r="C134" s="48" t="s">
        <v>131</v>
      </c>
      <c r="D134" s="471">
        <v>0.7</v>
      </c>
      <c r="E134" s="41">
        <v>6.5258000000000003</v>
      </c>
      <c r="F134" s="473"/>
      <c r="G134" s="449">
        <f>ROUND(D134*E134,2)</f>
        <v>4.57</v>
      </c>
      <c r="H134" s="260"/>
      <c r="I134" s="261"/>
      <c r="J134" s="261"/>
      <c r="K134" s="262"/>
      <c r="L134" s="286"/>
      <c r="M134" s="90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 thickBot="1">
      <c r="A135" s="858"/>
      <c r="B135" s="859"/>
      <c r="C135" s="54" t="s">
        <v>29</v>
      </c>
      <c r="D135" s="860">
        <v>312</v>
      </c>
      <c r="E135" s="56">
        <v>6.5258000000000003</v>
      </c>
      <c r="F135" s="861"/>
      <c r="G135" s="414">
        <f t="shared" ref="G135" si="22">ROUND(D135*E135,2)</f>
        <v>2036.05</v>
      </c>
      <c r="H135" s="280"/>
      <c r="I135" s="281"/>
      <c r="J135" s="281"/>
      <c r="K135" s="282"/>
      <c r="L135" s="204"/>
      <c r="M135" s="371"/>
      <c r="N135" s="426"/>
      <c r="O135" s="416"/>
      <c r="P135" s="416"/>
      <c r="Q135" s="417"/>
      <c r="R135" s="422"/>
      <c r="S135" s="399"/>
      <c r="T135" s="399"/>
    </row>
    <row r="136" spans="1:20" s="81" customFormat="1" ht="15.75" customHeight="1">
      <c r="A136" s="376">
        <v>202</v>
      </c>
      <c r="B136" s="420" t="s">
        <v>74</v>
      </c>
      <c r="C136" s="377" t="s">
        <v>73</v>
      </c>
      <c r="D136" s="378">
        <v>14</v>
      </c>
      <c r="E136" s="21">
        <v>36.214199999999998</v>
      </c>
      <c r="F136" s="21">
        <v>42.4328</v>
      </c>
      <c r="G136" s="22">
        <f>ROUND(D136*(E136+F136),2)</f>
        <v>1101.06</v>
      </c>
      <c r="H136" s="303"/>
      <c r="I136" s="381"/>
      <c r="J136" s="381"/>
      <c r="K136" s="342"/>
      <c r="L136" s="263">
        <f>SUM(G136:G142,J136:J142)</f>
        <v>19606.310000000001</v>
      </c>
      <c r="M136" s="26">
        <v>19606.310000000001</v>
      </c>
      <c r="N136" s="421"/>
      <c r="O136" s="77"/>
      <c r="P136" s="77"/>
      <c r="Q136" s="384"/>
      <c r="R136" s="422"/>
      <c r="S136" s="399"/>
      <c r="T136" s="399"/>
    </row>
    <row r="137" spans="1:20" s="81" customFormat="1" ht="15.75" customHeight="1">
      <c r="A137" s="389"/>
      <c r="B137" s="98"/>
      <c r="C137" s="84" t="s">
        <v>26</v>
      </c>
      <c r="D137" s="37"/>
      <c r="E137" s="38"/>
      <c r="F137" s="38"/>
      <c r="G137" s="39">
        <f>ROUND(D137*(E137+F137),2)</f>
        <v>0</v>
      </c>
      <c r="H137" s="270"/>
      <c r="I137" s="392"/>
      <c r="J137" s="402"/>
      <c r="K137" s="393"/>
      <c r="L137" s="272"/>
      <c r="M137" s="102"/>
      <c r="N137" s="423"/>
      <c r="O137" s="406"/>
      <c r="P137" s="406"/>
      <c r="Q137" s="407"/>
      <c r="R137" s="422"/>
      <c r="S137" s="399"/>
      <c r="T137" s="399"/>
    </row>
    <row r="138" spans="1:20" s="81" customFormat="1" ht="15.75" customHeight="1">
      <c r="A138" s="389"/>
      <c r="B138" s="98" t="s">
        <v>32</v>
      </c>
      <c r="C138" s="99" t="s">
        <v>33</v>
      </c>
      <c r="D138" s="428">
        <v>7</v>
      </c>
      <c r="E138" s="101">
        <v>341.87</v>
      </c>
      <c r="F138" s="38">
        <v>42.43</v>
      </c>
      <c r="G138" s="39">
        <f>ROUND(D138*(E138+F138),2)</f>
        <v>2690.1</v>
      </c>
      <c r="H138" s="270"/>
      <c r="I138" s="41"/>
      <c r="J138" s="41"/>
      <c r="K138" s="271"/>
      <c r="L138" s="272"/>
      <c r="M138" s="102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>
      <c r="A139" s="389"/>
      <c r="B139" s="83"/>
      <c r="C139" s="48" t="s">
        <v>76</v>
      </c>
      <c r="D139" s="37">
        <f>мар18!D135</f>
        <v>8</v>
      </c>
      <c r="E139" s="41">
        <f>341.87-326.58</f>
        <v>15.29000000000002</v>
      </c>
      <c r="F139" s="38"/>
      <c r="G139" s="39">
        <f>ROUND(D139*(E139+F139),2)</f>
        <v>122.32</v>
      </c>
      <c r="H139" s="270"/>
      <c r="I139" s="41"/>
      <c r="J139" s="41"/>
      <c r="K139" s="271"/>
      <c r="L139" s="272"/>
      <c r="M139" s="102"/>
      <c r="N139" s="423"/>
      <c r="O139" s="406"/>
      <c r="P139" s="406"/>
      <c r="Q139" s="407"/>
      <c r="R139" s="422"/>
      <c r="S139" s="399"/>
      <c r="T139" s="399"/>
    </row>
    <row r="140" spans="1:20" s="81" customFormat="1" ht="15.75" customHeight="1">
      <c r="A140" s="389"/>
      <c r="B140" s="83"/>
      <c r="C140" s="48" t="s">
        <v>129</v>
      </c>
      <c r="D140" s="37">
        <f>мар18!D138+мар18!D139</f>
        <v>2806.7</v>
      </c>
      <c r="E140" s="41">
        <f>6.5258-6.8264</f>
        <v>-0.30059999999999931</v>
      </c>
      <c r="F140" s="38"/>
      <c r="G140" s="39">
        <f>ROUND(D140*(E140+F140),2)+0.01</f>
        <v>-843.68000000000006</v>
      </c>
      <c r="H140" s="270"/>
      <c r="I140" s="41"/>
      <c r="J140" s="41"/>
      <c r="K140" s="271"/>
      <c r="L140" s="272"/>
      <c r="M140" s="102"/>
      <c r="N140" s="423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83"/>
      <c r="C141" s="48" t="s">
        <v>131</v>
      </c>
      <c r="D141" s="37">
        <v>6.02</v>
      </c>
      <c r="E141" s="41">
        <v>6.5258000000000003</v>
      </c>
      <c r="F141" s="38"/>
      <c r="G141" s="39">
        <f>ROUND(D141*E141,2)</f>
        <v>39.29</v>
      </c>
      <c r="H141" s="270"/>
      <c r="I141" s="41"/>
      <c r="J141" s="41"/>
      <c r="K141" s="271"/>
      <c r="L141" s="272"/>
      <c r="M141" s="102"/>
      <c r="N141" s="423"/>
      <c r="O141" s="406"/>
      <c r="P141" s="406"/>
      <c r="Q141" s="425"/>
      <c r="R141" s="422"/>
      <c r="S141" s="399"/>
      <c r="T141" s="399"/>
    </row>
    <row r="142" spans="1:20" s="81" customFormat="1" ht="15" customHeight="1" thickBot="1">
      <c r="A142" s="411"/>
      <c r="B142" s="412"/>
      <c r="C142" s="99" t="s">
        <v>29</v>
      </c>
      <c r="D142" s="413">
        <v>2528</v>
      </c>
      <c r="E142" s="56">
        <v>6.5258000000000003</v>
      </c>
      <c r="F142" s="281"/>
      <c r="G142" s="414">
        <f>ROUND(D142*(E142+F142),2)</f>
        <v>16497.22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902">
        <v>203</v>
      </c>
      <c r="B143" s="903" t="s">
        <v>230</v>
      </c>
      <c r="C143" s="439" t="s">
        <v>129</v>
      </c>
      <c r="D143" s="904"/>
      <c r="E143" s="23">
        <f>6.5258-6.8264</f>
        <v>-0.30059999999999931</v>
      </c>
      <c r="F143" s="905"/>
      <c r="G143" s="22">
        <f>ROUND(D143*E143,2)</f>
        <v>0</v>
      </c>
      <c r="H143" s="303"/>
      <c r="I143" s="23"/>
      <c r="J143" s="23"/>
      <c r="K143" s="304"/>
      <c r="L143" s="263">
        <f>SUM(G143:G145)</f>
        <v>65.260000000000005</v>
      </c>
      <c r="M143" s="26">
        <v>65.260000000000005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131</v>
      </c>
      <c r="D144" s="471">
        <v>0</v>
      </c>
      <c r="E144" s="41">
        <v>6.5258000000000003</v>
      </c>
      <c r="F144" s="473"/>
      <c r="G144" s="449">
        <f>ROUND(D144*E144,2)</f>
        <v>0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858"/>
      <c r="B145" s="859"/>
      <c r="C145" s="54" t="s">
        <v>29</v>
      </c>
      <c r="D145" s="860">
        <v>10</v>
      </c>
      <c r="E145" s="56">
        <v>6.5258000000000003</v>
      </c>
      <c r="F145" s="861"/>
      <c r="G145" s="414">
        <f t="shared" ref="G145" si="23">ROUND(D145*E145,2)</f>
        <v>65.260000000000005</v>
      </c>
      <c r="H145" s="280"/>
      <c r="I145" s="281"/>
      <c r="J145" s="207"/>
      <c r="K145" s="362"/>
      <c r="L145" s="433"/>
      <c r="M145" s="63"/>
      <c r="N145" s="426"/>
      <c r="O145" s="416"/>
      <c r="P145" s="416"/>
      <c r="Q145" s="417"/>
      <c r="R145" s="422"/>
      <c r="S145" s="399"/>
      <c r="T145" s="399"/>
    </row>
    <row r="146" spans="1:20" s="81" customFormat="1" ht="15.75" customHeight="1">
      <c r="A146" s="902">
        <v>207</v>
      </c>
      <c r="B146" s="903" t="s">
        <v>133</v>
      </c>
      <c r="C146" s="439" t="s">
        <v>129</v>
      </c>
      <c r="D146" s="904">
        <f>мар18!D144+мар18!D145</f>
        <v>447.1</v>
      </c>
      <c r="E146" s="23">
        <f>6.5258-6.8264</f>
        <v>-0.30059999999999931</v>
      </c>
      <c r="F146" s="905"/>
      <c r="G146" s="22">
        <f>ROUND(D146*E146,2)</f>
        <v>-134.4</v>
      </c>
      <c r="H146" s="303"/>
      <c r="I146" s="23"/>
      <c r="J146" s="23"/>
      <c r="K146" s="304"/>
      <c r="L146" s="263">
        <f>SUM(G146:G148)</f>
        <v>1605.3799999999999</v>
      </c>
      <c r="M146" s="26">
        <v>1605.38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.75" customHeight="1">
      <c r="A147" s="468"/>
      <c r="B147" s="981" t="s">
        <v>226</v>
      </c>
      <c r="C147" s="48" t="s">
        <v>131</v>
      </c>
      <c r="D147" s="471">
        <v>0.6</v>
      </c>
      <c r="E147" s="41">
        <v>6.5258000000000003</v>
      </c>
      <c r="F147" s="473"/>
      <c r="G147" s="449">
        <f>ROUND(D147*E147,2)</f>
        <v>3.92</v>
      </c>
      <c r="H147" s="260"/>
      <c r="I147" s="261"/>
      <c r="J147" s="261"/>
      <c r="K147" s="262"/>
      <c r="L147" s="286"/>
      <c r="M147" s="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858"/>
      <c r="B148" s="859"/>
      <c r="C148" s="54" t="s">
        <v>29</v>
      </c>
      <c r="D148" s="860">
        <v>266</v>
      </c>
      <c r="E148" s="56">
        <v>6.5258000000000003</v>
      </c>
      <c r="F148" s="861"/>
      <c r="G148" s="414">
        <f t="shared" ref="G148" si="24">ROUND(D148*E148,2)</f>
        <v>1735.86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" customHeight="1">
      <c r="A149" s="376">
        <v>210</v>
      </c>
      <c r="B149" s="420" t="s">
        <v>77</v>
      </c>
      <c r="C149" s="377" t="s">
        <v>73</v>
      </c>
      <c r="D149" s="378">
        <v>3</v>
      </c>
      <c r="E149" s="21">
        <v>36.214199999999998</v>
      </c>
      <c r="F149" s="21">
        <v>42.4328</v>
      </c>
      <c r="G149" s="22">
        <f t="shared" ref="G149:G155" si="25">ROUND(D149*(E149+F149),2)</f>
        <v>235.94</v>
      </c>
      <c r="H149" s="303"/>
      <c r="I149" s="381"/>
      <c r="J149" s="381"/>
      <c r="K149" s="342"/>
      <c r="L149" s="382">
        <f>+SUM(G149:G155,J149:J155)</f>
        <v>1158.9799999999998</v>
      </c>
      <c r="M149" s="26">
        <v>1158.98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" customHeight="1">
      <c r="A150" s="389"/>
      <c r="B150" s="83"/>
      <c r="C150" s="84" t="s">
        <v>26</v>
      </c>
      <c r="D150" s="37"/>
      <c r="E150" s="38"/>
      <c r="F150" s="38"/>
      <c r="G150" s="39">
        <f t="shared" si="25"/>
        <v>0</v>
      </c>
      <c r="H150" s="270"/>
      <c r="I150" s="392"/>
      <c r="J150" s="402"/>
      <c r="K150" s="393"/>
      <c r="L150" s="429"/>
      <c r="M150" s="102"/>
      <c r="N150" s="430"/>
      <c r="O150" s="406"/>
      <c r="P150" s="406"/>
      <c r="Q150" s="407"/>
      <c r="R150" s="422"/>
      <c r="S150" s="399"/>
      <c r="T150" s="399"/>
    </row>
    <row r="151" spans="1:20" s="81" customFormat="1" ht="15" customHeight="1">
      <c r="A151" s="389"/>
      <c r="B151" s="98" t="s">
        <v>32</v>
      </c>
      <c r="C151" s="99" t="s">
        <v>33</v>
      </c>
      <c r="D151" s="37">
        <v>2</v>
      </c>
      <c r="E151" s="101">
        <v>341.87</v>
      </c>
      <c r="F151" s="38">
        <v>42.4328</v>
      </c>
      <c r="G151" s="39">
        <f t="shared" si="25"/>
        <v>768.61</v>
      </c>
      <c r="H151" s="270"/>
      <c r="I151" s="41"/>
      <c r="J151" s="41"/>
      <c r="K151" s="271"/>
      <c r="L151" s="272"/>
      <c r="M151" s="102"/>
      <c r="N151" s="430"/>
      <c r="O151" s="406"/>
      <c r="P151" s="406"/>
      <c r="Q151" s="407"/>
      <c r="R151" s="422"/>
      <c r="S151" s="399"/>
      <c r="T151" s="399"/>
    </row>
    <row r="152" spans="1:20" s="81" customFormat="1" ht="15" customHeight="1">
      <c r="A152" s="389"/>
      <c r="B152" s="83"/>
      <c r="C152" s="48" t="s">
        <v>190</v>
      </c>
      <c r="D152" s="37">
        <f>мар18!D148</f>
        <v>3</v>
      </c>
      <c r="E152" s="41">
        <f>341.87-326.58</f>
        <v>15.29000000000002</v>
      </c>
      <c r="F152" s="38"/>
      <c r="G152" s="39">
        <f>ROUND(D152*(E152+F152),2)</f>
        <v>45.87</v>
      </c>
      <c r="H152" s="270"/>
      <c r="I152" s="41"/>
      <c r="J152" s="41"/>
      <c r="K152" s="271"/>
      <c r="L152" s="272"/>
      <c r="M152" s="102"/>
      <c r="N152" s="430"/>
      <c r="O152" s="406"/>
      <c r="P152" s="406"/>
      <c r="Q152" s="407"/>
      <c r="R152" s="422"/>
      <c r="S152" s="399"/>
      <c r="T152" s="399"/>
    </row>
    <row r="153" spans="1:20" s="81" customFormat="1" ht="15" customHeight="1">
      <c r="A153" s="389"/>
      <c r="B153" s="83"/>
      <c r="C153" s="48" t="s">
        <v>129</v>
      </c>
      <c r="D153" s="37">
        <f>мар18!D151+мар18!D152</f>
        <v>270.60000000000002</v>
      </c>
      <c r="E153" s="41">
        <f>6.5258-6.8264</f>
        <v>-0.30059999999999931</v>
      </c>
      <c r="F153" s="38"/>
      <c r="G153" s="39">
        <f>ROUND(D153*(E153+F153),2)</f>
        <v>-81.34</v>
      </c>
      <c r="H153" s="270"/>
      <c r="I153" s="41"/>
      <c r="J153" s="41"/>
      <c r="K153" s="271"/>
      <c r="L153" s="272"/>
      <c r="M153" s="102"/>
      <c r="N153" s="430"/>
      <c r="O153" s="406"/>
      <c r="P153" s="406"/>
      <c r="Q153" s="407"/>
      <c r="R153" s="899"/>
      <c r="S153" s="399"/>
      <c r="T153" s="399"/>
    </row>
    <row r="154" spans="1:20" s="81" customFormat="1" ht="15" customHeight="1">
      <c r="A154" s="389"/>
      <c r="B154" s="83"/>
      <c r="C154" s="48" t="s">
        <v>131</v>
      </c>
      <c r="D154" s="37">
        <v>0.1</v>
      </c>
      <c r="E154" s="41">
        <v>6.5258000000000003</v>
      </c>
      <c r="F154" s="38"/>
      <c r="G154" s="39">
        <f t="shared" si="25"/>
        <v>0.65</v>
      </c>
      <c r="H154" s="432"/>
      <c r="I154" s="207"/>
      <c r="J154" s="207"/>
      <c r="K154" s="362"/>
      <c r="L154" s="433"/>
      <c r="M154" s="63"/>
      <c r="N154" s="434"/>
      <c r="O154" s="435"/>
      <c r="P154" s="435"/>
      <c r="Q154" s="425"/>
      <c r="R154" s="899"/>
      <c r="S154" s="399"/>
      <c r="T154" s="399"/>
    </row>
    <row r="155" spans="1:20" s="81" customFormat="1" ht="15" customHeight="1" thickBot="1">
      <c r="A155" s="411"/>
      <c r="B155" s="412"/>
      <c r="C155" s="99" t="s">
        <v>29</v>
      </c>
      <c r="D155" s="413">
        <v>29</v>
      </c>
      <c r="E155" s="56">
        <v>6.5258000000000003</v>
      </c>
      <c r="F155" s="281"/>
      <c r="G155" s="414">
        <f t="shared" si="25"/>
        <v>189.25</v>
      </c>
      <c r="H155" s="280"/>
      <c r="I155" s="281"/>
      <c r="J155" s="281"/>
      <c r="K155" s="282"/>
      <c r="L155" s="204"/>
      <c r="M155" s="371"/>
      <c r="N155" s="426"/>
      <c r="O155" s="416"/>
      <c r="P155" s="416"/>
      <c r="Q155" s="417"/>
      <c r="R155" s="899"/>
      <c r="S155" s="399"/>
      <c r="T155" s="399"/>
    </row>
    <row r="156" spans="1:20" s="81" customFormat="1" ht="15.75" customHeight="1">
      <c r="A156" s="902">
        <v>211</v>
      </c>
      <c r="B156" s="903" t="s">
        <v>231</v>
      </c>
      <c r="C156" s="439" t="s">
        <v>129</v>
      </c>
      <c r="D156" s="904"/>
      <c r="E156" s="23">
        <f>6.5258-6.8264</f>
        <v>-0.30059999999999931</v>
      </c>
      <c r="F156" s="905"/>
      <c r="G156" s="22">
        <f>ROUND(D156*E156,2)</f>
        <v>0</v>
      </c>
      <c r="H156" s="303"/>
      <c r="I156" s="23"/>
      <c r="J156" s="23"/>
      <c r="K156" s="304"/>
      <c r="L156" s="263">
        <f>SUM(G156:G158)</f>
        <v>339.98999999999995</v>
      </c>
      <c r="M156" s="26">
        <v>339.99</v>
      </c>
      <c r="N156" s="421"/>
      <c r="O156" s="77"/>
      <c r="P156" s="77"/>
      <c r="Q156" s="384"/>
      <c r="R156" s="422"/>
      <c r="S156" s="399"/>
      <c r="T156" s="399"/>
    </row>
    <row r="157" spans="1:20" s="81" customFormat="1" ht="15.75" customHeight="1">
      <c r="A157" s="468"/>
      <c r="B157" s="469"/>
      <c r="C157" s="48" t="s">
        <v>131</v>
      </c>
      <c r="D157" s="471">
        <v>0.1</v>
      </c>
      <c r="E157" s="41">
        <v>6.5258000000000003</v>
      </c>
      <c r="F157" s="473"/>
      <c r="G157" s="449">
        <f>ROUND(D157*E157,2)</f>
        <v>0.65</v>
      </c>
      <c r="H157" s="260"/>
      <c r="I157" s="261"/>
      <c r="J157" s="261"/>
      <c r="K157" s="262"/>
      <c r="L157" s="286"/>
      <c r="M157" s="90"/>
      <c r="N157" s="423"/>
      <c r="O157" s="406"/>
      <c r="P157" s="406"/>
      <c r="Q157" s="407"/>
      <c r="R157" s="422"/>
      <c r="S157" s="399"/>
      <c r="T157" s="399"/>
    </row>
    <row r="158" spans="1:20" s="81" customFormat="1" ht="15.75" customHeight="1" thickBot="1">
      <c r="A158" s="858"/>
      <c r="B158" s="859"/>
      <c r="C158" s="54" t="s">
        <v>29</v>
      </c>
      <c r="D158" s="860">
        <v>52</v>
      </c>
      <c r="E158" s="56">
        <v>6.5258000000000003</v>
      </c>
      <c r="F158" s="861"/>
      <c r="G158" s="414">
        <f t="shared" ref="G158" si="26">ROUND(D158*E158,2)</f>
        <v>339.34</v>
      </c>
      <c r="H158" s="280"/>
      <c r="I158" s="281"/>
      <c r="J158" s="207"/>
      <c r="K158" s="362"/>
      <c r="L158" s="433"/>
      <c r="M158" s="63"/>
      <c r="N158" s="426"/>
      <c r="O158" s="416"/>
      <c r="P158" s="416"/>
      <c r="Q158" s="417"/>
      <c r="R158" s="422"/>
      <c r="S158" s="399"/>
      <c r="T158" s="399"/>
    </row>
    <row r="159" spans="1:20" s="81" customFormat="1" ht="15.75" customHeight="1">
      <c r="A159" s="902">
        <v>212</v>
      </c>
      <c r="B159" s="903" t="s">
        <v>140</v>
      </c>
      <c r="C159" s="439" t="s">
        <v>129</v>
      </c>
      <c r="D159" s="904">
        <f>мар18!D154+мар18!D155</f>
        <v>771.8</v>
      </c>
      <c r="E159" s="23">
        <f>6.5258-6.8264</f>
        <v>-0.30059999999999931</v>
      </c>
      <c r="F159" s="905"/>
      <c r="G159" s="22">
        <f>ROUND(D159*E159,2)-0.01</f>
        <v>-232.01</v>
      </c>
      <c r="H159" s="303"/>
      <c r="I159" s="23"/>
      <c r="J159" s="23"/>
      <c r="K159" s="304"/>
      <c r="L159" s="263">
        <f>SUM(G159:G161)</f>
        <v>4105.04</v>
      </c>
      <c r="M159" s="26">
        <v>4105.04</v>
      </c>
      <c r="N159" s="421"/>
      <c r="O159" s="77"/>
      <c r="P159" s="77"/>
      <c r="Q159" s="384"/>
      <c r="R159" s="422"/>
      <c r="S159" s="399"/>
      <c r="T159" s="399"/>
    </row>
    <row r="160" spans="1:20" s="81" customFormat="1" ht="15.75" customHeight="1">
      <c r="A160" s="468"/>
      <c r="B160" s="469"/>
      <c r="C160" s="48" t="s">
        <v>131</v>
      </c>
      <c r="D160" s="471">
        <v>1.6</v>
      </c>
      <c r="E160" s="41">
        <v>6.5258000000000003</v>
      </c>
      <c r="F160" s="473"/>
      <c r="G160" s="449">
        <f>ROUND(D160*E160,2)</f>
        <v>10.44</v>
      </c>
      <c r="H160" s="260"/>
      <c r="I160" s="261"/>
      <c r="J160" s="261"/>
      <c r="K160" s="262"/>
      <c r="L160" s="286"/>
      <c r="M160" s="90"/>
      <c r="N160" s="423"/>
      <c r="O160" s="406"/>
      <c r="P160" s="406"/>
      <c r="Q160" s="407"/>
      <c r="R160" s="422"/>
      <c r="S160" s="399"/>
      <c r="T160" s="399"/>
    </row>
    <row r="161" spans="1:21" s="81" customFormat="1" ht="15.75" customHeight="1" thickBot="1">
      <c r="A161" s="858"/>
      <c r="B161" s="859"/>
      <c r="C161" s="54" t="s">
        <v>29</v>
      </c>
      <c r="D161" s="860">
        <v>663</v>
      </c>
      <c r="E161" s="56">
        <v>6.5258000000000003</v>
      </c>
      <c r="F161" s="861"/>
      <c r="G161" s="414">
        <f t="shared" ref="G161" si="27">ROUND(D161*E161,2)</f>
        <v>4326.6099999999997</v>
      </c>
      <c r="H161" s="280"/>
      <c r="I161" s="281"/>
      <c r="J161" s="207"/>
      <c r="K161" s="362"/>
      <c r="L161" s="433"/>
      <c r="M161" s="63"/>
      <c r="N161" s="426"/>
      <c r="O161" s="416"/>
      <c r="P161" s="416"/>
      <c r="Q161" s="417"/>
      <c r="R161" s="422"/>
      <c r="S161" s="399"/>
      <c r="T161" s="399"/>
    </row>
    <row r="162" spans="1:21" s="81" customFormat="1" ht="15.75" customHeight="1">
      <c r="A162" s="902">
        <v>213</v>
      </c>
      <c r="B162" s="903" t="s">
        <v>134</v>
      </c>
      <c r="C162" s="439" t="s">
        <v>129</v>
      </c>
      <c r="D162" s="904">
        <f>мар18!D157+мар18!D158</f>
        <v>688.6</v>
      </c>
      <c r="E162" s="23">
        <f>6.5258-6.8264</f>
        <v>-0.30059999999999931</v>
      </c>
      <c r="F162" s="905"/>
      <c r="G162" s="22">
        <f>ROUND(D162*E162,2)</f>
        <v>-206.99</v>
      </c>
      <c r="H162" s="303"/>
      <c r="I162" s="23"/>
      <c r="J162" s="23"/>
      <c r="K162" s="304"/>
      <c r="L162" s="263">
        <f>SUM(G162:G164)</f>
        <v>4201.84</v>
      </c>
      <c r="M162" s="26">
        <v>4201.84</v>
      </c>
      <c r="N162" s="421"/>
      <c r="O162" s="77"/>
      <c r="P162" s="77"/>
      <c r="Q162" s="384"/>
      <c r="R162" s="422"/>
      <c r="S162" s="399"/>
      <c r="T162" s="399"/>
    </row>
    <row r="163" spans="1:21" s="81" customFormat="1" ht="15.75" customHeight="1">
      <c r="A163" s="468"/>
      <c r="B163" s="469"/>
      <c r="C163" s="48" t="s">
        <v>131</v>
      </c>
      <c r="D163" s="471">
        <v>1.6</v>
      </c>
      <c r="E163" s="41">
        <v>6.5258000000000003</v>
      </c>
      <c r="F163" s="473"/>
      <c r="G163" s="449">
        <f t="shared" ref="G163:G164" si="28">ROUND(D163*E163,2)</f>
        <v>10.44</v>
      </c>
      <c r="H163" s="260"/>
      <c r="I163" s="261"/>
      <c r="J163" s="261"/>
      <c r="K163" s="262"/>
      <c r="L163" s="286"/>
      <c r="M163" s="90"/>
      <c r="N163" s="423"/>
      <c r="O163" s="406"/>
      <c r="P163" s="406"/>
      <c r="Q163" s="407"/>
      <c r="R163" s="422"/>
      <c r="S163" s="399"/>
      <c r="T163" s="399"/>
    </row>
    <row r="164" spans="1:21" s="81" customFormat="1" ht="15.75" customHeight="1" thickBot="1">
      <c r="A164" s="858"/>
      <c r="B164" s="859"/>
      <c r="C164" s="54" t="s">
        <v>29</v>
      </c>
      <c r="D164" s="860">
        <v>674</v>
      </c>
      <c r="E164" s="56">
        <v>6.5258000000000003</v>
      </c>
      <c r="F164" s="861"/>
      <c r="G164" s="414">
        <f t="shared" si="28"/>
        <v>4398.3900000000003</v>
      </c>
      <c r="H164" s="280"/>
      <c r="I164" s="281"/>
      <c r="J164" s="281"/>
      <c r="K164" s="282"/>
      <c r="L164" s="204"/>
      <c r="M164" s="371"/>
      <c r="N164" s="426"/>
      <c r="O164" s="416"/>
      <c r="P164" s="416"/>
      <c r="Q164" s="417"/>
      <c r="R164" s="422"/>
      <c r="S164" s="399"/>
      <c r="T164" s="399"/>
    </row>
    <row r="165" spans="1:21" s="81" customFormat="1" ht="15.75" customHeight="1">
      <c r="A165" s="902">
        <v>215</v>
      </c>
      <c r="B165" s="903" t="s">
        <v>220</v>
      </c>
      <c r="C165" s="439"/>
      <c r="D165" s="904"/>
      <c r="E165" s="23"/>
      <c r="F165" s="905"/>
      <c r="G165" s="22">
        <f>ROUND(D165*E165,2)</f>
        <v>0</v>
      </c>
      <c r="H165" s="303"/>
      <c r="I165" s="23"/>
      <c r="J165" s="23"/>
      <c r="K165" s="304"/>
      <c r="L165" s="263">
        <f>SUM(G165:G167)</f>
        <v>2984.2799999999997</v>
      </c>
      <c r="M165" s="26">
        <v>2984.28</v>
      </c>
      <c r="N165" s="421"/>
      <c r="O165" s="77"/>
      <c r="P165" s="77"/>
      <c r="Q165" s="384"/>
      <c r="R165" s="422"/>
      <c r="S165" s="399"/>
      <c r="T165" s="399"/>
    </row>
    <row r="166" spans="1:21" s="81" customFormat="1" ht="15.75" customHeight="1">
      <c r="A166" s="468"/>
      <c r="B166" s="981" t="s">
        <v>221</v>
      </c>
      <c r="C166" s="48" t="s">
        <v>131</v>
      </c>
      <c r="D166" s="471">
        <v>1</v>
      </c>
      <c r="E166" s="41">
        <v>6.8921000000000001</v>
      </c>
      <c r="F166" s="473"/>
      <c r="G166" s="449">
        <f t="shared" ref="G166:G167" si="29">ROUND(D166*E166,2)</f>
        <v>6.89</v>
      </c>
      <c r="H166" s="260"/>
      <c r="I166" s="261"/>
      <c r="J166" s="261"/>
      <c r="K166" s="262"/>
      <c r="L166" s="286"/>
      <c r="M166" s="90"/>
      <c r="N166" s="423"/>
      <c r="O166" s="406"/>
      <c r="P166" s="406"/>
      <c r="Q166" s="407"/>
      <c r="R166" s="422"/>
      <c r="S166" s="399"/>
      <c r="T166" s="399"/>
    </row>
    <row r="167" spans="1:21" s="81" customFormat="1" ht="15.75" customHeight="1" thickBot="1">
      <c r="A167" s="858"/>
      <c r="B167" s="859"/>
      <c r="C167" s="54" t="s">
        <v>29</v>
      </c>
      <c r="D167" s="860">
        <v>432</v>
      </c>
      <c r="E167" s="56">
        <v>6.8921000000000001</v>
      </c>
      <c r="F167" s="861"/>
      <c r="G167" s="414">
        <f t="shared" si="29"/>
        <v>2977.39</v>
      </c>
      <c r="H167" s="280"/>
      <c r="I167" s="281"/>
      <c r="J167" s="281"/>
      <c r="K167" s="282"/>
      <c r="L167" s="204"/>
      <c r="M167" s="371"/>
      <c r="N167" s="426"/>
      <c r="O167" s="416"/>
      <c r="P167" s="416"/>
      <c r="Q167" s="417"/>
      <c r="R167" s="422"/>
      <c r="S167" s="399"/>
      <c r="T167" s="399"/>
    </row>
    <row r="168" spans="1:21" s="81" customFormat="1" ht="15" customHeight="1">
      <c r="A168" s="376">
        <v>301</v>
      </c>
      <c r="B168" s="70" t="s">
        <v>67</v>
      </c>
      <c r="C168" s="377"/>
      <c r="D168" s="378">
        <v>652</v>
      </c>
      <c r="E168" s="21">
        <v>36.214199999999998</v>
      </c>
      <c r="F168" s="21">
        <v>42.4328</v>
      </c>
      <c r="G168" s="379">
        <f>ROUND(D168*(E168+F168),2)</f>
        <v>51277.84</v>
      </c>
      <c r="H168" s="380"/>
      <c r="I168" s="381"/>
      <c r="J168" s="381"/>
      <c r="K168" s="342"/>
      <c r="L168" s="382">
        <f>+SUM(G168:G177,J168:J176)</f>
        <v>168922.78</v>
      </c>
      <c r="M168" s="26">
        <v>168922.78</v>
      </c>
      <c r="N168" s="383"/>
      <c r="O168" s="77"/>
      <c r="P168" s="77" t="s">
        <v>68</v>
      </c>
      <c r="Q168" s="384">
        <f t="shared" si="18"/>
        <v>-117644.94</v>
      </c>
      <c r="R168" s="385" t="s">
        <v>69</v>
      </c>
      <c r="S168" s="386"/>
      <c r="T168" s="387"/>
      <c r="U168" s="388"/>
    </row>
    <row r="169" spans="1:21" s="81" customFormat="1" ht="12.75">
      <c r="A169" s="389"/>
      <c r="B169" s="83"/>
      <c r="C169" s="390" t="s">
        <v>26</v>
      </c>
      <c r="D169" s="37"/>
      <c r="E169" s="38"/>
      <c r="F169" s="38"/>
      <c r="G169" s="39">
        <f>ROUND(D169*(E169+F169),2)</f>
        <v>0</v>
      </c>
      <c r="H169" s="391"/>
      <c r="I169" s="392"/>
      <c r="J169" s="402"/>
      <c r="K169" s="393"/>
      <c r="L169" s="394"/>
      <c r="M169" s="90"/>
      <c r="N169" s="395"/>
      <c r="O169" s="94"/>
      <c r="P169" s="94"/>
      <c r="Q169" s="396"/>
      <c r="R169" s="397"/>
      <c r="S169" s="398"/>
      <c r="T169" s="399"/>
    </row>
    <row r="170" spans="1:21" s="81" customFormat="1" ht="12.75">
      <c r="A170" s="389"/>
      <c r="B170" s="98" t="s">
        <v>32</v>
      </c>
      <c r="C170" s="99" t="s">
        <v>33</v>
      </c>
      <c r="D170" s="37">
        <v>105</v>
      </c>
      <c r="E170" s="101">
        <v>341.87</v>
      </c>
      <c r="F170" s="38">
        <v>42.4328</v>
      </c>
      <c r="G170" s="400">
        <f>ROUND(D170*(E170+F170),2)+0.13</f>
        <v>40351.919999999998</v>
      </c>
      <c r="H170" s="401"/>
      <c r="I170" s="402"/>
      <c r="J170" s="402"/>
      <c r="K170" s="403"/>
      <c r="L170" s="404"/>
      <c r="M170" s="102"/>
      <c r="N170" s="405"/>
      <c r="O170" s="406"/>
      <c r="P170" s="406" t="s">
        <v>68</v>
      </c>
      <c r="Q170" s="407">
        <f>+G170+J170-M170-N170-O170</f>
        <v>40351.919999999998</v>
      </c>
      <c r="R170" s="397" t="s">
        <v>69</v>
      </c>
      <c r="S170" s="398"/>
      <c r="T170" s="399"/>
    </row>
    <row r="171" spans="1:21" s="81" customFormat="1" ht="15" customHeight="1">
      <c r="A171" s="389"/>
      <c r="B171" s="98"/>
      <c r="C171" s="84" t="s">
        <v>26</v>
      </c>
      <c r="D171" s="37">
        <f>мар18!D164</f>
        <v>118</v>
      </c>
      <c r="E171" s="41">
        <f>341.87-326.58</f>
        <v>15.29000000000002</v>
      </c>
      <c r="F171" s="38"/>
      <c r="G171" s="400">
        <f>+D171*(E171+F171)</f>
        <v>1804.2200000000025</v>
      </c>
      <c r="H171" s="401"/>
      <c r="I171" s="402"/>
      <c r="J171" s="402"/>
      <c r="K171" s="408"/>
      <c r="L171" s="404"/>
      <c r="M171" s="102"/>
      <c r="N171" s="405"/>
      <c r="O171" s="406"/>
      <c r="P171" s="406"/>
      <c r="Q171" s="407"/>
      <c r="R171" s="397"/>
      <c r="S171" s="398"/>
      <c r="T171" s="399"/>
    </row>
    <row r="172" spans="1:21" s="81" customFormat="1" ht="15" customHeight="1">
      <c r="A172" s="389"/>
      <c r="B172" s="83"/>
      <c r="C172" s="84"/>
      <c r="D172" s="37"/>
      <c r="E172" s="41"/>
      <c r="F172" s="38"/>
      <c r="G172" s="400"/>
      <c r="H172" s="401"/>
      <c r="I172" s="402"/>
      <c r="J172" s="402"/>
      <c r="K172" s="408"/>
      <c r="L172" s="404"/>
      <c r="M172" s="102"/>
      <c r="N172" s="405"/>
      <c r="O172" s="406"/>
      <c r="P172" s="406"/>
      <c r="Q172" s="407"/>
      <c r="R172" s="397"/>
      <c r="S172" s="398"/>
      <c r="T172" s="399"/>
    </row>
    <row r="173" spans="1:21" s="81" customFormat="1" ht="15" customHeight="1">
      <c r="A173" s="389"/>
      <c r="B173" s="83" t="s">
        <v>70</v>
      </c>
      <c r="C173" s="84"/>
      <c r="D173" s="37"/>
      <c r="E173" s="41"/>
      <c r="F173" s="38"/>
      <c r="G173" s="400"/>
      <c r="H173" s="401"/>
      <c r="I173" s="402"/>
      <c r="J173" s="402"/>
      <c r="K173" s="408"/>
      <c r="L173" s="404"/>
      <c r="M173" s="102"/>
      <c r="N173" s="405"/>
      <c r="O173" s="406"/>
      <c r="P173" s="406"/>
      <c r="Q173" s="407"/>
      <c r="R173" s="397"/>
      <c r="S173" s="398"/>
      <c r="T173" s="399"/>
    </row>
    <row r="174" spans="1:21" s="81" customFormat="1" ht="15" customHeight="1">
      <c r="A174" s="389"/>
      <c r="B174" s="83"/>
      <c r="C174" s="48"/>
      <c r="D174" s="37"/>
      <c r="E174" s="41">
        <f>4.4128-4.4153</f>
        <v>-2.5000000000003908E-3</v>
      </c>
      <c r="F174" s="38"/>
      <c r="G174" s="39">
        <f>ROUND(D174*(E174+F174),2)</f>
        <v>0</v>
      </c>
      <c r="H174" s="37"/>
      <c r="I174" s="409"/>
      <c r="J174" s="409"/>
      <c r="K174" s="408"/>
      <c r="L174" s="404"/>
      <c r="M174" s="102"/>
      <c r="N174" s="405"/>
      <c r="O174" s="406"/>
      <c r="P174" s="406"/>
      <c r="Q174" s="407"/>
      <c r="R174" s="397"/>
      <c r="S174" s="398"/>
      <c r="T174" s="399"/>
    </row>
    <row r="175" spans="1:21" s="81" customFormat="1" ht="15" customHeight="1">
      <c r="A175" s="389"/>
      <c r="B175" s="83"/>
      <c r="C175" s="48" t="s">
        <v>129</v>
      </c>
      <c r="D175" s="37">
        <f>мар18!D170+мар18!D171</f>
        <v>11989</v>
      </c>
      <c r="E175" s="41">
        <f>6.5258-6.8264</f>
        <v>-0.30059999999999931</v>
      </c>
      <c r="F175" s="38">
        <f>+E175</f>
        <v>-0.30059999999999931</v>
      </c>
      <c r="G175" s="39">
        <f>ROUND(D175*E175,2)-0.01</f>
        <v>-3603.9</v>
      </c>
      <c r="H175" s="37"/>
      <c r="I175" s="409"/>
      <c r="J175" s="409"/>
      <c r="K175" s="408"/>
      <c r="L175" s="404"/>
      <c r="M175" s="102"/>
      <c r="N175" s="405"/>
      <c r="O175" s="406"/>
      <c r="P175" s="406"/>
      <c r="Q175" s="407"/>
      <c r="R175" s="397"/>
      <c r="S175" s="398"/>
      <c r="T175" s="399"/>
    </row>
    <row r="176" spans="1:21" s="81" customFormat="1" ht="15" customHeight="1">
      <c r="A176" s="389"/>
      <c r="B176" s="83"/>
      <c r="C176" s="48" t="s">
        <v>131</v>
      </c>
      <c r="D176" s="37">
        <v>29</v>
      </c>
      <c r="E176" s="41">
        <v>6.5258000000000003</v>
      </c>
      <c r="F176" s="41">
        <f>+E176</f>
        <v>6.5258000000000003</v>
      </c>
      <c r="G176" s="39">
        <f>ROUND(D176*E176,2)</f>
        <v>189.25</v>
      </c>
      <c r="H176" s="37"/>
      <c r="I176" s="409"/>
      <c r="J176" s="409"/>
      <c r="K176" s="410"/>
      <c r="L176" s="404"/>
      <c r="M176" s="102"/>
      <c r="N176" s="405"/>
      <c r="O176" s="406"/>
      <c r="P176" s="406"/>
      <c r="Q176" s="407"/>
      <c r="R176" s="397"/>
      <c r="S176" s="398"/>
      <c r="T176" s="399"/>
    </row>
    <row r="177" spans="1:20" s="81" customFormat="1" ht="15.75" customHeight="1" thickBot="1">
      <c r="A177" s="411"/>
      <c r="B177" s="412"/>
      <c r="C177" s="99" t="s">
        <v>29</v>
      </c>
      <c r="D177" s="413">
        <v>12091</v>
      </c>
      <c r="E177" s="56">
        <v>6.5258000000000003</v>
      </c>
      <c r="F177" s="41">
        <f>+E177</f>
        <v>6.5258000000000003</v>
      </c>
      <c r="G177" s="414">
        <f>ROUND(D177*E177,2)</f>
        <v>78903.45</v>
      </c>
      <c r="H177" s="248"/>
      <c r="I177" s="60"/>
      <c r="J177" s="60"/>
      <c r="K177" s="203"/>
      <c r="L177" s="204"/>
      <c r="M177" s="371"/>
      <c r="N177" s="415"/>
      <c r="O177" s="416"/>
      <c r="P177" s="416" t="s">
        <v>68</v>
      </c>
      <c r="Q177" s="417">
        <f>+G177+J177-M177-N177-O177</f>
        <v>78903.45</v>
      </c>
      <c r="R177" s="418" t="s">
        <v>69</v>
      </c>
      <c r="S177" s="419">
        <f>SUM(O168:O177)</f>
        <v>0</v>
      </c>
      <c r="T177" s="419">
        <f>SUM(Q168:Q177)</f>
        <v>1610.429999999993</v>
      </c>
    </row>
    <row r="178" spans="1:20" s="81" customFormat="1" ht="15.75" customHeight="1">
      <c r="A178" s="902">
        <v>303</v>
      </c>
      <c r="B178" s="903" t="s">
        <v>227</v>
      </c>
      <c r="C178" s="439" t="s">
        <v>129</v>
      </c>
      <c r="D178" s="904"/>
      <c r="E178" s="23"/>
      <c r="F178" s="905"/>
      <c r="G178" s="22">
        <f>ROUND(D178*E178,2)</f>
        <v>0</v>
      </c>
      <c r="H178" s="303"/>
      <c r="I178" s="23"/>
      <c r="J178" s="23"/>
      <c r="K178" s="304"/>
      <c r="L178" s="263">
        <f>SUM(G178:G180)</f>
        <v>4376.2</v>
      </c>
      <c r="M178" s="26">
        <v>4376.2</v>
      </c>
      <c r="N178" s="421"/>
      <c r="O178" s="77"/>
      <c r="P178" s="77"/>
      <c r="Q178" s="384"/>
      <c r="R178" s="422"/>
      <c r="S178" s="399"/>
      <c r="T178" s="399"/>
    </row>
    <row r="179" spans="1:20" s="81" customFormat="1" ht="15.75" customHeight="1">
      <c r="A179" s="468"/>
      <c r="B179" s="469"/>
      <c r="C179" s="48" t="s">
        <v>131</v>
      </c>
      <c r="D179" s="471">
        <v>1.6</v>
      </c>
      <c r="E179" s="41">
        <v>6.5258000000000003</v>
      </c>
      <c r="F179" s="473"/>
      <c r="G179" s="449">
        <f>ROUND(D179*E179,2)</f>
        <v>10.44</v>
      </c>
      <c r="H179" s="260"/>
      <c r="I179" s="261"/>
      <c r="J179" s="261"/>
      <c r="K179" s="262"/>
      <c r="L179" s="286"/>
      <c r="M179" s="90"/>
      <c r="N179" s="423"/>
      <c r="O179" s="406"/>
      <c r="P179" s="406"/>
      <c r="Q179" s="407"/>
      <c r="R179" s="422"/>
      <c r="S179" s="399"/>
      <c r="T179" s="399"/>
    </row>
    <row r="180" spans="1:20" s="81" customFormat="1" ht="15.75" customHeight="1" thickBot="1">
      <c r="A180" s="858"/>
      <c r="B180" s="859"/>
      <c r="C180" s="54" t="s">
        <v>29</v>
      </c>
      <c r="D180" s="860">
        <v>669</v>
      </c>
      <c r="E180" s="56">
        <v>6.5258000000000003</v>
      </c>
      <c r="F180" s="861"/>
      <c r="G180" s="414">
        <f t="shared" ref="G180" si="30">ROUND(D180*E180,2)</f>
        <v>4365.76</v>
      </c>
      <c r="H180" s="280"/>
      <c r="I180" s="281"/>
      <c r="J180" s="281"/>
      <c r="K180" s="282"/>
      <c r="L180" s="204"/>
      <c r="M180" s="371"/>
      <c r="N180" s="426"/>
      <c r="O180" s="416"/>
      <c r="P180" s="416"/>
      <c r="Q180" s="417"/>
      <c r="R180" s="422"/>
      <c r="S180" s="399"/>
      <c r="T180" s="399"/>
    </row>
    <row r="181" spans="1:20" s="81" customFormat="1" ht="15" customHeight="1">
      <c r="A181" s="437">
        <v>304</v>
      </c>
      <c r="B181" s="438" t="s">
        <v>83</v>
      </c>
      <c r="C181" s="377" t="s">
        <v>73</v>
      </c>
      <c r="D181" s="378">
        <v>0</v>
      </c>
      <c r="E181" s="21">
        <v>36.214199999999998</v>
      </c>
      <c r="F181" s="21">
        <v>42.4328</v>
      </c>
      <c r="G181" s="22">
        <f>+D181*(E181+F181)</f>
        <v>0</v>
      </c>
      <c r="H181" s="303"/>
      <c r="I181" s="381"/>
      <c r="J181" s="381"/>
      <c r="K181" s="342"/>
      <c r="L181" s="263">
        <f>SUM(G181:G185,J181:J185)</f>
        <v>308.58000000000004</v>
      </c>
      <c r="M181" s="26">
        <v>308.58</v>
      </c>
      <c r="N181" s="421"/>
      <c r="O181" s="77"/>
      <c r="P181" s="77"/>
      <c r="Q181" s="384"/>
      <c r="R181" s="899"/>
      <c r="S181" s="399"/>
      <c r="T181" s="399"/>
    </row>
    <row r="182" spans="1:20" s="81" customFormat="1" ht="15" customHeight="1">
      <c r="A182" s="441"/>
      <c r="B182" s="442"/>
      <c r="C182" s="36" t="s">
        <v>26</v>
      </c>
      <c r="D182" s="37"/>
      <c r="E182" s="38"/>
      <c r="F182" s="38"/>
      <c r="G182" s="39">
        <f>ROUND(D182*(E182+F182),2)</f>
        <v>0</v>
      </c>
      <c r="H182" s="457"/>
      <c r="I182" s="392"/>
      <c r="J182" s="402"/>
      <c r="K182" s="393"/>
      <c r="L182" s="459"/>
      <c r="M182" s="44"/>
      <c r="N182" s="430"/>
      <c r="O182" s="435"/>
      <c r="P182" s="435"/>
      <c r="Q182" s="425"/>
      <c r="R182" s="422"/>
      <c r="S182" s="399"/>
      <c r="T182" s="399"/>
    </row>
    <row r="183" spans="1:20" s="81" customFormat="1" ht="15" customHeight="1">
      <c r="A183" s="441"/>
      <c r="B183" s="442"/>
      <c r="C183" s="48" t="s">
        <v>129</v>
      </c>
      <c r="D183" s="37">
        <f>мар18!D178+мар18!D179</f>
        <v>61.1</v>
      </c>
      <c r="E183" s="41">
        <f>6.5258-6.8264</f>
        <v>-0.30059999999999931</v>
      </c>
      <c r="F183" s="38"/>
      <c r="G183" s="39">
        <f>ROUND(D183*(E183),2)+0.01</f>
        <v>-18.36</v>
      </c>
      <c r="H183" s="270"/>
      <c r="I183" s="41"/>
      <c r="J183" s="41"/>
      <c r="K183" s="271"/>
      <c r="L183" s="272"/>
      <c r="M183" s="102"/>
      <c r="N183" s="430"/>
      <c r="O183" s="435"/>
      <c r="P183" s="435"/>
      <c r="Q183" s="425"/>
      <c r="R183" s="422"/>
      <c r="S183" s="399"/>
      <c r="T183" s="399"/>
    </row>
    <row r="184" spans="1:20" s="81" customFormat="1" ht="15" customHeight="1">
      <c r="A184" s="441"/>
      <c r="B184" s="442"/>
      <c r="C184" s="48" t="s">
        <v>131</v>
      </c>
      <c r="D184" s="37">
        <v>0.1</v>
      </c>
      <c r="E184" s="41">
        <v>6.5258000000000003</v>
      </c>
      <c r="F184" s="38"/>
      <c r="G184" s="39">
        <f>ROUND(D184*(E184),2)</f>
        <v>0.65</v>
      </c>
      <c r="H184" s="270"/>
      <c r="I184" s="41"/>
      <c r="J184" s="41"/>
      <c r="K184" s="271"/>
      <c r="L184" s="272"/>
      <c r="M184" s="102"/>
      <c r="N184" s="434"/>
      <c r="O184" s="435"/>
      <c r="P184" s="435"/>
      <c r="Q184" s="425"/>
      <c r="R184" s="422"/>
      <c r="S184" s="399"/>
      <c r="T184" s="399"/>
    </row>
    <row r="185" spans="1:20" s="81" customFormat="1" ht="15.75" customHeight="1" thickBot="1">
      <c r="A185" s="445"/>
      <c r="B185" s="446"/>
      <c r="C185" s="54" t="s">
        <v>29</v>
      </c>
      <c r="D185" s="413">
        <v>50</v>
      </c>
      <c r="E185" s="56">
        <v>6.5258000000000003</v>
      </c>
      <c r="F185" s="281"/>
      <c r="G185" s="414">
        <f>ROUND(D185*(E185),2)</f>
        <v>326.29000000000002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0" s="81" customFormat="1" ht="15" customHeight="1">
      <c r="A186" s="437">
        <v>402</v>
      </c>
      <c r="B186" s="438" t="s">
        <v>122</v>
      </c>
      <c r="C186" s="439"/>
      <c r="D186" s="378"/>
      <c r="E186" s="23"/>
      <c r="F186" s="23"/>
      <c r="G186" s="22"/>
      <c r="H186" s="303"/>
      <c r="I186" s="23"/>
      <c r="J186" s="23"/>
      <c r="K186" s="304"/>
      <c r="L186" s="382">
        <f>+SUM(G186:G189,J186:J189)</f>
        <v>1171.52</v>
      </c>
      <c r="M186" s="26">
        <v>1171.52</v>
      </c>
      <c r="N186" s="421"/>
      <c r="O186" s="77"/>
      <c r="P186" s="77"/>
      <c r="Q186" s="384"/>
      <c r="R186" s="899"/>
      <c r="S186" s="399"/>
      <c r="T186" s="399"/>
    </row>
    <row r="187" spans="1:20" s="81" customFormat="1" ht="15" customHeight="1" thickBot="1">
      <c r="A187" s="441"/>
      <c r="B187" s="442"/>
      <c r="C187" s="48" t="s">
        <v>129</v>
      </c>
      <c r="D187" s="37">
        <f>мар18!D188+мар18!D189</f>
        <v>215.52</v>
      </c>
      <c r="E187" s="41">
        <f>6.5258-6.8264</f>
        <v>-0.30059999999999931</v>
      </c>
      <c r="F187" s="41"/>
      <c r="G187" s="414">
        <f>ROUND(D187*E187,2)-0.01</f>
        <v>-64.800000000000011</v>
      </c>
      <c r="H187" s="260"/>
      <c r="I187" s="261"/>
      <c r="J187" s="261"/>
      <c r="K187" s="262"/>
      <c r="L187" s="394"/>
      <c r="M187" s="90"/>
      <c r="N187" s="443"/>
      <c r="O187" s="94"/>
      <c r="P187" s="94"/>
      <c r="Q187" s="396"/>
      <c r="R187" s="899"/>
      <c r="S187" s="399"/>
      <c r="T187" s="399"/>
    </row>
    <row r="188" spans="1:20" s="81" customFormat="1" ht="15" customHeight="1" thickBot="1">
      <c r="A188" s="441"/>
      <c r="B188" s="444"/>
      <c r="C188" s="48" t="s">
        <v>131</v>
      </c>
      <c r="D188" s="37">
        <v>0.45</v>
      </c>
      <c r="E188" s="41">
        <v>6.5258000000000003</v>
      </c>
      <c r="F188" s="41"/>
      <c r="G188" s="414">
        <f>ROUND(D188*E188,2)</f>
        <v>2.94</v>
      </c>
      <c r="H188" s="432"/>
      <c r="I188" s="207"/>
      <c r="J188" s="207"/>
      <c r="K188" s="362"/>
      <c r="L188" s="433"/>
      <c r="M188" s="63"/>
      <c r="N188" s="423"/>
      <c r="O188" s="406"/>
      <c r="P188" s="406"/>
      <c r="Q188" s="407"/>
      <c r="R188" s="899"/>
      <c r="S188" s="399"/>
      <c r="T188" s="399"/>
    </row>
    <row r="189" spans="1:20" s="81" customFormat="1" ht="15" customHeight="1" thickBot="1">
      <c r="A189" s="445"/>
      <c r="B189" s="446"/>
      <c r="C189" s="99" t="s">
        <v>29</v>
      </c>
      <c r="D189" s="413">
        <v>189</v>
      </c>
      <c r="E189" s="56">
        <v>6.5258000000000003</v>
      </c>
      <c r="F189" s="281"/>
      <c r="G189" s="414">
        <f>ROUND(D189*E189,2)</f>
        <v>1233.3800000000001</v>
      </c>
      <c r="H189" s="280"/>
      <c r="I189" s="281"/>
      <c r="J189" s="281"/>
      <c r="K189" s="282"/>
      <c r="L189" s="204"/>
      <c r="M189" s="371"/>
      <c r="N189" s="434"/>
      <c r="O189" s="435"/>
      <c r="P189" s="435"/>
      <c r="Q189" s="425"/>
      <c r="R189" s="899"/>
      <c r="S189" s="399"/>
      <c r="T189" s="399"/>
    </row>
    <row r="190" spans="1:20" s="81" customFormat="1" ht="15.75" customHeight="1">
      <c r="A190" s="447">
        <v>403</v>
      </c>
      <c r="B190" s="438" t="s">
        <v>126</v>
      </c>
      <c r="C190" s="439" t="s">
        <v>129</v>
      </c>
      <c r="D190" s="900">
        <f>мар18!D191+мар18!D192</f>
        <v>108.3</v>
      </c>
      <c r="E190" s="23">
        <f>6.5258-6.8264</f>
        <v>-0.30059999999999931</v>
      </c>
      <c r="F190" s="23"/>
      <c r="G190" s="22">
        <f>ROUND(D190*E190,2)-0.01</f>
        <v>-32.559999999999995</v>
      </c>
      <c r="H190" s="303"/>
      <c r="I190" s="23"/>
      <c r="J190" s="23"/>
      <c r="K190" s="304"/>
      <c r="L190" s="263">
        <f>SUM(G190:G192)</f>
        <v>340.06000000000006</v>
      </c>
      <c r="M190" s="26">
        <v>340.06</v>
      </c>
      <c r="N190" s="421"/>
      <c r="O190" s="77"/>
      <c r="P190" s="77"/>
      <c r="Q190" s="384"/>
      <c r="R190" s="422"/>
      <c r="S190" s="399"/>
      <c r="T190" s="399"/>
    </row>
    <row r="191" spans="1:20" s="81" customFormat="1" ht="15.75" customHeight="1">
      <c r="A191" s="450"/>
      <c r="B191" s="442"/>
      <c r="C191" s="48" t="s">
        <v>131</v>
      </c>
      <c r="D191" s="448">
        <v>0.1</v>
      </c>
      <c r="E191" s="41">
        <v>6.5258000000000003</v>
      </c>
      <c r="F191" s="261"/>
      <c r="G191" s="449">
        <f t="shared" ref="G191:G192" si="31">ROUND(D191*E191,2)</f>
        <v>0.65</v>
      </c>
      <c r="H191" s="260"/>
      <c r="I191" s="261"/>
      <c r="J191" s="261"/>
      <c r="K191" s="262"/>
      <c r="L191" s="286"/>
      <c r="M191" s="90"/>
      <c r="N191" s="423"/>
      <c r="O191" s="406"/>
      <c r="P191" s="406"/>
      <c r="Q191" s="407"/>
      <c r="R191" s="422"/>
      <c r="S191" s="399"/>
      <c r="T191" s="399"/>
    </row>
    <row r="192" spans="1:20" s="81" customFormat="1" ht="15.75" customHeight="1" thickBot="1">
      <c r="A192" s="451"/>
      <c r="B192" s="446"/>
      <c r="C192" s="54" t="s">
        <v>29</v>
      </c>
      <c r="D192" s="901">
        <v>57</v>
      </c>
      <c r="E192" s="56">
        <v>6.5258000000000003</v>
      </c>
      <c r="F192" s="281"/>
      <c r="G192" s="414">
        <f t="shared" si="31"/>
        <v>371.97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906" t="s">
        <v>199</v>
      </c>
      <c r="B193" s="903" t="s">
        <v>191</v>
      </c>
      <c r="C193" s="382" t="s">
        <v>73</v>
      </c>
      <c r="D193" s="904">
        <v>9</v>
      </c>
      <c r="E193" s="907">
        <v>36.214199999999998</v>
      </c>
      <c r="F193" s="905">
        <v>42.4328</v>
      </c>
      <c r="G193" s="908">
        <f>ROUND(D193*E193+D193*F193,2)</f>
        <v>707.82</v>
      </c>
      <c r="H193" s="303"/>
      <c r="I193" s="23"/>
      <c r="J193" s="23"/>
      <c r="K193" s="304"/>
      <c r="L193" s="263">
        <f>SUM(G193:G197)</f>
        <v>9296.14</v>
      </c>
      <c r="M193" s="877">
        <v>9296.14</v>
      </c>
      <c r="N193" s="430"/>
      <c r="O193" s="77"/>
      <c r="P193" s="77"/>
      <c r="Q193" s="384"/>
      <c r="R193" s="422"/>
      <c r="S193" s="399"/>
      <c r="T193" s="399"/>
    </row>
    <row r="194" spans="1:20" s="81" customFormat="1" ht="15.75" customHeight="1" thickBot="1">
      <c r="A194" s="909">
        <v>408</v>
      </c>
      <c r="B194" s="469"/>
      <c r="C194" s="429" t="s">
        <v>26</v>
      </c>
      <c r="D194" s="471"/>
      <c r="E194" s="876"/>
      <c r="F194" s="473"/>
      <c r="G194" s="862">
        <f>ROUND(D194*E194+D194*F194,2)</f>
        <v>0</v>
      </c>
      <c r="H194" s="270"/>
      <c r="I194" s="41"/>
      <c r="J194" s="41"/>
      <c r="K194" s="271"/>
      <c r="L194" s="272"/>
      <c r="M194" s="878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468"/>
      <c r="B195" s="699"/>
      <c r="C195" s="48" t="s">
        <v>129</v>
      </c>
      <c r="D195" s="471">
        <f>мар18!D196+мар18!D197</f>
        <v>1416.4</v>
      </c>
      <c r="E195" s="41">
        <f>6.5258-6.8264</f>
        <v>-0.30059999999999931</v>
      </c>
      <c r="F195" s="473"/>
      <c r="G195" s="862">
        <f>ROUND(D195*E195,2)</f>
        <v>-425.77</v>
      </c>
      <c r="H195" s="270"/>
      <c r="I195" s="41"/>
      <c r="J195" s="41"/>
      <c r="K195" s="271"/>
      <c r="L195" s="272"/>
      <c r="M195" s="878"/>
      <c r="N195" s="421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468"/>
      <c r="B196" s="469"/>
      <c r="C196" s="48" t="s">
        <v>131</v>
      </c>
      <c r="D196" s="471">
        <v>3.3</v>
      </c>
      <c r="E196" s="41">
        <v>6.5258000000000003</v>
      </c>
      <c r="F196" s="473"/>
      <c r="G196" s="862">
        <f>ROUND(D196*E196,2)</f>
        <v>21.54</v>
      </c>
      <c r="H196" s="270"/>
      <c r="I196" s="41"/>
      <c r="J196" s="41"/>
      <c r="K196" s="271"/>
      <c r="L196" s="272"/>
      <c r="M196" s="878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 thickBot="1">
      <c r="A197" s="858"/>
      <c r="B197" s="859"/>
      <c r="C197" s="54" t="s">
        <v>29</v>
      </c>
      <c r="D197" s="860">
        <v>1378</v>
      </c>
      <c r="E197" s="56">
        <v>6.5258000000000003</v>
      </c>
      <c r="F197" s="861"/>
      <c r="G197" s="866">
        <f t="shared" ref="G197" si="32">ROUND(D197*E197,2)</f>
        <v>8992.5499999999993</v>
      </c>
      <c r="H197" s="280"/>
      <c r="I197" s="281"/>
      <c r="J197" s="281"/>
      <c r="K197" s="282"/>
      <c r="L197" s="204"/>
      <c r="M197" s="880"/>
      <c r="N197" s="426"/>
      <c r="O197" s="416"/>
      <c r="P197" s="416"/>
      <c r="Q197" s="417"/>
      <c r="R197" s="422"/>
      <c r="S197" s="399"/>
      <c r="T197" s="399"/>
    </row>
    <row r="198" spans="1:20" s="81" customFormat="1" ht="15.75" customHeight="1">
      <c r="A198" s="902">
        <v>405</v>
      </c>
      <c r="B198" s="903" t="s">
        <v>147</v>
      </c>
      <c r="C198" s="439" t="s">
        <v>129</v>
      </c>
      <c r="D198" s="904">
        <f>мар18!D199+мар18!D200</f>
        <v>148.4</v>
      </c>
      <c r="E198" s="23">
        <f>6.5258-6.8264</f>
        <v>-0.30059999999999931</v>
      </c>
      <c r="F198" s="905"/>
      <c r="G198" s="22">
        <f>ROUND(D198*E198,2)</f>
        <v>-44.61</v>
      </c>
      <c r="H198" s="303"/>
      <c r="I198" s="261"/>
      <c r="J198" s="261"/>
      <c r="K198" s="262"/>
      <c r="L198" s="286">
        <f>SUM(G198:G200)</f>
        <v>831.81000000000006</v>
      </c>
      <c r="M198" s="90">
        <v>831.81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131</v>
      </c>
      <c r="D199" s="471">
        <v>0.3</v>
      </c>
      <c r="E199" s="41">
        <v>6.5258000000000003</v>
      </c>
      <c r="F199" s="473"/>
      <c r="G199" s="449">
        <f>ROUND(D199*E199,2)</f>
        <v>1.96</v>
      </c>
      <c r="H199" s="260"/>
      <c r="I199" s="261"/>
      <c r="J199" s="261"/>
      <c r="K199" s="262"/>
      <c r="L199" s="28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701"/>
      <c r="B200" s="702"/>
      <c r="C200" s="99" t="s">
        <v>29</v>
      </c>
      <c r="D200" s="703">
        <v>134</v>
      </c>
      <c r="E200" s="56">
        <v>6.5258000000000003</v>
      </c>
      <c r="F200" s="704"/>
      <c r="G200" s="39">
        <f t="shared" ref="G200" si="33">ROUND(D200*E200,2)</f>
        <v>874.46</v>
      </c>
      <c r="H200" s="280"/>
      <c r="I200" s="281"/>
      <c r="J200" s="281"/>
      <c r="K200" s="282"/>
      <c r="L200" s="204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hidden="1" customHeight="1" outlineLevel="1" thickBot="1">
      <c r="A201" s="910"/>
      <c r="B201" s="911" t="s">
        <v>155</v>
      </c>
      <c r="C201" s="573" t="s">
        <v>115</v>
      </c>
      <c r="D201" s="912"/>
      <c r="E201" s="579">
        <f>7.0379-7.0426</f>
        <v>-4.7000000000005926E-3</v>
      </c>
      <c r="F201" s="580"/>
      <c r="G201" s="913">
        <f>ROUND(D201*E201,2)</f>
        <v>0</v>
      </c>
      <c r="H201" s="914"/>
      <c r="I201" s="23"/>
      <c r="J201" s="23"/>
      <c r="K201" s="304"/>
      <c r="L201" s="263">
        <f>SUM(G201:G203)</f>
        <v>0</v>
      </c>
      <c r="M201" s="26"/>
      <c r="N201" s="421"/>
      <c r="O201" s="77"/>
      <c r="P201" s="77"/>
      <c r="Q201" s="384"/>
      <c r="R201" s="422"/>
      <c r="S201" s="399"/>
      <c r="T201" s="399"/>
    </row>
    <row r="202" spans="1:20" s="81" customFormat="1" ht="15.75" hidden="1" customHeight="1" outlineLevel="1" thickBot="1">
      <c r="A202" s="910"/>
      <c r="B202" s="915"/>
      <c r="C202" s="573" t="s">
        <v>114</v>
      </c>
      <c r="D202" s="912"/>
      <c r="E202" s="579">
        <v>7.0378999999999996</v>
      </c>
      <c r="F202" s="580"/>
      <c r="G202" s="913">
        <f>ROUND(D202*E202,2)</f>
        <v>0</v>
      </c>
      <c r="H202" s="914"/>
      <c r="I202" s="261"/>
      <c r="J202" s="261"/>
      <c r="K202" s="262"/>
      <c r="L202" s="286"/>
      <c r="M202" s="90"/>
      <c r="N202" s="423"/>
      <c r="O202" s="406"/>
      <c r="P202" s="406"/>
      <c r="Q202" s="407"/>
      <c r="R202" s="422"/>
      <c r="S202" s="399"/>
      <c r="T202" s="399"/>
    </row>
    <row r="203" spans="1:20" s="81" customFormat="1" ht="15.75" hidden="1" customHeight="1" outlineLevel="1" thickBot="1">
      <c r="A203" s="910"/>
      <c r="B203" s="915"/>
      <c r="C203" s="916" t="s">
        <v>29</v>
      </c>
      <c r="D203" s="912"/>
      <c r="E203" s="917">
        <v>7.0378999999999996</v>
      </c>
      <c r="F203" s="580"/>
      <c r="G203" s="913">
        <f t="shared" ref="G203" si="34">ROUND(D203*E203,2)</f>
        <v>0</v>
      </c>
      <c r="H203" s="914"/>
      <c r="I203" s="281"/>
      <c r="J203" s="281"/>
      <c r="K203" s="282"/>
      <c r="L203" s="204"/>
      <c r="M203" s="371"/>
      <c r="N203" s="426"/>
      <c r="O203" s="416"/>
      <c r="P203" s="416"/>
      <c r="Q203" s="417"/>
      <c r="R203" s="422"/>
      <c r="S203" s="399"/>
      <c r="T203" s="399"/>
    </row>
    <row r="204" spans="1:20" s="81" customFormat="1" ht="15.75" customHeight="1" collapsed="1">
      <c r="A204" s="902">
        <v>407</v>
      </c>
      <c r="B204" s="903" t="s">
        <v>160</v>
      </c>
      <c r="C204" s="439" t="s">
        <v>129</v>
      </c>
      <c r="D204" s="904">
        <f>мар18!D205+мар18!D206</f>
        <v>41.1</v>
      </c>
      <c r="E204" s="23">
        <f>6.5258-6.8264</f>
        <v>-0.30059999999999931</v>
      </c>
      <c r="F204" s="905"/>
      <c r="G204" s="22">
        <f>ROUND(D204*E204,2)-0.01</f>
        <v>-12.36</v>
      </c>
      <c r="H204" s="303"/>
      <c r="I204" s="23"/>
      <c r="J204" s="23"/>
      <c r="K204" s="304"/>
      <c r="L204" s="263">
        <f>SUM(G204:G206)</f>
        <v>164.23</v>
      </c>
      <c r="M204" s="26">
        <v>164.23</v>
      </c>
      <c r="N204" s="421"/>
      <c r="O204" s="77"/>
      <c r="P204" s="77"/>
      <c r="Q204" s="384"/>
      <c r="R204" s="422"/>
      <c r="S204" s="399"/>
      <c r="T204" s="399"/>
    </row>
    <row r="205" spans="1:20" s="81" customFormat="1" ht="15.75" customHeight="1">
      <c r="A205" s="468"/>
      <c r="B205" s="469"/>
      <c r="C205" s="48" t="s">
        <v>131</v>
      </c>
      <c r="D205" s="471">
        <v>0.06</v>
      </c>
      <c r="E205" s="41">
        <v>6.5258000000000003</v>
      </c>
      <c r="F205" s="473"/>
      <c r="G205" s="449">
        <f>ROUND(D205*E205,2)</f>
        <v>0.39</v>
      </c>
      <c r="H205" s="260"/>
      <c r="I205" s="261"/>
      <c r="J205" s="261"/>
      <c r="K205" s="262"/>
      <c r="L205" s="286"/>
      <c r="M205" s="90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 thickBot="1">
      <c r="A206" s="858"/>
      <c r="B206" s="859"/>
      <c r="C206" s="54" t="s">
        <v>29</v>
      </c>
      <c r="D206" s="860">
        <v>27</v>
      </c>
      <c r="E206" s="56">
        <v>6.5258000000000003</v>
      </c>
      <c r="F206" s="861"/>
      <c r="G206" s="414">
        <f t="shared" ref="G206" si="35">ROUND(D206*E206,2)</f>
        <v>176.2</v>
      </c>
      <c r="H206" s="280"/>
      <c r="I206" s="281"/>
      <c r="J206" s="281"/>
      <c r="K206" s="282"/>
      <c r="L206" s="204"/>
      <c r="M206" s="371"/>
      <c r="N206" s="426"/>
      <c r="O206" s="416"/>
      <c r="P206" s="416"/>
      <c r="Q206" s="417"/>
      <c r="R206" s="422"/>
      <c r="S206" s="399"/>
      <c r="T206" s="399"/>
    </row>
    <row r="207" spans="1:20" s="81" customFormat="1" ht="15" hidden="1" customHeight="1">
      <c r="A207" s="437">
        <v>129</v>
      </c>
      <c r="B207" s="438" t="s">
        <v>38</v>
      </c>
      <c r="C207" s="439"/>
      <c r="D207" s="378"/>
      <c r="E207" s="23"/>
      <c r="F207" s="23"/>
      <c r="G207" s="22"/>
      <c r="H207" s="303"/>
      <c r="I207" s="23"/>
      <c r="J207" s="23"/>
      <c r="K207" s="304"/>
      <c r="L207" s="382">
        <f>+SUM(G207:G210,J207:J210)</f>
        <v>0</v>
      </c>
      <c r="M207" s="26"/>
      <c r="N207" s="421"/>
      <c r="O207" s="77"/>
      <c r="P207" s="77"/>
      <c r="Q207" s="384">
        <f>+L207-M207</f>
        <v>0</v>
      </c>
      <c r="R207" s="899"/>
      <c r="S207" s="399"/>
      <c r="T207" s="399"/>
    </row>
    <row r="208" spans="1:20" s="81" customFormat="1" ht="15" hidden="1" customHeight="1">
      <c r="A208" s="441"/>
      <c r="B208" s="442" t="s">
        <v>198</v>
      </c>
      <c r="C208" s="48" t="s">
        <v>118</v>
      </c>
      <c r="D208" s="37"/>
      <c r="E208" s="41">
        <f>6.8416-6.7432</f>
        <v>9.8399999999999821E-2</v>
      </c>
      <c r="F208" s="41"/>
      <c r="G208" s="39">
        <f>ROUND(D208*E208,2)</f>
        <v>0</v>
      </c>
      <c r="H208" s="260"/>
      <c r="I208" s="261"/>
      <c r="J208" s="261"/>
      <c r="K208" s="262"/>
      <c r="L208" s="394"/>
      <c r="M208" s="90"/>
      <c r="N208" s="443"/>
      <c r="O208" s="94"/>
      <c r="P208" s="94"/>
      <c r="Q208" s="396"/>
      <c r="R208" s="899"/>
      <c r="S208" s="399"/>
      <c r="T208" s="399"/>
    </row>
    <row r="209" spans="1:20" s="81" customFormat="1" ht="15.75" hidden="1" thickBot="1">
      <c r="A209" s="441"/>
      <c r="B209" s="444"/>
      <c r="C209" s="48" t="s">
        <v>119</v>
      </c>
      <c r="D209" s="37"/>
      <c r="E209" s="41">
        <v>6.8415999999999997</v>
      </c>
      <c r="F209" s="41"/>
      <c r="G209" s="39">
        <f t="shared" ref="G209:G210" si="36">ROUND(D209*E209,2)</f>
        <v>0</v>
      </c>
      <c r="H209" s="432"/>
      <c r="I209" s="207"/>
      <c r="J209" s="207"/>
      <c r="K209" s="362"/>
      <c r="L209" s="433"/>
      <c r="M209" s="63"/>
      <c r="N209" s="423"/>
      <c r="O209" s="406"/>
      <c r="P209" s="406"/>
      <c r="Q209" s="407"/>
      <c r="R209" s="899"/>
      <c r="S209" s="399"/>
      <c r="T209" s="399"/>
    </row>
    <row r="210" spans="1:20" s="81" customFormat="1" ht="15" hidden="1" customHeight="1" thickBot="1">
      <c r="A210" s="445"/>
      <c r="B210" s="446"/>
      <c r="C210" s="99" t="s">
        <v>29</v>
      </c>
      <c r="D210" s="413"/>
      <c r="E210" s="56">
        <v>6.8415999999999997</v>
      </c>
      <c r="F210" s="281"/>
      <c r="G210" s="414">
        <f t="shared" si="36"/>
        <v>0</v>
      </c>
      <c r="H210" s="280"/>
      <c r="I210" s="281"/>
      <c r="J210" s="281"/>
      <c r="K210" s="282"/>
      <c r="L210" s="204"/>
      <c r="M210" s="371"/>
      <c r="N210" s="434"/>
      <c r="O210" s="435"/>
      <c r="P210" s="435"/>
      <c r="Q210" s="425"/>
      <c r="R210" s="899"/>
      <c r="S210" s="399"/>
      <c r="T210" s="399"/>
    </row>
    <row r="211" spans="1:20" s="81" customFormat="1" ht="15.75" hidden="1" customHeight="1">
      <c r="A211" s="902">
        <v>118</v>
      </c>
      <c r="B211" s="924" t="s">
        <v>200</v>
      </c>
      <c r="C211" s="390" t="s">
        <v>73</v>
      </c>
      <c r="D211" s="869"/>
      <c r="E211" s="86">
        <v>36.214199999999998</v>
      </c>
      <c r="F211" s="86">
        <v>42.4328</v>
      </c>
      <c r="G211" s="449">
        <f>+D211*(E211+F211)</f>
        <v>0</v>
      </c>
      <c r="H211" s="260"/>
      <c r="I211" s="392"/>
      <c r="J211" s="41"/>
      <c r="K211" s="870"/>
      <c r="L211" s="286">
        <f>SUM(G211:G215,J211:J215)</f>
        <v>0</v>
      </c>
      <c r="M211" s="90"/>
      <c r="N211" s="443"/>
      <c r="O211" s="94"/>
      <c r="P211" s="94"/>
      <c r="Q211" s="396"/>
      <c r="R211" s="422"/>
      <c r="S211" s="399"/>
      <c r="T211" s="399"/>
    </row>
    <row r="212" spans="1:20" s="81" customFormat="1" ht="15.75" hidden="1" customHeight="1">
      <c r="A212" s="468"/>
      <c r="B212" s="920"/>
      <c r="C212" s="36" t="s">
        <v>26</v>
      </c>
      <c r="D212" s="37"/>
      <c r="E212" s="38"/>
      <c r="F212" s="38"/>
      <c r="G212" s="39">
        <f>ROUND(D212*(E212+F212),2)</f>
        <v>0</v>
      </c>
      <c r="H212" s="457"/>
      <c r="I212" s="392"/>
      <c r="J212" s="41"/>
      <c r="K212" s="393"/>
      <c r="L212" s="459"/>
      <c r="M212" s="44"/>
      <c r="N212" s="430"/>
      <c r="O212" s="406"/>
      <c r="P212" s="406"/>
      <c r="Q212" s="407"/>
      <c r="R212" s="422"/>
      <c r="S212" s="399"/>
      <c r="T212" s="399"/>
    </row>
    <row r="213" spans="1:20" s="81" customFormat="1" ht="15.75" hidden="1" customHeight="1">
      <c r="A213" s="468"/>
      <c r="B213" s="920"/>
      <c r="C213" s="48" t="s">
        <v>124</v>
      </c>
      <c r="D213" s="37"/>
      <c r="E213" s="41"/>
      <c r="F213" s="38"/>
      <c r="G213" s="39">
        <f>ROUND(D213*(E213),2)</f>
        <v>0</v>
      </c>
      <c r="H213" s="270"/>
      <c r="I213" s="41"/>
      <c r="J213" s="41"/>
      <c r="K213" s="271"/>
      <c r="L213" s="272"/>
      <c r="M213" s="102"/>
      <c r="N213" s="430"/>
      <c r="O213" s="406"/>
      <c r="P213" s="406"/>
      <c r="Q213" s="407"/>
      <c r="R213" s="422"/>
      <c r="S213" s="399"/>
      <c r="T213" s="399"/>
    </row>
    <row r="214" spans="1:20" s="81" customFormat="1" ht="15.75" hidden="1" customHeight="1">
      <c r="A214" s="468"/>
      <c r="B214" s="920"/>
      <c r="C214" s="48" t="s">
        <v>125</v>
      </c>
      <c r="D214" s="37"/>
      <c r="E214" s="41">
        <v>6.7431999999999999</v>
      </c>
      <c r="F214" s="38"/>
      <c r="G214" s="39">
        <f>ROUND(D214*(E214),2)</f>
        <v>0</v>
      </c>
      <c r="H214" s="270"/>
      <c r="I214" s="41"/>
      <c r="J214" s="41"/>
      <c r="K214" s="271"/>
      <c r="L214" s="272"/>
      <c r="M214" s="102"/>
      <c r="N214" s="434"/>
      <c r="O214" s="435"/>
      <c r="P214" s="435"/>
      <c r="Q214" s="425"/>
      <c r="R214" s="422"/>
      <c r="S214" s="399"/>
      <c r="T214" s="399"/>
    </row>
    <row r="215" spans="1:20" s="81" customFormat="1" ht="15.75" hidden="1" customHeight="1" thickBot="1">
      <c r="A215" s="858"/>
      <c r="B215" s="921"/>
      <c r="C215" s="54" t="s">
        <v>29</v>
      </c>
      <c r="D215" s="413"/>
      <c r="E215" s="56">
        <v>6.7431999999999999</v>
      </c>
      <c r="F215" s="281"/>
      <c r="G215" s="414">
        <f>ROUND(D215*(E215),2)</f>
        <v>0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>
      <c r="A216" s="926"/>
      <c r="B216" s="927"/>
      <c r="C216" s="928"/>
      <c r="D216" s="904"/>
      <c r="E216" s="929"/>
      <c r="F216" s="905"/>
      <c r="G216" s="930"/>
      <c r="H216" s="905"/>
      <c r="I216" s="905"/>
      <c r="J216" s="905"/>
      <c r="K216" s="905"/>
      <c r="L216" s="905"/>
      <c r="M216" s="931"/>
      <c r="N216" s="387"/>
      <c r="O216" s="387"/>
      <c r="P216" s="387"/>
      <c r="Q216" s="387"/>
      <c r="R216" s="422"/>
      <c r="S216" s="399"/>
      <c r="T216" s="399"/>
    </row>
    <row r="217" spans="1:20" s="81" customFormat="1" ht="15" customHeight="1">
      <c r="A217" s="686"/>
      <c r="B217" s="469"/>
      <c r="C217" s="932"/>
      <c r="D217" s="471"/>
      <c r="E217" s="473"/>
      <c r="F217" s="473"/>
      <c r="G217" s="474"/>
      <c r="H217" s="473"/>
      <c r="I217" s="473"/>
      <c r="J217" s="473"/>
      <c r="K217" s="473"/>
      <c r="L217" s="473"/>
      <c r="M217" s="470"/>
      <c r="N217" s="399"/>
      <c r="O217" s="399"/>
      <c r="P217" s="399"/>
      <c r="Q217" s="399"/>
      <c r="R217" s="422"/>
      <c r="S217" s="399"/>
      <c r="T217" s="399"/>
    </row>
    <row r="218" spans="1:20" ht="21.75" thickBot="1">
      <c r="A218" s="171" t="s">
        <v>84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2"/>
      <c r="S218" s="2"/>
      <c r="T218" s="2"/>
    </row>
    <row r="219" spans="1:20" ht="15.75" customHeight="1" thickTop="1" thickBot="1">
      <c r="A219" s="1540" t="s">
        <v>1</v>
      </c>
      <c r="B219" s="1542" t="s">
        <v>2</v>
      </c>
      <c r="C219" s="1544" t="s">
        <v>3</v>
      </c>
      <c r="D219" s="1546" t="s">
        <v>4</v>
      </c>
      <c r="E219" s="1546"/>
      <c r="F219" s="1546"/>
      <c r="G219" s="1546"/>
      <c r="H219" s="1547" t="s">
        <v>5</v>
      </c>
      <c r="I219" s="1548"/>
      <c r="J219" s="1548"/>
      <c r="K219" s="1549"/>
      <c r="L219" s="1524" t="s">
        <v>6</v>
      </c>
      <c r="M219" s="1511" t="s">
        <v>7</v>
      </c>
      <c r="N219" s="1551" t="s">
        <v>8</v>
      </c>
      <c r="O219" s="1551"/>
      <c r="P219" s="1551"/>
      <c r="Q219" s="1552" t="s">
        <v>18</v>
      </c>
      <c r="R219" s="481" t="s">
        <v>85</v>
      </c>
      <c r="S219" s="482" t="s">
        <v>20</v>
      </c>
      <c r="T219" s="482" t="s">
        <v>21</v>
      </c>
    </row>
    <row r="220" spans="1:20" ht="40.5" customHeight="1" thickTop="1" thickBot="1">
      <c r="A220" s="1541"/>
      <c r="B220" s="1543"/>
      <c r="C220" s="1545" t="s">
        <v>10</v>
      </c>
      <c r="D220" s="483" t="s">
        <v>11</v>
      </c>
      <c r="E220" s="484" t="s">
        <v>12</v>
      </c>
      <c r="F220" s="484" t="s">
        <v>13</v>
      </c>
      <c r="G220" s="485" t="s">
        <v>14</v>
      </c>
      <c r="H220" s="483" t="s">
        <v>11</v>
      </c>
      <c r="I220" s="486" t="s">
        <v>15</v>
      </c>
      <c r="J220" s="485"/>
      <c r="K220" s="487" t="s">
        <v>16</v>
      </c>
      <c r="L220" s="1525"/>
      <c r="M220" s="1550"/>
      <c r="N220" s="488" t="s">
        <v>14</v>
      </c>
      <c r="O220" s="485"/>
      <c r="P220" s="489" t="s">
        <v>18</v>
      </c>
      <c r="Q220" s="490" t="s">
        <v>19</v>
      </c>
      <c r="R220" s="491"/>
      <c r="S220" s="492"/>
      <c r="T220" s="492"/>
    </row>
    <row r="221" spans="1:20">
      <c r="A221" s="961" t="s">
        <v>228</v>
      </c>
      <c r="B221" s="602" t="s">
        <v>186</v>
      </c>
      <c r="C221" s="439" t="s">
        <v>129</v>
      </c>
      <c r="D221" s="184">
        <f>мар18!D240+мар18!D241</f>
        <v>251</v>
      </c>
      <c r="E221" s="41">
        <f>6.3259-6.6987</f>
        <v>-0.3727999999999998</v>
      </c>
      <c r="F221" s="23"/>
      <c r="G221" s="185">
        <f>ROUND(D221*(E221),2)</f>
        <v>-93.57</v>
      </c>
      <c r="H221" s="620"/>
      <c r="I221" s="620"/>
      <c r="J221" s="620"/>
      <c r="K221" s="634"/>
      <c r="L221" s="603">
        <f>SUM(G221:G223)</f>
        <v>899.6</v>
      </c>
      <c r="M221" s="187">
        <v>899.6</v>
      </c>
      <c r="N221" s="615"/>
      <c r="O221" s="615"/>
      <c r="P221" s="615"/>
      <c r="Q221" s="615"/>
    </row>
    <row r="222" spans="1:20">
      <c r="A222" s="934"/>
      <c r="B222" s="506"/>
      <c r="C222" s="48" t="s">
        <v>131</v>
      </c>
      <c r="D222" s="49">
        <v>7</v>
      </c>
      <c r="E222" s="41">
        <v>6.3258999999999999</v>
      </c>
      <c r="F222" s="41">
        <f>+E222</f>
        <v>6.3258999999999999</v>
      </c>
      <c r="G222" s="50">
        <f>ROUND(D222*(E222),2)</f>
        <v>44.28</v>
      </c>
      <c r="H222" s="296"/>
      <c r="I222" s="298"/>
      <c r="J222" s="298"/>
      <c r="K222" s="637"/>
      <c r="L222" s="606"/>
      <c r="M222" s="935"/>
      <c r="N222" s="615"/>
      <c r="O222" s="615"/>
      <c r="P222" s="615"/>
      <c r="Q222" s="615"/>
    </row>
    <row r="223" spans="1:20" ht="15.75" thickBot="1">
      <c r="A223" s="934"/>
      <c r="B223" s="506"/>
      <c r="C223" s="54" t="s">
        <v>29</v>
      </c>
      <c r="D223" s="296">
        <v>150</v>
      </c>
      <c r="E223" s="56">
        <v>6.3258999999999999</v>
      </c>
      <c r="F223" s="41">
        <f>+E223</f>
        <v>6.3258999999999999</v>
      </c>
      <c r="G223" s="50">
        <f t="shared" ref="G223" si="37">ROUND(D223*(E223),2)</f>
        <v>948.89</v>
      </c>
      <c r="H223" s="296"/>
      <c r="I223" s="298"/>
      <c r="J223" s="298"/>
      <c r="K223" s="637"/>
      <c r="L223" s="614"/>
      <c r="M223" s="935"/>
      <c r="N223" s="615"/>
      <c r="O223" s="615"/>
      <c r="P223" s="615"/>
      <c r="Q223" s="615"/>
    </row>
    <row r="224" spans="1:20">
      <c r="A224" s="961" t="s">
        <v>207</v>
      </c>
      <c r="B224" s="602" t="s">
        <v>184</v>
      </c>
      <c r="C224" s="439" t="s">
        <v>129</v>
      </c>
      <c r="D224" s="184">
        <f>мар18!D222+мар18!D223</f>
        <v>0</v>
      </c>
      <c r="E224" s="41">
        <f>6.3259-6.6987</f>
        <v>-0.3727999999999998</v>
      </c>
      <c r="F224" s="23">
        <f>+E224</f>
        <v>-0.3727999999999998</v>
      </c>
      <c r="G224" s="185">
        <f>ROUND(D224*(E224),2)</f>
        <v>0</v>
      </c>
      <c r="H224" s="620"/>
      <c r="I224" s="620"/>
      <c r="J224" s="620"/>
      <c r="K224" s="634"/>
      <c r="L224" s="603">
        <f>SUM(G224:G226)</f>
        <v>0</v>
      </c>
      <c r="M224" s="187">
        <v>0</v>
      </c>
      <c r="N224" s="615"/>
      <c r="O224" s="962" t="s">
        <v>224</v>
      </c>
      <c r="P224" s="615"/>
      <c r="Q224" s="615"/>
    </row>
    <row r="225" spans="1:21">
      <c r="A225" s="934"/>
      <c r="B225" s="506"/>
      <c r="C225" s="48" t="s">
        <v>131</v>
      </c>
      <c r="D225" s="49">
        <v>0</v>
      </c>
      <c r="E225" s="41">
        <v>6.3258999999999999</v>
      </c>
      <c r="F225" s="41">
        <f>+E225</f>
        <v>6.3258999999999999</v>
      </c>
      <c r="G225" s="50">
        <f>ROUND(D225*(E225),2)</f>
        <v>0</v>
      </c>
      <c r="H225" s="296"/>
      <c r="I225" s="298"/>
      <c r="J225" s="298"/>
      <c r="K225" s="637"/>
      <c r="L225" s="606"/>
      <c r="M225" s="935"/>
      <c r="N225" s="615"/>
      <c r="O225" s="615"/>
      <c r="P225" s="615"/>
      <c r="Q225" s="615"/>
    </row>
    <row r="226" spans="1:21" ht="15.75" thickBot="1">
      <c r="A226" s="934"/>
      <c r="B226" s="506"/>
      <c r="C226" s="54" t="s">
        <v>29</v>
      </c>
      <c r="D226" s="296">
        <v>0</v>
      </c>
      <c r="E226" s="56">
        <v>6.3258999999999999</v>
      </c>
      <c r="F226" s="41">
        <f>+E226</f>
        <v>6.3258999999999999</v>
      </c>
      <c r="G226" s="50">
        <f t="shared" ref="G226" si="38">ROUND(D226*(E226),2)</f>
        <v>0</v>
      </c>
      <c r="H226" s="296"/>
      <c r="I226" s="298"/>
      <c r="J226" s="298"/>
      <c r="K226" s="637"/>
      <c r="L226" s="614"/>
      <c r="M226" s="935"/>
      <c r="N226" s="615"/>
      <c r="O226" s="615"/>
      <c r="P226" s="615"/>
      <c r="Q226" s="615"/>
    </row>
    <row r="227" spans="1:21" ht="15.75" thickTop="1">
      <c r="A227" s="376">
        <v>100</v>
      </c>
      <c r="B227" s="494" t="s">
        <v>193</v>
      </c>
      <c r="C227" s="71">
        <f>+[1]дек!U72</f>
        <v>0</v>
      </c>
      <c r="D227" s="495">
        <v>8</v>
      </c>
      <c r="E227" s="21">
        <v>36.214199999999998</v>
      </c>
      <c r="F227" s="21">
        <v>42.4328</v>
      </c>
      <c r="G227" s="185">
        <f>ROUND(D227*(E227+F227),2)</f>
        <v>629.17999999999995</v>
      </c>
      <c r="H227" s="496"/>
      <c r="I227" s="73"/>
      <c r="J227" s="73"/>
      <c r="K227" s="601"/>
      <c r="L227" s="498">
        <f>SUM(G227:G234)+SUM(J227:J233)</f>
        <v>19191.73</v>
      </c>
      <c r="M227" s="26">
        <v>19191.73</v>
      </c>
      <c r="N227" s="499"/>
      <c r="O227" s="500"/>
      <c r="P227" s="501" t="s">
        <v>87</v>
      </c>
      <c r="Q227" s="595">
        <f t="shared" ref="Q227" si="39">C227+G227+J227-M227-N227-O227</f>
        <v>-18562.55</v>
      </c>
    </row>
    <row r="228" spans="1:21" ht="15.75" thickBot="1">
      <c r="A228" s="389"/>
      <c r="B228" s="506"/>
      <c r="C228" s="507" t="s">
        <v>96</v>
      </c>
      <c r="D228" s="234"/>
      <c r="E228" s="38"/>
      <c r="F228" s="38"/>
      <c r="G228" s="235">
        <f>ROUND(D228*(E228+F228),2)</f>
        <v>0</v>
      </c>
      <c r="H228" s="448"/>
      <c r="I228" s="509"/>
      <c r="J228" s="199"/>
      <c r="K228" s="517"/>
      <c r="L228" s="511"/>
      <c r="M228" s="512"/>
      <c r="N228" s="513"/>
      <c r="O228" s="514"/>
      <c r="P228" s="515"/>
      <c r="Q228" s="262"/>
      <c r="U228" s="33"/>
    </row>
    <row r="229" spans="1:21">
      <c r="A229" s="389"/>
      <c r="B229" s="516" t="s">
        <v>89</v>
      </c>
      <c r="C229" s="512" t="s">
        <v>90</v>
      </c>
      <c r="D229" s="508">
        <v>1</v>
      </c>
      <c r="E229" s="101">
        <v>292.75</v>
      </c>
      <c r="F229" s="21">
        <v>42.4328</v>
      </c>
      <c r="G229" s="50">
        <f>ROUND(D229*(E229+F229),2)</f>
        <v>335.18</v>
      </c>
      <c r="H229" s="270"/>
      <c r="I229" s="41"/>
      <c r="J229" s="207"/>
      <c r="K229" s="517"/>
      <c r="L229" s="517"/>
      <c r="M229" s="99"/>
      <c r="N229" s="518"/>
      <c r="O229" s="519"/>
      <c r="P229" s="515" t="s">
        <v>87</v>
      </c>
      <c r="Q229" s="271">
        <f>+G229+J229-M229-N229-O229</f>
        <v>335.18</v>
      </c>
    </row>
    <row r="230" spans="1:21">
      <c r="A230" s="389"/>
      <c r="B230" s="541"/>
      <c r="C230" s="84" t="s">
        <v>97</v>
      </c>
      <c r="D230" s="508"/>
      <c r="E230" s="41"/>
      <c r="F230" s="38"/>
      <c r="G230" s="50">
        <f>ROUND(D230*(E230+F230),2)</f>
        <v>0</v>
      </c>
      <c r="H230" s="432"/>
      <c r="I230" s="362"/>
      <c r="J230" s="207"/>
      <c r="K230" s="517"/>
      <c r="L230" s="517"/>
      <c r="M230" s="520"/>
      <c r="N230" s="521"/>
      <c r="O230" s="522"/>
      <c r="P230" s="523"/>
      <c r="Q230" s="362"/>
    </row>
    <row r="231" spans="1:21">
      <c r="A231" s="389"/>
      <c r="B231" s="541" t="s">
        <v>194</v>
      </c>
      <c r="C231" s="84"/>
      <c r="D231" s="508"/>
      <c r="E231" s="41"/>
      <c r="F231" s="41"/>
      <c r="G231" s="50"/>
      <c r="H231" s="432"/>
      <c r="I231" s="362"/>
      <c r="J231" s="207"/>
      <c r="K231" s="517"/>
      <c r="L231" s="517"/>
      <c r="M231" s="520"/>
      <c r="N231" s="521"/>
      <c r="O231" s="522"/>
      <c r="P231" s="523"/>
      <c r="Q231" s="362"/>
    </row>
    <row r="232" spans="1:21">
      <c r="A232" s="389"/>
      <c r="B232" s="506"/>
      <c r="C232" s="48" t="s">
        <v>129</v>
      </c>
      <c r="D232" s="37"/>
      <c r="E232" s="41"/>
      <c r="F232" s="41">
        <f>+E232</f>
        <v>0</v>
      </c>
      <c r="G232" s="39">
        <f>ROUND(D232*E232,2)</f>
        <v>0</v>
      </c>
      <c r="H232" s="432"/>
      <c r="I232" s="362"/>
      <c r="J232" s="207"/>
      <c r="K232" s="517"/>
      <c r="L232" s="517"/>
      <c r="M232" s="520"/>
      <c r="N232" s="521"/>
      <c r="O232" s="522"/>
      <c r="P232" s="523"/>
      <c r="Q232" s="362"/>
    </row>
    <row r="233" spans="1:21">
      <c r="A233" s="389"/>
      <c r="B233" s="506"/>
      <c r="C233" s="48" t="s">
        <v>131</v>
      </c>
      <c r="D233" s="37">
        <v>116</v>
      </c>
      <c r="E233" s="41">
        <v>6.6913999999999998</v>
      </c>
      <c r="F233" s="41">
        <f>+E233</f>
        <v>6.6913999999999998</v>
      </c>
      <c r="G233" s="39">
        <f>ROUND(D233*E233,2)</f>
        <v>776.2</v>
      </c>
      <c r="H233" s="432"/>
      <c r="I233" s="362"/>
      <c r="J233" s="207"/>
      <c r="K233" s="517"/>
      <c r="L233" s="517"/>
      <c r="M233" s="520"/>
      <c r="N233" s="521"/>
      <c r="O233" s="522"/>
      <c r="P233" s="523"/>
      <c r="Q233" s="362"/>
      <c r="U233" s="33"/>
    </row>
    <row r="234" spans="1:21" ht="15.75" thickBot="1">
      <c r="A234" s="411"/>
      <c r="B234" s="526"/>
      <c r="C234" s="99" t="s">
        <v>29</v>
      </c>
      <c r="D234" s="55">
        <v>2608</v>
      </c>
      <c r="E234" s="56">
        <v>6.6913999999999998</v>
      </c>
      <c r="F234" s="281">
        <f>+E234</f>
        <v>6.6913999999999998</v>
      </c>
      <c r="G234" s="58">
        <f>ROUND(D234*E234,2)</f>
        <v>17451.169999999998</v>
      </c>
      <c r="H234" s="248"/>
      <c r="I234" s="203"/>
      <c r="J234" s="60"/>
      <c r="K234" s="61"/>
      <c r="L234" s="249"/>
      <c r="M234" s="54"/>
      <c r="N234" s="521"/>
      <c r="O234" s="528"/>
      <c r="P234" s="529" t="s">
        <v>87</v>
      </c>
      <c r="Q234" s="362">
        <f>+G234+J234-M234-N234-O234</f>
        <v>17451.169999999998</v>
      </c>
    </row>
    <row r="235" spans="1:21" ht="15.75" collapsed="1" thickTop="1">
      <c r="A235" s="389">
        <v>113</v>
      </c>
      <c r="B235" s="494" t="s">
        <v>102</v>
      </c>
      <c r="C235" s="71">
        <f>+[1]дек!U57</f>
        <v>0</v>
      </c>
      <c r="D235" s="495">
        <v>18</v>
      </c>
      <c r="E235" s="21">
        <v>36.214199999999998</v>
      </c>
      <c r="F235" s="21">
        <v>42.4328</v>
      </c>
      <c r="G235" s="185">
        <f>ROUND(D235*(E235+F235),2)</f>
        <v>1415.65</v>
      </c>
      <c r="H235" s="496"/>
      <c r="I235" s="73"/>
      <c r="J235" s="73"/>
      <c r="K235" s="497"/>
      <c r="L235" s="498">
        <f>SUM(G235:G241)+SUM(J235:J240)</f>
        <v>24072.79</v>
      </c>
      <c r="M235" s="26">
        <v>24072.79</v>
      </c>
      <c r="N235" s="594"/>
      <c r="O235" s="535"/>
      <c r="P235" s="536" t="s">
        <v>87</v>
      </c>
      <c r="Q235" s="595">
        <f>C235+G235+J235-M235-N235-O235</f>
        <v>-22657.14</v>
      </c>
      <c r="R235" s="502" t="s">
        <v>88</v>
      </c>
      <c r="S235" s="503"/>
      <c r="T235" s="504"/>
      <c r="U235" s="33">
        <f>+M235-L235</f>
        <v>0</v>
      </c>
    </row>
    <row r="236" spans="1:21">
      <c r="A236" s="389"/>
      <c r="B236" s="506"/>
      <c r="C236" s="542"/>
      <c r="D236" s="508"/>
      <c r="E236" s="38"/>
      <c r="F236" s="38"/>
      <c r="G236" s="50">
        <f>ROUND(D236*(E236+F236),2)</f>
        <v>0</v>
      </c>
      <c r="H236" s="596"/>
      <c r="I236" s="409"/>
      <c r="J236" s="509"/>
      <c r="K236" s="543"/>
      <c r="L236" s="511"/>
      <c r="M236" s="99"/>
      <c r="N236" s="513"/>
      <c r="O236" s="514"/>
      <c r="P236" s="515"/>
      <c r="Q236" s="262"/>
      <c r="R236" s="502"/>
      <c r="S236" s="503"/>
      <c r="T236" s="504"/>
    </row>
    <row r="237" spans="1:21">
      <c r="A237" s="389"/>
      <c r="B237" s="516" t="s">
        <v>103</v>
      </c>
      <c r="C237" s="99" t="s">
        <v>90</v>
      </c>
      <c r="D237" s="508">
        <v>9</v>
      </c>
      <c r="E237" s="101">
        <v>341.87</v>
      </c>
      <c r="F237" s="38">
        <v>42.4328</v>
      </c>
      <c r="G237" s="50">
        <f>ROUND(D237*(E237+F237),2)</f>
        <v>3458.73</v>
      </c>
      <c r="H237" s="270"/>
      <c r="I237" s="41"/>
      <c r="J237" s="409"/>
      <c r="K237" s="510"/>
      <c r="L237" s="597"/>
      <c r="M237" s="99"/>
      <c r="N237" s="518"/>
      <c r="O237" s="519"/>
      <c r="P237" s="515" t="s">
        <v>87</v>
      </c>
      <c r="Q237" s="271">
        <f>+G237+J237-M237-N237-O237</f>
        <v>3458.73</v>
      </c>
      <c r="R237" s="502" t="s">
        <v>88</v>
      </c>
      <c r="S237" s="503"/>
      <c r="T237" s="504"/>
    </row>
    <row r="238" spans="1:21">
      <c r="A238" s="389"/>
      <c r="B238" s="506"/>
      <c r="C238" s="390" t="s">
        <v>97</v>
      </c>
      <c r="D238" s="508">
        <f>мар18!D234</f>
        <v>7</v>
      </c>
      <c r="E238" s="41">
        <f>341.87-326.58</f>
        <v>15.29000000000002</v>
      </c>
      <c r="F238" s="38"/>
      <c r="G238" s="50">
        <f>D238*(E238+F238)</f>
        <v>107.03000000000014</v>
      </c>
      <c r="H238" s="432"/>
      <c r="I238" s="362"/>
      <c r="J238" s="41"/>
      <c r="K238" s="510"/>
      <c r="L238" s="597"/>
      <c r="M238" s="99"/>
      <c r="N238" s="521"/>
      <c r="O238" s="522"/>
      <c r="P238" s="523"/>
      <c r="Q238" s="362"/>
      <c r="R238" s="502"/>
      <c r="S238" s="503"/>
      <c r="T238" s="504"/>
    </row>
    <row r="239" spans="1:21">
      <c r="A239" s="389"/>
      <c r="B239" s="506"/>
      <c r="C239" s="48" t="s">
        <v>129</v>
      </c>
      <c r="D239" s="37">
        <f>мар18!D237+мар18!D238</f>
        <v>4039</v>
      </c>
      <c r="E239" s="41">
        <f>6.3259-6.6987</f>
        <v>-0.3727999999999998</v>
      </c>
      <c r="F239" s="297">
        <f t="shared" ref="F239:F241" si="40">+E239</f>
        <v>-0.3727999999999998</v>
      </c>
      <c r="G239" s="39">
        <f>ROUND(D239*(E239+F239)/2,2)-0.01</f>
        <v>-1505.75</v>
      </c>
      <c r="H239" s="432"/>
      <c r="I239" s="362"/>
      <c r="J239" s="41"/>
      <c r="K239" s="510"/>
      <c r="L239" s="597"/>
      <c r="M239" s="99"/>
      <c r="N239" s="521"/>
      <c r="O239" s="522"/>
      <c r="P239" s="523"/>
      <c r="Q239" s="362"/>
      <c r="R239" s="502"/>
      <c r="S239" s="503"/>
      <c r="T239" s="504"/>
    </row>
    <row r="240" spans="1:21">
      <c r="A240" s="389"/>
      <c r="B240" s="506"/>
      <c r="C240" s="48" t="s">
        <v>131</v>
      </c>
      <c r="D240" s="37">
        <v>138</v>
      </c>
      <c r="E240" s="41">
        <v>6.3258999999999999</v>
      </c>
      <c r="F240" s="298">
        <f t="shared" si="40"/>
        <v>6.3258999999999999</v>
      </c>
      <c r="G240" s="39">
        <f>ROUND(D240*E240,2)</f>
        <v>872.97</v>
      </c>
      <c r="H240" s="432"/>
      <c r="I240" s="362"/>
      <c r="J240" s="41"/>
      <c r="K240" s="510"/>
      <c r="L240" s="597"/>
      <c r="M240" s="99"/>
      <c r="N240" s="521"/>
      <c r="O240" s="522"/>
      <c r="P240" s="523"/>
      <c r="Q240" s="362"/>
      <c r="R240" s="502"/>
      <c r="S240" s="503"/>
      <c r="T240" s="504"/>
    </row>
    <row r="241" spans="1:20" ht="15.75" thickBot="1">
      <c r="A241" s="369"/>
      <c r="B241" s="526"/>
      <c r="C241" s="99" t="s">
        <v>29</v>
      </c>
      <c r="D241" s="55">
        <v>3118</v>
      </c>
      <c r="E241" s="56">
        <v>6.3258999999999999</v>
      </c>
      <c r="F241" s="57">
        <f t="shared" si="40"/>
        <v>6.3258999999999999</v>
      </c>
      <c r="G241" s="414">
        <f>ROUND(D241*E241,2)</f>
        <v>19724.16</v>
      </c>
      <c r="H241" s="248"/>
      <c r="I241" s="203"/>
      <c r="J241" s="60"/>
      <c r="K241" s="61"/>
      <c r="L241" s="249"/>
      <c r="M241" s="54"/>
      <c r="N241" s="527"/>
      <c r="O241" s="528"/>
      <c r="P241" s="529" t="s">
        <v>87</v>
      </c>
      <c r="Q241" s="58">
        <f>+G241+J241-M241-N241-O241</f>
        <v>19724.16</v>
      </c>
      <c r="R241" s="502" t="s">
        <v>88</v>
      </c>
      <c r="S241" s="598">
        <f>SUM(N235:N241)+O235:O241</f>
        <v>0</v>
      </c>
      <c r="T241" s="598">
        <f>SUM(Q235:Q241)</f>
        <v>525.75</v>
      </c>
    </row>
    <row r="242" spans="1:20">
      <c r="A242" s="376" t="s">
        <v>208</v>
      </c>
      <c r="B242" s="602" t="s">
        <v>213</v>
      </c>
      <c r="C242" s="439" t="s">
        <v>129</v>
      </c>
      <c r="D242" s="184">
        <f>мар18!D243+мар18!D244</f>
        <v>212</v>
      </c>
      <c r="E242" s="41">
        <f>6.3259-6.6987</f>
        <v>-0.3727999999999998</v>
      </c>
      <c r="F242" s="23">
        <f>+E242</f>
        <v>-0.3727999999999998</v>
      </c>
      <c r="G242" s="185">
        <f>ROUND(D242*(E242),2)-0.01</f>
        <v>-79.040000000000006</v>
      </c>
      <c r="H242" s="620"/>
      <c r="I242" s="620"/>
      <c r="J242" s="620"/>
      <c r="K242" s="634"/>
      <c r="L242" s="603">
        <f>SUM(G242:G244)</f>
        <v>793.93999999999994</v>
      </c>
      <c r="M242" s="187">
        <v>793.94</v>
      </c>
      <c r="N242" s="615"/>
      <c r="O242" s="615"/>
      <c r="P242" s="615"/>
      <c r="Q242" s="615"/>
    </row>
    <row r="243" spans="1:20">
      <c r="A243" s="934"/>
      <c r="B243" s="506"/>
      <c r="C243" s="48" t="s">
        <v>131</v>
      </c>
      <c r="D243" s="49">
        <v>6</v>
      </c>
      <c r="E243" s="41">
        <v>6.3258999999999999</v>
      </c>
      <c r="F243" s="41">
        <f>+E243</f>
        <v>6.3258999999999999</v>
      </c>
      <c r="G243" s="50">
        <f>ROUND(D243*(E243),2)</f>
        <v>37.96</v>
      </c>
      <c r="H243" s="296"/>
      <c r="I243" s="298"/>
      <c r="J243" s="298"/>
      <c r="K243" s="637"/>
      <c r="L243" s="606"/>
      <c r="M243" s="935"/>
      <c r="N243" s="615"/>
      <c r="O243" s="615"/>
      <c r="P243" s="615"/>
      <c r="Q243" s="615"/>
    </row>
    <row r="244" spans="1:20" ht="15.75" thickBot="1">
      <c r="A244" s="934"/>
      <c r="B244" s="506"/>
      <c r="C244" s="54" t="s">
        <v>29</v>
      </c>
      <c r="D244" s="296">
        <v>132</v>
      </c>
      <c r="E244" s="56">
        <v>6.3258999999999999</v>
      </c>
      <c r="F244" s="41">
        <f>+E244</f>
        <v>6.3258999999999999</v>
      </c>
      <c r="G244" s="50">
        <f t="shared" ref="G244" si="41">ROUND(D244*(E244),2)</f>
        <v>835.02</v>
      </c>
      <c r="H244" s="296"/>
      <c r="I244" s="298"/>
      <c r="J244" s="298"/>
      <c r="K244" s="637"/>
      <c r="L244" s="614"/>
      <c r="M244" s="935"/>
      <c r="N244" s="615"/>
      <c r="O244" s="615"/>
      <c r="P244" s="615"/>
      <c r="Q244" s="615"/>
    </row>
    <row r="245" spans="1:20">
      <c r="A245" s="376">
        <v>201</v>
      </c>
      <c r="B245" s="602" t="s">
        <v>107</v>
      </c>
      <c r="C245" s="618" t="s">
        <v>73</v>
      </c>
      <c r="D245" s="619">
        <v>3</v>
      </c>
      <c r="E245" s="21">
        <v>36.214199999999998</v>
      </c>
      <c r="F245" s="21">
        <v>42.4328</v>
      </c>
      <c r="G245" s="185">
        <f>ROUND(D245*(E245+F245),2)</f>
        <v>235.94</v>
      </c>
      <c r="H245" s="620"/>
      <c r="I245" s="620"/>
      <c r="J245" s="620"/>
      <c r="K245" s="620"/>
      <c r="L245" s="603">
        <f>SUM(G245:G249,J245:J249)</f>
        <v>3976.22</v>
      </c>
      <c r="M245" s="187">
        <v>3976.22</v>
      </c>
      <c r="N245" s="621"/>
      <c r="O245" s="621"/>
      <c r="P245" s="621"/>
      <c r="Q245" s="622"/>
    </row>
    <row r="246" spans="1:20">
      <c r="A246" s="936"/>
      <c r="B246" s="612"/>
      <c r="C246" s="542" t="s">
        <v>96</v>
      </c>
      <c r="D246" s="234"/>
      <c r="E246" s="38"/>
      <c r="F246" s="38"/>
      <c r="G246" s="235">
        <f>ROUND(D246*(E246+F246),2)</f>
        <v>0</v>
      </c>
      <c r="H246" s="298"/>
      <c r="I246" s="298"/>
      <c r="J246" s="298"/>
      <c r="K246" s="298"/>
      <c r="L246" s="606"/>
      <c r="M246" s="935"/>
      <c r="N246" s="615"/>
      <c r="O246" s="615"/>
      <c r="P246" s="615"/>
      <c r="Q246" s="616"/>
    </row>
    <row r="247" spans="1:20">
      <c r="A247" s="936"/>
      <c r="B247" s="612"/>
      <c r="C247" s="48" t="s">
        <v>129</v>
      </c>
      <c r="D247" s="623">
        <f>мар18!D248+мар18!D249</f>
        <v>810</v>
      </c>
      <c r="E247" s="41">
        <f>6.3259-6.6987</f>
        <v>-0.3727999999999998</v>
      </c>
      <c r="F247" s="41">
        <f>+E247</f>
        <v>-0.3727999999999998</v>
      </c>
      <c r="G247" s="50">
        <f t="shared" ref="G247:G255" si="42">ROUND(D247*(E247),2)</f>
        <v>-301.97000000000003</v>
      </c>
      <c r="H247" s="298"/>
      <c r="I247" s="298"/>
      <c r="J247" s="298"/>
      <c r="K247" s="298"/>
      <c r="L247" s="614"/>
      <c r="M247" s="935"/>
      <c r="N247" s="615"/>
      <c r="O247" s="615"/>
      <c r="P247" s="615"/>
      <c r="Q247" s="616"/>
    </row>
    <row r="248" spans="1:20">
      <c r="A248" s="936"/>
      <c r="B248" s="612"/>
      <c r="C248" s="48" t="s">
        <v>131</v>
      </c>
      <c r="D248" s="623">
        <v>27</v>
      </c>
      <c r="E248" s="41">
        <v>6.3258999999999999</v>
      </c>
      <c r="F248" s="41">
        <f>+E248</f>
        <v>6.3258999999999999</v>
      </c>
      <c r="G248" s="39">
        <f t="shared" si="42"/>
        <v>170.8</v>
      </c>
      <c r="H248" s="298"/>
      <c r="I248" s="298"/>
      <c r="J248" s="298"/>
      <c r="K248" s="298"/>
      <c r="L248" s="614"/>
      <c r="M248" s="273"/>
      <c r="N248" s="615"/>
      <c r="O248" s="615"/>
      <c r="P248" s="615"/>
      <c r="Q248" s="616"/>
    </row>
    <row r="249" spans="1:20" ht="15.75" thickBot="1">
      <c r="A249" s="937"/>
      <c r="B249" s="526"/>
      <c r="C249" s="99" t="s">
        <v>29</v>
      </c>
      <c r="D249" s="625">
        <v>612</v>
      </c>
      <c r="E249" s="56">
        <v>6.3258999999999999</v>
      </c>
      <c r="F249" s="281">
        <f>+E249</f>
        <v>6.3258999999999999</v>
      </c>
      <c r="G249" s="414">
        <f t="shared" si="42"/>
        <v>3871.45</v>
      </c>
      <c r="H249" s="41"/>
      <c r="I249" s="41"/>
      <c r="J249" s="281"/>
      <c r="K249" s="281"/>
      <c r="L249" s="784"/>
      <c r="M249" s="938"/>
      <c r="N249" s="626"/>
      <c r="O249" s="626"/>
      <c r="P249" s="626"/>
      <c r="Q249" s="627"/>
    </row>
    <row r="250" spans="1:20">
      <c r="A250" s="376">
        <v>301</v>
      </c>
      <c r="B250" s="602" t="s">
        <v>106</v>
      </c>
      <c r="C250" s="48" t="s">
        <v>129</v>
      </c>
      <c r="D250" s="184">
        <f>мар18!D251+мар18!D252</f>
        <v>873.03</v>
      </c>
      <c r="E250" s="41">
        <f>6.3259-6.6987</f>
        <v>-0.3727999999999998</v>
      </c>
      <c r="F250" s="23">
        <f t="shared" ref="F250:F252" si="43">+E250</f>
        <v>-0.3727999999999998</v>
      </c>
      <c r="G250" s="185">
        <f>ROUND(D250*(E250),2)</f>
        <v>-325.47000000000003</v>
      </c>
      <c r="H250" s="23"/>
      <c r="I250" s="23"/>
      <c r="J250" s="23"/>
      <c r="K250" s="23"/>
      <c r="L250" s="603">
        <f>SUM(G250:G252)</f>
        <v>5157.63</v>
      </c>
      <c r="M250" s="187">
        <v>5157.63</v>
      </c>
      <c r="N250" s="604"/>
      <c r="O250" s="500"/>
      <c r="P250" s="501"/>
      <c r="Q250" s="605"/>
    </row>
    <row r="251" spans="1:20">
      <c r="A251" s="389"/>
      <c r="B251" s="506"/>
      <c r="C251" s="48" t="s">
        <v>131</v>
      </c>
      <c r="D251" s="49">
        <v>36.770000000000003</v>
      </c>
      <c r="E251" s="41">
        <v>6.3258999999999999</v>
      </c>
      <c r="F251" s="41">
        <f t="shared" si="43"/>
        <v>6.3258999999999999</v>
      </c>
      <c r="G251" s="50">
        <f t="shared" si="42"/>
        <v>232.6</v>
      </c>
      <c r="H251" s="41"/>
      <c r="I251" s="41"/>
      <c r="J251" s="41"/>
      <c r="K251" s="41"/>
      <c r="L251" s="606"/>
      <c r="M251" s="935"/>
      <c r="N251" s="607"/>
      <c r="O251" s="608"/>
      <c r="P251" s="609"/>
      <c r="Q251" s="610"/>
    </row>
    <row r="252" spans="1:20" ht="15.75" thickBot="1">
      <c r="A252" s="936"/>
      <c r="B252" s="612"/>
      <c r="C252" s="99" t="s">
        <v>29</v>
      </c>
      <c r="D252" s="613">
        <v>830</v>
      </c>
      <c r="E252" s="56">
        <v>6.3258999999999999</v>
      </c>
      <c r="F252" s="281">
        <f t="shared" si="43"/>
        <v>6.3258999999999999</v>
      </c>
      <c r="G252" s="58">
        <f t="shared" si="42"/>
        <v>5250.5</v>
      </c>
      <c r="H252" s="57"/>
      <c r="I252" s="57"/>
      <c r="J252" s="57"/>
      <c r="K252" s="57"/>
      <c r="L252" s="614"/>
      <c r="M252" s="935"/>
      <c r="N252" s="615"/>
      <c r="O252" s="615"/>
      <c r="P252" s="615"/>
      <c r="Q252" s="616"/>
    </row>
    <row r="253" spans="1:20">
      <c r="A253" s="447" t="s">
        <v>205</v>
      </c>
      <c r="B253" s="602" t="s">
        <v>183</v>
      </c>
      <c r="C253" s="439" t="s">
        <v>129</v>
      </c>
      <c r="D253" s="184">
        <f>мар18!D254+мар18!D255</f>
        <v>609</v>
      </c>
      <c r="E253" s="41">
        <f>6.3259-6.6987</f>
        <v>-0.3727999999999998</v>
      </c>
      <c r="F253" s="23">
        <f>+E253</f>
        <v>-0.3727999999999998</v>
      </c>
      <c r="G253" s="185">
        <f t="shared" si="42"/>
        <v>-227.04</v>
      </c>
      <c r="H253" s="620"/>
      <c r="I253" s="620"/>
      <c r="J253" s="620"/>
      <c r="K253" s="634"/>
      <c r="L253" s="603">
        <f>SUM(G253:G255)</f>
        <v>3903.78</v>
      </c>
      <c r="M253" s="187">
        <v>3903.78</v>
      </c>
      <c r="N253" s="604"/>
      <c r="O253" s="635"/>
      <c r="P253" s="636"/>
      <c r="Q253" s="605"/>
    </row>
    <row r="254" spans="1:20">
      <c r="A254" s="450" t="s">
        <v>206</v>
      </c>
      <c r="B254" s="506"/>
      <c r="C254" s="48" t="s">
        <v>131</v>
      </c>
      <c r="D254" s="49">
        <v>28</v>
      </c>
      <c r="E254" s="41">
        <v>6.3258999999999999</v>
      </c>
      <c r="F254" s="41">
        <f>+E254</f>
        <v>6.3258999999999999</v>
      </c>
      <c r="G254" s="50">
        <f t="shared" si="42"/>
        <v>177.13</v>
      </c>
      <c r="H254" s="296"/>
      <c r="I254" s="298"/>
      <c r="J254" s="298"/>
      <c r="K254" s="637"/>
      <c r="L254" s="606"/>
      <c r="M254" s="935"/>
      <c r="N254" s="607"/>
      <c r="O254" s="608"/>
      <c r="P254" s="609"/>
      <c r="Q254" s="610"/>
    </row>
    <row r="255" spans="1:20" ht="15.75" thickBot="1">
      <c r="A255" s="451">
        <v>305</v>
      </c>
      <c r="B255" s="506"/>
      <c r="C255" s="54" t="s">
        <v>29</v>
      </c>
      <c r="D255" s="296">
        <v>625</v>
      </c>
      <c r="E255" s="56">
        <v>6.3258999999999999</v>
      </c>
      <c r="F255" s="41">
        <f t="shared" ref="F255:F256" si="44">+E255</f>
        <v>6.3258999999999999</v>
      </c>
      <c r="G255" s="50">
        <f t="shared" si="42"/>
        <v>3953.69</v>
      </c>
      <c r="H255" s="296"/>
      <c r="I255" s="298"/>
      <c r="J255" s="298"/>
      <c r="K255" s="637"/>
      <c r="L255" s="614"/>
      <c r="M255" s="935"/>
      <c r="N255" s="615"/>
      <c r="O255" s="615"/>
      <c r="P255" s="615"/>
      <c r="Q255" s="616"/>
    </row>
    <row r="256" spans="1:20" collapsed="1">
      <c r="A256" s="376">
        <v>307</v>
      </c>
      <c r="B256" s="602" t="s">
        <v>163</v>
      </c>
      <c r="C256" s="439" t="s">
        <v>129</v>
      </c>
      <c r="D256" s="184">
        <f>мар18!D257+мар18!D258</f>
        <v>434</v>
      </c>
      <c r="E256" s="23">
        <f>6.3259-6.6987</f>
        <v>-0.3727999999999998</v>
      </c>
      <c r="F256" s="23">
        <f t="shared" si="44"/>
        <v>-0.3727999999999998</v>
      </c>
      <c r="G256" s="185">
        <f>ROUND(D256*(E256),2)</f>
        <v>-161.80000000000001</v>
      </c>
      <c r="H256" s="669"/>
      <c r="I256" s="620"/>
      <c r="J256" s="620"/>
      <c r="K256" s="634"/>
      <c r="L256" s="603">
        <f>SUM(G256:G258)</f>
        <v>2153.48</v>
      </c>
      <c r="M256" s="187">
        <v>2153.48</v>
      </c>
      <c r="N256" s="604"/>
      <c r="O256" s="635"/>
      <c r="P256" s="636"/>
      <c r="Q256" s="605"/>
    </row>
    <row r="257" spans="1:17">
      <c r="A257" s="934"/>
      <c r="B257" s="506"/>
      <c r="C257" s="48" t="s">
        <v>131</v>
      </c>
      <c r="D257" s="49">
        <v>16</v>
      </c>
      <c r="E257" s="41">
        <v>6.3258999999999999</v>
      </c>
      <c r="F257" s="41">
        <f>+E257</f>
        <v>6.3258999999999999</v>
      </c>
      <c r="G257" s="50">
        <f>ROUND(D257*(E257),2)</f>
        <v>101.21</v>
      </c>
      <c r="H257" s="296"/>
      <c r="I257" s="298"/>
      <c r="J257" s="298"/>
      <c r="K257" s="637"/>
      <c r="L257" s="606"/>
      <c r="M257" s="935"/>
      <c r="N257" s="607"/>
      <c r="O257" s="608"/>
      <c r="P257" s="609"/>
      <c r="Q257" s="610"/>
    </row>
    <row r="258" spans="1:17" ht="15.75" thickBot="1">
      <c r="A258" s="960"/>
      <c r="B258" s="506"/>
      <c r="C258" s="54" t="s">
        <v>29</v>
      </c>
      <c r="D258" s="296">
        <v>350</v>
      </c>
      <c r="E258" s="56">
        <v>6.3258999999999999</v>
      </c>
      <c r="F258" s="41">
        <f t="shared" ref="F258:F259" si="45">+E258</f>
        <v>6.3258999999999999</v>
      </c>
      <c r="G258" s="50">
        <f t="shared" ref="G258" si="46">ROUND(D258*(E258),2)</f>
        <v>2214.0700000000002</v>
      </c>
      <c r="H258" s="296"/>
      <c r="I258" s="298"/>
      <c r="J258" s="298"/>
      <c r="K258" s="637"/>
      <c r="L258" s="614"/>
      <c r="M258" s="935"/>
      <c r="N258" s="615"/>
      <c r="O258" s="615"/>
      <c r="P258" s="615"/>
      <c r="Q258" s="616"/>
    </row>
    <row r="259" spans="1:17" collapsed="1">
      <c r="A259" s="376">
        <v>310</v>
      </c>
      <c r="B259" s="602" t="s">
        <v>195</v>
      </c>
      <c r="C259" s="439" t="s">
        <v>129</v>
      </c>
      <c r="D259" s="184">
        <f>мар18!D260+мар18!D261</f>
        <v>215</v>
      </c>
      <c r="E259" s="41">
        <f>6.3259-6.6987</f>
        <v>-0.3727999999999998</v>
      </c>
      <c r="F259" s="23">
        <f t="shared" si="45"/>
        <v>-0.3727999999999998</v>
      </c>
      <c r="G259" s="185">
        <f>ROUND(D259*(E259),2)</f>
        <v>-80.150000000000006</v>
      </c>
      <c r="H259" s="620"/>
      <c r="I259" s="620"/>
      <c r="J259" s="620"/>
      <c r="K259" s="634"/>
      <c r="L259" s="603">
        <f>SUM(G259:G261)</f>
        <v>1431.74</v>
      </c>
      <c r="M259" s="187">
        <v>1431.74</v>
      </c>
      <c r="N259" s="615"/>
      <c r="O259" s="615"/>
      <c r="P259" s="615"/>
      <c r="Q259" s="615"/>
    </row>
    <row r="260" spans="1:17">
      <c r="A260" s="934"/>
      <c r="B260" s="506"/>
      <c r="C260" s="48" t="s">
        <v>131</v>
      </c>
      <c r="D260" s="49">
        <v>10</v>
      </c>
      <c r="E260" s="41">
        <v>6.3258999999999999</v>
      </c>
      <c r="F260" s="41">
        <f>+E260</f>
        <v>6.3258999999999999</v>
      </c>
      <c r="G260" s="50">
        <f>ROUND(D260*(E260),2)</f>
        <v>63.26</v>
      </c>
      <c r="H260" s="296"/>
      <c r="I260" s="298"/>
      <c r="J260" s="298"/>
      <c r="K260" s="637"/>
      <c r="L260" s="606"/>
      <c r="M260" s="935"/>
      <c r="N260" s="615"/>
      <c r="O260" s="615"/>
      <c r="P260" s="615"/>
      <c r="Q260" s="615"/>
    </row>
    <row r="261" spans="1:17" ht="15.75" thickBot="1">
      <c r="A261" s="934"/>
      <c r="B261" s="506"/>
      <c r="C261" s="54" t="s">
        <v>29</v>
      </c>
      <c r="D261" s="296">
        <v>229</v>
      </c>
      <c r="E261" s="56">
        <v>6.3258999999999999</v>
      </c>
      <c r="F261" s="41">
        <f t="shared" ref="F261:F264" si="47">+E261</f>
        <v>6.3258999999999999</v>
      </c>
      <c r="G261" s="50">
        <f t="shared" ref="G261" si="48">ROUND(D261*(E261),2)</f>
        <v>1448.63</v>
      </c>
      <c r="H261" s="296"/>
      <c r="I261" s="298"/>
      <c r="J261" s="298"/>
      <c r="K261" s="637"/>
      <c r="L261" s="614"/>
      <c r="M261" s="935"/>
      <c r="N261" s="615"/>
      <c r="O261" s="615"/>
      <c r="P261" s="615"/>
      <c r="Q261" s="615"/>
    </row>
    <row r="262" spans="1:17">
      <c r="A262" s="376">
        <v>311</v>
      </c>
      <c r="B262" s="602" t="s">
        <v>204</v>
      </c>
      <c r="C262" s="439" t="s">
        <v>129</v>
      </c>
      <c r="D262" s="184">
        <f>мар18!D264+мар18!D263</f>
        <v>11</v>
      </c>
      <c r="E262" s="41">
        <f>6.3259-6.6987</f>
        <v>-0.3727999999999998</v>
      </c>
      <c r="F262" s="23">
        <f t="shared" si="47"/>
        <v>-0.3727999999999998</v>
      </c>
      <c r="G262" s="185">
        <f>ROUND(D262*(E262),2)</f>
        <v>-4.0999999999999996</v>
      </c>
      <c r="H262" s="620"/>
      <c r="I262" s="620"/>
      <c r="J262" s="620"/>
      <c r="K262" s="634"/>
      <c r="L262" s="603">
        <f>SUM(G262:G265)</f>
        <v>-4.0999999999999996</v>
      </c>
      <c r="M262" s="187">
        <v>0</v>
      </c>
      <c r="N262" s="604"/>
      <c r="O262" s="635" t="s">
        <v>232</v>
      </c>
      <c r="P262" s="636"/>
      <c r="Q262" s="605"/>
    </row>
    <row r="263" spans="1:17">
      <c r="A263" s="389"/>
      <c r="B263" s="939" t="s">
        <v>233</v>
      </c>
      <c r="C263" s="48" t="s">
        <v>131</v>
      </c>
      <c r="D263" s="49">
        <v>0</v>
      </c>
      <c r="E263" s="41">
        <v>6.3258999999999999</v>
      </c>
      <c r="F263" s="41">
        <f t="shared" si="47"/>
        <v>6.3258999999999999</v>
      </c>
      <c r="G263" s="50">
        <f>ROUND(D263*(E263),2)</f>
        <v>0</v>
      </c>
      <c r="H263" s="296"/>
      <c r="I263" s="298"/>
      <c r="J263" s="298"/>
      <c r="K263" s="637"/>
      <c r="L263" s="606"/>
      <c r="M263" s="935"/>
      <c r="N263" s="607"/>
      <c r="O263" s="608"/>
      <c r="P263" s="609"/>
      <c r="Q263" s="610"/>
    </row>
    <row r="264" spans="1:17">
      <c r="A264" s="936"/>
      <c r="B264" s="506"/>
      <c r="C264" s="99" t="s">
        <v>29</v>
      </c>
      <c r="D264" s="296">
        <v>0</v>
      </c>
      <c r="E264" s="101">
        <v>6.3258999999999999</v>
      </c>
      <c r="F264" s="41">
        <f t="shared" si="47"/>
        <v>6.3258999999999999</v>
      </c>
      <c r="G264" s="50">
        <f>ROUND(D264*(E264),2)</f>
        <v>0</v>
      </c>
      <c r="H264" s="296"/>
      <c r="I264" s="298"/>
      <c r="J264" s="298"/>
      <c r="K264" s="940"/>
      <c r="L264" s="614"/>
      <c r="M264" s="935"/>
      <c r="N264" s="615"/>
      <c r="O264" s="615"/>
      <c r="P264" s="615"/>
      <c r="Q264" s="616"/>
    </row>
    <row r="265" spans="1:17" ht="15.75" thickBot="1">
      <c r="A265" s="937"/>
      <c r="B265" s="278"/>
      <c r="C265" s="784"/>
      <c r="D265" s="941"/>
      <c r="E265" s="281"/>
      <c r="F265" s="57"/>
      <c r="G265" s="58">
        <f>ROUND(D265*(E265),2)</f>
        <v>0</v>
      </c>
      <c r="H265" s="613"/>
      <c r="I265" s="57"/>
      <c r="J265" s="57"/>
      <c r="K265" s="666"/>
      <c r="L265" s="784"/>
      <c r="M265" s="938"/>
      <c r="N265" s="626"/>
      <c r="O265" s="626"/>
      <c r="P265" s="626"/>
      <c r="Q265" s="626"/>
    </row>
    <row r="266" spans="1:17">
      <c r="A266" s="376">
        <v>312</v>
      </c>
      <c r="B266" s="602" t="s">
        <v>112</v>
      </c>
      <c r="C266" s="439" t="s">
        <v>129</v>
      </c>
      <c r="D266" s="184">
        <f>мар18!D267+мар18!D268</f>
        <v>770</v>
      </c>
      <c r="E266" s="23">
        <f>6.3259-6.6987</f>
        <v>-0.3727999999999998</v>
      </c>
      <c r="F266" s="23">
        <f>+E266</f>
        <v>-0.3727999999999998</v>
      </c>
      <c r="G266" s="185">
        <f>ROUND(D266*(E266),2)+0.01</f>
        <v>-287.05</v>
      </c>
      <c r="H266" s="620"/>
      <c r="I266" s="620"/>
      <c r="J266" s="620"/>
      <c r="K266" s="634"/>
      <c r="L266" s="603">
        <f>SUM(G266:G269)</f>
        <v>3578.07</v>
      </c>
      <c r="M266" s="187">
        <v>3578.07</v>
      </c>
      <c r="N266" s="604"/>
      <c r="O266" s="635"/>
      <c r="P266" s="636"/>
      <c r="Q266" s="605"/>
    </row>
    <row r="267" spans="1:17">
      <c r="A267" s="934"/>
      <c r="B267" s="506"/>
      <c r="C267" s="48" t="s">
        <v>131</v>
      </c>
      <c r="D267" s="49">
        <v>26</v>
      </c>
      <c r="E267" s="41">
        <v>6.3258999999999999</v>
      </c>
      <c r="F267" s="41">
        <f>+E267</f>
        <v>6.3258999999999999</v>
      </c>
      <c r="G267" s="50">
        <f t="shared" ref="G267:G268" si="49">ROUND(D267*(E267),2)</f>
        <v>164.47</v>
      </c>
      <c r="H267" s="296"/>
      <c r="I267" s="298"/>
      <c r="J267" s="298"/>
      <c r="K267" s="637"/>
      <c r="L267" s="606"/>
      <c r="M267" s="935"/>
      <c r="N267" s="607"/>
      <c r="O267" s="608"/>
      <c r="P267" s="609"/>
      <c r="Q267" s="610"/>
    </row>
    <row r="268" spans="1:17">
      <c r="A268" s="934"/>
      <c r="B268" s="506"/>
      <c r="C268" s="99" t="s">
        <v>29</v>
      </c>
      <c r="D268" s="296">
        <v>585</v>
      </c>
      <c r="E268" s="101">
        <v>6.3258999999999999</v>
      </c>
      <c r="F268" s="41">
        <f>+E268</f>
        <v>6.3258999999999999</v>
      </c>
      <c r="G268" s="50">
        <f t="shared" si="49"/>
        <v>3700.65</v>
      </c>
      <c r="H268" s="296"/>
      <c r="I268" s="298"/>
      <c r="J268" s="298"/>
      <c r="K268" s="637"/>
      <c r="L268" s="614"/>
      <c r="M268" s="935"/>
      <c r="N268" s="615"/>
      <c r="O268" s="615"/>
      <c r="P268" s="615"/>
      <c r="Q268" s="616"/>
    </row>
    <row r="269" spans="1:17" ht="15.75" thickBot="1">
      <c r="A269" s="942"/>
      <c r="B269" s="278"/>
      <c r="C269" s="54"/>
      <c r="D269" s="941"/>
      <c r="E269" s="281"/>
      <c r="F269" s="57"/>
      <c r="G269" s="58"/>
      <c r="H269" s="613"/>
      <c r="I269" s="57"/>
      <c r="J269" s="57"/>
      <c r="K269" s="943"/>
      <c r="L269" s="784"/>
      <c r="M269" s="938"/>
      <c r="N269" s="615"/>
      <c r="O269" s="615"/>
      <c r="P269" s="615"/>
      <c r="Q269" s="615"/>
    </row>
    <row r="270" spans="1:17" collapsed="1">
      <c r="A270" s="376">
        <v>314</v>
      </c>
      <c r="B270" s="602" t="s">
        <v>210</v>
      </c>
      <c r="C270" s="439" t="s">
        <v>129</v>
      </c>
      <c r="D270" s="184">
        <f>мар18!D271</f>
        <v>0</v>
      </c>
      <c r="E270" s="41">
        <f>6.3259-6.6987</f>
        <v>-0.3727999999999998</v>
      </c>
      <c r="F270" s="23">
        <f t="shared" ref="F270" si="50">+E270</f>
        <v>-0.3727999999999998</v>
      </c>
      <c r="G270" s="185">
        <f>ROUND(D270*(E270),2)</f>
        <v>0</v>
      </c>
      <c r="H270" s="620"/>
      <c r="I270" s="620"/>
      <c r="J270" s="620"/>
      <c r="K270" s="634"/>
      <c r="L270" s="603">
        <f>SUM(G270:G272)</f>
        <v>259.36</v>
      </c>
      <c r="M270" s="187">
        <f>L270+0.76</f>
        <v>260.12</v>
      </c>
      <c r="N270" s="615"/>
      <c r="O270" s="967" t="s">
        <v>234</v>
      </c>
      <c r="P270" s="615"/>
      <c r="Q270" s="615"/>
    </row>
    <row r="271" spans="1:17">
      <c r="A271" s="934"/>
      <c r="B271" s="516"/>
      <c r="C271" s="48" t="s">
        <v>131</v>
      </c>
      <c r="D271" s="49">
        <v>2</v>
      </c>
      <c r="E271" s="41">
        <v>6.3258999999999999</v>
      </c>
      <c r="F271" s="41">
        <f>+E271</f>
        <v>6.3258999999999999</v>
      </c>
      <c r="G271" s="50">
        <f>ROUND(D271*(E271),2)</f>
        <v>12.65</v>
      </c>
      <c r="H271" s="296"/>
      <c r="I271" s="298"/>
      <c r="J271" s="298"/>
      <c r="K271" s="637"/>
      <c r="L271" s="606"/>
      <c r="M271" s="935"/>
      <c r="N271" s="615"/>
      <c r="O271" s="615"/>
      <c r="P271" s="615"/>
      <c r="Q271" s="615"/>
    </row>
    <row r="272" spans="1:17" ht="15.75" thickBot="1">
      <c r="A272" s="942"/>
      <c r="B272" s="982"/>
      <c r="C272" s="54" t="s">
        <v>29</v>
      </c>
      <c r="D272" s="613">
        <v>39</v>
      </c>
      <c r="E272" s="56">
        <v>6.3258999999999999</v>
      </c>
      <c r="F272" s="281">
        <f t="shared" ref="F272" si="51">+E272</f>
        <v>6.3258999999999999</v>
      </c>
      <c r="G272" s="58">
        <f t="shared" ref="G272" si="52">ROUND(D272*(E272),2)</f>
        <v>246.71</v>
      </c>
      <c r="H272" s="613"/>
      <c r="I272" s="57"/>
      <c r="J272" s="57"/>
      <c r="K272" s="943"/>
      <c r="L272" s="783"/>
      <c r="M272" s="938"/>
      <c r="N272" s="615"/>
      <c r="O272" s="615"/>
      <c r="P272" s="615"/>
      <c r="Q272" s="615"/>
    </row>
    <row r="273" spans="1:21" collapsed="1">
      <c r="A273" s="353" t="s">
        <v>203</v>
      </c>
      <c r="B273" s="494" t="s">
        <v>104</v>
      </c>
      <c r="C273" s="71">
        <f>+[1]дек!U66</f>
        <v>0</v>
      </c>
      <c r="D273" s="495">
        <v>54</v>
      </c>
      <c r="E273" s="21">
        <v>36.214199999999998</v>
      </c>
      <c r="F273" s="21">
        <v>42.4328</v>
      </c>
      <c r="G273" s="185">
        <f>ROUND(D273*(E273+F273),2)</f>
        <v>4246.9399999999996</v>
      </c>
      <c r="H273" s="496"/>
      <c r="I273" s="73"/>
      <c r="J273" s="73"/>
      <c r="K273" s="497"/>
      <c r="L273" s="439">
        <f>SUM(G273:G280)+SUM(J273:J279)</f>
        <v>19783.099999999999</v>
      </c>
      <c r="M273" s="26">
        <v>19783.099999999999</v>
      </c>
      <c r="N273" s="499"/>
      <c r="O273" s="500"/>
      <c r="P273" s="501" t="s">
        <v>87</v>
      </c>
      <c r="Q273" s="185">
        <f t="shared" ref="Q273" si="53">C273+G273+J273-M273-N273-O273</f>
        <v>-15536.16</v>
      </c>
      <c r="R273" s="502" t="s">
        <v>88</v>
      </c>
      <c r="S273" s="503"/>
      <c r="T273" s="504"/>
    </row>
    <row r="274" spans="1:21" ht="15.75" thickBot="1">
      <c r="A274" s="934">
        <v>417</v>
      </c>
      <c r="B274" s="506"/>
      <c r="C274" s="599" t="s">
        <v>96</v>
      </c>
      <c r="D274" s="234"/>
      <c r="E274" s="38"/>
      <c r="F274" s="38"/>
      <c r="G274" s="235">
        <f>ROUND(D274*(E274+F274),2)</f>
        <v>0</v>
      </c>
      <c r="H274" s="448"/>
      <c r="I274" s="509"/>
      <c r="J274" s="409"/>
      <c r="K274" s="510"/>
      <c r="L274" s="48"/>
      <c r="M274" s="512"/>
      <c r="N274" s="513"/>
      <c r="O274" s="514"/>
      <c r="P274" s="515"/>
      <c r="Q274" s="262"/>
      <c r="R274" s="502"/>
      <c r="S274" s="503"/>
      <c r="T274" s="504"/>
    </row>
    <row r="275" spans="1:21">
      <c r="A275" s="934"/>
      <c r="B275" s="516" t="s">
        <v>89</v>
      </c>
      <c r="C275" s="512" t="s">
        <v>90</v>
      </c>
      <c r="D275" s="508">
        <v>0</v>
      </c>
      <c r="E275" s="101">
        <v>341.87</v>
      </c>
      <c r="F275" s="21">
        <v>42.4328</v>
      </c>
      <c r="G275" s="50">
        <f>ROUND(D275*(E275+F275),2)</f>
        <v>0</v>
      </c>
      <c r="H275" s="270"/>
      <c r="I275" s="41"/>
      <c r="J275" s="409"/>
      <c r="K275" s="510"/>
      <c r="L275" s="600"/>
      <c r="M275" s="99"/>
      <c r="N275" s="518"/>
      <c r="O275" s="519"/>
      <c r="P275" s="515" t="s">
        <v>87</v>
      </c>
      <c r="Q275" s="271">
        <f>+G275+J275-M275-N275-O275</f>
        <v>0</v>
      </c>
      <c r="R275" s="502" t="s">
        <v>88</v>
      </c>
      <c r="S275" s="503"/>
      <c r="T275" s="504"/>
    </row>
    <row r="276" spans="1:21">
      <c r="A276" s="934"/>
      <c r="B276" s="541"/>
      <c r="C276" s="84" t="s">
        <v>97</v>
      </c>
      <c r="D276" s="508">
        <f>мар18!D275</f>
        <v>3</v>
      </c>
      <c r="E276" s="41">
        <f>341.87-326.58</f>
        <v>15.29000000000002</v>
      </c>
      <c r="F276" s="38"/>
      <c r="G276" s="50">
        <f>ROUND(D276*(E276+F276),2)</f>
        <v>45.87</v>
      </c>
      <c r="H276" s="432"/>
      <c r="I276" s="362"/>
      <c r="J276" s="41"/>
      <c r="K276" s="510"/>
      <c r="L276" s="600"/>
      <c r="M276" s="520"/>
      <c r="N276" s="521"/>
      <c r="O276" s="522"/>
      <c r="P276" s="523"/>
      <c r="Q276" s="362"/>
      <c r="R276" s="502"/>
      <c r="S276" s="503"/>
      <c r="T276" s="504"/>
    </row>
    <row r="277" spans="1:21">
      <c r="A277" s="934"/>
      <c r="B277" s="541"/>
      <c r="C277" s="84" t="s">
        <v>97</v>
      </c>
      <c r="D277" s="508"/>
      <c r="E277" s="41"/>
      <c r="F277" s="41"/>
      <c r="G277" s="50">
        <f>D277*(E277+F277)</f>
        <v>0</v>
      </c>
      <c r="H277" s="432"/>
      <c r="I277" s="362"/>
      <c r="J277" s="41"/>
      <c r="K277" s="510"/>
      <c r="L277" s="600"/>
      <c r="M277" s="520"/>
      <c r="N277" s="521"/>
      <c r="O277" s="522"/>
      <c r="P277" s="523"/>
      <c r="Q277" s="362"/>
      <c r="R277" s="502"/>
      <c r="S277" s="503"/>
      <c r="T277" s="504"/>
    </row>
    <row r="278" spans="1:21">
      <c r="A278" s="934"/>
      <c r="B278" s="506"/>
      <c r="C278" s="48" t="s">
        <v>129</v>
      </c>
      <c r="D278" s="37">
        <f>мар18!D279+мар18!D280</f>
        <v>3212</v>
      </c>
      <c r="E278" s="41">
        <f>6.3259-6.6987</f>
        <v>-0.3727999999999998</v>
      </c>
      <c r="F278" s="297">
        <f t="shared" ref="F278:F280" si="54">+E278</f>
        <v>-0.3727999999999998</v>
      </c>
      <c r="G278" s="39">
        <f>ROUND(D278*(E278),2)</f>
        <v>-1197.43</v>
      </c>
      <c r="H278" s="432"/>
      <c r="I278" s="362"/>
      <c r="J278" s="41"/>
      <c r="K278" s="510"/>
      <c r="L278" s="600"/>
      <c r="M278" s="520"/>
      <c r="N278" s="521"/>
      <c r="O278" s="522"/>
      <c r="P278" s="523"/>
      <c r="Q278" s="362"/>
      <c r="R278" s="502"/>
      <c r="S278" s="503"/>
      <c r="T278" s="504"/>
    </row>
    <row r="279" spans="1:21">
      <c r="A279" s="934"/>
      <c r="B279" s="506"/>
      <c r="C279" s="48" t="s">
        <v>131</v>
      </c>
      <c r="D279" s="37">
        <v>112</v>
      </c>
      <c r="E279" s="41">
        <v>6.3258999999999999</v>
      </c>
      <c r="F279" s="298">
        <f t="shared" si="54"/>
        <v>6.3258999999999999</v>
      </c>
      <c r="G279" s="39">
        <f>ROUND(D279*(E279),2)</f>
        <v>708.5</v>
      </c>
      <c r="H279" s="432"/>
      <c r="I279" s="362"/>
      <c r="J279" s="41"/>
      <c r="K279" s="510"/>
      <c r="L279" s="600"/>
      <c r="M279" s="520"/>
      <c r="N279" s="521"/>
      <c r="O279" s="522"/>
      <c r="P279" s="523"/>
      <c r="Q279" s="362"/>
      <c r="R279" s="502"/>
      <c r="S279" s="503"/>
      <c r="T279" s="504"/>
      <c r="U279" s="33"/>
    </row>
    <row r="280" spans="1:21" ht="15.75" thickBot="1">
      <c r="A280" s="934"/>
      <c r="B280" s="526"/>
      <c r="C280" s="99" t="s">
        <v>29</v>
      </c>
      <c r="D280" s="55">
        <v>2526</v>
      </c>
      <c r="E280" s="56">
        <v>6.3258999999999999</v>
      </c>
      <c r="F280" s="57">
        <f t="shared" si="54"/>
        <v>6.3258999999999999</v>
      </c>
      <c r="G280" s="414">
        <f>ROUND(D280*(E280),2)</f>
        <v>15979.22</v>
      </c>
      <c r="H280" s="248"/>
      <c r="I280" s="203"/>
      <c r="J280" s="60"/>
      <c r="K280" s="61"/>
      <c r="L280" s="204"/>
      <c r="M280" s="54"/>
      <c r="N280" s="527"/>
      <c r="O280" s="528"/>
      <c r="P280" s="529" t="s">
        <v>87</v>
      </c>
      <c r="Q280" s="362">
        <f>+G280+J280-M280-N280-O280</f>
        <v>15979.22</v>
      </c>
      <c r="R280" s="502" t="s">
        <v>88</v>
      </c>
      <c r="S280" s="598">
        <f>SUM(N273:N280)+O273:O280</f>
        <v>0</v>
      </c>
      <c r="T280" s="598">
        <f>SUM(Q273:Q280)</f>
        <v>443.05999999999949</v>
      </c>
    </row>
    <row r="281" spans="1:21">
      <c r="A281" s="376">
        <v>407</v>
      </c>
      <c r="B281" s="494" t="s">
        <v>108</v>
      </c>
      <c r="C281" s="71">
        <f>+[1]дек!U87</f>
        <v>0</v>
      </c>
      <c r="D281" s="495">
        <v>4</v>
      </c>
      <c r="E281" s="21">
        <v>36.214199999999998</v>
      </c>
      <c r="F281" s="21">
        <v>42.4328</v>
      </c>
      <c r="G281" s="185">
        <f>ROUND(D281*(E281+F281),2)</f>
        <v>314.58999999999997</v>
      </c>
      <c r="H281" s="496"/>
      <c r="I281" s="73"/>
      <c r="J281" s="73"/>
      <c r="K281" s="497"/>
      <c r="L281" s="498">
        <f>SUM(G281:G287)+SUM(J281:J286)</f>
        <v>2849.21</v>
      </c>
      <c r="M281" s="26">
        <v>2849.21</v>
      </c>
      <c r="N281" s="499"/>
      <c r="O281" s="500"/>
      <c r="P281" s="501" t="s">
        <v>87</v>
      </c>
      <c r="Q281" s="304">
        <f t="shared" ref="Q281:Q283" si="55">C281+G281+J281-M281-N281-O281</f>
        <v>-2534.62</v>
      </c>
    </row>
    <row r="282" spans="1:21">
      <c r="A282" s="389"/>
      <c r="B282" s="506"/>
      <c r="C282" s="542" t="s">
        <v>96</v>
      </c>
      <c r="D282" s="234"/>
      <c r="E282" s="38"/>
      <c r="F282" s="38"/>
      <c r="G282" s="235">
        <f>ROUND(D282*(E282+F282),2)</f>
        <v>0</v>
      </c>
      <c r="H282" s="448"/>
      <c r="I282" s="509"/>
      <c r="J282" s="409"/>
      <c r="K282" s="510"/>
      <c r="L282" s="632"/>
      <c r="M282" s="512"/>
      <c r="N282" s="513"/>
      <c r="O282" s="514"/>
      <c r="P282" s="515"/>
      <c r="Q282" s="262"/>
    </row>
    <row r="283" spans="1:21">
      <c r="A283" s="389"/>
      <c r="B283" s="516" t="s">
        <v>109</v>
      </c>
      <c r="C283" s="633"/>
      <c r="D283" s="508">
        <v>0</v>
      </c>
      <c r="E283" s="101">
        <v>341.87</v>
      </c>
      <c r="F283" s="38">
        <v>42.4328</v>
      </c>
      <c r="G283" s="50">
        <f>D283*(E283+F283)</f>
        <v>0</v>
      </c>
      <c r="H283" s="270"/>
      <c r="I283" s="41"/>
      <c r="J283" s="409"/>
      <c r="K283" s="510"/>
      <c r="L283" s="597"/>
      <c r="M283" s="99"/>
      <c r="N283" s="518"/>
      <c r="O283" s="519"/>
      <c r="P283" s="515" t="s">
        <v>87</v>
      </c>
      <c r="Q283" s="271">
        <f t="shared" si="55"/>
        <v>0</v>
      </c>
    </row>
    <row r="284" spans="1:21">
      <c r="A284" s="389"/>
      <c r="B284" s="541"/>
      <c r="C284" s="84" t="s">
        <v>97</v>
      </c>
      <c r="D284" s="508">
        <f>мар18!D283</f>
        <v>0</v>
      </c>
      <c r="E284" s="41">
        <f>341.87-326.58</f>
        <v>15.29000000000002</v>
      </c>
      <c r="F284" s="41"/>
      <c r="G284" s="50">
        <f>D284*(E284+F284)</f>
        <v>0</v>
      </c>
      <c r="H284" s="432"/>
      <c r="I284" s="362"/>
      <c r="J284" s="207"/>
      <c r="K284" s="510"/>
      <c r="L284" s="597"/>
      <c r="M284" s="520"/>
      <c r="N284" s="521"/>
      <c r="O284" s="522"/>
      <c r="P284" s="523"/>
      <c r="Q284" s="362"/>
    </row>
    <row r="285" spans="1:21">
      <c r="A285" s="389"/>
      <c r="B285" s="506"/>
      <c r="C285" s="48" t="s">
        <v>129</v>
      </c>
      <c r="D285" s="37">
        <f>мар18!D286+мар18!D287</f>
        <v>294</v>
      </c>
      <c r="E285" s="41">
        <f>6.3259-6.6987</f>
        <v>-0.3727999999999998</v>
      </c>
      <c r="F285" s="41">
        <f>+E285</f>
        <v>-0.3727999999999998</v>
      </c>
      <c r="G285" s="39">
        <f>ROUND(D285*(E285),2)-0.01</f>
        <v>-109.61</v>
      </c>
      <c r="H285" s="432"/>
      <c r="I285" s="362"/>
      <c r="J285" s="207"/>
      <c r="K285" s="510"/>
      <c r="L285" s="597"/>
      <c r="M285" s="520"/>
      <c r="N285" s="521"/>
      <c r="O285" s="522"/>
      <c r="P285" s="523"/>
      <c r="Q285" s="362"/>
    </row>
    <row r="286" spans="1:21">
      <c r="A286" s="389"/>
      <c r="B286" s="506"/>
      <c r="C286" s="48" t="s">
        <v>131</v>
      </c>
      <c r="D286" s="37">
        <v>18</v>
      </c>
      <c r="E286" s="41">
        <v>6.3258999999999999</v>
      </c>
      <c r="F286" s="41">
        <f>+E286</f>
        <v>6.3258999999999999</v>
      </c>
      <c r="G286" s="39">
        <f t="shared" ref="G286:G287" si="56">ROUND(D286*(E286),2)</f>
        <v>113.87</v>
      </c>
      <c r="H286" s="432"/>
      <c r="I286" s="362"/>
      <c r="J286" s="207"/>
      <c r="K286" s="510"/>
      <c r="L286" s="597"/>
      <c r="M286" s="520"/>
      <c r="N286" s="521"/>
      <c r="O286" s="522"/>
      <c r="P286" s="523"/>
      <c r="Q286" s="362"/>
    </row>
    <row r="287" spans="1:21" ht="15.75" thickBot="1">
      <c r="A287" s="411"/>
      <c r="B287" s="526"/>
      <c r="C287" s="54" t="s">
        <v>29</v>
      </c>
      <c r="D287" s="55">
        <v>400</v>
      </c>
      <c r="E287" s="56">
        <v>6.3258999999999999</v>
      </c>
      <c r="F287" s="281">
        <f>+E287</f>
        <v>6.3258999999999999</v>
      </c>
      <c r="G287" s="414">
        <f t="shared" si="56"/>
        <v>2530.36</v>
      </c>
      <c r="H287" s="248"/>
      <c r="I287" s="203"/>
      <c r="J287" s="60"/>
      <c r="K287" s="61"/>
      <c r="L287" s="249"/>
      <c r="M287" s="54"/>
      <c r="N287" s="527"/>
      <c r="O287" s="528"/>
      <c r="P287" s="529" t="s">
        <v>87</v>
      </c>
      <c r="Q287" s="282">
        <f>+G287+J287-M287-N287-O287</f>
        <v>2530.36</v>
      </c>
    </row>
    <row r="288" spans="1:21" collapsed="1">
      <c r="A288" s="376">
        <v>411</v>
      </c>
      <c r="B288" s="602" t="s">
        <v>127</v>
      </c>
      <c r="C288" s="439" t="s">
        <v>129</v>
      </c>
      <c r="D288" s="184">
        <f>мар18!D289+мар18!D290</f>
        <v>481.4</v>
      </c>
      <c r="E288" s="23">
        <f>6.3259-6.6987</f>
        <v>-0.3727999999999998</v>
      </c>
      <c r="F288" s="23">
        <f t="shared" ref="F288" si="57">+E288</f>
        <v>-0.3727999999999998</v>
      </c>
      <c r="G288" s="185">
        <f>ROUND(D288*(E288),2)</f>
        <v>-179.47</v>
      </c>
      <c r="H288" s="669"/>
      <c r="I288" s="620"/>
      <c r="J288" s="620"/>
      <c r="K288" s="634"/>
      <c r="L288" s="603">
        <f>SUM(G288:G291)</f>
        <v>2648.2099999999996</v>
      </c>
      <c r="M288" s="187">
        <v>2648.21</v>
      </c>
      <c r="N288" s="604"/>
      <c r="O288" s="635"/>
      <c r="P288" s="636"/>
      <c r="Q288" s="605"/>
    </row>
    <row r="289" spans="1:21">
      <c r="A289" s="934"/>
      <c r="B289" s="506"/>
      <c r="C289" s="48" t="s">
        <v>131</v>
      </c>
      <c r="D289" s="49">
        <v>19</v>
      </c>
      <c r="E289" s="41">
        <v>6.3258999999999999</v>
      </c>
      <c r="F289" s="41">
        <f>+E289</f>
        <v>6.3258999999999999</v>
      </c>
      <c r="G289" s="50">
        <f>ROUND(D289*(E289),2)</f>
        <v>120.19</v>
      </c>
      <c r="H289" s="296"/>
      <c r="I289" s="298"/>
      <c r="J289" s="298"/>
      <c r="K289" s="637"/>
      <c r="L289" s="606"/>
      <c r="M289" s="935"/>
      <c r="N289" s="607"/>
      <c r="O289" s="608"/>
      <c r="P289" s="609"/>
      <c r="Q289" s="610"/>
    </row>
    <row r="290" spans="1:21">
      <c r="A290" s="934"/>
      <c r="B290" s="506"/>
      <c r="C290" s="99" t="s">
        <v>29</v>
      </c>
      <c r="D290" s="296">
        <v>428</v>
      </c>
      <c r="E290" s="101">
        <v>6.3258999999999999</v>
      </c>
      <c r="F290" s="41">
        <f t="shared" ref="F290" si="58">+E290</f>
        <v>6.3258999999999999</v>
      </c>
      <c r="G290" s="50">
        <f t="shared" ref="G290" si="59">ROUND(D290*(E290),2)</f>
        <v>2707.49</v>
      </c>
      <c r="H290" s="296"/>
      <c r="I290" s="298"/>
      <c r="J290" s="298"/>
      <c r="K290" s="637"/>
      <c r="L290" s="606"/>
      <c r="M290" s="935"/>
      <c r="N290" s="615"/>
      <c r="O290" s="615"/>
      <c r="P290" s="615"/>
      <c r="Q290" s="616"/>
    </row>
    <row r="291" spans="1:21" ht="15.75" thickBot="1">
      <c r="A291" s="942"/>
      <c r="B291" s="278"/>
      <c r="C291" s="784"/>
      <c r="D291" s="941"/>
      <c r="E291" s="281"/>
      <c r="F291" s="57"/>
      <c r="G291" s="58"/>
      <c r="H291" s="613"/>
      <c r="I291" s="57"/>
      <c r="J291" s="57"/>
      <c r="K291" s="637"/>
      <c r="L291" s="606"/>
      <c r="M291" s="935"/>
      <c r="N291" s="615"/>
      <c r="O291" s="615"/>
      <c r="P291" s="615"/>
      <c r="Q291" s="615"/>
    </row>
    <row r="292" spans="1:21">
      <c r="A292" s="376">
        <v>501</v>
      </c>
      <c r="B292" s="494" t="s">
        <v>202</v>
      </c>
      <c r="C292" s="71"/>
      <c r="D292" s="495">
        <v>25</v>
      </c>
      <c r="E292" s="21">
        <v>36.214199999999998</v>
      </c>
      <c r="F292" s="21">
        <v>42.4328</v>
      </c>
      <c r="G292" s="185">
        <f>ROUND(D292*(E292+F292),2)</f>
        <v>1966.18</v>
      </c>
      <c r="H292" s="496"/>
      <c r="I292" s="73"/>
      <c r="J292" s="73"/>
      <c r="K292" s="497"/>
      <c r="L292" s="498">
        <f>+SUM(G292:G299,C299)+SUM(J292:J299)</f>
        <v>41585.351199999997</v>
      </c>
      <c r="M292" s="26">
        <v>41585.35</v>
      </c>
      <c r="N292" s="499"/>
      <c r="O292" s="500"/>
      <c r="P292" s="501" t="s">
        <v>87</v>
      </c>
      <c r="Q292" s="304">
        <f t="shared" ref="Q292:Q309" si="60">C292+G292+J292-M292-N292-O292</f>
        <v>-39619.17</v>
      </c>
      <c r="R292" s="502" t="s">
        <v>88</v>
      </c>
      <c r="S292" s="503"/>
      <c r="T292" s="504"/>
      <c r="U292" s="33"/>
    </row>
    <row r="293" spans="1:21">
      <c r="A293" s="389"/>
      <c r="B293" s="506"/>
      <c r="C293" s="507"/>
      <c r="D293" s="508"/>
      <c r="E293" s="38"/>
      <c r="F293" s="38"/>
      <c r="G293" s="50">
        <f>ROUND(D293*(E293+F293),2)</f>
        <v>0</v>
      </c>
      <c r="H293" s="448"/>
      <c r="I293" s="509"/>
      <c r="J293" s="409"/>
      <c r="K293" s="510"/>
      <c r="L293" s="511"/>
      <c r="M293" s="512"/>
      <c r="N293" s="513"/>
      <c r="O293" s="514"/>
      <c r="P293" s="515"/>
      <c r="Q293" s="262"/>
      <c r="R293" s="502"/>
      <c r="S293" s="503"/>
      <c r="T293" s="504"/>
      <c r="U293" s="33"/>
    </row>
    <row r="294" spans="1:21">
      <c r="A294" s="389"/>
      <c r="B294" s="516" t="s">
        <v>89</v>
      </c>
      <c r="C294" s="512" t="s">
        <v>90</v>
      </c>
      <c r="D294" s="508">
        <v>4</v>
      </c>
      <c r="E294" s="101">
        <v>341.87</v>
      </c>
      <c r="F294" s="38">
        <v>42.4328</v>
      </c>
      <c r="G294" s="50">
        <f>D294*(E294+F294)</f>
        <v>1537.2112</v>
      </c>
      <c r="H294" s="270"/>
      <c r="I294" s="41"/>
      <c r="J294" s="409"/>
      <c r="K294" s="510"/>
      <c r="L294" s="517"/>
      <c r="M294" s="99"/>
      <c r="N294" s="518"/>
      <c r="O294" s="519"/>
      <c r="P294" s="515" t="s">
        <v>87</v>
      </c>
      <c r="Q294" s="271">
        <f>+G294+J294-M294-N294-O294</f>
        <v>1537.2112</v>
      </c>
      <c r="R294" s="502" t="s">
        <v>88</v>
      </c>
      <c r="S294" s="503"/>
      <c r="T294" s="504"/>
    </row>
    <row r="295" spans="1:21">
      <c r="A295" s="389"/>
      <c r="B295" s="506" t="s">
        <v>91</v>
      </c>
      <c r="C295" s="507"/>
      <c r="D295" s="508">
        <f>мар18!D294</f>
        <v>13</v>
      </c>
      <c r="E295" s="41">
        <f>341.87-326.58</f>
        <v>15.29000000000002</v>
      </c>
      <c r="F295" s="38"/>
      <c r="G295" s="50">
        <f>ROUND(D295*(E295+F295),2)</f>
        <v>198.77</v>
      </c>
      <c r="H295" s="432"/>
      <c r="I295" s="362"/>
      <c r="J295" s="409"/>
      <c r="K295" s="510"/>
      <c r="L295" s="517"/>
      <c r="M295" s="520"/>
      <c r="N295" s="521"/>
      <c r="O295" s="522"/>
      <c r="P295" s="523"/>
      <c r="Q295" s="362"/>
      <c r="R295" s="502"/>
      <c r="S295" s="503"/>
      <c r="T295" s="504"/>
    </row>
    <row r="296" spans="1:21">
      <c r="A296" s="389"/>
      <c r="B296" s="506" t="s">
        <v>91</v>
      </c>
      <c r="C296" s="507"/>
      <c r="D296" s="508"/>
      <c r="E296" s="38"/>
      <c r="F296" s="41"/>
      <c r="G296" s="50">
        <f>D296*(E296+F296)</f>
        <v>0</v>
      </c>
      <c r="H296" s="432"/>
      <c r="I296" s="362"/>
      <c r="J296" s="409"/>
      <c r="K296" s="510"/>
      <c r="L296" s="517"/>
      <c r="M296" s="520"/>
      <c r="N296" s="521"/>
      <c r="O296" s="522"/>
      <c r="P296" s="523"/>
      <c r="Q296" s="362"/>
      <c r="R296" s="502"/>
      <c r="S296" s="503"/>
      <c r="T296" s="504"/>
    </row>
    <row r="297" spans="1:21">
      <c r="A297" s="389"/>
      <c r="B297" s="506" t="s">
        <v>92</v>
      </c>
      <c r="C297" s="48" t="s">
        <v>129</v>
      </c>
      <c r="D297" s="508">
        <f>мар18!D298+мар18!D299</f>
        <v>8152</v>
      </c>
      <c r="E297" s="41">
        <f>6.3259-6.6987</f>
        <v>-0.3727999999999998</v>
      </c>
      <c r="F297" s="41">
        <f>+E297</f>
        <v>-0.3727999999999998</v>
      </c>
      <c r="G297" s="39">
        <f>ROUNDDOWN(D297*E297,2)</f>
        <v>-3039.06</v>
      </c>
      <c r="H297" s="432"/>
      <c r="I297" s="362"/>
      <c r="J297" s="41"/>
      <c r="K297" s="510"/>
      <c r="L297" s="517"/>
      <c r="M297" s="520"/>
      <c r="N297" s="521"/>
      <c r="O297" s="522"/>
      <c r="P297" s="523"/>
      <c r="Q297" s="362"/>
      <c r="R297" s="502"/>
      <c r="S297" s="503"/>
      <c r="T297" s="504"/>
    </row>
    <row r="298" spans="1:21">
      <c r="A298" s="389"/>
      <c r="B298" s="506"/>
      <c r="C298" s="48" t="s">
        <v>131</v>
      </c>
      <c r="D298" s="508">
        <v>274</v>
      </c>
      <c r="E298" s="41">
        <v>6.3258999999999999</v>
      </c>
      <c r="F298" s="41">
        <f>+E298</f>
        <v>6.3258999999999999</v>
      </c>
      <c r="G298" s="39">
        <f>ROUND(D298*E298,2)</f>
        <v>1733.3</v>
      </c>
      <c r="H298" s="432"/>
      <c r="I298" s="362"/>
      <c r="J298" s="207"/>
      <c r="K298" s="524"/>
      <c r="L298" s="517"/>
      <c r="M298" s="520"/>
      <c r="N298" s="521"/>
      <c r="O298" s="522"/>
      <c r="P298" s="523"/>
      <c r="Q298" s="362"/>
      <c r="R298" s="502"/>
      <c r="S298" s="503"/>
      <c r="T298" s="504"/>
    </row>
    <row r="299" spans="1:21" ht="15.75" thickBot="1">
      <c r="A299" s="411"/>
      <c r="B299" s="526"/>
      <c r="C299" s="99" t="s">
        <v>29</v>
      </c>
      <c r="D299" s="55">
        <v>6195</v>
      </c>
      <c r="E299" s="56">
        <v>6.3258999999999999</v>
      </c>
      <c r="F299" s="57">
        <f>+E299</f>
        <v>6.3258999999999999</v>
      </c>
      <c r="G299" s="58">
        <f>ROUND(D299*E299,2)</f>
        <v>39188.949999999997</v>
      </c>
      <c r="H299" s="248"/>
      <c r="I299" s="203"/>
      <c r="J299" s="60"/>
      <c r="K299" s="61"/>
      <c r="L299" s="249"/>
      <c r="M299" s="54"/>
      <c r="N299" s="527"/>
      <c r="O299" s="528"/>
      <c r="P299" s="529" t="s">
        <v>87</v>
      </c>
      <c r="Q299" s="282">
        <f>+G299+J299-M299-N299-O299</f>
        <v>39188.949999999997</v>
      </c>
      <c r="R299" s="530" t="s">
        <v>88</v>
      </c>
      <c r="S299" s="531">
        <f>SUM(N292:N299)+O292:O299</f>
        <v>0</v>
      </c>
      <c r="T299" s="531">
        <f>SUM(Q292:Q299)</f>
        <v>1106.9911999999968</v>
      </c>
      <c r="U299" s="33"/>
    </row>
    <row r="300" spans="1:21" ht="15.75" thickTop="1">
      <c r="A300" s="339">
        <v>502</v>
      </c>
      <c r="B300" s="532" t="s">
        <v>192</v>
      </c>
      <c r="C300" s="71">
        <f>+[1]дек!U51</f>
        <v>-6.0000000303261913E-4</v>
      </c>
      <c r="D300" s="213">
        <v>29</v>
      </c>
      <c r="E300" s="21">
        <v>36.214199999999998</v>
      </c>
      <c r="F300" s="21">
        <v>42.4328</v>
      </c>
      <c r="G300" s="214">
        <f>ROUND(D300*(E300+F300),2)</f>
        <v>2280.7600000000002</v>
      </c>
      <c r="H300" s="496"/>
      <c r="I300" s="73"/>
      <c r="J300" s="73"/>
      <c r="K300" s="497"/>
      <c r="L300" s="533">
        <f>+SUM(G300:G307,)+SUM(J300:J307)</f>
        <v>39420.720000000001</v>
      </c>
      <c r="M300" s="26">
        <v>39420.720000000001</v>
      </c>
      <c r="N300" s="534"/>
      <c r="O300" s="535"/>
      <c r="P300" s="536" t="s">
        <v>87</v>
      </c>
      <c r="Q300" s="537">
        <f t="shared" si="60"/>
        <v>-37139.960600000006</v>
      </c>
      <c r="R300" s="538" t="s">
        <v>95</v>
      </c>
      <c r="S300" s="539"/>
      <c r="T300" s="540"/>
      <c r="U300" s="33"/>
    </row>
    <row r="301" spans="1:21">
      <c r="A301" s="353"/>
      <c r="B301" s="541"/>
      <c r="C301" s="542" t="s">
        <v>96</v>
      </c>
      <c r="D301" s="234"/>
      <c r="E301" s="38"/>
      <c r="F301" s="38"/>
      <c r="G301" s="235">
        <f>ROUND(D301*(E301+F301),2)</f>
        <v>0</v>
      </c>
      <c r="H301" s="448"/>
      <c r="I301" s="509"/>
      <c r="J301" s="509"/>
      <c r="K301" s="543"/>
      <c r="L301" s="544"/>
      <c r="M301" s="545"/>
      <c r="N301" s="546"/>
      <c r="O301" s="547"/>
      <c r="P301" s="548"/>
      <c r="Q301" s="549"/>
      <c r="R301" s="550"/>
      <c r="S301" s="551"/>
      <c r="T301" s="552"/>
      <c r="U301" s="33"/>
    </row>
    <row r="302" spans="1:21">
      <c r="A302" s="353"/>
      <c r="B302" s="516" t="s">
        <v>32</v>
      </c>
      <c r="C302" s="99" t="s">
        <v>90</v>
      </c>
      <c r="D302" s="234">
        <v>24</v>
      </c>
      <c r="E302" s="101">
        <v>341.87</v>
      </c>
      <c r="F302" s="38">
        <v>42.4328</v>
      </c>
      <c r="G302" s="235">
        <f>ROUND(D302*(E302+F302),2)</f>
        <v>9223.27</v>
      </c>
      <c r="H302" s="270"/>
      <c r="I302" s="41"/>
      <c r="J302" s="41"/>
      <c r="K302" s="510"/>
      <c r="L302" s="553"/>
      <c r="M302" s="554"/>
      <c r="N302" s="555"/>
      <c r="O302" s="556"/>
      <c r="P302" s="557" t="s">
        <v>87</v>
      </c>
      <c r="Q302" s="558">
        <f>+G302+J302-M302-N302-O302</f>
        <v>9223.27</v>
      </c>
      <c r="R302" s="550" t="s">
        <v>95</v>
      </c>
      <c r="S302" s="551"/>
      <c r="T302" s="552"/>
    </row>
    <row r="303" spans="1:21">
      <c r="A303" s="353"/>
      <c r="B303" s="541"/>
      <c r="C303" s="84" t="s">
        <v>97</v>
      </c>
      <c r="D303" s="234">
        <f>мар18!D302</f>
        <v>28</v>
      </c>
      <c r="E303" s="41">
        <f>341.87-326.58</f>
        <v>15.29000000000002</v>
      </c>
      <c r="F303" s="38"/>
      <c r="G303" s="50">
        <f>ROUND(D303*E303,2)</f>
        <v>428.12</v>
      </c>
      <c r="H303" s="432"/>
      <c r="I303" s="362"/>
      <c r="J303" s="41"/>
      <c r="K303" s="510"/>
      <c r="L303" s="559"/>
      <c r="M303" s="560"/>
      <c r="N303" s="561"/>
      <c r="O303" s="562"/>
      <c r="P303" s="563"/>
      <c r="Q303" s="564"/>
      <c r="R303" s="550"/>
      <c r="S303" s="551"/>
      <c r="T303" s="552"/>
    </row>
    <row r="304" spans="1:21">
      <c r="A304" s="353"/>
      <c r="B304" s="541"/>
      <c r="C304" s="84" t="s">
        <v>97</v>
      </c>
      <c r="D304" s="234"/>
      <c r="E304" s="38"/>
      <c r="F304" s="240"/>
      <c r="G304" s="50">
        <f>D304*(E304+F304)</f>
        <v>0</v>
      </c>
      <c r="H304" s="432"/>
      <c r="I304" s="362"/>
      <c r="J304" s="41"/>
      <c r="K304" s="510"/>
      <c r="L304" s="559"/>
      <c r="M304" s="560"/>
      <c r="N304" s="561"/>
      <c r="O304" s="562"/>
      <c r="P304" s="563"/>
      <c r="Q304" s="564"/>
      <c r="R304" s="550"/>
      <c r="S304" s="551"/>
      <c r="T304" s="552"/>
    </row>
    <row r="305" spans="1:21">
      <c r="A305" s="353"/>
      <c r="B305" s="541"/>
      <c r="C305" s="48" t="s">
        <v>129</v>
      </c>
      <c r="D305" s="37">
        <f>мар18!D306+мар18!D307</f>
        <v>6051</v>
      </c>
      <c r="E305" s="41">
        <f>6.3259-6.6987</f>
        <v>-0.3727999999999998</v>
      </c>
      <c r="F305" s="41">
        <f>+E305</f>
        <v>-0.3727999999999998</v>
      </c>
      <c r="G305" s="235">
        <f>ROUND(D305*E305,2)</f>
        <v>-2255.81</v>
      </c>
      <c r="H305" s="565"/>
      <c r="I305" s="564"/>
      <c r="J305" s="566"/>
      <c r="K305" s="567"/>
      <c r="L305" s="559"/>
      <c r="M305" s="560"/>
      <c r="N305" s="561"/>
      <c r="O305" s="562"/>
      <c r="P305" s="563"/>
      <c r="Q305" s="564"/>
      <c r="R305" s="550"/>
      <c r="S305" s="551"/>
      <c r="T305" s="552"/>
      <c r="U305" s="352"/>
    </row>
    <row r="306" spans="1:21">
      <c r="A306" s="353"/>
      <c r="B306" s="541"/>
      <c r="C306" s="48" t="s">
        <v>131</v>
      </c>
      <c r="D306" s="37">
        <v>199</v>
      </c>
      <c r="E306" s="41">
        <v>6.3258999999999999</v>
      </c>
      <c r="F306" s="41">
        <f>+E306</f>
        <v>6.3258999999999999</v>
      </c>
      <c r="G306" s="235">
        <f>ROUND(D306*E306,2)</f>
        <v>1258.8499999999999</v>
      </c>
      <c r="H306" s="565"/>
      <c r="I306" s="564"/>
      <c r="J306" s="566"/>
      <c r="K306" s="567"/>
      <c r="L306" s="559"/>
      <c r="M306" s="560"/>
      <c r="N306" s="561"/>
      <c r="O306" s="562"/>
      <c r="P306" s="563"/>
      <c r="Q306" s="564"/>
      <c r="R306" s="550"/>
      <c r="S306" s="551"/>
      <c r="T306" s="552"/>
      <c r="U306" s="33"/>
    </row>
    <row r="307" spans="1:21" ht="15.75" thickBot="1">
      <c r="A307" s="369"/>
      <c r="B307" s="568"/>
      <c r="C307" s="99" t="s">
        <v>29</v>
      </c>
      <c r="D307" s="246">
        <v>4503</v>
      </c>
      <c r="E307" s="56">
        <v>6.3258999999999999</v>
      </c>
      <c r="F307" s="57">
        <f>+E307</f>
        <v>6.3258999999999999</v>
      </c>
      <c r="G307" s="247">
        <f>ROUND(D307*E307,2)</f>
        <v>28485.53</v>
      </c>
      <c r="H307" s="248"/>
      <c r="I307" s="203"/>
      <c r="J307" s="60"/>
      <c r="K307" s="61"/>
      <c r="L307" s="204"/>
      <c r="M307" s="560"/>
      <c r="N307" s="561"/>
      <c r="O307" s="528"/>
      <c r="P307" s="529" t="s">
        <v>87</v>
      </c>
      <c r="Q307" s="564">
        <f>+G307+J307-M307-N307-O307</f>
        <v>28485.53</v>
      </c>
      <c r="R307" s="550" t="s">
        <v>95</v>
      </c>
      <c r="S307" s="569">
        <f>SUM(N300:N307)+O300:O307</f>
        <v>0</v>
      </c>
      <c r="T307" s="570">
        <f>SUM(Q302:Q307)</f>
        <v>37708.800000000003</v>
      </c>
    </row>
    <row r="308" spans="1:21" ht="15.75" hidden="1" outlineLevel="1" thickBot="1">
      <c r="A308" s="571"/>
      <c r="B308" s="572" t="s">
        <v>98</v>
      </c>
      <c r="C308" s="573" t="s">
        <v>99</v>
      </c>
      <c r="D308" s="574"/>
      <c r="E308" s="575">
        <f>3.193-2.9732</f>
        <v>0.21980000000000022</v>
      </c>
      <c r="F308" s="575">
        <f>3.193-2.9732</f>
        <v>0.21980000000000022</v>
      </c>
      <c r="G308" s="576">
        <f>D308*E308*70%+D308*F308*30%</f>
        <v>0</v>
      </c>
      <c r="H308" s="577"/>
      <c r="I308" s="578"/>
      <c r="J308" s="579"/>
      <c r="K308" s="579"/>
      <c r="L308" s="580"/>
      <c r="M308" s="581"/>
      <c r="N308" s="582"/>
      <c r="O308" s="535"/>
      <c r="P308" s="536"/>
      <c r="Q308" s="583"/>
      <c r="R308" s="584"/>
      <c r="S308" s="569"/>
      <c r="T308" s="585"/>
    </row>
    <row r="309" spans="1:21" s="81" customFormat="1" ht="16.5" hidden="1" customHeight="1" outlineLevel="1" thickBot="1">
      <c r="A309" s="933" t="s">
        <v>100</v>
      </c>
      <c r="B309" s="587" t="s">
        <v>98</v>
      </c>
      <c r="C309" s="588">
        <f>+[1]авг!C52</f>
        <v>0</v>
      </c>
      <c r="D309" s="589"/>
      <c r="E309" s="575">
        <v>3.1930000000000001</v>
      </c>
      <c r="F309" s="575">
        <f>+E309</f>
        <v>3.1930000000000001</v>
      </c>
      <c r="G309" s="576">
        <f>D309*E309*70%+D309*F309*30%</f>
        <v>0</v>
      </c>
      <c r="H309" s="579"/>
      <c r="I309" s="579"/>
      <c r="J309" s="579"/>
      <c r="K309" s="579"/>
      <c r="L309" s="579">
        <f>+C309+G309+G308</f>
        <v>0</v>
      </c>
      <c r="M309" s="590"/>
      <c r="N309" s="500"/>
      <c r="O309" s="528"/>
      <c r="P309" s="529" t="s">
        <v>87</v>
      </c>
      <c r="Q309" s="591">
        <f t="shared" si="60"/>
        <v>0</v>
      </c>
      <c r="R309" s="592" t="s">
        <v>101</v>
      </c>
      <c r="S309" s="77">
        <f>SUM(N309:N309)+SUM(O309:O309)</f>
        <v>0</v>
      </c>
      <c r="T309" s="593">
        <f>SUM(Q309:Q309)</f>
        <v>0</v>
      </c>
    </row>
    <row r="310" spans="1:21" ht="15.75" hidden="1" outlineLevel="1" thickBot="1">
      <c r="A310" s="944"/>
      <c r="B310" s="945" t="s">
        <v>128</v>
      </c>
      <c r="C310" s="573" t="s">
        <v>115</v>
      </c>
      <c r="D310" s="946"/>
      <c r="E310" s="579">
        <f>6.8021-6.8946</f>
        <v>-9.2499999999999361E-2</v>
      </c>
      <c r="F310" s="579">
        <f t="shared" ref="F310" si="61">+E310</f>
        <v>-9.2499999999999361E-2</v>
      </c>
      <c r="G310" s="947">
        <f>ROUND(D310*(E310),2)</f>
        <v>0</v>
      </c>
      <c r="H310" s="948"/>
      <c r="I310" s="949"/>
      <c r="J310" s="949"/>
      <c r="K310" s="950"/>
      <c r="L310" s="951"/>
      <c r="M310" s="952"/>
      <c r="N310" s="604"/>
      <c r="O310" s="635"/>
      <c r="P310" s="636"/>
      <c r="Q310" s="605"/>
    </row>
    <row r="311" spans="1:21" ht="15.75" hidden="1" outlineLevel="1" thickBot="1">
      <c r="A311" s="953"/>
      <c r="B311" s="954"/>
      <c r="C311" s="573" t="s">
        <v>114</v>
      </c>
      <c r="D311" s="946"/>
      <c r="E311" s="579">
        <v>6.8021000000000003</v>
      </c>
      <c r="F311" s="579">
        <f>+E311</f>
        <v>6.8021000000000003</v>
      </c>
      <c r="G311" s="947">
        <f>ROUND(D311*(E311),2)</f>
        <v>0</v>
      </c>
      <c r="H311" s="948"/>
      <c r="I311" s="949"/>
      <c r="J311" s="949"/>
      <c r="K311" s="950"/>
      <c r="L311" s="955"/>
      <c r="M311" s="956"/>
      <c r="N311" s="607"/>
      <c r="O311" s="608"/>
      <c r="P311" s="609"/>
      <c r="Q311" s="610"/>
    </row>
    <row r="312" spans="1:21" ht="15.75" hidden="1" outlineLevel="1" thickBot="1">
      <c r="A312" s="944"/>
      <c r="B312" s="954"/>
      <c r="C312" s="916" t="s">
        <v>29</v>
      </c>
      <c r="D312" s="948"/>
      <c r="E312" s="917">
        <v>6.8021000000000003</v>
      </c>
      <c r="F312" s="579">
        <f t="shared" ref="F312" si="62">+E312</f>
        <v>6.8021000000000003</v>
      </c>
      <c r="G312" s="947">
        <f t="shared" ref="G312" si="63">ROUND(D312*(E312),2)</f>
        <v>0</v>
      </c>
      <c r="H312" s="948"/>
      <c r="I312" s="949"/>
      <c r="J312" s="949"/>
      <c r="K312" s="950"/>
      <c r="L312" s="951"/>
      <c r="M312" s="956"/>
      <c r="N312" s="615"/>
      <c r="O312" s="615"/>
      <c r="P312" s="615"/>
      <c r="Q312" s="616"/>
    </row>
    <row r="313" spans="1:21" ht="15.75" hidden="1" outlineLevel="1" thickBot="1">
      <c r="A313" s="953"/>
      <c r="B313" s="955"/>
      <c r="C313" s="575"/>
      <c r="D313" s="957"/>
      <c r="E313" s="580"/>
      <c r="F313" s="575"/>
      <c r="G313" s="958"/>
      <c r="H313" s="959"/>
      <c r="I313" s="575"/>
      <c r="J313" s="575"/>
      <c r="K313" s="575"/>
      <c r="L313" s="955"/>
      <c r="M313" s="956"/>
      <c r="N313" s="615"/>
      <c r="O313" s="615"/>
      <c r="P313" s="615"/>
      <c r="Q313" s="615"/>
    </row>
    <row r="314" spans="1:21" collapsed="1">
      <c r="A314" s="963"/>
      <c r="B314" s="621"/>
      <c r="C314" s="621"/>
      <c r="D314" s="964"/>
      <c r="E314" s="905"/>
      <c r="F314" s="621"/>
      <c r="G314" s="905"/>
      <c r="H314" s="621"/>
      <c r="I314" s="621"/>
      <c r="J314" s="621"/>
      <c r="K314" s="621"/>
      <c r="L314" s="621"/>
      <c r="M314" s="965"/>
      <c r="N314" s="615"/>
      <c r="O314" s="615"/>
      <c r="P314" s="615"/>
      <c r="Q314" s="615"/>
    </row>
    <row r="315" spans="1:21" ht="15.75" thickBot="1">
      <c r="A315" s="966"/>
      <c r="B315" s="615"/>
      <c r="C315" s="615"/>
      <c r="D315" s="696"/>
      <c r="E315" s="473"/>
      <c r="F315" s="615"/>
      <c r="G315" s="473"/>
      <c r="H315" s="615"/>
      <c r="I315" s="615"/>
      <c r="J315" s="615"/>
      <c r="K315" s="615"/>
      <c r="L315" s="615"/>
      <c r="M315" s="967"/>
      <c r="N315" s="615"/>
      <c r="O315" s="615"/>
      <c r="P315" s="615"/>
      <c r="Q315" s="615"/>
    </row>
    <row r="316" spans="1:21" s="81" customFormat="1" ht="15" customHeight="1" thickTop="1">
      <c r="A316" s="476"/>
      <c r="B316" s="158"/>
      <c r="C316" s="322"/>
      <c r="D316" s="477"/>
      <c r="E316" s="163"/>
      <c r="F316" s="163"/>
      <c r="G316" s="478"/>
      <c r="H316" s="163"/>
      <c r="I316" s="163"/>
      <c r="J316" s="163"/>
      <c r="K316" s="163"/>
      <c r="L316" s="163"/>
      <c r="M316" s="164"/>
      <c r="N316" s="479"/>
      <c r="O316" s="479"/>
      <c r="P316" s="479"/>
      <c r="Q316" s="479"/>
      <c r="R316" s="422"/>
      <c r="S316"/>
      <c r="T316" s="399"/>
    </row>
    <row r="317" spans="1:21" ht="15.75" thickBot="1">
      <c r="A317" s="968" t="s">
        <v>113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</row>
    <row r="318" spans="1:21" ht="15.75" customHeight="1" thickTop="1" thickBot="1">
      <c r="A318" s="1559" t="s">
        <v>1</v>
      </c>
      <c r="B318" s="1543" t="s">
        <v>2</v>
      </c>
      <c r="C318" s="1545" t="s">
        <v>3</v>
      </c>
      <c r="D318" s="1546" t="s">
        <v>4</v>
      </c>
      <c r="E318" s="1546"/>
      <c r="F318" s="1546"/>
      <c r="G318" s="1546"/>
      <c r="H318" s="1547"/>
      <c r="I318" s="1548"/>
      <c r="J318" s="1548"/>
      <c r="K318" s="1549"/>
      <c r="L318" s="1524" t="s">
        <v>6</v>
      </c>
      <c r="M318" s="1511" t="s">
        <v>7</v>
      </c>
      <c r="N318" s="1551" t="s">
        <v>8</v>
      </c>
      <c r="O318" s="1551"/>
      <c r="P318" s="1551"/>
      <c r="Q318" s="1552"/>
      <c r="R318" s="481"/>
      <c r="S318" s="482" t="s">
        <v>20</v>
      </c>
      <c r="T318" s="482" t="s">
        <v>21</v>
      </c>
    </row>
    <row r="319" spans="1:21" ht="26.25" thickBot="1">
      <c r="A319" s="1560"/>
      <c r="B319" s="1557"/>
      <c r="C319" s="1558" t="s">
        <v>10</v>
      </c>
      <c r="D319" s="483" t="s">
        <v>11</v>
      </c>
      <c r="E319" s="649" t="s">
        <v>12</v>
      </c>
      <c r="F319" s="649" t="s">
        <v>13</v>
      </c>
      <c r="G319" s="650" t="s">
        <v>14</v>
      </c>
      <c r="H319" s="651" t="s">
        <v>11</v>
      </c>
      <c r="I319" s="652" t="s">
        <v>15</v>
      </c>
      <c r="J319" s="653"/>
      <c r="K319" s="654" t="s">
        <v>16</v>
      </c>
      <c r="L319" s="1525"/>
      <c r="M319" s="1554"/>
      <c r="N319" s="655"/>
      <c r="O319" s="653"/>
      <c r="P319" s="656" t="s">
        <v>18</v>
      </c>
      <c r="Q319" s="657" t="s">
        <v>19</v>
      </c>
      <c r="R319" s="491"/>
      <c r="S319" s="492"/>
      <c r="T319" s="492"/>
    </row>
    <row r="320" spans="1:21">
      <c r="A320" s="961" t="s">
        <v>212</v>
      </c>
      <c r="B320" s="659" t="s">
        <v>116</v>
      </c>
      <c r="C320" s="668" t="s">
        <v>73</v>
      </c>
      <c r="D320" s="669">
        <v>5</v>
      </c>
      <c r="E320" s="21">
        <v>36.214199999999998</v>
      </c>
      <c r="F320" s="21">
        <v>42.4328</v>
      </c>
      <c r="G320" s="214">
        <f>+D320*(E320+F320)</f>
        <v>393.23499999999996</v>
      </c>
      <c r="H320" s="687"/>
      <c r="I320" s="688"/>
      <c r="J320" s="670"/>
      <c r="K320" s="689"/>
      <c r="L320" s="603">
        <f>SUM(G320:G326)+SUM(J320:J324)</f>
        <v>9417.7549999999992</v>
      </c>
      <c r="M320" s="187">
        <v>9417.76</v>
      </c>
      <c r="N320" s="670"/>
      <c r="O320" s="670"/>
      <c r="P320" s="670"/>
      <c r="Q320" s="670"/>
    </row>
    <row r="321" spans="1:18">
      <c r="A321" s="970"/>
      <c r="B321" s="672"/>
      <c r="C321" s="48"/>
      <c r="D321" s="673"/>
      <c r="E321" s="41"/>
      <c r="F321" s="298"/>
      <c r="G321" s="235">
        <f>+D321*E321</f>
        <v>0</v>
      </c>
      <c r="H321" s="687"/>
      <c r="I321" s="688"/>
      <c r="J321" s="670"/>
      <c r="K321" s="689"/>
      <c r="L321" s="606"/>
      <c r="M321" s="935"/>
      <c r="N321" s="298"/>
      <c r="O321" s="298"/>
      <c r="P321" s="298"/>
      <c r="Q321" s="298"/>
    </row>
    <row r="322" spans="1:18">
      <c r="A322" s="970"/>
      <c r="B322" s="442"/>
      <c r="C322" s="48"/>
      <c r="D322" s="673"/>
      <c r="E322" s="41"/>
      <c r="F322" s="298"/>
      <c r="G322" s="235">
        <f t="shared" ref="G322:G332" si="64">ROUND(D322*E322,2)</f>
        <v>0</v>
      </c>
      <c r="H322" s="687"/>
      <c r="I322" s="688"/>
      <c r="J322" s="670"/>
      <c r="K322" s="850"/>
      <c r="L322" s="614"/>
      <c r="M322" s="935"/>
      <c r="N322" s="298"/>
      <c r="O322" s="298"/>
      <c r="P322" s="298"/>
      <c r="Q322" s="298"/>
    </row>
    <row r="323" spans="1:18">
      <c r="A323" s="970"/>
      <c r="B323" s="35"/>
      <c r="C323" s="606"/>
      <c r="D323" s="673"/>
      <c r="E323" s="41"/>
      <c r="F323" s="298"/>
      <c r="G323" s="235">
        <f t="shared" si="64"/>
        <v>0</v>
      </c>
      <c r="H323" s="270"/>
      <c r="I323" s="688"/>
      <c r="J323" s="670"/>
      <c r="K323" s="689"/>
      <c r="L323" s="614"/>
      <c r="M323" s="273"/>
      <c r="N323" s="298"/>
      <c r="O323" s="298"/>
      <c r="P323" s="298"/>
      <c r="Q323" s="298"/>
    </row>
    <row r="324" spans="1:18" ht="15.75">
      <c r="A324" s="971"/>
      <c r="B324" s="672"/>
      <c r="C324" s="48" t="s">
        <v>129</v>
      </c>
      <c r="D324" s="269">
        <f>мар18!D325+мар18!D326</f>
        <v>1744.3999999999999</v>
      </c>
      <c r="E324" s="41">
        <f>6.3259-6.6987</f>
        <v>-0.3727999999999998</v>
      </c>
      <c r="F324" s="298">
        <f t="shared" ref="F324:F325" si="65">+E324</f>
        <v>-0.3727999999999998</v>
      </c>
      <c r="G324" s="235">
        <f t="shared" si="64"/>
        <v>-650.30999999999995</v>
      </c>
      <c r="H324" s="270"/>
      <c r="I324" s="41"/>
      <c r="J324" s="670"/>
      <c r="K324" s="689"/>
      <c r="L324" s="606"/>
      <c r="M324" s="935"/>
      <c r="N324" s="663"/>
      <c r="O324" s="237"/>
      <c r="P324" s="275"/>
      <c r="Q324" s="237"/>
    </row>
    <row r="325" spans="1:18" ht="15.75">
      <c r="A325" s="972"/>
      <c r="B325" s="35"/>
      <c r="C325" s="48" t="s">
        <v>131</v>
      </c>
      <c r="D325" s="269">
        <v>51.1</v>
      </c>
      <c r="E325" s="41">
        <v>6.3258999999999999</v>
      </c>
      <c r="F325" s="298">
        <f t="shared" si="65"/>
        <v>6.3258999999999999</v>
      </c>
      <c r="G325" s="235">
        <f t="shared" si="64"/>
        <v>323.25</v>
      </c>
      <c r="H325" s="270"/>
      <c r="I325" s="41"/>
      <c r="J325" s="41"/>
      <c r="K325" s="41"/>
      <c r="L325" s="614"/>
      <c r="M325" s="935"/>
      <c r="N325" s="663"/>
      <c r="O325" s="237"/>
      <c r="P325" s="275"/>
      <c r="Q325" s="237"/>
    </row>
    <row r="326" spans="1:18" ht="15.75" thickBot="1">
      <c r="A326" s="973"/>
      <c r="B326" s="665"/>
      <c r="C326" s="54" t="s">
        <v>29</v>
      </c>
      <c r="D326" s="613">
        <v>1478.3</v>
      </c>
      <c r="E326" s="56">
        <v>6.3258999999999999</v>
      </c>
      <c r="F326" s="57"/>
      <c r="G326" s="247">
        <f t="shared" si="64"/>
        <v>9351.58</v>
      </c>
      <c r="H326" s="613"/>
      <c r="I326" s="57"/>
      <c r="J326" s="57"/>
      <c r="K326" s="57"/>
      <c r="L326" s="783"/>
      <c r="M326" s="250"/>
      <c r="N326" s="57"/>
      <c r="O326" s="57"/>
      <c r="P326" s="57"/>
      <c r="Q326" s="57"/>
      <c r="R326" s="615"/>
    </row>
    <row r="327" spans="1:18" ht="15.75">
      <c r="A327" s="658">
        <v>212</v>
      </c>
      <c r="B327" s="659" t="s">
        <v>148</v>
      </c>
      <c r="C327" s="786" t="s">
        <v>129</v>
      </c>
      <c r="D327" s="259">
        <f>мар18!D328+мар18!D329</f>
        <v>193.4</v>
      </c>
      <c r="E327" s="41">
        <f>6.3259-6.6987</f>
        <v>-0.3727999999999998</v>
      </c>
      <c r="F327" s="691">
        <f>+E327</f>
        <v>-0.3727999999999998</v>
      </c>
      <c r="G327" s="214">
        <f>ROUND(D327*E327,2)-0.01</f>
        <v>-72.11</v>
      </c>
      <c r="H327" s="303"/>
      <c r="I327" s="23"/>
      <c r="J327" s="23"/>
      <c r="K327" s="23"/>
      <c r="L327" s="603">
        <f>SUM(G327:G329)</f>
        <v>1132.3500000000001</v>
      </c>
      <c r="M327" s="187">
        <v>1132.3499999999999</v>
      </c>
      <c r="N327" s="660"/>
      <c r="O327" s="217"/>
      <c r="P327" s="661"/>
      <c r="Q327" s="219"/>
    </row>
    <row r="328" spans="1:18" ht="15.75">
      <c r="A328" s="662"/>
      <c r="B328" s="35"/>
      <c r="C328" s="48" t="s">
        <v>131</v>
      </c>
      <c r="D328" s="269">
        <v>6.4</v>
      </c>
      <c r="E328" s="41">
        <v>6.3258999999999999</v>
      </c>
      <c r="F328" s="298">
        <f t="shared" ref="F328" si="66">+E328</f>
        <v>6.3258999999999999</v>
      </c>
      <c r="G328" s="235">
        <f t="shared" si="64"/>
        <v>40.49</v>
      </c>
      <c r="H328" s="270"/>
      <c r="I328" s="41"/>
      <c r="J328" s="41"/>
      <c r="K328" s="41"/>
      <c r="L328" s="606"/>
      <c r="M328" s="935"/>
      <c r="N328" s="663"/>
      <c r="O328" s="237"/>
      <c r="P328" s="275"/>
      <c r="Q328" s="238"/>
    </row>
    <row r="329" spans="1:18" ht="15.75" thickBot="1">
      <c r="A329" s="975"/>
      <c r="B329" s="665"/>
      <c r="C329" s="99" t="s">
        <v>29</v>
      </c>
      <c r="D329" s="613">
        <v>184</v>
      </c>
      <c r="E329" s="56">
        <v>6.3258999999999999</v>
      </c>
      <c r="F329" s="57"/>
      <c r="G329" s="247">
        <f t="shared" si="64"/>
        <v>1163.97</v>
      </c>
      <c r="H329" s="613"/>
      <c r="I329" s="57"/>
      <c r="J329" s="57"/>
      <c r="K329" s="57"/>
      <c r="L329" s="614"/>
      <c r="M329" s="606"/>
      <c r="N329" s="57"/>
      <c r="O329" s="57"/>
      <c r="P329" s="57"/>
      <c r="Q329" s="666"/>
    </row>
    <row r="330" spans="1:18" ht="15.75">
      <c r="A330" s="658">
        <v>218</v>
      </c>
      <c r="B330" s="659" t="s">
        <v>117</v>
      </c>
      <c r="C330" s="439" t="s">
        <v>129</v>
      </c>
      <c r="D330" s="259">
        <f>мар18!D331+мар18!D332</f>
        <v>386.79999999999995</v>
      </c>
      <c r="E330" s="23">
        <f>6.3259-6.6987</f>
        <v>-0.3727999999999998</v>
      </c>
      <c r="F330" s="691">
        <f>+E330</f>
        <v>-0.3727999999999998</v>
      </c>
      <c r="G330" s="214">
        <f>ROUND(D330*E330,2)</f>
        <v>-144.19999999999999</v>
      </c>
      <c r="H330" s="303"/>
      <c r="I330" s="23"/>
      <c r="J330" s="23"/>
      <c r="K330" s="23"/>
      <c r="L330" s="603">
        <f>SUM(G330:G332)</f>
        <v>2083.1499999999996</v>
      </c>
      <c r="M330" s="187">
        <v>2083.15</v>
      </c>
      <c r="N330" s="660"/>
      <c r="O330" s="217"/>
      <c r="P330" s="661"/>
      <c r="Q330" s="219"/>
      <c r="R330" s="615"/>
    </row>
    <row r="331" spans="1:18" ht="15.75">
      <c r="A331" s="662"/>
      <c r="B331" s="506"/>
      <c r="C331" s="48" t="s">
        <v>131</v>
      </c>
      <c r="D331" s="773">
        <v>11.8</v>
      </c>
      <c r="E331" s="41">
        <v>6.3258999999999999</v>
      </c>
      <c r="F331" s="774">
        <f t="shared" ref="F331" si="67">+E331</f>
        <v>6.3258999999999999</v>
      </c>
      <c r="G331" s="775">
        <f t="shared" si="64"/>
        <v>74.650000000000006</v>
      </c>
      <c r="H331" s="432"/>
      <c r="I331" s="207"/>
      <c r="J331" s="207"/>
      <c r="K331" s="207"/>
      <c r="L331" s="776"/>
      <c r="M331" s="974"/>
      <c r="N331" s="777"/>
      <c r="O331" s="778"/>
      <c r="P331" s="779"/>
      <c r="Q331" s="780"/>
    </row>
    <row r="332" spans="1:18" ht="15.75" thickBot="1">
      <c r="A332" s="975"/>
      <c r="B332" s="278"/>
      <c r="C332" s="54" t="s">
        <v>29</v>
      </c>
      <c r="D332" s="613">
        <v>340.3</v>
      </c>
      <c r="E332" s="56">
        <v>6.3258999999999999</v>
      </c>
      <c r="F332" s="57"/>
      <c r="G332" s="247">
        <f t="shared" si="64"/>
        <v>2152.6999999999998</v>
      </c>
      <c r="H332" s="613"/>
      <c r="I332" s="57"/>
      <c r="J332" s="57"/>
      <c r="K332" s="57"/>
      <c r="L332" s="783"/>
      <c r="M332" s="938"/>
      <c r="N332" s="57"/>
      <c r="O332" s="57"/>
      <c r="P332" s="57"/>
      <c r="Q332" s="666"/>
    </row>
    <row r="333" spans="1:18" ht="15.75">
      <c r="A333" s="658">
        <v>311</v>
      </c>
      <c r="B333" s="602" t="s">
        <v>142</v>
      </c>
      <c r="C333" s="786" t="s">
        <v>73</v>
      </c>
      <c r="D333" s="787">
        <v>7</v>
      </c>
      <c r="E333" s="21">
        <v>36.214199999999998</v>
      </c>
      <c r="F333" s="21">
        <v>42.4328</v>
      </c>
      <c r="G333" s="214">
        <f>+D333*(E333+F333)</f>
        <v>550.529</v>
      </c>
      <c r="H333" s="687"/>
      <c r="I333" s="688"/>
      <c r="J333" s="670"/>
      <c r="K333" s="850"/>
      <c r="L333" s="603">
        <f>SUM(G333:G336,J333:J336)</f>
        <v>14551.729000000001</v>
      </c>
      <c r="M333" s="187">
        <v>14551.73</v>
      </c>
      <c r="N333" s="788"/>
      <c r="O333" s="789"/>
      <c r="P333" s="790"/>
      <c r="Q333" s="791"/>
    </row>
    <row r="334" spans="1:18" ht="15.75">
      <c r="A334" s="662"/>
      <c r="B334" s="939"/>
      <c r="C334" s="48" t="s">
        <v>129</v>
      </c>
      <c r="D334" s="269">
        <f>мар18!D335+мар18!D336</f>
        <v>2514.5</v>
      </c>
      <c r="E334" s="41">
        <f>6.3259-6.6987</f>
        <v>-0.3727999999999998</v>
      </c>
      <c r="F334" s="297">
        <f>+E334</f>
        <v>-0.3727999999999998</v>
      </c>
      <c r="G334" s="235">
        <f>ROUND(D334*E334,2)</f>
        <v>-937.41</v>
      </c>
      <c r="H334" s="270"/>
      <c r="I334" s="688"/>
      <c r="J334" s="670"/>
      <c r="K334" s="689"/>
      <c r="L334" s="614"/>
      <c r="M334" s="273"/>
      <c r="N334" s="663"/>
      <c r="O334" s="237"/>
      <c r="P334" s="275"/>
      <c r="Q334" s="238"/>
    </row>
    <row r="335" spans="1:18" ht="15.75">
      <c r="A335" s="662"/>
      <c r="B335" s="506"/>
      <c r="C335" s="48" t="s">
        <v>131</v>
      </c>
      <c r="D335" s="269">
        <v>78.989999999999995</v>
      </c>
      <c r="E335" s="41">
        <v>6.3258999999999999</v>
      </c>
      <c r="F335" s="298">
        <f t="shared" ref="F335" si="68">+E335</f>
        <v>6.3258999999999999</v>
      </c>
      <c r="G335" s="235">
        <f t="shared" ref="G335:G336" si="69">ROUND(D335*E335,2)</f>
        <v>499.68</v>
      </c>
      <c r="H335" s="270"/>
      <c r="I335" s="41"/>
      <c r="J335" s="670"/>
      <c r="K335" s="689"/>
      <c r="L335" s="606"/>
      <c r="M335" s="935"/>
      <c r="N335" s="663"/>
      <c r="O335" s="237"/>
      <c r="P335" s="275"/>
      <c r="Q335" s="238"/>
    </row>
    <row r="336" spans="1:18" ht="15.75" thickBot="1">
      <c r="A336" s="975"/>
      <c r="B336" s="278"/>
      <c r="C336" s="54" t="s">
        <v>29</v>
      </c>
      <c r="D336" s="795">
        <v>2282.5100000000002</v>
      </c>
      <c r="E336" s="56">
        <v>6.3258999999999999</v>
      </c>
      <c r="F336" s="797"/>
      <c r="G336" s="798">
        <f t="shared" si="69"/>
        <v>14438.93</v>
      </c>
      <c r="H336" s="795"/>
      <c r="I336" s="797"/>
      <c r="J336" s="797"/>
      <c r="K336" s="797"/>
      <c r="L336" s="799"/>
      <c r="M336" s="976"/>
      <c r="N336" s="797"/>
      <c r="O336" s="797"/>
      <c r="P336" s="797"/>
      <c r="Q336" s="800"/>
    </row>
    <row r="337" spans="1:17" ht="15.75">
      <c r="A337" s="658">
        <v>500</v>
      </c>
      <c r="B337" s="659" t="s">
        <v>55</v>
      </c>
      <c r="C337" s="48" t="s">
        <v>129</v>
      </c>
      <c r="D337" s="259">
        <f>мар18!D338+мар18!D339</f>
        <v>2151.5</v>
      </c>
      <c r="E337" s="41">
        <f>6.3259-6.6987</f>
        <v>-0.3727999999999998</v>
      </c>
      <c r="F337" s="691">
        <f>+E337</f>
        <v>-0.3727999999999998</v>
      </c>
      <c r="G337" s="214">
        <f>ROUND(D337*E337,2)</f>
        <v>-802.08</v>
      </c>
      <c r="H337" s="303"/>
      <c r="I337" s="23"/>
      <c r="J337" s="23"/>
      <c r="K337" s="23"/>
      <c r="L337" s="603">
        <f>SUM(G337:G339)</f>
        <v>12893.49</v>
      </c>
      <c r="M337" s="187">
        <v>12893.49</v>
      </c>
      <c r="N337" s="660"/>
      <c r="O337" s="217"/>
      <c r="P337" s="661"/>
      <c r="Q337" s="219"/>
    </row>
    <row r="338" spans="1:17" ht="15.75">
      <c r="A338" s="662" t="s">
        <v>211</v>
      </c>
      <c r="B338" s="35"/>
      <c r="C338" s="48" t="s">
        <v>131</v>
      </c>
      <c r="D338" s="269">
        <v>72.39</v>
      </c>
      <c r="E338" s="41">
        <v>6.3258999999999999</v>
      </c>
      <c r="F338" s="298">
        <f t="shared" ref="F338" si="70">+E338</f>
        <v>6.3258999999999999</v>
      </c>
      <c r="G338" s="235">
        <f>ROUND(D338*E338,2)</f>
        <v>457.93</v>
      </c>
      <c r="H338" s="270"/>
      <c r="I338" s="41"/>
      <c r="J338" s="41"/>
      <c r="K338" s="41"/>
      <c r="L338" s="606"/>
      <c r="M338" s="935"/>
      <c r="N338" s="663"/>
      <c r="O338" s="237"/>
      <c r="P338" s="275"/>
      <c r="Q338" s="238"/>
    </row>
    <row r="339" spans="1:17" ht="15.75" thickBot="1">
      <c r="A339" s="969"/>
      <c r="B339" s="665"/>
      <c r="C339" s="99" t="s">
        <v>29</v>
      </c>
      <c r="D339" s="613">
        <v>2092.61</v>
      </c>
      <c r="E339" s="56">
        <v>6.3258999999999999</v>
      </c>
      <c r="F339" s="57"/>
      <c r="G339" s="247">
        <f>ROUND(D339*E339,2)</f>
        <v>13237.64</v>
      </c>
      <c r="H339" s="613"/>
      <c r="I339" s="57"/>
      <c r="J339" s="57"/>
      <c r="K339" s="57"/>
      <c r="L339" s="614"/>
      <c r="M339" s="935"/>
      <c r="N339" s="57"/>
      <c r="O339" s="57"/>
      <c r="P339" s="57"/>
      <c r="Q339" s="666"/>
    </row>
    <row r="340" spans="1:17">
      <c r="A340" s="977"/>
    </row>
    <row r="341" spans="1:17">
      <c r="A341" s="977"/>
    </row>
    <row r="342" spans="1:17">
      <c r="A342" s="977"/>
    </row>
  </sheetData>
  <mergeCells count="40">
    <mergeCell ref="M318:M319"/>
    <mergeCell ref="N318:Q318"/>
    <mergeCell ref="A318:A319"/>
    <mergeCell ref="B318:B319"/>
    <mergeCell ref="C318:C319"/>
    <mergeCell ref="D318:G318"/>
    <mergeCell ref="H318:K318"/>
    <mergeCell ref="L318:L319"/>
    <mergeCell ref="M100:M101"/>
    <mergeCell ref="N100:Q100"/>
    <mergeCell ref="A219:A220"/>
    <mergeCell ref="B219:B220"/>
    <mergeCell ref="C219:C220"/>
    <mergeCell ref="D219:G219"/>
    <mergeCell ref="H219:K219"/>
    <mergeCell ref="L219:L220"/>
    <mergeCell ref="M219:M220"/>
    <mergeCell ref="N219:Q219"/>
    <mergeCell ref="A100:A101"/>
    <mergeCell ref="B100:B101"/>
    <mergeCell ref="C100:C101"/>
    <mergeCell ref="D100:G100"/>
    <mergeCell ref="H100:K100"/>
    <mergeCell ref="L100:L101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342"/>
  <sheetViews>
    <sheetView topLeftCell="A35" workbookViewId="0">
      <pane xSplit="3" topLeftCell="D1" activePane="topRight" state="frozen"/>
      <selection pane="topRight" activeCell="E49" sqref="E49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23.911000000000001</v>
      </c>
      <c r="E4" s="21">
        <v>36.214199999999998</v>
      </c>
      <c r="F4" s="21">
        <v>42.4328</v>
      </c>
      <c r="G4" s="22">
        <f>ROUND(D4*(E4+F4),2)</f>
        <v>1880.53</v>
      </c>
      <c r="H4" s="20"/>
      <c r="I4" s="23"/>
      <c r="J4" s="23"/>
      <c r="K4" s="24"/>
      <c r="L4" s="25">
        <f>SUM(G4:G8,J4:J7)</f>
        <v>119320.89</v>
      </c>
      <c r="M4" s="26">
        <v>119320.89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135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117440.36</v>
      </c>
      <c r="S6" s="31"/>
      <c r="T6" s="32"/>
    </row>
    <row r="7" spans="1:22">
      <c r="A7" s="34"/>
      <c r="B7" s="35"/>
      <c r="C7" s="48" t="s">
        <v>136</v>
      </c>
      <c r="D7" s="49">
        <f>392.4+136.2</f>
        <v>528.59999999999991</v>
      </c>
      <c r="E7" s="41">
        <v>6.4709000000000003</v>
      </c>
      <c r="F7" s="41">
        <f>+E7</f>
        <v>6.4709000000000003</v>
      </c>
      <c r="G7" s="50">
        <f>ROUND(D7*E7,2)-0.01</f>
        <v>3420.5099999999998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117440.36</v>
      </c>
    </row>
    <row r="8" spans="1:22" ht="15.75" thickBot="1">
      <c r="A8" s="52"/>
      <c r="B8" s="53"/>
      <c r="C8" s="99" t="s">
        <v>29</v>
      </c>
      <c r="D8" s="55">
        <f>13080+4540.4</f>
        <v>17620.400000000001</v>
      </c>
      <c r="E8" s="56">
        <v>6.4709000000000003</v>
      </c>
      <c r="F8" s="57">
        <f>+E8</f>
        <v>6.4709000000000003</v>
      </c>
      <c r="G8" s="58">
        <f>ROUND(D8*E8,2)</f>
        <v>114019.85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114019.85</v>
      </c>
      <c r="R8" s="66" t="s">
        <v>25</v>
      </c>
      <c r="S8" s="67">
        <f>SUM(O4:O8)</f>
        <v>0</v>
      </c>
      <c r="T8" s="68">
        <f>SUM(Q4:Q8)</f>
        <v>114019.85</v>
      </c>
    </row>
    <row r="9" spans="1:22" s="140" customFormat="1" collapsed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421.1</v>
      </c>
      <c r="M9" s="26">
        <v>421.1</v>
      </c>
      <c r="N9" s="27"/>
      <c r="O9" s="28"/>
      <c r="P9" s="29" t="s">
        <v>24</v>
      </c>
      <c r="Q9" s="28"/>
      <c r="R9" s="30"/>
      <c r="S9" s="31"/>
      <c r="T9" s="32"/>
      <c r="U9" s="33">
        <f>+C9+L9-M9</f>
        <v>0</v>
      </c>
    </row>
    <row r="10" spans="1:22" s="140" customFormat="1">
      <c r="A10" s="34"/>
      <c r="B10" s="35"/>
      <c r="C10" s="48" t="s">
        <v>135</v>
      </c>
      <c r="D10" s="37">
        <f>апр18!D11+апр18!D12</f>
        <v>227.6</v>
      </c>
      <c r="E10" s="41">
        <f>6.6914-6.3259</f>
        <v>0.36549999999999994</v>
      </c>
      <c r="F10" s="38"/>
      <c r="G10" s="39">
        <f>ROUND(D10*(E10+F10),2)-0.01</f>
        <v>83.179999999999993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>
      <c r="A11" s="34"/>
      <c r="B11" s="35"/>
      <c r="C11" s="48" t="s">
        <v>136</v>
      </c>
      <c r="D11" s="49">
        <v>1.5</v>
      </c>
      <c r="E11" s="41">
        <v>6.6913999999999998</v>
      </c>
      <c r="F11" s="41">
        <f>+E11</f>
        <v>6.6913999999999998</v>
      </c>
      <c r="G11" s="50">
        <f>ROUND(D11*E11,2)</f>
        <v>10.039999999999999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thickBot="1">
      <c r="A12" s="766"/>
      <c r="B12" s="767"/>
      <c r="C12" s="99" t="s">
        <v>29</v>
      </c>
      <c r="D12" s="49">
        <v>49</v>
      </c>
      <c r="E12" s="56">
        <v>6.6913999999999998</v>
      </c>
      <c r="F12" s="41">
        <f>+E12</f>
        <v>6.6913999999999998</v>
      </c>
      <c r="G12" s="50">
        <f>ROUND(D12*E12,2)</f>
        <v>327.88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105</v>
      </c>
      <c r="E13" s="21">
        <v>36.214199999999998</v>
      </c>
      <c r="F13" s="21">
        <v>42.4328</v>
      </c>
      <c r="G13" s="22">
        <f>ROUND(D13*(E13+F13),2)</f>
        <v>8257.94</v>
      </c>
      <c r="H13" s="72"/>
      <c r="I13" s="21"/>
      <c r="J13" s="73"/>
      <c r="K13" s="24"/>
      <c r="L13" s="74">
        <f>SUM(G13:G20,J13:J19)</f>
        <v>58191.97</v>
      </c>
      <c r="M13" s="26">
        <v>58191.97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26</v>
      </c>
      <c r="E15" s="101">
        <v>292.75</v>
      </c>
      <c r="F15" s="38">
        <v>42.4328</v>
      </c>
      <c r="G15" s="39">
        <f>ROUND(D15*(E15+F15),2)</f>
        <v>8714.75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апр18!D15</f>
        <v>47</v>
      </c>
      <c r="E16" s="41">
        <f>292.75-341.87</f>
        <v>-49.120000000000005</v>
      </c>
      <c r="F16" s="38"/>
      <c r="G16" s="50">
        <f>+D16*(E16+F16)</f>
        <v>-2308.6400000000003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135</v>
      </c>
      <c r="D18" s="49">
        <f>апр18!D19+апр18!D20</f>
        <v>4601.7000000000007</v>
      </c>
      <c r="E18" s="881">
        <f>6.6914-6.3259</f>
        <v>0.36549999999999994</v>
      </c>
      <c r="F18" s="41">
        <f>+E18</f>
        <v>0.36549999999999994</v>
      </c>
      <c r="G18" s="50">
        <f>ROUND(D18*E18*70%+D18*F18*30%,2)</f>
        <v>1681.92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136</v>
      </c>
      <c r="D19" s="49">
        <f>12.9+163.2+6</f>
        <v>182.1</v>
      </c>
      <c r="E19" s="41">
        <v>6.6913999999999998</v>
      </c>
      <c r="F19" s="41">
        <f>E19</f>
        <v>6.6913999999999998</v>
      </c>
      <c r="G19" s="50">
        <f>ROUND(D19*E19*70%+D19*F19*30%,2)</f>
        <v>1218.5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429.6+5441+201</f>
        <v>6071.6</v>
      </c>
      <c r="E20" s="56">
        <v>6.6913999999999998</v>
      </c>
      <c r="F20" s="109">
        <f>+E20</f>
        <v>6.6913999999999998</v>
      </c>
      <c r="G20" s="110">
        <f>ROUND(D20*E20*70%+D20*F20*30%,2)</f>
        <v>40627.5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92">
        <v>202</v>
      </c>
      <c r="B30" s="183" t="s">
        <v>159</v>
      </c>
      <c r="C30" s="439" t="s">
        <v>135</v>
      </c>
      <c r="D30" s="296">
        <f>апр18!D31+апр18!D32</f>
        <v>145.63999999999999</v>
      </c>
      <c r="E30" s="41">
        <f>6.6914-6.3259</f>
        <v>0.36549999999999994</v>
      </c>
      <c r="F30" s="41">
        <f t="shared" ref="F30:F35" si="0">+E30</f>
        <v>0.36549999999999994</v>
      </c>
      <c r="G30" s="235">
        <f>ROUND(D30*E30,2)</f>
        <v>53.23</v>
      </c>
      <c r="H30" s="270"/>
      <c r="I30" s="41"/>
      <c r="J30" s="41"/>
      <c r="K30" s="271"/>
      <c r="L30" s="294">
        <f>SUM(G30:G32)</f>
        <v>1240.82</v>
      </c>
      <c r="M30" s="227">
        <v>1240.82</v>
      </c>
      <c r="N30" s="274"/>
      <c r="O30" s="237"/>
      <c r="P30" s="275"/>
      <c r="Q30" s="237"/>
      <c r="R30" s="242"/>
      <c r="S30" s="266"/>
      <c r="T30" s="266"/>
    </row>
    <row r="31" spans="1:21" ht="15.75">
      <c r="A31" s="896"/>
      <c r="B31" s="192"/>
      <c r="C31" s="48" t="s">
        <v>136</v>
      </c>
      <c r="D31" s="269">
        <v>1.88</v>
      </c>
      <c r="E31" s="41">
        <v>6.6913999999999998</v>
      </c>
      <c r="F31" s="41">
        <f t="shared" si="0"/>
        <v>6.6913999999999998</v>
      </c>
      <c r="G31" s="235">
        <f t="shared" ref="G31:G32" si="1">ROUND(D31*E31,2)</f>
        <v>12.58</v>
      </c>
      <c r="H31" s="270"/>
      <c r="I31" s="41"/>
      <c r="J31" s="41"/>
      <c r="K31" s="271"/>
      <c r="L31" s="272"/>
      <c r="M31" s="273"/>
      <c r="N31" s="274"/>
      <c r="O31" s="237"/>
      <c r="P31" s="275"/>
      <c r="Q31" s="237"/>
      <c r="R31" s="242"/>
      <c r="S31" s="266"/>
      <c r="T31" s="266"/>
    </row>
    <row r="32" spans="1:21" ht="16.5" thickBot="1">
      <c r="A32" s="891"/>
      <c r="B32" s="887"/>
      <c r="C32" s="54" t="s">
        <v>29</v>
      </c>
      <c r="D32" s="279">
        <v>175.6</v>
      </c>
      <c r="E32" s="56">
        <v>6.6913999999999998</v>
      </c>
      <c r="F32" s="57">
        <f t="shared" si="0"/>
        <v>6.6913999999999998</v>
      </c>
      <c r="G32" s="247">
        <f t="shared" si="1"/>
        <v>1175.01</v>
      </c>
      <c r="H32" s="280"/>
      <c r="I32" s="281"/>
      <c r="J32" s="281"/>
      <c r="K32" s="282"/>
      <c r="L32" s="204"/>
      <c r="M32" s="250"/>
      <c r="N32" s="283"/>
      <c r="O32" s="252"/>
      <c r="P32" s="284"/>
      <c r="Q32" s="252"/>
      <c r="R32" s="242"/>
      <c r="S32" s="266"/>
      <c r="T32" s="266"/>
    </row>
    <row r="33" spans="1:21">
      <c r="A33" s="892">
        <v>204</v>
      </c>
      <c r="B33" s="183" t="s">
        <v>137</v>
      </c>
      <c r="C33" s="439" t="s">
        <v>135</v>
      </c>
      <c r="D33" s="296">
        <f>апр18!D34+апр18!D35</f>
        <v>185.06</v>
      </c>
      <c r="E33" s="41">
        <f>6.6914-6.3259</f>
        <v>0.36549999999999994</v>
      </c>
      <c r="F33" s="41">
        <f t="shared" si="0"/>
        <v>0.36549999999999994</v>
      </c>
      <c r="G33" s="235">
        <f>ROUND(D33*E33,2)</f>
        <v>67.64</v>
      </c>
      <c r="H33" s="270"/>
      <c r="I33" s="41"/>
      <c r="J33" s="41"/>
      <c r="K33" s="271"/>
      <c r="L33" s="294">
        <f>SUM(G33:G35)</f>
        <v>1497.99</v>
      </c>
      <c r="M33" s="227">
        <v>1497.99</v>
      </c>
      <c r="N33" s="274"/>
      <c r="O33" s="237"/>
      <c r="P33" s="275"/>
      <c r="Q33" s="237"/>
      <c r="R33" s="242"/>
      <c r="S33" s="266"/>
      <c r="T33" s="266"/>
    </row>
    <row r="34" spans="1:21" ht="15.75">
      <c r="A34" s="896"/>
      <c r="B34" s="192"/>
      <c r="C34" s="48" t="s">
        <v>136</v>
      </c>
      <c r="D34" s="269">
        <v>2.2599999999999998</v>
      </c>
      <c r="E34" s="41">
        <v>6.6913999999999998</v>
      </c>
      <c r="F34" s="41">
        <f t="shared" si="0"/>
        <v>6.6913999999999998</v>
      </c>
      <c r="G34" s="235">
        <f>ROUND(D34*E34,2)</f>
        <v>15.12</v>
      </c>
      <c r="H34" s="270"/>
      <c r="I34" s="41"/>
      <c r="J34" s="41"/>
      <c r="K34" s="271"/>
      <c r="L34" s="272"/>
      <c r="M34" s="273"/>
      <c r="N34" s="274"/>
      <c r="O34" s="237"/>
      <c r="P34" s="275"/>
      <c r="Q34" s="237"/>
      <c r="R34" s="242"/>
      <c r="S34" s="266"/>
      <c r="T34" s="266"/>
    </row>
    <row r="35" spans="1:21" ht="16.5" thickBot="1">
      <c r="A35" s="891"/>
      <c r="B35" s="887"/>
      <c r="C35" s="54" t="s">
        <v>29</v>
      </c>
      <c r="D35" s="279">
        <v>211.5</v>
      </c>
      <c r="E35" s="56">
        <v>6.6913999999999998</v>
      </c>
      <c r="F35" s="57">
        <f t="shared" si="0"/>
        <v>6.6913999999999998</v>
      </c>
      <c r="G35" s="247">
        <f>ROUND(D35*E35,2)</f>
        <v>1415.23</v>
      </c>
      <c r="H35" s="280"/>
      <c r="I35" s="281"/>
      <c r="J35" s="281"/>
      <c r="K35" s="282"/>
      <c r="L35" s="204"/>
      <c r="M35" s="250"/>
      <c r="N35" s="283"/>
      <c r="O35" s="252"/>
      <c r="P35" s="284"/>
      <c r="Q35" s="252"/>
      <c r="R35" s="242"/>
      <c r="S35" s="266"/>
      <c r="T35" s="266"/>
    </row>
    <row r="36" spans="1:21">
      <c r="A36" s="892">
        <v>215</v>
      </c>
      <c r="B36" s="183" t="s">
        <v>189</v>
      </c>
      <c r="C36" s="71">
        <v>0</v>
      </c>
      <c r="D36" s="213">
        <v>0</v>
      </c>
      <c r="E36" s="21">
        <v>36.214199999999998</v>
      </c>
      <c r="F36" s="21">
        <v>42.4328</v>
      </c>
      <c r="G36" s="214">
        <f>ROUND(D36*(E36+F36),2)</f>
        <v>0</v>
      </c>
      <c r="H36" s="213"/>
      <c r="I36" s="194"/>
      <c r="J36" s="215"/>
      <c r="K36" s="679"/>
      <c r="L36" s="216">
        <f>SUM(G36:G43)+SUM(J36:J43)</f>
        <v>2303.62</v>
      </c>
      <c r="M36" s="187">
        <v>2303.62</v>
      </c>
      <c r="N36" s="188"/>
      <c r="O36" s="217"/>
      <c r="P36" s="218"/>
      <c r="Q36" s="219"/>
      <c r="R36" s="220"/>
      <c r="S36" s="221"/>
      <c r="T36" s="222"/>
      <c r="U36" s="33"/>
    </row>
    <row r="37" spans="1:21">
      <c r="A37" s="890"/>
      <c r="B37" s="872"/>
      <c r="C37" s="84" t="s">
        <v>26</v>
      </c>
      <c r="D37" s="37"/>
      <c r="E37" s="38"/>
      <c r="F37" s="38"/>
      <c r="G37" s="39">
        <f>ROUND(D37*(E37+F37),2)</f>
        <v>0</v>
      </c>
      <c r="H37" s="225"/>
      <c r="I37" s="194"/>
      <c r="J37" s="194"/>
      <c r="K37" s="226"/>
      <c r="L37" s="196"/>
      <c r="M37" s="227"/>
      <c r="N37" s="228"/>
      <c r="O37" s="229"/>
      <c r="P37" s="230"/>
      <c r="Q37" s="231"/>
      <c r="R37" s="232"/>
      <c r="S37" s="233"/>
      <c r="T37" s="224"/>
      <c r="U37" s="33"/>
    </row>
    <row r="38" spans="1:21">
      <c r="A38" s="890"/>
      <c r="B38" s="873" t="s">
        <v>32</v>
      </c>
      <c r="C38" s="99" t="s">
        <v>33</v>
      </c>
      <c r="D38" s="234">
        <v>0</v>
      </c>
      <c r="E38" s="101">
        <v>167.13</v>
      </c>
      <c r="F38" s="38">
        <v>42.4328</v>
      </c>
      <c r="G38" s="235">
        <f>ROUND(D38*(E38+F38),2)</f>
        <v>0</v>
      </c>
      <c r="H38" s="234"/>
      <c r="I38" s="194"/>
      <c r="J38" s="194"/>
      <c r="K38" s="195"/>
      <c r="L38" s="196"/>
      <c r="M38" s="227"/>
      <c r="N38" s="236"/>
      <c r="O38" s="237"/>
      <c r="P38" s="230"/>
      <c r="Q38" s="238"/>
      <c r="R38" s="232"/>
      <c r="S38" s="233"/>
      <c r="T38" s="224"/>
    </row>
    <row r="39" spans="1:21">
      <c r="A39" s="890"/>
      <c r="B39" s="872" t="s">
        <v>33</v>
      </c>
      <c r="C39" s="239" t="s">
        <v>26</v>
      </c>
      <c r="D39" s="234">
        <f>апр18!D38</f>
        <v>0</v>
      </c>
      <c r="E39" s="240">
        <f>167.13-194.8</f>
        <v>-27.670000000000016</v>
      </c>
      <c r="F39" s="240">
        <v>0</v>
      </c>
      <c r="G39" s="235">
        <f>+ROUND(D39*E39,2)</f>
        <v>0</v>
      </c>
      <c r="H39" s="241"/>
      <c r="I39" s="194"/>
      <c r="J39" s="194"/>
      <c r="K39" s="195"/>
      <c r="L39" s="196"/>
      <c r="M39" s="227"/>
      <c r="N39" s="236"/>
      <c r="O39" s="237"/>
      <c r="P39" s="230"/>
      <c r="Q39" s="238"/>
      <c r="R39" s="242"/>
      <c r="S39" s="233"/>
      <c r="T39" s="224"/>
    </row>
    <row r="40" spans="1:21">
      <c r="A40" s="890"/>
      <c r="B40" s="872"/>
      <c r="C40" s="239" t="s">
        <v>26</v>
      </c>
      <c r="D40" s="234"/>
      <c r="E40" s="240"/>
      <c r="F40" s="41"/>
      <c r="G40" s="235">
        <f>+ROUND(D40*F40,2)</f>
        <v>0</v>
      </c>
      <c r="H40" s="241"/>
      <c r="I40" s="194"/>
      <c r="J40" s="194"/>
      <c r="K40" s="195"/>
      <c r="L40" s="196"/>
      <c r="M40" s="227"/>
      <c r="N40" s="236"/>
      <c r="O40" s="237"/>
      <c r="P40" s="230"/>
      <c r="Q40" s="238"/>
      <c r="R40" s="242"/>
      <c r="S40" s="233"/>
      <c r="T40" s="224"/>
    </row>
    <row r="41" spans="1:21">
      <c r="A41" s="890"/>
      <c r="B41" s="872"/>
      <c r="C41" s="48" t="s">
        <v>135</v>
      </c>
      <c r="D41" s="49">
        <f>апр18!D42+апр18!D43</f>
        <v>239.2</v>
      </c>
      <c r="E41" s="41">
        <f>6.6914-6.3259</f>
        <v>0.36549999999999994</v>
      </c>
      <c r="F41" s="41">
        <f t="shared" ref="F41:F43" si="2">+E41</f>
        <v>0.36549999999999994</v>
      </c>
      <c r="G41" s="50">
        <f>ROUND(D41*E41,2)</f>
        <v>87.43</v>
      </c>
      <c r="H41" s="241"/>
      <c r="I41" s="194"/>
      <c r="J41" s="194"/>
      <c r="K41" s="195"/>
      <c r="L41" s="196"/>
      <c r="M41" s="227"/>
      <c r="N41" s="236"/>
      <c r="O41" s="237"/>
      <c r="P41" s="230"/>
      <c r="Q41" s="238"/>
      <c r="R41" s="242"/>
      <c r="S41" s="233"/>
      <c r="T41" s="224"/>
    </row>
    <row r="42" spans="1:21">
      <c r="A42" s="890"/>
      <c r="B42" s="872"/>
      <c r="C42" s="48" t="s">
        <v>136</v>
      </c>
      <c r="D42" s="49">
        <v>3.5</v>
      </c>
      <c r="E42" s="41">
        <v>6.6913999999999998</v>
      </c>
      <c r="F42" s="41">
        <f t="shared" si="2"/>
        <v>6.6913999999999998</v>
      </c>
      <c r="G42" s="50">
        <f>ROUND(D42*E42,2)</f>
        <v>23.42</v>
      </c>
      <c r="H42" s="241"/>
      <c r="I42" s="194"/>
      <c r="J42" s="243"/>
      <c r="K42" s="195"/>
      <c r="L42" s="196"/>
      <c r="M42" s="227"/>
      <c r="N42" s="236"/>
      <c r="O42" s="237"/>
      <c r="P42" s="230"/>
      <c r="Q42" s="238"/>
      <c r="R42" s="242"/>
      <c r="S42" s="233"/>
      <c r="T42" s="224"/>
      <c r="U42" s="33"/>
    </row>
    <row r="43" spans="1:21" ht="15.75" thickBot="1">
      <c r="A43" s="897"/>
      <c r="B43" s="875"/>
      <c r="C43" s="99" t="s">
        <v>29</v>
      </c>
      <c r="D43" s="246">
        <v>327.7</v>
      </c>
      <c r="E43" s="56">
        <v>6.6913999999999998</v>
      </c>
      <c r="F43" s="57">
        <f t="shared" si="2"/>
        <v>6.6913999999999998</v>
      </c>
      <c r="G43" s="247">
        <f>ROUND(D43*E43*70%+D43*F43*30%,2)</f>
        <v>2192.77</v>
      </c>
      <c r="H43" s="248"/>
      <c r="I43" s="203"/>
      <c r="J43" s="60"/>
      <c r="K43" s="61"/>
      <c r="L43" s="249"/>
      <c r="M43" s="250"/>
      <c r="N43" s="251"/>
      <c r="O43" s="252"/>
      <c r="P43" s="253"/>
      <c r="Q43" s="254"/>
      <c r="R43" s="255"/>
      <c r="S43" s="256"/>
      <c r="T43" s="256"/>
    </row>
    <row r="44" spans="1:21" ht="16.5" collapsed="1" thickTop="1" thickBot="1">
      <c r="A44" s="891">
        <v>309</v>
      </c>
      <c r="B44" s="887" t="s">
        <v>152</v>
      </c>
      <c r="C44" s="54" t="s">
        <v>135</v>
      </c>
      <c r="D44" s="296">
        <f>апр18!D45+апр18!D46</f>
        <v>271.88</v>
      </c>
      <c r="E44" s="41">
        <f>6.6914-6.3259</f>
        <v>0.36549999999999994</v>
      </c>
      <c r="F44" s="41">
        <f>+E44</f>
        <v>0.36549999999999994</v>
      </c>
      <c r="G44" s="235">
        <f>ROUND(D44*E44,2)</f>
        <v>99.37</v>
      </c>
      <c r="H44" s="270"/>
      <c r="I44" s="41"/>
      <c r="J44" s="41"/>
      <c r="K44" s="271"/>
      <c r="L44" s="294">
        <f>SUM(G44:G46)</f>
        <v>2847.2</v>
      </c>
      <c r="M44" s="227">
        <v>2847.2</v>
      </c>
      <c r="N44" s="274"/>
      <c r="O44" s="237"/>
      <c r="P44" s="275"/>
      <c r="Q44" s="237"/>
      <c r="R44" s="242"/>
      <c r="S44" s="266"/>
      <c r="T44" s="266"/>
    </row>
    <row r="45" spans="1:21" ht="15.75">
      <c r="A45" s="896"/>
      <c r="B45" s="885"/>
      <c r="C45" s="48" t="s">
        <v>136</v>
      </c>
      <c r="D45" s="269">
        <v>4.3499999999999996</v>
      </c>
      <c r="E45" s="41">
        <v>6.6913999999999998</v>
      </c>
      <c r="F45" s="41">
        <f>+E45</f>
        <v>6.6913999999999998</v>
      </c>
      <c r="G45" s="235">
        <f t="shared" ref="G45:G46" si="3">ROUND(D45*E45,2)</f>
        <v>29.11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1" ht="16.5" thickBot="1">
      <c r="A46" s="891"/>
      <c r="B46" s="887"/>
      <c r="C46" s="54" t="s">
        <v>29</v>
      </c>
      <c r="D46" s="279">
        <v>406.3</v>
      </c>
      <c r="E46" s="56">
        <v>6.6913999999999998</v>
      </c>
      <c r="F46" s="57">
        <f>+E46</f>
        <v>6.6913999999999998</v>
      </c>
      <c r="G46" s="247">
        <f t="shared" si="3"/>
        <v>2718.72</v>
      </c>
      <c r="H46" s="280"/>
      <c r="I46" s="281"/>
      <c r="J46" s="281"/>
      <c r="K46" s="282"/>
      <c r="L46" s="204"/>
      <c r="M46" s="250"/>
      <c r="N46" s="283"/>
      <c r="O46" s="252"/>
      <c r="P46" s="284"/>
      <c r="Q46" s="252"/>
      <c r="R46" s="242"/>
      <c r="S46" s="266"/>
      <c r="T46" s="266"/>
    </row>
    <row r="47" spans="1:21">
      <c r="A47" s="888">
        <v>314</v>
      </c>
      <c r="B47" s="889" t="s">
        <v>52</v>
      </c>
      <c r="C47" s="71">
        <v>0</v>
      </c>
      <c r="D47" s="213">
        <v>201.58</v>
      </c>
      <c r="E47" s="21">
        <v>36.214199999999998</v>
      </c>
      <c r="F47" s="21">
        <v>42.4328</v>
      </c>
      <c r="G47" s="214">
        <f>ROUND(D47*(E47+F47),2)</f>
        <v>15853.66</v>
      </c>
      <c r="H47" s="213"/>
      <c r="J47" s="215"/>
      <c r="K47" s="679"/>
      <c r="L47" s="216">
        <f>SUM(G47:G54)+SUM(J47:J54)</f>
        <v>88180.5</v>
      </c>
      <c r="M47" s="187">
        <v>88180.5</v>
      </c>
      <c r="N47" s="188"/>
      <c r="O47" s="217">
        <v>4253.6899999999996</v>
      </c>
      <c r="P47" s="218" t="s">
        <v>47</v>
      </c>
      <c r="Q47" s="219">
        <f t="shared" ref="Q47" si="4">C47+G47+J47-M47-N47-O47</f>
        <v>-76580.53</v>
      </c>
      <c r="R47" s="220" t="s">
        <v>53</v>
      </c>
      <c r="S47" s="221"/>
      <c r="T47" s="222"/>
      <c r="U47" s="33">
        <f>+C47+L47-M47</f>
        <v>0</v>
      </c>
    </row>
    <row r="48" spans="1:21" ht="15.75" thickBot="1">
      <c r="A48" s="890"/>
      <c r="B48" s="872"/>
      <c r="C48" s="84" t="s">
        <v>26</v>
      </c>
      <c r="D48" s="37"/>
      <c r="E48" s="38"/>
      <c r="F48" s="38"/>
      <c r="G48" s="39">
        <f>ROUND(D48*(E48+F48),2)</f>
        <v>0</v>
      </c>
      <c r="H48" s="225"/>
      <c r="I48" s="194"/>
      <c r="J48" s="194"/>
      <c r="K48" s="226"/>
      <c r="L48" s="196"/>
      <c r="M48" s="227"/>
      <c r="N48" s="228"/>
      <c r="O48" s="229"/>
      <c r="P48" s="230"/>
      <c r="Q48" s="231"/>
      <c r="R48" s="232"/>
      <c r="S48" s="233"/>
      <c r="T48" s="224"/>
      <c r="U48" s="33"/>
    </row>
    <row r="49" spans="1:21">
      <c r="A49" s="890"/>
      <c r="B49" s="873" t="s">
        <v>32</v>
      </c>
      <c r="C49" s="99" t="s">
        <v>33</v>
      </c>
      <c r="D49" s="234">
        <v>0</v>
      </c>
      <c r="E49" s="101">
        <v>167.13</v>
      </c>
      <c r="F49" s="21">
        <v>42.4328</v>
      </c>
      <c r="G49" s="235">
        <f>ROUND(D49*(E49+F49),2)</f>
        <v>0</v>
      </c>
      <c r="H49" s="234"/>
      <c r="I49" s="194"/>
      <c r="J49" s="194"/>
      <c r="K49" s="195"/>
      <c r="L49" s="196"/>
      <c r="M49" s="227"/>
      <c r="N49" s="236"/>
      <c r="O49" s="237">
        <v>5456.6</v>
      </c>
      <c r="P49" s="230" t="s">
        <v>47</v>
      </c>
      <c r="Q49" s="238">
        <f>+G49+J49-M49-N49-O49</f>
        <v>-5456.6</v>
      </c>
      <c r="R49" s="232"/>
      <c r="S49" s="233"/>
      <c r="T49" s="224"/>
    </row>
    <row r="50" spans="1:21">
      <c r="A50" s="890"/>
      <c r="B50" s="872" t="s">
        <v>33</v>
      </c>
      <c r="C50" s="239" t="s">
        <v>26</v>
      </c>
      <c r="D50" s="234">
        <f>апр18!D49</f>
        <v>50</v>
      </c>
      <c r="E50" s="240">
        <f>167.13-194.8</f>
        <v>-27.670000000000016</v>
      </c>
      <c r="F50" s="240">
        <v>0</v>
      </c>
      <c r="G50" s="235">
        <f>+ROUND(D50*E50,2)</f>
        <v>-1383.5</v>
      </c>
      <c r="H50" s="241"/>
      <c r="I50" s="194"/>
      <c r="J50" s="194"/>
      <c r="K50" s="195"/>
      <c r="L50" s="196"/>
      <c r="M50" s="227"/>
      <c r="N50" s="236"/>
      <c r="O50" s="237"/>
      <c r="P50" s="230"/>
      <c r="Q50" s="238"/>
      <c r="R50" s="242"/>
      <c r="S50" s="233"/>
      <c r="T50" s="224"/>
    </row>
    <row r="51" spans="1:21">
      <c r="A51" s="890"/>
      <c r="B51" s="872"/>
      <c r="C51" s="239" t="s">
        <v>26</v>
      </c>
      <c r="D51" s="234"/>
      <c r="E51" s="240"/>
      <c r="F51" s="41"/>
      <c r="G51" s="235">
        <f>+ROUND(D51*F51,2)</f>
        <v>0</v>
      </c>
      <c r="H51" s="241"/>
      <c r="I51" s="194"/>
      <c r="J51" s="194"/>
      <c r="K51" s="195"/>
      <c r="L51" s="196"/>
      <c r="M51" s="227"/>
      <c r="N51" s="236"/>
      <c r="O51" s="237"/>
      <c r="P51" s="230"/>
      <c r="Q51" s="238"/>
      <c r="R51" s="242"/>
      <c r="S51" s="233"/>
      <c r="T51" s="224"/>
    </row>
    <row r="52" spans="1:21">
      <c r="A52" s="890"/>
      <c r="B52" s="872"/>
      <c r="C52" s="48" t="s">
        <v>135</v>
      </c>
      <c r="D52" s="49">
        <f>апр18!D53+апр18!D54</f>
        <v>7026.0999999999995</v>
      </c>
      <c r="E52" s="41">
        <f>6.6914-6.3259</f>
        <v>0.36549999999999994</v>
      </c>
      <c r="F52" s="41">
        <f t="shared" ref="F52:F89" si="5">+E52</f>
        <v>0.36549999999999994</v>
      </c>
      <c r="G52" s="50">
        <f>ROUND(D52*E52,2)+0.01</f>
        <v>2568.0500000000002</v>
      </c>
      <c r="H52" s="241"/>
      <c r="I52" s="194"/>
      <c r="J52" s="194"/>
      <c r="K52" s="195"/>
      <c r="L52" s="196"/>
      <c r="M52" s="227"/>
      <c r="N52" s="236"/>
      <c r="O52" s="237"/>
      <c r="P52" s="230"/>
      <c r="Q52" s="238"/>
      <c r="R52" s="242"/>
      <c r="S52" s="233"/>
      <c r="T52" s="224"/>
    </row>
    <row r="53" spans="1:21">
      <c r="A53" s="890"/>
      <c r="B53" s="872"/>
      <c r="C53" s="48" t="s">
        <v>136</v>
      </c>
      <c r="D53" s="49">
        <v>112.6</v>
      </c>
      <c r="E53" s="41">
        <v>6.6913999999999998</v>
      </c>
      <c r="F53" s="41">
        <f t="shared" si="5"/>
        <v>6.6913999999999998</v>
      </c>
      <c r="G53" s="50">
        <f>ROUND(D53*E53,2)</f>
        <v>753.45</v>
      </c>
      <c r="H53" s="241"/>
      <c r="I53" s="194"/>
      <c r="J53" s="243"/>
      <c r="K53" s="195"/>
      <c r="L53" s="196"/>
      <c r="M53" s="227"/>
      <c r="N53" s="236"/>
      <c r="O53" s="237"/>
      <c r="P53" s="230"/>
      <c r="Q53" s="238"/>
      <c r="R53" s="242"/>
      <c r="S53" s="233"/>
      <c r="T53" s="224"/>
      <c r="U53" s="33"/>
    </row>
    <row r="54" spans="1:21" ht="15.75" thickBot="1">
      <c r="A54" s="891"/>
      <c r="B54" s="887"/>
      <c r="C54" s="54" t="s">
        <v>29</v>
      </c>
      <c r="D54" s="246">
        <v>10519.3</v>
      </c>
      <c r="E54" s="56">
        <v>6.6913999999999998</v>
      </c>
      <c r="F54" s="57">
        <f t="shared" si="5"/>
        <v>6.6913999999999998</v>
      </c>
      <c r="G54" s="247">
        <f>ROUND(D54*E54*70%+D54*F54*30%,2)</f>
        <v>70388.84</v>
      </c>
      <c r="H54" s="248"/>
      <c r="I54" s="203"/>
      <c r="J54" s="60"/>
      <c r="K54" s="61"/>
      <c r="L54" s="249"/>
      <c r="M54" s="250"/>
      <c r="N54" s="251"/>
      <c r="O54" s="252">
        <v>15777.9</v>
      </c>
      <c r="P54" s="253" t="s">
        <v>47</v>
      </c>
      <c r="Q54" s="254">
        <f>+G54+J54-M54-N54-O54</f>
        <v>54610.939999999995</v>
      </c>
      <c r="R54" s="255" t="s">
        <v>54</v>
      </c>
      <c r="S54" s="256">
        <f>SUM(O47:O54)</f>
        <v>25488.190000000002</v>
      </c>
      <c r="T54" s="256">
        <f>SUM(Q47:Q54)</f>
        <v>-27426.19000000001</v>
      </c>
    </row>
    <row r="55" spans="1:21">
      <c r="A55" s="892">
        <v>402</v>
      </c>
      <c r="B55" s="183" t="s">
        <v>178</v>
      </c>
      <c r="C55" s="439" t="s">
        <v>135</v>
      </c>
      <c r="D55" s="296">
        <f>апр18!D56+апр18!D57</f>
        <v>165.95</v>
      </c>
      <c r="E55" s="41">
        <f>6.6914-6.3259</f>
        <v>0.36549999999999994</v>
      </c>
      <c r="F55" s="41">
        <f t="shared" si="5"/>
        <v>0.36549999999999994</v>
      </c>
      <c r="G55" s="235">
        <f t="shared" ref="G55:G66" si="6">ROUND(D55*E55,2)</f>
        <v>60.65</v>
      </c>
      <c r="H55" s="270"/>
      <c r="I55" s="41"/>
      <c r="J55" s="41"/>
      <c r="K55" s="271"/>
      <c r="L55" s="294">
        <f>SUM(G55:G57)</f>
        <v>1383.21</v>
      </c>
      <c r="M55" s="227">
        <v>1383.21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192"/>
      <c r="C56" s="48" t="s">
        <v>136</v>
      </c>
      <c r="D56" s="269">
        <v>2.09</v>
      </c>
      <c r="E56" s="41">
        <v>6.6913999999999998</v>
      </c>
      <c r="F56" s="41">
        <f t="shared" si="5"/>
        <v>6.6913999999999998</v>
      </c>
      <c r="G56" s="235">
        <f t="shared" si="6"/>
        <v>13.99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202"/>
      <c r="C57" s="54" t="s">
        <v>29</v>
      </c>
      <c r="D57" s="279">
        <v>195.56</v>
      </c>
      <c r="E57" s="56">
        <v>6.6913999999999998</v>
      </c>
      <c r="F57" s="57">
        <f t="shared" si="5"/>
        <v>6.6913999999999998</v>
      </c>
      <c r="G57" s="247">
        <f t="shared" si="6"/>
        <v>1308.57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92">
        <v>409</v>
      </c>
      <c r="B58" s="183" t="s">
        <v>218</v>
      </c>
      <c r="C58" s="439" t="s">
        <v>135</v>
      </c>
      <c r="D58" s="296">
        <f>апр18!D59+апр18!D60</f>
        <v>108.95</v>
      </c>
      <c r="E58" s="41">
        <f>6.6914-6.3259</f>
        <v>0.36549999999999994</v>
      </c>
      <c r="F58" s="41">
        <f t="shared" si="5"/>
        <v>0.36549999999999994</v>
      </c>
      <c r="G58" s="235">
        <f>ROUND(D58*E58,2)</f>
        <v>39.82</v>
      </c>
      <c r="H58" s="270"/>
      <c r="I58" s="41"/>
      <c r="J58" s="41"/>
      <c r="K58" s="271"/>
      <c r="L58" s="294">
        <f>SUM(G58:G60)</f>
        <v>820.24</v>
      </c>
      <c r="M58" s="227">
        <v>820.24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192"/>
      <c r="C59" s="48" t="s">
        <v>136</v>
      </c>
      <c r="D59" s="269">
        <v>1.23</v>
      </c>
      <c r="E59" s="41">
        <v>6.6913999999999998</v>
      </c>
      <c r="F59" s="41">
        <f t="shared" si="5"/>
        <v>6.6913999999999998</v>
      </c>
      <c r="G59" s="235">
        <f t="shared" si="6"/>
        <v>8.23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115.4</v>
      </c>
      <c r="E60" s="56">
        <v>6.6913999999999998</v>
      </c>
      <c r="F60" s="57">
        <f t="shared" si="5"/>
        <v>6.6913999999999998</v>
      </c>
      <c r="G60" s="247">
        <f t="shared" si="6"/>
        <v>772.19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>
      <c r="A61" s="892">
        <v>410</v>
      </c>
      <c r="B61" s="183" t="s">
        <v>138</v>
      </c>
      <c r="C61" s="439" t="s">
        <v>135</v>
      </c>
      <c r="D61" s="296">
        <f>апр18!D62+апр18!D63</f>
        <v>238.32000000000002</v>
      </c>
      <c r="E61" s="41">
        <f>6.6914-6.3259</f>
        <v>0.36549999999999994</v>
      </c>
      <c r="F61" s="41">
        <f t="shared" si="5"/>
        <v>0.36549999999999994</v>
      </c>
      <c r="G61" s="235">
        <f>ROUND(D61*E61,2)-0.01</f>
        <v>87.1</v>
      </c>
      <c r="H61" s="270"/>
      <c r="I61" s="41"/>
      <c r="J61" s="41"/>
      <c r="K61" s="271"/>
      <c r="L61" s="294">
        <f>SUM(G61:G63)</f>
        <v>1950.99</v>
      </c>
      <c r="M61" s="227">
        <v>1950.99</v>
      </c>
      <c r="N61" s="274"/>
      <c r="O61" s="237"/>
      <c r="P61" s="275"/>
      <c r="Q61" s="237"/>
      <c r="R61" s="242"/>
      <c r="S61" s="266"/>
      <c r="T61" s="266"/>
    </row>
    <row r="62" spans="1:21" ht="15.75">
      <c r="A62" s="896"/>
      <c r="B62" s="192"/>
      <c r="C62" s="48" t="s">
        <v>136</v>
      </c>
      <c r="D62" s="269">
        <v>2.95</v>
      </c>
      <c r="E62" s="41">
        <v>6.6913999999999998</v>
      </c>
      <c r="F62" s="41">
        <f t="shared" si="5"/>
        <v>6.6913999999999998</v>
      </c>
      <c r="G62" s="235">
        <f t="shared" si="6"/>
        <v>19.739999999999998</v>
      </c>
      <c r="H62" s="270"/>
      <c r="I62" s="41"/>
      <c r="J62" s="41"/>
      <c r="K62" s="271"/>
      <c r="L62" s="272"/>
      <c r="M62" s="273"/>
      <c r="N62" s="274"/>
      <c r="O62" s="237"/>
      <c r="P62" s="275"/>
      <c r="Q62" s="237"/>
      <c r="R62" s="242"/>
      <c r="S62" s="266"/>
      <c r="T62" s="266"/>
    </row>
    <row r="63" spans="1:21" ht="16.5" thickBot="1">
      <c r="A63" s="891"/>
      <c r="B63" s="887"/>
      <c r="C63" s="54" t="s">
        <v>29</v>
      </c>
      <c r="D63" s="279">
        <v>275.60000000000002</v>
      </c>
      <c r="E63" s="56">
        <v>6.6913999999999998</v>
      </c>
      <c r="F63" s="57">
        <f t="shared" si="5"/>
        <v>6.6913999999999998</v>
      </c>
      <c r="G63" s="247">
        <f t="shared" si="6"/>
        <v>1844.15</v>
      </c>
      <c r="H63" s="280"/>
      <c r="I63" s="281"/>
      <c r="J63" s="281"/>
      <c r="K63" s="282"/>
      <c r="L63" s="204"/>
      <c r="M63" s="250"/>
      <c r="N63" s="283"/>
      <c r="O63" s="252"/>
      <c r="P63" s="284"/>
      <c r="Q63" s="252"/>
      <c r="R63" s="242"/>
      <c r="S63" s="266"/>
      <c r="T63" s="266"/>
    </row>
    <row r="64" spans="1:21">
      <c r="A64" s="892">
        <v>411</v>
      </c>
      <c r="B64" s="183" t="s">
        <v>229</v>
      </c>
      <c r="C64" s="439" t="s">
        <v>135</v>
      </c>
      <c r="D64" s="296">
        <f>апр18!D65+апр18!D66</f>
        <v>10.11</v>
      </c>
      <c r="E64" s="41">
        <f>6.6914-6.3259</f>
        <v>0.36549999999999994</v>
      </c>
      <c r="F64" s="41">
        <f t="shared" si="5"/>
        <v>0.36549999999999994</v>
      </c>
      <c r="G64" s="235">
        <f t="shared" si="6"/>
        <v>3.7</v>
      </c>
      <c r="H64" s="270"/>
      <c r="I64" s="41"/>
      <c r="J64" s="41"/>
      <c r="K64" s="271"/>
      <c r="L64" s="294">
        <f>SUM(G64:G66)</f>
        <v>3.7</v>
      </c>
      <c r="M64" s="227">
        <v>0</v>
      </c>
      <c r="N64" s="274"/>
      <c r="O64" s="983" t="s">
        <v>237</v>
      </c>
      <c r="P64" s="275"/>
      <c r="Q64" s="237"/>
      <c r="R64" s="242"/>
      <c r="S64" s="266"/>
      <c r="T64" s="266"/>
    </row>
    <row r="65" spans="1:20" ht="15.75">
      <c r="A65" s="896"/>
      <c r="B65" s="192"/>
      <c r="C65" s="48" t="s">
        <v>136</v>
      </c>
      <c r="D65" s="269">
        <v>0</v>
      </c>
      <c r="E65" s="41">
        <v>6.6913999999999998</v>
      </c>
      <c r="F65" s="41">
        <f t="shared" si="5"/>
        <v>6.6913999999999998</v>
      </c>
      <c r="G65" s="235">
        <f>ROUND(D65*E65,2)</f>
        <v>0</v>
      </c>
      <c r="H65" s="270"/>
      <c r="I65" s="41"/>
      <c r="J65" s="41"/>
      <c r="K65" s="271"/>
      <c r="L65" s="272"/>
      <c r="M65" s="273"/>
      <c r="N65" s="274"/>
      <c r="O65" s="237"/>
      <c r="P65" s="275"/>
      <c r="Q65" s="237"/>
      <c r="R65" s="242"/>
      <c r="S65" s="266"/>
      <c r="T65" s="266"/>
    </row>
    <row r="66" spans="1:20" ht="16.5" thickBot="1">
      <c r="A66" s="891"/>
      <c r="B66" s="887"/>
      <c r="C66" s="54" t="s">
        <v>29</v>
      </c>
      <c r="D66" s="279">
        <v>0</v>
      </c>
      <c r="E66" s="56">
        <v>6.6913999999999998</v>
      </c>
      <c r="F66" s="57">
        <f t="shared" si="5"/>
        <v>6.6913999999999998</v>
      </c>
      <c r="G66" s="247">
        <f t="shared" si="6"/>
        <v>0</v>
      </c>
      <c r="H66" s="280"/>
      <c r="I66" s="281"/>
      <c r="J66" s="281"/>
      <c r="K66" s="282"/>
      <c r="L66" s="204"/>
      <c r="M66" s="250"/>
      <c r="N66" s="283"/>
      <c r="O66" s="252"/>
      <c r="P66" s="284"/>
      <c r="Q66" s="252"/>
      <c r="R66" s="242"/>
      <c r="S66" s="266"/>
      <c r="T66" s="266"/>
    </row>
    <row r="67" spans="1:20" ht="16.5" collapsed="1" thickBot="1">
      <c r="A67" s="891">
        <v>412</v>
      </c>
      <c r="B67" s="887" t="s">
        <v>58</v>
      </c>
      <c r="C67" s="54" t="s">
        <v>59</v>
      </c>
      <c r="D67" s="822">
        <v>0.27</v>
      </c>
      <c r="E67" s="21">
        <v>36.214199999999998</v>
      </c>
      <c r="F67" s="21">
        <v>42.4328</v>
      </c>
      <c r="G67" s="214">
        <f>ROUND(D67*(E67+F67),2)</f>
        <v>21.23</v>
      </c>
      <c r="H67" s="213"/>
      <c r="I67" s="41"/>
      <c r="J67" s="215"/>
      <c r="K67" s="679"/>
      <c r="L67" s="294">
        <f>SUM(G67:G71)</f>
        <v>1395.95</v>
      </c>
      <c r="M67" s="227">
        <v>1395.95</v>
      </c>
      <c r="N67" s="264"/>
      <c r="O67" s="229"/>
      <c r="P67" s="265"/>
      <c r="Q67" s="229"/>
      <c r="R67" s="242"/>
      <c r="S67" s="266"/>
      <c r="T67" s="266"/>
    </row>
    <row r="68" spans="1:20" ht="15.75">
      <c r="A68" s="896"/>
      <c r="B68" s="885"/>
      <c r="C68" s="292"/>
      <c r="D68" s="269"/>
      <c r="E68" s="38"/>
      <c r="F68" s="38"/>
      <c r="G68" s="235">
        <f>ROUND(D68*(E68+F68),2)</f>
        <v>0</v>
      </c>
      <c r="H68" s="225"/>
      <c r="I68" s="41"/>
      <c r="J68" s="194"/>
      <c r="K68" s="295"/>
      <c r="L68" s="294"/>
      <c r="M68" s="227"/>
      <c r="N68" s="264"/>
      <c r="O68" s="229"/>
      <c r="P68" s="265"/>
      <c r="Q68" s="229"/>
      <c r="R68" s="242"/>
      <c r="S68" s="266"/>
      <c r="T68" s="266"/>
    </row>
    <row r="69" spans="1:20">
      <c r="A69" s="896"/>
      <c r="B69" s="885"/>
      <c r="C69" s="48" t="s">
        <v>135</v>
      </c>
      <c r="D69" s="296">
        <f>апр18!D70+апр18!D71</f>
        <v>165.60000000000002</v>
      </c>
      <c r="E69" s="41">
        <f>6.6914-6.3259</f>
        <v>0.36549999999999994</v>
      </c>
      <c r="F69" s="41">
        <f t="shared" ref="F69:F86" si="7">+E69</f>
        <v>0.36549999999999994</v>
      </c>
      <c r="G69" s="235">
        <f>ROUND(D69*E69,2)</f>
        <v>60.53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5.75">
      <c r="A70" s="896"/>
      <c r="B70" s="885"/>
      <c r="C70" s="48" t="s">
        <v>136</v>
      </c>
      <c r="D70" s="269">
        <v>2.1</v>
      </c>
      <c r="E70" s="41">
        <v>6.6913999999999998</v>
      </c>
      <c r="F70" s="41">
        <f t="shared" si="7"/>
        <v>6.6913999999999998</v>
      </c>
      <c r="G70" s="235">
        <f t="shared" ref="G70:G71" si="8">ROUND(D70*E70,2)</f>
        <v>14.05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0" ht="16.5" thickBot="1">
      <c r="A71" s="891"/>
      <c r="B71" s="887"/>
      <c r="C71" s="54" t="s">
        <v>29</v>
      </c>
      <c r="D71" s="279">
        <v>194.3</v>
      </c>
      <c r="E71" s="56">
        <v>6.6913999999999998</v>
      </c>
      <c r="F71" s="57">
        <f t="shared" si="7"/>
        <v>6.6913999999999998</v>
      </c>
      <c r="G71" s="247">
        <f t="shared" si="8"/>
        <v>1300.1400000000001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0" ht="15" customHeight="1">
      <c r="A72" s="892">
        <v>413</v>
      </c>
      <c r="B72" s="883" t="s">
        <v>56</v>
      </c>
      <c r="C72" s="439" t="s">
        <v>135</v>
      </c>
      <c r="D72" s="894">
        <f>апр18!D73+апр18!D74</f>
        <v>323.89999999999998</v>
      </c>
      <c r="E72" s="41">
        <f>6.6914-6.3259</f>
        <v>0.36549999999999994</v>
      </c>
      <c r="F72" s="41">
        <f t="shared" si="7"/>
        <v>0.36549999999999994</v>
      </c>
      <c r="G72" s="214">
        <f>ROUND(D72*E72,2)-0.01</f>
        <v>118.38</v>
      </c>
      <c r="H72" s="260"/>
      <c r="I72" s="261"/>
      <c r="J72" s="261"/>
      <c r="K72" s="262"/>
      <c r="L72" s="286">
        <f>SUM(G72:G74)</f>
        <v>1546.99</v>
      </c>
      <c r="M72" s="227">
        <v>1546.99</v>
      </c>
      <c r="N72" s="264"/>
      <c r="O72" s="229"/>
      <c r="P72" s="265"/>
      <c r="Q72" s="229"/>
      <c r="R72" s="287"/>
      <c r="S72" s="288"/>
      <c r="T72" s="288"/>
    </row>
    <row r="73" spans="1:20" ht="15.75">
      <c r="A73" s="893"/>
      <c r="B73" s="885"/>
      <c r="C73" s="48" t="s">
        <v>136</v>
      </c>
      <c r="D73" s="895">
        <v>2.2999999999999998</v>
      </c>
      <c r="E73" s="41">
        <v>6.6913999999999998</v>
      </c>
      <c r="F73" s="41">
        <f t="shared" si="7"/>
        <v>6.6913999999999998</v>
      </c>
      <c r="G73" s="235">
        <f t="shared" ref="G73:G77" si="9">ROUND(D73*E73,2)</f>
        <v>15.39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87"/>
      <c r="S73" s="288"/>
      <c r="T73" s="288"/>
    </row>
    <row r="74" spans="1:20" ht="16.5" thickBot="1">
      <c r="A74" s="891"/>
      <c r="B74" s="887"/>
      <c r="C74" s="54" t="s">
        <v>29</v>
      </c>
      <c r="D74" s="279">
        <v>211.2</v>
      </c>
      <c r="E74" s="56">
        <v>6.6913999999999998</v>
      </c>
      <c r="F74" s="57">
        <f t="shared" si="7"/>
        <v>6.6913999999999998</v>
      </c>
      <c r="G74" s="247">
        <f t="shared" si="9"/>
        <v>1413.22</v>
      </c>
      <c r="H74" s="280"/>
      <c r="I74" s="281"/>
      <c r="J74" s="281"/>
      <c r="K74" s="682"/>
      <c r="L74" s="204"/>
      <c r="M74" s="250"/>
      <c r="N74" s="283"/>
      <c r="O74" s="252"/>
      <c r="P74" s="284"/>
      <c r="Q74" s="252"/>
      <c r="R74" s="287"/>
      <c r="S74" s="288"/>
      <c r="T74" s="288"/>
    </row>
    <row r="75" spans="1:20">
      <c r="A75" s="892">
        <v>414</v>
      </c>
      <c r="B75" s="183" t="s">
        <v>179</v>
      </c>
      <c r="C75" s="439" t="s">
        <v>135</v>
      </c>
      <c r="D75" s="296">
        <f>апр18!D76+апр18!D77</f>
        <v>29.209999999999997</v>
      </c>
      <c r="E75" s="41">
        <f>6.6914-6.3259</f>
        <v>0.36549999999999994</v>
      </c>
      <c r="F75" s="41">
        <f t="shared" si="7"/>
        <v>0.36549999999999994</v>
      </c>
      <c r="G75" s="235">
        <f>ROUND(D75*E75,2)</f>
        <v>10.68</v>
      </c>
      <c r="H75" s="270"/>
      <c r="I75" s="41"/>
      <c r="J75" s="41"/>
      <c r="K75" s="271"/>
      <c r="L75" s="294">
        <f>SUM(G75:G77)</f>
        <v>174.35</v>
      </c>
      <c r="M75" s="227">
        <v>174.35</v>
      </c>
      <c r="N75" s="274"/>
      <c r="O75" s="237"/>
      <c r="P75" s="275"/>
      <c r="Q75" s="237"/>
      <c r="R75" s="242"/>
      <c r="S75" s="266"/>
      <c r="T75" s="266"/>
    </row>
    <row r="76" spans="1:20" ht="15.75">
      <c r="A76" s="896"/>
      <c r="B76" s="192"/>
      <c r="C76" s="48" t="s">
        <v>136</v>
      </c>
      <c r="D76" s="269">
        <v>0.26</v>
      </c>
      <c r="E76" s="41">
        <v>6.6913999999999998</v>
      </c>
      <c r="F76" s="41">
        <f t="shared" si="7"/>
        <v>6.6913999999999998</v>
      </c>
      <c r="G76" s="235">
        <f t="shared" si="9"/>
        <v>1.74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6.5" thickBot="1">
      <c r="A77" s="891"/>
      <c r="B77" s="887"/>
      <c r="C77" s="99" t="s">
        <v>29</v>
      </c>
      <c r="D77" s="279">
        <v>24.2</v>
      </c>
      <c r="E77" s="56">
        <v>6.6913999999999998</v>
      </c>
      <c r="F77" s="57">
        <f t="shared" si="7"/>
        <v>6.6913999999999998</v>
      </c>
      <c r="G77" s="247">
        <f t="shared" si="9"/>
        <v>161.93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0" collapsed="1">
      <c r="A78" s="892">
        <v>415</v>
      </c>
      <c r="B78" s="183" t="s">
        <v>166</v>
      </c>
      <c r="C78" s="439" t="s">
        <v>135</v>
      </c>
      <c r="D78" s="296">
        <f>апр18!D79+апр18!D80</f>
        <v>166.26</v>
      </c>
      <c r="E78" s="41">
        <f>6.6914-6.3259</f>
        <v>0.36549999999999994</v>
      </c>
      <c r="F78" s="41">
        <f t="shared" si="7"/>
        <v>0.36549999999999994</v>
      </c>
      <c r="G78" s="235">
        <f>ROUND(D78*E78,2)</f>
        <v>60.77</v>
      </c>
      <c r="H78" s="270"/>
      <c r="I78" s="41"/>
      <c r="J78" s="41"/>
      <c r="K78" s="271"/>
      <c r="L78" s="294">
        <f>SUM(G78:G80)</f>
        <v>1378.91</v>
      </c>
      <c r="M78" s="227">
        <v>1378.91</v>
      </c>
      <c r="N78" s="274"/>
      <c r="O78" s="237"/>
      <c r="P78" s="275"/>
      <c r="Q78" s="237"/>
      <c r="R78" s="242"/>
      <c r="S78" s="266"/>
      <c r="T78" s="266"/>
    </row>
    <row r="79" spans="1:20" ht="15.75">
      <c r="A79" s="896"/>
      <c r="B79" s="192"/>
      <c r="C79" s="48" t="s">
        <v>136</v>
      </c>
      <c r="D79" s="269">
        <v>2.09</v>
      </c>
      <c r="E79" s="41">
        <v>6.6913999999999998</v>
      </c>
      <c r="F79" s="41">
        <f t="shared" si="7"/>
        <v>6.6913999999999998</v>
      </c>
      <c r="G79" s="235">
        <f t="shared" ref="G79:G80" si="10">ROUND(D79*E79,2)</f>
        <v>13.99</v>
      </c>
      <c r="H79" s="270"/>
      <c r="I79" s="41"/>
      <c r="J79" s="41"/>
      <c r="K79" s="271"/>
      <c r="L79" s="272"/>
      <c r="M79" s="273"/>
      <c r="N79" s="274"/>
      <c r="O79" s="237"/>
      <c r="P79" s="275"/>
      <c r="Q79" s="237"/>
      <c r="R79" s="242"/>
      <c r="S79" s="266"/>
      <c r="T79" s="266"/>
    </row>
    <row r="80" spans="1:20" ht="16.5" thickBot="1">
      <c r="A80" s="891"/>
      <c r="B80" s="887"/>
      <c r="C80" s="54" t="s">
        <v>29</v>
      </c>
      <c r="D80" s="279">
        <v>194.9</v>
      </c>
      <c r="E80" s="56">
        <v>6.6913999999999998</v>
      </c>
      <c r="F80" s="57">
        <f t="shared" si="7"/>
        <v>6.6913999999999998</v>
      </c>
      <c r="G80" s="247">
        <f t="shared" si="10"/>
        <v>1304.1500000000001</v>
      </c>
      <c r="H80" s="280"/>
      <c r="I80" s="281"/>
      <c r="J80" s="281"/>
      <c r="K80" s="282"/>
      <c r="L80" s="204"/>
      <c r="M80" s="250"/>
      <c r="N80" s="283"/>
      <c r="O80" s="252"/>
      <c r="P80" s="284"/>
      <c r="Q80" s="252"/>
      <c r="R80" s="242"/>
      <c r="S80" s="266"/>
      <c r="T80" s="266"/>
    </row>
    <row r="81" spans="1:20">
      <c r="A81" s="892">
        <v>416</v>
      </c>
      <c r="B81" s="183" t="s">
        <v>173</v>
      </c>
      <c r="C81" s="439" t="s">
        <v>135</v>
      </c>
      <c r="D81" s="296">
        <f>апр18!D82+апр18!D83</f>
        <v>334.44</v>
      </c>
      <c r="E81" s="41">
        <f>6.6914-6.3259</f>
        <v>0.36549999999999994</v>
      </c>
      <c r="F81" s="41">
        <f t="shared" si="7"/>
        <v>0.36549999999999994</v>
      </c>
      <c r="G81" s="235">
        <f>ROUND(D81*E81,2)</f>
        <v>122.24</v>
      </c>
      <c r="H81" s="270"/>
      <c r="I81" s="41"/>
      <c r="J81" s="41"/>
      <c r="K81" s="271"/>
      <c r="L81" s="294">
        <f>SUM(G81:G83)</f>
        <v>2783.48</v>
      </c>
      <c r="M81" s="227">
        <v>2783.48</v>
      </c>
      <c r="N81" s="274"/>
      <c r="O81" s="237"/>
      <c r="P81" s="275"/>
      <c r="Q81" s="237"/>
      <c r="R81" s="242"/>
      <c r="S81" s="266"/>
      <c r="T81" s="266"/>
    </row>
    <row r="82" spans="1:20" ht="15.75">
      <c r="A82" s="896"/>
      <c r="B82" s="192"/>
      <c r="C82" s="48" t="s">
        <v>136</v>
      </c>
      <c r="D82" s="269">
        <v>4.21</v>
      </c>
      <c r="E82" s="41">
        <v>6.6913999999999998</v>
      </c>
      <c r="F82" s="41">
        <f t="shared" si="7"/>
        <v>6.6913999999999998</v>
      </c>
      <c r="G82" s="235">
        <f>ROUND(D82*E82,2)</f>
        <v>28.17</v>
      </c>
      <c r="H82" s="270"/>
      <c r="I82" s="41"/>
      <c r="J82" s="41"/>
      <c r="K82" s="271"/>
      <c r="L82" s="272"/>
      <c r="M82" s="273"/>
      <c r="N82" s="274"/>
      <c r="O82" s="237"/>
      <c r="P82" s="275"/>
      <c r="Q82" s="237"/>
      <c r="R82" s="242"/>
      <c r="S82" s="266"/>
      <c r="T82" s="266"/>
    </row>
    <row r="83" spans="1:20" ht="16.5" thickBot="1">
      <c r="A83" s="891"/>
      <c r="B83" s="887"/>
      <c r="C83" s="54" t="s">
        <v>29</v>
      </c>
      <c r="D83" s="279">
        <v>393.5</v>
      </c>
      <c r="E83" s="56">
        <v>6.6913999999999998</v>
      </c>
      <c r="F83" s="57">
        <f t="shared" si="7"/>
        <v>6.6913999999999998</v>
      </c>
      <c r="G83" s="247">
        <f>ROUND(D83*E83,2)</f>
        <v>2633.07</v>
      </c>
      <c r="H83" s="280"/>
      <c r="I83" s="281"/>
      <c r="J83" s="281"/>
      <c r="K83" s="282"/>
      <c r="L83" s="204"/>
      <c r="M83" s="250"/>
      <c r="N83" s="283"/>
      <c r="O83" s="252"/>
      <c r="P83" s="284"/>
      <c r="Q83" s="252"/>
      <c r="R83" s="242"/>
      <c r="S83" s="266"/>
      <c r="T83" s="266"/>
    </row>
    <row r="84" spans="1:20">
      <c r="A84" s="892">
        <v>417</v>
      </c>
      <c r="B84" s="183" t="s">
        <v>174</v>
      </c>
      <c r="C84" s="439" t="s">
        <v>135</v>
      </c>
      <c r="D84" s="296">
        <f>апр18!D85+апр18!D86</f>
        <v>202.23999999999998</v>
      </c>
      <c r="E84" s="41">
        <f>6.6914-6.3259</f>
        <v>0.36549999999999994</v>
      </c>
      <c r="F84" s="41">
        <f t="shared" si="7"/>
        <v>0.36549999999999994</v>
      </c>
      <c r="G84" s="235">
        <f>ROUND(D84*E84,2)</f>
        <v>73.92</v>
      </c>
      <c r="H84" s="270"/>
      <c r="I84" s="41"/>
      <c r="J84" s="41"/>
      <c r="K84" s="271"/>
      <c r="L84" s="294">
        <f>SUM(G84:G86)</f>
        <v>1445.46</v>
      </c>
      <c r="M84" s="227">
        <v>1445.46</v>
      </c>
      <c r="N84" s="274"/>
      <c r="O84" s="237"/>
      <c r="P84" s="275"/>
      <c r="Q84" s="237"/>
      <c r="R84" s="242"/>
      <c r="S84" s="266"/>
      <c r="T84" s="266"/>
    </row>
    <row r="85" spans="1:20" ht="15.75">
      <c r="A85" s="896"/>
      <c r="B85" s="192"/>
      <c r="C85" s="48" t="s">
        <v>136</v>
      </c>
      <c r="D85" s="269">
        <v>2.17</v>
      </c>
      <c r="E85" s="41">
        <v>6.6913999999999998</v>
      </c>
      <c r="F85" s="41">
        <f t="shared" si="7"/>
        <v>6.6913999999999998</v>
      </c>
      <c r="G85" s="235">
        <f t="shared" ref="G85:G86" si="11">ROUND(D85*E85,2)</f>
        <v>14.52</v>
      </c>
      <c r="H85" s="270"/>
      <c r="I85" s="41"/>
      <c r="J85" s="41"/>
      <c r="K85" s="271"/>
      <c r="L85" s="272"/>
      <c r="M85" s="273"/>
      <c r="N85" s="274"/>
      <c r="O85" s="237"/>
      <c r="P85" s="275"/>
      <c r="Q85" s="237"/>
      <c r="R85" s="242"/>
      <c r="S85" s="266"/>
      <c r="T85" s="266"/>
    </row>
    <row r="86" spans="1:20" ht="16.5" thickBot="1">
      <c r="A86" s="891"/>
      <c r="B86" s="202"/>
      <c r="C86" s="54" t="s">
        <v>29</v>
      </c>
      <c r="D86" s="279">
        <v>202.8</v>
      </c>
      <c r="E86" s="56">
        <v>6.6913999999999998</v>
      </c>
      <c r="F86" s="57">
        <f t="shared" si="7"/>
        <v>6.6913999999999998</v>
      </c>
      <c r="G86" s="247">
        <f t="shared" si="11"/>
        <v>1357.02</v>
      </c>
      <c r="H86" s="280"/>
      <c r="I86" s="281"/>
      <c r="J86" s="281"/>
      <c r="K86" s="282"/>
      <c r="L86" s="204"/>
      <c r="M86" s="250"/>
      <c r="N86" s="283"/>
      <c r="O86" s="252"/>
      <c r="P86" s="284"/>
      <c r="Q86" s="252"/>
      <c r="R86" s="242"/>
      <c r="S86" s="266"/>
      <c r="T86" s="266"/>
    </row>
    <row r="87" spans="1:20" ht="15.75">
      <c r="A87" s="892">
        <v>500</v>
      </c>
      <c r="B87" s="883" t="s">
        <v>55</v>
      </c>
      <c r="C87" s="439" t="s">
        <v>135</v>
      </c>
      <c r="D87" s="259">
        <f>апр18!D88+апр18!D89</f>
        <v>2393.46</v>
      </c>
      <c r="E87" s="41">
        <f>6.6914-6.3259</f>
        <v>0.36549999999999994</v>
      </c>
      <c r="F87" s="41">
        <f t="shared" si="5"/>
        <v>0.36549999999999994</v>
      </c>
      <c r="G87" s="214">
        <f>ROUND(D87*E87,2)</f>
        <v>874.81</v>
      </c>
      <c r="H87" s="260"/>
      <c r="I87" s="261"/>
      <c r="J87" s="261"/>
      <c r="K87" s="262"/>
      <c r="L87" s="263">
        <f>SUM(G87:G89)</f>
        <v>20942.649999999998</v>
      </c>
      <c r="M87" s="187">
        <v>20942.650000000001</v>
      </c>
      <c r="N87" s="264"/>
      <c r="O87" s="229"/>
      <c r="P87" s="265"/>
      <c r="Q87" s="229"/>
      <c r="R87" s="242"/>
      <c r="S87" s="266"/>
      <c r="T87" s="266"/>
    </row>
    <row r="88" spans="1:20" ht="15.75">
      <c r="A88" s="893" t="s">
        <v>197</v>
      </c>
      <c r="B88" s="885"/>
      <c r="C88" s="48" t="s">
        <v>136</v>
      </c>
      <c r="D88" s="269">
        <v>31.75</v>
      </c>
      <c r="E88" s="41">
        <v>6.6913999999999998</v>
      </c>
      <c r="F88" s="41">
        <f t="shared" si="5"/>
        <v>6.6913999999999998</v>
      </c>
      <c r="G88" s="235">
        <f>ROUND(D88*E88,2)</f>
        <v>212.45</v>
      </c>
      <c r="H88" s="270"/>
      <c r="I88" s="41"/>
      <c r="J88" s="41"/>
      <c r="K88" s="271"/>
      <c r="L88" s="272"/>
      <c r="M88" s="273"/>
      <c r="N88" s="274"/>
      <c r="O88" s="237"/>
      <c r="P88" s="275"/>
      <c r="Q88" s="237"/>
      <c r="R88" s="242"/>
      <c r="S88" s="266"/>
      <c r="T88" s="266"/>
    </row>
    <row r="89" spans="1:20" ht="16.5" thickBot="1">
      <c r="A89" s="891"/>
      <c r="B89" s="887"/>
      <c r="C89" s="54" t="s">
        <v>29</v>
      </c>
      <c r="D89" s="279">
        <v>2967.3</v>
      </c>
      <c r="E89" s="56">
        <v>6.6913999999999998</v>
      </c>
      <c r="F89" s="57">
        <f t="shared" si="5"/>
        <v>6.6913999999999998</v>
      </c>
      <c r="G89" s="247">
        <f t="shared" ref="G89" si="12">ROUND(D89*E89,2)</f>
        <v>19855.39</v>
      </c>
      <c r="H89" s="280"/>
      <c r="I89" s="281"/>
      <c r="J89" s="281"/>
      <c r="K89" s="282"/>
      <c r="L89" s="204"/>
      <c r="M89" s="250"/>
      <c r="N89" s="283"/>
      <c r="O89" s="252"/>
      <c r="P89" s="284"/>
      <c r="Q89" s="252"/>
      <c r="R89" s="242"/>
      <c r="S89" s="266"/>
      <c r="T89" s="266"/>
    </row>
    <row r="90" spans="1:20" ht="16.5" hidden="1" outlineLevel="1" thickBot="1">
      <c r="A90" s="892"/>
      <c r="B90" s="883" t="s">
        <v>57</v>
      </c>
      <c r="C90" s="439"/>
      <c r="D90" s="259"/>
      <c r="E90" s="21">
        <v>36.214199999999998</v>
      </c>
      <c r="F90" s="21">
        <v>42.4328</v>
      </c>
      <c r="G90" s="214">
        <f>ROUND(D90*(E90+F90),2)</f>
        <v>0</v>
      </c>
      <c r="H90" s="213">
        <v>0</v>
      </c>
      <c r="I90">
        <v>22.478999999999999</v>
      </c>
      <c r="J90" s="215">
        <f t="shared" ref="J90" si="13">H90*I90</f>
        <v>0</v>
      </c>
      <c r="K90" s="679">
        <v>42705</v>
      </c>
      <c r="L90" s="294">
        <f>SUM(G90:G94)+J90+J92</f>
        <v>0</v>
      </c>
      <c r="M90" s="227"/>
      <c r="N90" s="264"/>
      <c r="O90" s="229"/>
      <c r="P90" s="265"/>
      <c r="Q90" s="229"/>
      <c r="R90" s="242"/>
      <c r="S90" s="266"/>
      <c r="T90" s="266"/>
    </row>
    <row r="91" spans="1:20" ht="16.5" hidden="1" outlineLevel="1" thickBot="1">
      <c r="A91" s="891"/>
      <c r="B91" s="887"/>
      <c r="C91" s="54"/>
      <c r="D91" s="269"/>
      <c r="E91" s="38">
        <f>32.332-28.8628</f>
        <v>3.4692000000000007</v>
      </c>
      <c r="F91" s="38">
        <f>37.8898-33.8306</f>
        <v>4.0592000000000041</v>
      </c>
      <c r="G91" s="235">
        <f>ROUND(D91*(E91+F91),2)</f>
        <v>0</v>
      </c>
      <c r="H91" s="225"/>
      <c r="J91" s="194"/>
      <c r="K91" s="683"/>
      <c r="L91" s="294"/>
      <c r="M91" s="227"/>
      <c r="N91" s="264"/>
      <c r="O91" s="229"/>
      <c r="P91" s="265"/>
      <c r="Q91" s="229"/>
      <c r="R91" s="242"/>
      <c r="S91" s="266"/>
      <c r="T91" s="266"/>
    </row>
    <row r="92" spans="1:20" ht="15.75" hidden="1" outlineLevel="1" thickBot="1">
      <c r="A92" s="892"/>
      <c r="B92" s="883"/>
      <c r="C92" s="439" t="s">
        <v>170</v>
      </c>
      <c r="D92" s="296"/>
      <c r="E92" s="41">
        <f>7.0207-6.6426</f>
        <v>0.37809999999999988</v>
      </c>
      <c r="F92" s="41">
        <f>+E92</f>
        <v>0.37809999999999988</v>
      </c>
      <c r="G92" s="235">
        <f>ROUND(D92*E92,2)</f>
        <v>0</v>
      </c>
      <c r="H92" s="270"/>
      <c r="I92" s="41"/>
      <c r="J92" s="41"/>
      <c r="K92" s="684"/>
      <c r="L92" s="272"/>
      <c r="M92" s="273"/>
      <c r="N92" s="274"/>
      <c r="O92" s="237"/>
      <c r="P92" s="275"/>
      <c r="Q92" s="237"/>
      <c r="R92" s="242"/>
      <c r="S92" s="266"/>
      <c r="T92" s="266"/>
    </row>
    <row r="93" spans="1:20" ht="16.5" hidden="1" outlineLevel="1" thickBot="1">
      <c r="A93" s="891"/>
      <c r="B93" s="887"/>
      <c r="C93" s="54" t="s">
        <v>171</v>
      </c>
      <c r="D93" s="269"/>
      <c r="E93" s="41">
        <v>7.0206999999999997</v>
      </c>
      <c r="F93" s="41">
        <f>+E93</f>
        <v>7.0206999999999997</v>
      </c>
      <c r="G93" s="235">
        <f>ROUND(D93*E93,2)</f>
        <v>0</v>
      </c>
      <c r="H93" s="270"/>
      <c r="I93" s="41"/>
      <c r="J93" s="41"/>
      <c r="K93" s="684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hidden="1" outlineLevel="1" thickBot="1">
      <c r="A94" s="892"/>
      <c r="B94" s="883"/>
      <c r="C94" s="439" t="s">
        <v>29</v>
      </c>
      <c r="D94" s="279"/>
      <c r="E94" s="56">
        <v>7.0206999999999997</v>
      </c>
      <c r="F94" s="57">
        <f>+E94</f>
        <v>7.0206999999999997</v>
      </c>
      <c r="G94" s="247">
        <f>ROUND(D94*E94,2)</f>
        <v>0</v>
      </c>
      <c r="H94" s="280"/>
      <c r="I94" s="281"/>
      <c r="J94" s="281"/>
      <c r="K94" s="6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 ht="15.75" hidden="1" outlineLevel="1" thickBot="1">
      <c r="A95" s="892"/>
      <c r="B95" s="183" t="s">
        <v>145</v>
      </c>
      <c r="C95" s="439" t="s">
        <v>170</v>
      </c>
      <c r="D95" s="296"/>
      <c r="E95" s="41">
        <f>7.0207-6.6426</f>
        <v>0.37809999999999988</v>
      </c>
      <c r="F95" s="41">
        <f t="shared" ref="F95:F97" si="14">+E95</f>
        <v>0.37809999999999988</v>
      </c>
      <c r="G95" s="235">
        <f>ROUND(D95*E95,2)</f>
        <v>0</v>
      </c>
      <c r="H95" s="270"/>
      <c r="I95" s="41"/>
      <c r="J95" s="41"/>
      <c r="K95" s="271"/>
      <c r="L95" s="294">
        <f>SUM(G95:G97)</f>
        <v>0</v>
      </c>
      <c r="M95" s="227"/>
      <c r="N95" s="274"/>
      <c r="O95" s="237"/>
      <c r="P95" s="275"/>
      <c r="Q95" s="237"/>
      <c r="R95" s="242"/>
      <c r="S95" s="266"/>
      <c r="T95" s="266"/>
    </row>
    <row r="96" spans="1:20" ht="16.5" hidden="1" outlineLevel="1" thickBot="1">
      <c r="A96" s="891"/>
      <c r="B96" s="887"/>
      <c r="C96" s="54" t="s">
        <v>171</v>
      </c>
      <c r="D96" s="269"/>
      <c r="E96" s="41">
        <v>7.0206999999999997</v>
      </c>
      <c r="F96" s="41">
        <f t="shared" si="14"/>
        <v>7.0206999999999997</v>
      </c>
      <c r="G96" s="235">
        <f t="shared" ref="G96:G97" si="15">ROUND(D96*E96,2)</f>
        <v>0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1" ht="16.5" hidden="1" outlineLevel="1" thickBot="1">
      <c r="A97" s="892"/>
      <c r="B97" s="183"/>
      <c r="C97" s="439" t="s">
        <v>29</v>
      </c>
      <c r="D97" s="279"/>
      <c r="E97" s="56">
        <v>7.0206999999999997</v>
      </c>
      <c r="F97" s="57">
        <f t="shared" si="14"/>
        <v>7.0206999999999997</v>
      </c>
      <c r="G97" s="247">
        <f t="shared" si="15"/>
        <v>0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1" ht="16.5" collapsed="1" thickTop="1">
      <c r="A98" s="898"/>
      <c r="B98" s="321"/>
      <c r="C98" s="322"/>
      <c r="D98" s="323"/>
      <c r="E98" s="163"/>
      <c r="F98" s="324"/>
      <c r="G98" s="325"/>
      <c r="H98" s="163"/>
      <c r="I98" s="163"/>
      <c r="J98" s="163"/>
      <c r="K98" s="163"/>
      <c r="L98" s="163"/>
      <c r="M98" s="326"/>
      <c r="N98" s="327"/>
      <c r="O98" s="328"/>
      <c r="P98" s="329"/>
      <c r="Q98" s="328"/>
      <c r="R98" s="330"/>
      <c r="S98" s="331"/>
      <c r="T98" s="266"/>
    </row>
    <row r="99" spans="1:21" ht="21.75" thickBot="1">
      <c r="A99" s="171" t="s">
        <v>60</v>
      </c>
      <c r="B99" s="2"/>
      <c r="C99" s="3"/>
      <c r="D99" s="2"/>
      <c r="E99" s="2"/>
      <c r="F99" s="2"/>
      <c r="G99" s="332"/>
      <c r="H99" s="332"/>
      <c r="I99" s="332"/>
      <c r="J99" s="2"/>
      <c r="K99" s="2"/>
      <c r="L99" s="2"/>
      <c r="M99" s="3"/>
      <c r="N99" s="2"/>
      <c r="O99" s="2"/>
      <c r="P99" s="2"/>
      <c r="Q99" s="2"/>
      <c r="R99" s="2"/>
      <c r="S99" s="2"/>
    </row>
    <row r="100" spans="1:21" ht="15" customHeight="1" thickTop="1">
      <c r="A100" s="1553" t="s">
        <v>1</v>
      </c>
      <c r="B100" s="1516" t="s">
        <v>2</v>
      </c>
      <c r="C100" s="1518" t="s">
        <v>3</v>
      </c>
      <c r="D100" s="1532" t="s">
        <v>4</v>
      </c>
      <c r="E100" s="1532"/>
      <c r="F100" s="1532"/>
      <c r="G100" s="1532"/>
      <c r="H100" s="1533" t="s">
        <v>5</v>
      </c>
      <c r="I100" s="1534"/>
      <c r="J100" s="1534"/>
      <c r="K100" s="1534"/>
      <c r="L100" s="1524" t="s">
        <v>6</v>
      </c>
      <c r="M100" s="1537" t="s">
        <v>7</v>
      </c>
      <c r="N100" s="1538" t="s">
        <v>8</v>
      </c>
      <c r="O100" s="1538"/>
      <c r="P100" s="1538"/>
      <c r="Q100" s="1539"/>
      <c r="R100" s="5"/>
      <c r="S100" s="5"/>
      <c r="T100" s="5" t="s">
        <v>61</v>
      </c>
      <c r="U100" t="s">
        <v>21</v>
      </c>
    </row>
    <row r="101" spans="1:21" ht="27" customHeight="1" thickBot="1">
      <c r="A101" s="1531"/>
      <c r="B101" s="1517"/>
      <c r="C101" s="1519" t="s">
        <v>10</v>
      </c>
      <c r="D101" s="333" t="s">
        <v>11</v>
      </c>
      <c r="E101" s="7" t="s">
        <v>12</v>
      </c>
      <c r="F101" s="7" t="s">
        <v>13</v>
      </c>
      <c r="G101" s="334" t="s">
        <v>14</v>
      </c>
      <c r="H101" s="335" t="s">
        <v>11</v>
      </c>
      <c r="I101" s="333" t="s">
        <v>15</v>
      </c>
      <c r="J101" s="336" t="s">
        <v>14</v>
      </c>
      <c r="K101" s="11" t="s">
        <v>16</v>
      </c>
      <c r="L101" s="1525"/>
      <c r="M101" s="1511"/>
      <c r="N101" s="337" t="s">
        <v>62</v>
      </c>
      <c r="O101" s="338" t="s">
        <v>44</v>
      </c>
      <c r="P101" s="13" t="s">
        <v>18</v>
      </c>
      <c r="Q101" s="14" t="s">
        <v>19</v>
      </c>
    </row>
    <row r="102" spans="1:21" ht="14.25" customHeight="1">
      <c r="A102" s="339" t="s">
        <v>63</v>
      </c>
      <c r="B102" s="18" t="s">
        <v>64</v>
      </c>
      <c r="C102" s="71"/>
      <c r="D102" s="340">
        <v>63</v>
      </c>
      <c r="E102" s="21">
        <v>36.214199999999998</v>
      </c>
      <c r="F102" s="21">
        <v>42.4328</v>
      </c>
      <c r="G102" s="185">
        <f>ROUND(D102*(E102+F102),2)</f>
        <v>4954.76</v>
      </c>
      <c r="H102" s="184"/>
      <c r="I102" s="23"/>
      <c r="J102" s="341"/>
      <c r="K102" s="342"/>
      <c r="L102" s="343">
        <f>SUM(G102:G107,J102:J106)</f>
        <v>325930.83</v>
      </c>
      <c r="M102" s="344">
        <v>325930.83</v>
      </c>
      <c r="N102" s="345"/>
      <c r="O102" s="346">
        <v>7157.88</v>
      </c>
      <c r="P102" s="347" t="s">
        <v>24</v>
      </c>
      <c r="Q102" s="348">
        <f t="shared" ref="Q102:Q165" si="16">C102+G102+J102-M102-N102-O102</f>
        <v>-328133.95</v>
      </c>
      <c r="R102" s="349" t="s">
        <v>65</v>
      </c>
      <c r="S102" s="350" t="s">
        <v>20</v>
      </c>
      <c r="T102" s="351" t="s">
        <v>21</v>
      </c>
      <c r="U102" s="352">
        <f>+L102-M102+C102</f>
        <v>0</v>
      </c>
    </row>
    <row r="103" spans="1:21" ht="14.25" customHeight="1">
      <c r="A103" s="353"/>
      <c r="B103" s="35"/>
      <c r="C103" s="84" t="s">
        <v>26</v>
      </c>
      <c r="D103" s="37"/>
      <c r="E103" s="38"/>
      <c r="F103" s="38"/>
      <c r="G103" s="39">
        <f>ROUND(D103*(E103+F103),2)</f>
        <v>0</v>
      </c>
      <c r="H103" s="49"/>
      <c r="I103" s="271"/>
      <c r="J103" s="101"/>
      <c r="K103" s="354"/>
      <c r="L103" s="355"/>
      <c r="M103" s="356"/>
      <c r="N103" s="357"/>
      <c r="O103" s="358"/>
      <c r="P103" s="359"/>
      <c r="Q103" s="358"/>
      <c r="R103" s="349"/>
      <c r="S103" s="350"/>
      <c r="T103" s="351"/>
      <c r="U103" s="352"/>
    </row>
    <row r="104" spans="1:21">
      <c r="A104" s="353"/>
      <c r="B104" s="35"/>
      <c r="C104" s="48"/>
      <c r="D104" s="49"/>
      <c r="E104" s="41"/>
      <c r="F104" s="41"/>
      <c r="G104" s="50">
        <f>ROUND(D104*E104*70%+D104*F104*30%,2)</f>
        <v>0</v>
      </c>
      <c r="H104" s="49"/>
      <c r="I104" s="271"/>
      <c r="J104" s="41"/>
      <c r="K104" s="354"/>
      <c r="L104" s="355"/>
      <c r="M104" s="356"/>
      <c r="N104" s="357"/>
      <c r="O104" s="358"/>
      <c r="P104" s="359"/>
      <c r="Q104" s="358"/>
      <c r="R104" s="349"/>
      <c r="S104" s="350"/>
      <c r="T104" s="351"/>
      <c r="U104" s="352"/>
    </row>
    <row r="105" spans="1:21">
      <c r="A105" s="353"/>
      <c r="B105" s="35"/>
      <c r="C105" s="48" t="s">
        <v>135</v>
      </c>
      <c r="D105" s="49"/>
      <c r="E105" s="41"/>
      <c r="F105" s="38"/>
      <c r="G105" s="50">
        <f>ROUND(+D105*E105,2)</f>
        <v>0</v>
      </c>
      <c r="H105" s="49"/>
      <c r="I105" s="271"/>
      <c r="J105" s="41"/>
      <c r="K105" s="354"/>
      <c r="L105" s="355"/>
      <c r="M105" s="356"/>
      <c r="N105" s="357"/>
      <c r="O105" s="358"/>
      <c r="P105" s="359"/>
      <c r="Q105" s="358"/>
      <c r="R105" s="349"/>
      <c r="S105" s="350"/>
      <c r="T105" s="351"/>
      <c r="U105" s="352"/>
    </row>
    <row r="106" spans="1:21">
      <c r="A106" s="353"/>
      <c r="B106" s="35"/>
      <c r="C106" s="48" t="s">
        <v>136</v>
      </c>
      <c r="D106" s="49">
        <f>76+26+11</f>
        <v>113</v>
      </c>
      <c r="E106" s="41">
        <v>6.7797999999999998</v>
      </c>
      <c r="F106" s="41">
        <f>+E106</f>
        <v>6.7797999999999998</v>
      </c>
      <c r="G106" s="50">
        <f>ROUND(D106*E106,2)</f>
        <v>766.12</v>
      </c>
      <c r="H106" s="361"/>
      <c r="I106" s="362"/>
      <c r="J106" s="207"/>
      <c r="K106" s="363"/>
      <c r="L106" s="364"/>
      <c r="M106" s="365"/>
      <c r="N106" s="366"/>
      <c r="O106" s="367"/>
      <c r="P106" s="368"/>
      <c r="Q106" s="358"/>
      <c r="R106" s="349"/>
      <c r="S106" s="350"/>
      <c r="T106" s="351"/>
      <c r="U106" s="352"/>
    </row>
    <row r="107" spans="1:21" ht="15.75" thickBot="1">
      <c r="A107" s="369"/>
      <c r="B107" s="53" t="s">
        <v>66</v>
      </c>
      <c r="C107" s="99" t="s">
        <v>29</v>
      </c>
      <c r="D107" s="55">
        <f>31510+10950+4770</f>
        <v>47230</v>
      </c>
      <c r="E107" s="56">
        <v>6.7797999999999998</v>
      </c>
      <c r="F107" s="370">
        <f>+E107</f>
        <v>6.7797999999999998</v>
      </c>
      <c r="G107" s="58">
        <f>ROUND(D107*E107,2)</f>
        <v>320209.95</v>
      </c>
      <c r="H107" s="248"/>
      <c r="I107" s="203"/>
      <c r="J107" s="60"/>
      <c r="K107" s="203"/>
      <c r="L107" s="204"/>
      <c r="M107" s="371"/>
      <c r="N107" s="372"/>
      <c r="O107" s="373">
        <v>165882.5</v>
      </c>
      <c r="P107" s="374" t="s">
        <v>24</v>
      </c>
      <c r="Q107" s="373">
        <f>G107+J107-M107-N107-O107</f>
        <v>154327.45000000001</v>
      </c>
      <c r="R107" s="349" t="s">
        <v>65</v>
      </c>
      <c r="S107" s="375">
        <f>SUM(O102:O107)</f>
        <v>173040.38</v>
      </c>
      <c r="T107" s="375">
        <f>SUM(Q102:Q107)</f>
        <v>-173806.5</v>
      </c>
    </row>
    <row r="108" spans="1:21" s="81" customFormat="1" ht="15" customHeight="1">
      <c r="A108" s="437">
        <v>101</v>
      </c>
      <c r="B108" s="438" t="s">
        <v>82</v>
      </c>
      <c r="C108" s="377" t="s">
        <v>73</v>
      </c>
      <c r="D108" s="378">
        <v>31</v>
      </c>
      <c r="E108" s="21">
        <v>36.214199999999998</v>
      </c>
      <c r="F108" s="21">
        <v>42.4328</v>
      </c>
      <c r="G108" s="22">
        <f>+D108*(E108+F108)</f>
        <v>2438.0569999999998</v>
      </c>
      <c r="H108" s="303"/>
      <c r="I108" s="381"/>
      <c r="J108" s="381"/>
      <c r="K108" s="342"/>
      <c r="L108" s="263">
        <f>SUM(G108:G112,J108:J112)</f>
        <v>95845.137000000002</v>
      </c>
      <c r="M108" s="26">
        <v>95845.14</v>
      </c>
      <c r="N108" s="421"/>
      <c r="O108" s="77"/>
      <c r="P108" s="77"/>
      <c r="Q108" s="384"/>
      <c r="R108" s="422"/>
      <c r="S108" s="399"/>
      <c r="T108" s="399"/>
    </row>
    <row r="109" spans="1:21" s="81" customFormat="1" ht="15" customHeight="1">
      <c r="A109" s="441"/>
      <c r="B109" s="442"/>
      <c r="C109" s="36" t="s">
        <v>26</v>
      </c>
      <c r="D109" s="37"/>
      <c r="E109" s="38"/>
      <c r="F109" s="38"/>
      <c r="G109" s="39">
        <f>ROUND(D109*(E109+F109),2)</f>
        <v>0</v>
      </c>
      <c r="H109" s="457"/>
      <c r="I109" s="392"/>
      <c r="J109" s="402"/>
      <c r="K109" s="393"/>
      <c r="L109" s="459"/>
      <c r="M109" s="44"/>
      <c r="N109" s="430"/>
      <c r="O109" s="435"/>
      <c r="P109" s="435"/>
      <c r="Q109" s="425"/>
      <c r="R109" s="422"/>
      <c r="S109" s="399"/>
      <c r="T109" s="399"/>
    </row>
    <row r="110" spans="1:21" s="81" customFormat="1" ht="15" customHeight="1">
      <c r="A110" s="441"/>
      <c r="B110" s="442"/>
      <c r="C110" s="48" t="s">
        <v>135</v>
      </c>
      <c r="D110" s="37">
        <f>апр18!D111+апр18!D112</f>
        <v>13223</v>
      </c>
      <c r="E110" s="41">
        <f>6.8921-6.5258</f>
        <v>0.36629999999999985</v>
      </c>
      <c r="F110" s="38"/>
      <c r="G110" s="39">
        <f>ROUND(D110*(E110),2)+0.01</f>
        <v>4843.59</v>
      </c>
      <c r="H110" s="270"/>
      <c r="I110" s="41"/>
      <c r="J110" s="41"/>
      <c r="K110" s="271"/>
      <c r="L110" s="272"/>
      <c r="M110" s="102"/>
      <c r="N110" s="430"/>
      <c r="O110" s="435"/>
      <c r="P110" s="435"/>
      <c r="Q110" s="425"/>
      <c r="R110" s="422"/>
      <c r="S110" s="399"/>
      <c r="T110" s="399"/>
    </row>
    <row r="111" spans="1:21" s="81" customFormat="1" ht="15" customHeight="1">
      <c r="A111" s="441"/>
      <c r="B111" s="442"/>
      <c r="C111" s="48" t="s">
        <v>136</v>
      </c>
      <c r="D111" s="37">
        <v>31</v>
      </c>
      <c r="E111" s="41">
        <v>6.8921000000000001</v>
      </c>
      <c r="F111" s="38"/>
      <c r="G111" s="39">
        <f>ROUND(D111*(E111),2)</f>
        <v>213.66</v>
      </c>
      <c r="H111" s="270"/>
      <c r="I111" s="41"/>
      <c r="J111" s="41"/>
      <c r="K111" s="271"/>
      <c r="L111" s="272"/>
      <c r="M111" s="102"/>
      <c r="N111" s="434"/>
      <c r="O111" s="435"/>
      <c r="P111" s="435"/>
      <c r="Q111" s="425"/>
      <c r="R111" s="422"/>
      <c r="S111" s="399"/>
      <c r="T111" s="399"/>
    </row>
    <row r="112" spans="1:21" s="81" customFormat="1" ht="15" customHeight="1" thickBot="1">
      <c r="A112" s="445"/>
      <c r="B112" s="446"/>
      <c r="C112" s="54" t="s">
        <v>29</v>
      </c>
      <c r="D112" s="413">
        <v>12819</v>
      </c>
      <c r="E112" s="56">
        <v>6.8921000000000001</v>
      </c>
      <c r="F112" s="281"/>
      <c r="G112" s="414">
        <f>ROUND(D112*(E112),2)</f>
        <v>88349.83</v>
      </c>
      <c r="H112" s="280"/>
      <c r="I112" s="281"/>
      <c r="J112" s="281"/>
      <c r="K112" s="282"/>
      <c r="L112" s="204"/>
      <c r="M112" s="371"/>
      <c r="N112" s="426"/>
      <c r="O112" s="416"/>
      <c r="P112" s="416"/>
      <c r="Q112" s="417"/>
      <c r="R112" s="899"/>
      <c r="S112" s="399"/>
      <c r="T112" s="399"/>
    </row>
    <row r="113" spans="1:20" s="81" customFormat="1" ht="15.75" customHeight="1">
      <c r="A113" s="902">
        <v>107</v>
      </c>
      <c r="B113" s="903" t="s">
        <v>214</v>
      </c>
      <c r="C113" s="439" t="s">
        <v>135</v>
      </c>
      <c r="D113" s="904">
        <f>апр18!D114+апр18!D115</f>
        <v>505.2</v>
      </c>
      <c r="E113" s="23">
        <f>6.8921-6.5258</f>
        <v>0.36629999999999985</v>
      </c>
      <c r="F113" s="905"/>
      <c r="G113" s="22">
        <f>ROUND(D113*E113,2)</f>
        <v>185.05</v>
      </c>
      <c r="H113" s="303"/>
      <c r="I113" s="23"/>
      <c r="J113" s="23"/>
      <c r="K113" s="304"/>
      <c r="L113" s="263">
        <f>SUM(G113:G115)</f>
        <v>4316.1799999999994</v>
      </c>
      <c r="M113" s="26">
        <v>4316.18</v>
      </c>
      <c r="N113" s="421"/>
      <c r="O113" s="77"/>
      <c r="P113" s="77"/>
      <c r="Q113" s="384"/>
      <c r="R113" s="422"/>
      <c r="S113" s="399"/>
      <c r="T113" s="399"/>
    </row>
    <row r="114" spans="1:20" s="81" customFormat="1" ht="15.75" customHeight="1">
      <c r="A114" s="468"/>
      <c r="B114" s="469"/>
      <c r="C114" s="48" t="s">
        <v>136</v>
      </c>
      <c r="D114" s="471">
        <v>1.4</v>
      </c>
      <c r="E114" s="41">
        <v>6.8921000000000001</v>
      </c>
      <c r="F114" s="473"/>
      <c r="G114" s="449">
        <f>ROUND(D114*E114,2)</f>
        <v>9.65</v>
      </c>
      <c r="H114" s="260"/>
      <c r="I114" s="261"/>
      <c r="J114" s="261"/>
      <c r="K114" s="262"/>
      <c r="L114" s="286"/>
      <c r="M114" s="90"/>
      <c r="N114" s="423"/>
      <c r="O114" s="406"/>
      <c r="P114" s="406"/>
      <c r="Q114" s="407"/>
      <c r="R114" s="422"/>
      <c r="S114" s="399"/>
      <c r="T114" s="399"/>
    </row>
    <row r="115" spans="1:20" s="81" customFormat="1" ht="15.75" customHeight="1" thickBot="1">
      <c r="A115" s="858"/>
      <c r="B115" s="859"/>
      <c r="C115" s="54" t="s">
        <v>29</v>
      </c>
      <c r="D115" s="860">
        <v>598</v>
      </c>
      <c r="E115" s="56">
        <v>6.8921000000000001</v>
      </c>
      <c r="F115" s="861"/>
      <c r="G115" s="414">
        <f t="shared" ref="G115" si="17">ROUND(D115*E115,2)</f>
        <v>4121.4799999999996</v>
      </c>
      <c r="H115" s="280"/>
      <c r="I115" s="281"/>
      <c r="J115" s="281"/>
      <c r="K115" s="282"/>
      <c r="L115" s="204"/>
      <c r="M115" s="371"/>
      <c r="N115" s="426"/>
      <c r="O115" s="416"/>
      <c r="P115" s="416"/>
      <c r="Q115" s="417"/>
      <c r="R115" s="422"/>
      <c r="S115" s="399"/>
      <c r="T115" s="399"/>
    </row>
    <row r="116" spans="1:20" s="81" customFormat="1" ht="15.75" customHeight="1">
      <c r="A116" s="902">
        <v>108</v>
      </c>
      <c r="B116" s="903" t="s">
        <v>168</v>
      </c>
      <c r="C116" s="439" t="s">
        <v>135</v>
      </c>
      <c r="D116" s="904">
        <f>апр18!D117+апр18!D118</f>
        <v>185.4</v>
      </c>
      <c r="E116" s="23">
        <f>6.8921-6.5258</f>
        <v>0.36629999999999985</v>
      </c>
      <c r="F116" s="905"/>
      <c r="G116" s="22">
        <f>ROUND(D116*E116,2)+0.01</f>
        <v>67.92</v>
      </c>
      <c r="H116" s="303"/>
      <c r="I116" s="23"/>
      <c r="J116" s="23"/>
      <c r="K116" s="304"/>
      <c r="L116" s="263">
        <f>SUM(G116:G118)</f>
        <v>1331.93</v>
      </c>
      <c r="M116" s="26">
        <v>1331.93</v>
      </c>
      <c r="N116" s="421"/>
      <c r="O116" s="77"/>
      <c r="P116" s="77"/>
      <c r="Q116" s="384"/>
      <c r="R116" s="422"/>
      <c r="S116" s="399"/>
      <c r="T116" s="399"/>
    </row>
    <row r="117" spans="1:20" s="81" customFormat="1" ht="15.75" customHeight="1">
      <c r="A117" s="468"/>
      <c r="B117" s="469"/>
      <c r="C117" s="48" t="s">
        <v>136</v>
      </c>
      <c r="D117" s="471">
        <v>0.4</v>
      </c>
      <c r="E117" s="41">
        <v>6.8921000000000001</v>
      </c>
      <c r="F117" s="473"/>
      <c r="G117" s="449">
        <f>ROUND(D117*E117,2)</f>
        <v>2.76</v>
      </c>
      <c r="H117" s="260"/>
      <c r="I117" s="261"/>
      <c r="J117" s="261"/>
      <c r="K117" s="262"/>
      <c r="L117" s="286"/>
      <c r="M117" s="90"/>
      <c r="N117" s="423"/>
      <c r="O117" s="406"/>
      <c r="P117" s="406"/>
      <c r="Q117" s="407"/>
      <c r="R117" s="422"/>
      <c r="S117" s="399"/>
      <c r="T117" s="399"/>
    </row>
    <row r="118" spans="1:20" s="81" customFormat="1" ht="15.75" customHeight="1" thickBot="1">
      <c r="A118" s="858"/>
      <c r="B118" s="859"/>
      <c r="C118" s="54" t="s">
        <v>29</v>
      </c>
      <c r="D118" s="860">
        <v>183</v>
      </c>
      <c r="E118" s="56">
        <v>6.8921000000000001</v>
      </c>
      <c r="F118" s="861"/>
      <c r="G118" s="414">
        <f t="shared" ref="G118" si="18">ROUND(D118*E118,2)</f>
        <v>1261.25</v>
      </c>
      <c r="H118" s="280"/>
      <c r="I118" s="281"/>
      <c r="J118" s="281"/>
      <c r="K118" s="282"/>
      <c r="L118" s="204"/>
      <c r="M118" s="371"/>
      <c r="N118" s="426"/>
      <c r="O118" s="416"/>
      <c r="P118" s="416"/>
      <c r="Q118" s="417"/>
      <c r="R118" s="422"/>
      <c r="S118" s="399"/>
      <c r="T118" s="399"/>
    </row>
    <row r="119" spans="1:20" s="81" customFormat="1" ht="15.75" customHeight="1">
      <c r="A119" s="468">
        <v>109</v>
      </c>
      <c r="B119" s="699" t="s">
        <v>175</v>
      </c>
      <c r="C119" s="439" t="s">
        <v>135</v>
      </c>
      <c r="D119" s="918">
        <f>апр18!D120+апр18!D121</f>
        <v>905.2</v>
      </c>
      <c r="E119" s="23">
        <f>6.8921-6.5258</f>
        <v>0.36629999999999985</v>
      </c>
      <c r="F119" s="473"/>
      <c r="G119" s="862">
        <f>ROUND(D119*E119,2)</f>
        <v>331.57</v>
      </c>
      <c r="H119" s="261"/>
      <c r="I119" s="261"/>
      <c r="J119" s="261"/>
      <c r="K119" s="185"/>
      <c r="L119" s="263">
        <f>SUM(G119:G122)+SUM(J119:J122)</f>
        <v>5522.7769999999991</v>
      </c>
      <c r="M119" s="26">
        <v>5522.78</v>
      </c>
      <c r="N119" s="443"/>
      <c r="O119" s="94"/>
      <c r="P119" s="94"/>
      <c r="Q119" s="396"/>
      <c r="R119" s="422"/>
      <c r="S119" s="399"/>
      <c r="T119" s="399"/>
    </row>
    <row r="120" spans="1:20" s="81" customFormat="1" ht="15.75" customHeight="1">
      <c r="A120" s="468"/>
      <c r="B120" s="469"/>
      <c r="C120" s="48" t="s">
        <v>136</v>
      </c>
      <c r="D120" s="919">
        <v>1.8</v>
      </c>
      <c r="E120" s="41">
        <v>6.8921000000000001</v>
      </c>
      <c r="F120" s="473"/>
      <c r="G120" s="409">
        <f>ROUND(D120*E120,2)</f>
        <v>12.41</v>
      </c>
      <c r="H120" s="41"/>
      <c r="I120" s="41"/>
      <c r="J120" s="41"/>
      <c r="K120" s="50"/>
      <c r="L120" s="286"/>
      <c r="M120" s="90"/>
      <c r="N120" s="423"/>
      <c r="O120" s="406"/>
      <c r="P120" s="406"/>
      <c r="Q120" s="407"/>
      <c r="R120" s="422"/>
      <c r="S120" s="399"/>
      <c r="T120" s="399"/>
    </row>
    <row r="121" spans="1:20" s="81" customFormat="1" ht="15.75" customHeight="1">
      <c r="A121" s="468"/>
      <c r="B121" s="920"/>
      <c r="C121" s="99" t="s">
        <v>29</v>
      </c>
      <c r="D121" s="919">
        <v>740</v>
      </c>
      <c r="E121" s="101">
        <v>6.8921000000000001</v>
      </c>
      <c r="F121" s="473"/>
      <c r="G121" s="409">
        <f t="shared" ref="G121" si="19">ROUND(D121*E121,2)</f>
        <v>5100.1499999999996</v>
      </c>
      <c r="H121" s="41"/>
      <c r="I121" s="41"/>
      <c r="J121" s="41"/>
      <c r="K121" s="50"/>
      <c r="L121" s="286"/>
      <c r="M121" s="90"/>
      <c r="N121" s="423"/>
      <c r="O121" s="406"/>
      <c r="P121" s="406"/>
      <c r="Q121" s="407"/>
      <c r="R121" s="422"/>
      <c r="S121" s="399"/>
      <c r="T121" s="399"/>
    </row>
    <row r="122" spans="1:20" s="81" customFormat="1" ht="15.75" customHeight="1" thickBot="1">
      <c r="A122" s="858"/>
      <c r="B122" s="921"/>
      <c r="C122" s="54" t="s">
        <v>73</v>
      </c>
      <c r="D122" s="922">
        <v>1</v>
      </c>
      <c r="E122" s="56">
        <v>36.214199999999998</v>
      </c>
      <c r="F122" s="861">
        <v>42.4328</v>
      </c>
      <c r="G122" s="923">
        <f>+D122*(E122+F122)</f>
        <v>78.646999999999991</v>
      </c>
      <c r="H122" s="281"/>
      <c r="I122" s="281"/>
      <c r="J122" s="281"/>
      <c r="K122" s="58"/>
      <c r="L122" s="204"/>
      <c r="M122" s="371"/>
      <c r="N122" s="426"/>
      <c r="O122" s="416"/>
      <c r="P122" s="416"/>
      <c r="Q122" s="417"/>
      <c r="R122" s="422"/>
      <c r="S122" s="399"/>
      <c r="T122" s="399"/>
    </row>
    <row r="123" spans="1:20" s="81" customFormat="1" ht="15.75" customHeight="1">
      <c r="A123" s="376">
        <v>117</v>
      </c>
      <c r="B123" s="420" t="s">
        <v>72</v>
      </c>
      <c r="C123" s="377" t="s">
        <v>73</v>
      </c>
      <c r="D123" s="378">
        <v>149</v>
      </c>
      <c r="E123" s="21">
        <v>36.214199999999998</v>
      </c>
      <c r="F123" s="21">
        <v>42.4328</v>
      </c>
      <c r="G123" s="22">
        <f>+D123*(E123+F123)</f>
        <v>11718.402999999998</v>
      </c>
      <c r="H123" s="303"/>
      <c r="I123" s="381"/>
      <c r="J123" s="381"/>
      <c r="K123" s="342"/>
      <c r="L123" s="263">
        <f>SUM(G123:G127,J123:J127)</f>
        <v>279452.00300000003</v>
      </c>
      <c r="M123" s="26">
        <v>279452</v>
      </c>
      <c r="N123" s="421"/>
      <c r="O123" s="77"/>
      <c r="P123" s="77"/>
      <c r="Q123" s="384"/>
      <c r="R123" s="422"/>
      <c r="S123" s="399"/>
      <c r="T123" s="399"/>
    </row>
    <row r="124" spans="1:20" s="81" customFormat="1" ht="15.75" customHeight="1">
      <c r="A124" s="389"/>
      <c r="B124" s="83"/>
      <c r="C124" s="84" t="s">
        <v>26</v>
      </c>
      <c r="D124" s="37"/>
      <c r="E124" s="38"/>
      <c r="F124" s="38"/>
      <c r="G124" s="39">
        <f>ROUND(D124*(E124+F124),2)</f>
        <v>0</v>
      </c>
      <c r="H124" s="270"/>
      <c r="I124" s="392"/>
      <c r="J124" s="402"/>
      <c r="K124" s="393"/>
      <c r="L124" s="272"/>
      <c r="M124" s="102"/>
      <c r="N124" s="423"/>
      <c r="O124" s="406"/>
      <c r="P124" s="406"/>
      <c r="Q124" s="407"/>
      <c r="R124" s="422"/>
      <c r="S124" s="399"/>
      <c r="T124" s="399"/>
    </row>
    <row r="125" spans="1:20" s="81" customFormat="1" ht="15.75" customHeight="1">
      <c r="A125" s="389"/>
      <c r="B125" s="83"/>
      <c r="C125" s="48" t="s">
        <v>135</v>
      </c>
      <c r="D125" s="37">
        <f>апр18!D126+апр18!D127</f>
        <v>30433</v>
      </c>
      <c r="E125" s="41">
        <f>6.8921-6.5258</f>
        <v>0.36629999999999985</v>
      </c>
      <c r="F125" s="38"/>
      <c r="G125" s="39">
        <f>ROUND(D125*(E125),2)</f>
        <v>11147.61</v>
      </c>
      <c r="H125" s="270"/>
      <c r="I125" s="41"/>
      <c r="J125" s="41"/>
      <c r="K125" s="271"/>
      <c r="L125" s="272"/>
      <c r="M125" s="102"/>
      <c r="N125" s="423"/>
      <c r="O125" s="406"/>
      <c r="P125" s="406"/>
      <c r="Q125" s="407"/>
      <c r="R125" s="422"/>
      <c r="S125" s="399"/>
      <c r="T125" s="399"/>
    </row>
    <row r="126" spans="1:20" s="81" customFormat="1" ht="15.75" customHeight="1">
      <c r="A126" s="389"/>
      <c r="B126" s="83"/>
      <c r="C126" s="48" t="s">
        <v>136</v>
      </c>
      <c r="D126" s="37">
        <v>89</v>
      </c>
      <c r="E126" s="41">
        <v>6.8921000000000001</v>
      </c>
      <c r="F126" s="38"/>
      <c r="G126" s="39">
        <f>ROUND(D126*(E126),2)</f>
        <v>613.4</v>
      </c>
      <c r="H126" s="270"/>
      <c r="I126" s="41"/>
      <c r="J126" s="41"/>
      <c r="K126" s="271"/>
      <c r="L126" s="272"/>
      <c r="M126" s="102"/>
      <c r="N126" s="423"/>
      <c r="O126" s="406"/>
      <c r="P126" s="406"/>
      <c r="Q126" s="425"/>
      <c r="R126" s="422"/>
      <c r="S126" s="399"/>
      <c r="T126" s="399"/>
    </row>
    <row r="127" spans="1:20" s="81" customFormat="1" ht="15.75" customHeight="1" thickBot="1">
      <c r="A127" s="411"/>
      <c r="B127" s="412"/>
      <c r="C127" s="99" t="s">
        <v>29</v>
      </c>
      <c r="D127" s="413">
        <v>37140</v>
      </c>
      <c r="E127" s="56">
        <v>6.8921000000000001</v>
      </c>
      <c r="F127" s="281"/>
      <c r="G127" s="414">
        <f>ROUND(D127*(E127),2)</f>
        <v>255972.59</v>
      </c>
      <c r="H127" s="280"/>
      <c r="I127" s="281"/>
      <c r="J127" s="281"/>
      <c r="K127" s="282"/>
      <c r="L127" s="204"/>
      <c r="M127" s="371"/>
      <c r="N127" s="426"/>
      <c r="O127" s="416"/>
      <c r="P127" s="416"/>
      <c r="Q127" s="417"/>
      <c r="R127" s="422"/>
      <c r="S127" s="399"/>
      <c r="T127" s="399"/>
    </row>
    <row r="128" spans="1:20" s="81" customFormat="1" ht="15.75" customHeight="1">
      <c r="A128" s="376">
        <v>118</v>
      </c>
      <c r="B128" s="924" t="s">
        <v>215</v>
      </c>
      <c r="C128" s="377" t="s">
        <v>73</v>
      </c>
      <c r="D128" s="378">
        <v>70</v>
      </c>
      <c r="E128" s="21">
        <v>36.214199999999998</v>
      </c>
      <c r="F128" s="21">
        <v>42.4328</v>
      </c>
      <c r="G128" s="22">
        <f>+D128*(E128+F128)</f>
        <v>5505.2899999999991</v>
      </c>
      <c r="H128" s="303"/>
      <c r="I128" s="381"/>
      <c r="J128" s="41"/>
      <c r="K128" s="342"/>
      <c r="L128" s="263">
        <f>SUM(G128:G132,J128:J132)</f>
        <v>84358.55</v>
      </c>
      <c r="M128" s="26">
        <v>84358.55</v>
      </c>
      <c r="N128" s="421"/>
      <c r="O128" s="77"/>
      <c r="P128" s="77"/>
      <c r="Q128" s="384"/>
      <c r="R128" s="422"/>
      <c r="S128" s="399"/>
      <c r="T128" s="399"/>
    </row>
    <row r="129" spans="1:20" s="81" customFormat="1" ht="15.75" customHeight="1">
      <c r="A129" s="389"/>
      <c r="B129" s="920"/>
      <c r="C129" s="36" t="s">
        <v>26</v>
      </c>
      <c r="D129" s="37"/>
      <c r="E129" s="38"/>
      <c r="F129" s="38"/>
      <c r="G129" s="39">
        <f>ROUND(D129*(E129+F129),2)</f>
        <v>0</v>
      </c>
      <c r="H129" s="457"/>
      <c r="I129" s="392"/>
      <c r="J129" s="41"/>
      <c r="K129" s="393"/>
      <c r="L129" s="459"/>
      <c r="M129" s="44"/>
      <c r="N129" s="430"/>
      <c r="O129" s="406"/>
      <c r="P129" s="406"/>
      <c r="Q129" s="407"/>
      <c r="R129" s="422"/>
      <c r="S129" s="399"/>
      <c r="T129" s="399"/>
    </row>
    <row r="130" spans="1:20" s="81" customFormat="1" ht="15.75" customHeight="1">
      <c r="A130" s="389"/>
      <c r="B130" s="920"/>
      <c r="C130" s="48" t="s">
        <v>135</v>
      </c>
      <c r="D130" s="37">
        <f>апр18!D131+апр18!D132</f>
        <v>9199</v>
      </c>
      <c r="E130" s="41">
        <f>6.8921-6.5258</f>
        <v>0.36629999999999985</v>
      </c>
      <c r="F130" s="38"/>
      <c r="G130" s="39">
        <f>ROUND(D130*(E130),2)+0.02</f>
        <v>3369.61</v>
      </c>
      <c r="H130" s="270"/>
      <c r="I130" s="41"/>
      <c r="J130" s="41"/>
      <c r="K130" s="271"/>
      <c r="L130" s="272"/>
      <c r="M130" s="102"/>
      <c r="N130" s="430"/>
      <c r="O130" s="406"/>
      <c r="P130" s="406"/>
      <c r="Q130" s="407"/>
      <c r="R130" s="422"/>
      <c r="S130" s="399"/>
      <c r="T130" s="399"/>
    </row>
    <row r="131" spans="1:20" s="81" customFormat="1" ht="15.75" customHeight="1">
      <c r="A131" s="389"/>
      <c r="B131" s="920"/>
      <c r="C131" s="48" t="s">
        <v>136</v>
      </c>
      <c r="D131" s="37">
        <v>26.2</v>
      </c>
      <c r="E131" s="41">
        <v>6.8921000000000001</v>
      </c>
      <c r="F131" s="38"/>
      <c r="G131" s="39">
        <f>ROUND(D131*(E131),2)</f>
        <v>180.57</v>
      </c>
      <c r="H131" s="270"/>
      <c r="I131" s="41"/>
      <c r="J131" s="41"/>
      <c r="K131" s="271"/>
      <c r="L131" s="272"/>
      <c r="M131" s="102"/>
      <c r="N131" s="434"/>
      <c r="O131" s="435"/>
      <c r="P131" s="435"/>
      <c r="Q131" s="425"/>
      <c r="R131" s="422"/>
      <c r="S131" s="399"/>
      <c r="T131" s="399"/>
    </row>
    <row r="132" spans="1:20" s="81" customFormat="1" ht="15.75" customHeight="1" thickBot="1">
      <c r="A132" s="411"/>
      <c r="B132" s="921"/>
      <c r="C132" s="54" t="s">
        <v>29</v>
      </c>
      <c r="D132" s="413">
        <v>10926</v>
      </c>
      <c r="E132" s="56">
        <v>6.8921000000000001</v>
      </c>
      <c r="F132" s="281"/>
      <c r="G132" s="414">
        <f>ROUND(D132*(E132),2)</f>
        <v>75303.08</v>
      </c>
      <c r="H132" s="432"/>
      <c r="I132" s="207"/>
      <c r="J132" s="207"/>
      <c r="K132" s="362"/>
      <c r="L132" s="433"/>
      <c r="M132" s="63"/>
      <c r="N132" s="434"/>
      <c r="O132" s="435"/>
      <c r="P132" s="435"/>
      <c r="Q132" s="425"/>
      <c r="R132" s="422"/>
      <c r="S132" s="399"/>
      <c r="T132" s="399"/>
    </row>
    <row r="133" spans="1:20" s="81" customFormat="1" ht="15.75" customHeight="1">
      <c r="A133" s="468">
        <v>121</v>
      </c>
      <c r="B133" s="699" t="s">
        <v>154</v>
      </c>
      <c r="C133" s="700" t="s">
        <v>135</v>
      </c>
      <c r="D133" s="471">
        <f>апр18!D134+апр18!D135</f>
        <v>312.7</v>
      </c>
      <c r="E133" s="261">
        <f>6.8921-6.5258</f>
        <v>0.36629999999999985</v>
      </c>
      <c r="F133" s="473"/>
      <c r="G133" s="449">
        <f>ROUND(D133*E133,2)</f>
        <v>114.54</v>
      </c>
      <c r="H133" s="303"/>
      <c r="I133" s="23"/>
      <c r="J133" s="23"/>
      <c r="K133" s="304"/>
      <c r="L133" s="263">
        <f>SUM(G133:G135)</f>
        <v>2670.8199999999997</v>
      </c>
      <c r="M133" s="26">
        <v>2670.82</v>
      </c>
      <c r="N133" s="421"/>
      <c r="O133" s="77"/>
      <c r="P133" s="77"/>
      <c r="Q133" s="384"/>
      <c r="R133" s="422"/>
      <c r="S133" s="399"/>
      <c r="T133" s="399"/>
    </row>
    <row r="134" spans="1:20" s="81" customFormat="1" ht="15.75" customHeight="1">
      <c r="A134" s="468"/>
      <c r="B134" s="469"/>
      <c r="C134" s="48" t="s">
        <v>136</v>
      </c>
      <c r="D134" s="471">
        <v>0.9</v>
      </c>
      <c r="E134" s="41">
        <v>6.8921000000000001</v>
      </c>
      <c r="F134" s="473"/>
      <c r="G134" s="449">
        <f>ROUND(D134*E134,2)</f>
        <v>6.2</v>
      </c>
      <c r="H134" s="260"/>
      <c r="I134" s="261"/>
      <c r="J134" s="261"/>
      <c r="K134" s="262"/>
      <c r="L134" s="286"/>
      <c r="M134" s="90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 thickBot="1">
      <c r="A135" s="858"/>
      <c r="B135" s="859"/>
      <c r="C135" s="54" t="s">
        <v>29</v>
      </c>
      <c r="D135" s="860">
        <v>370</v>
      </c>
      <c r="E135" s="56">
        <v>6.8921000000000001</v>
      </c>
      <c r="F135" s="861"/>
      <c r="G135" s="414">
        <f t="shared" ref="G135" si="20">ROUND(D135*E135,2)</f>
        <v>2550.08</v>
      </c>
      <c r="H135" s="280"/>
      <c r="I135" s="281"/>
      <c r="J135" s="281"/>
      <c r="K135" s="282"/>
      <c r="L135" s="204"/>
      <c r="M135" s="371"/>
      <c r="N135" s="426"/>
      <c r="O135" s="416"/>
      <c r="P135" s="416"/>
      <c r="Q135" s="417"/>
      <c r="R135" s="422"/>
      <c r="S135" s="399"/>
      <c r="T135" s="399"/>
    </row>
    <row r="136" spans="1:20" s="81" customFormat="1" ht="15.75" customHeight="1">
      <c r="A136" s="376">
        <v>202</v>
      </c>
      <c r="B136" s="420" t="s">
        <v>74</v>
      </c>
      <c r="C136" s="377" t="s">
        <v>73</v>
      </c>
      <c r="D136" s="378">
        <v>14</v>
      </c>
      <c r="E136" s="21">
        <v>36.214199999999998</v>
      </c>
      <c r="F136" s="21">
        <v>42.4328</v>
      </c>
      <c r="G136" s="22">
        <f>ROUND(D136*(E136+F136),2)</f>
        <v>1101.06</v>
      </c>
      <c r="H136" s="303"/>
      <c r="I136" s="381"/>
      <c r="J136" s="381"/>
      <c r="K136" s="342"/>
      <c r="L136" s="263">
        <f>SUM(G136:G142,J136:J142)</f>
        <v>22805.64</v>
      </c>
      <c r="M136" s="26">
        <v>22805.64</v>
      </c>
      <c r="N136" s="421"/>
      <c r="O136" s="77"/>
      <c r="P136" s="77"/>
      <c r="Q136" s="384"/>
      <c r="R136" s="422"/>
      <c r="S136" s="399"/>
      <c r="T136" s="399"/>
    </row>
    <row r="137" spans="1:20" s="81" customFormat="1" ht="15.75" customHeight="1">
      <c r="A137" s="389"/>
      <c r="B137" s="98"/>
      <c r="C137" s="84" t="s">
        <v>26</v>
      </c>
      <c r="D137" s="37"/>
      <c r="E137" s="38"/>
      <c r="F137" s="38"/>
      <c r="G137" s="39">
        <f>ROUND(D137*(E137+F137),2)</f>
        <v>0</v>
      </c>
      <c r="H137" s="270"/>
      <c r="I137" s="392"/>
      <c r="J137" s="402"/>
      <c r="K137" s="393"/>
      <c r="L137" s="272"/>
      <c r="M137" s="102"/>
      <c r="N137" s="423"/>
      <c r="O137" s="406"/>
      <c r="P137" s="406"/>
      <c r="Q137" s="407"/>
      <c r="R137" s="422"/>
      <c r="S137" s="399"/>
      <c r="T137" s="399"/>
    </row>
    <row r="138" spans="1:20" s="81" customFormat="1" ht="15.75" customHeight="1">
      <c r="A138" s="389"/>
      <c r="B138" s="98" t="s">
        <v>32</v>
      </c>
      <c r="C138" s="99" t="s">
        <v>33</v>
      </c>
      <c r="D138" s="428">
        <v>6</v>
      </c>
      <c r="E138" s="101">
        <v>292.75</v>
      </c>
      <c r="F138" s="38">
        <v>42.43</v>
      </c>
      <c r="G138" s="39">
        <f>ROUND(D138*(E138+F138),2)</f>
        <v>2011.08</v>
      </c>
      <c r="H138" s="270"/>
      <c r="I138" s="41"/>
      <c r="J138" s="41"/>
      <c r="K138" s="271"/>
      <c r="L138" s="272"/>
      <c r="M138" s="102"/>
      <c r="N138" s="423"/>
      <c r="O138" s="406"/>
      <c r="P138" s="406"/>
      <c r="Q138" s="407"/>
      <c r="R138" s="422"/>
      <c r="S138" s="399"/>
      <c r="T138" s="399"/>
    </row>
    <row r="139" spans="1:20" s="81" customFormat="1" ht="15.75" customHeight="1">
      <c r="A139" s="389"/>
      <c r="B139" s="83"/>
      <c r="C139" s="48" t="s">
        <v>76</v>
      </c>
      <c r="D139" s="37">
        <f>апр18!D138</f>
        <v>7</v>
      </c>
      <c r="E139" s="41">
        <f>292.75-341.87</f>
        <v>-49.120000000000005</v>
      </c>
      <c r="F139" s="38"/>
      <c r="G139" s="39">
        <f>ROUND(D139*(E139+F139),2)+0.01</f>
        <v>-343.83</v>
      </c>
      <c r="H139" s="270"/>
      <c r="I139" s="41"/>
      <c r="J139" s="41"/>
      <c r="K139" s="271"/>
      <c r="L139" s="272"/>
      <c r="M139" s="102"/>
      <c r="N139" s="423"/>
      <c r="O139" s="406"/>
      <c r="P139" s="406"/>
      <c r="Q139" s="407"/>
      <c r="R139" s="422"/>
      <c r="S139" s="399"/>
      <c r="T139" s="399"/>
    </row>
    <row r="140" spans="1:20" s="81" customFormat="1" ht="15.75" customHeight="1">
      <c r="A140" s="389"/>
      <c r="B140" s="83"/>
      <c r="C140" s="48" t="s">
        <v>135</v>
      </c>
      <c r="D140" s="37">
        <f>апр18!D141+апр18!D142</f>
        <v>2534.02</v>
      </c>
      <c r="E140" s="41">
        <f>6.8921-6.5258</f>
        <v>0.36629999999999985</v>
      </c>
      <c r="F140" s="38"/>
      <c r="G140" s="39">
        <f>ROUND(D140*(E140+F140),2)+0.01</f>
        <v>928.22</v>
      </c>
      <c r="H140" s="270"/>
      <c r="I140" s="41"/>
      <c r="J140" s="41"/>
      <c r="K140" s="271"/>
      <c r="L140" s="272"/>
      <c r="M140" s="102"/>
      <c r="N140" s="423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83"/>
      <c r="C141" s="48" t="s">
        <v>136</v>
      </c>
      <c r="D141" s="37">
        <f>6.5+0.11</f>
        <v>6.61</v>
      </c>
      <c r="E141" s="41">
        <v>6.8921000000000001</v>
      </c>
      <c r="F141" s="38"/>
      <c r="G141" s="39">
        <f>ROUND(D141*E141,2)</f>
        <v>45.56</v>
      </c>
      <c r="H141" s="270"/>
      <c r="I141" s="41"/>
      <c r="J141" s="41"/>
      <c r="K141" s="271"/>
      <c r="L141" s="272"/>
      <c r="M141" s="102"/>
      <c r="N141" s="423"/>
      <c r="O141" s="406"/>
      <c r="P141" s="406"/>
      <c r="Q141" s="425"/>
      <c r="R141" s="422"/>
      <c r="S141" s="399"/>
      <c r="T141" s="399"/>
    </row>
    <row r="142" spans="1:20" s="81" customFormat="1" ht="15" customHeight="1" thickBot="1">
      <c r="A142" s="411"/>
      <c r="B142" s="412"/>
      <c r="C142" s="99" t="s">
        <v>29</v>
      </c>
      <c r="D142" s="413">
        <f>2720+46</f>
        <v>2766</v>
      </c>
      <c r="E142" s="56">
        <v>6.8921000000000001</v>
      </c>
      <c r="F142" s="281"/>
      <c r="G142" s="414">
        <f>ROUND(D142*(E142+F142),2)</f>
        <v>19063.55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902">
        <v>203</v>
      </c>
      <c r="B143" s="903" t="s">
        <v>230</v>
      </c>
      <c r="C143" s="439" t="s">
        <v>135</v>
      </c>
      <c r="D143" s="904">
        <f>апр18!D144+апр18!D145</f>
        <v>10</v>
      </c>
      <c r="E143" s="23">
        <f>6.8921-6.5258</f>
        <v>0.36629999999999985</v>
      </c>
      <c r="F143" s="905"/>
      <c r="G143" s="22">
        <f>ROUND(D143*E143,2)</f>
        <v>3.66</v>
      </c>
      <c r="H143" s="303"/>
      <c r="I143" s="23"/>
      <c r="J143" s="23"/>
      <c r="K143" s="304"/>
      <c r="L143" s="263">
        <f>SUM(G143:G145)</f>
        <v>535.73</v>
      </c>
      <c r="M143" s="26">
        <v>535.73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468"/>
      <c r="B144" s="469"/>
      <c r="C144" s="48" t="s">
        <v>136</v>
      </c>
      <c r="D144" s="471">
        <v>0.2</v>
      </c>
      <c r="E144" s="41">
        <v>6.8921000000000001</v>
      </c>
      <c r="F144" s="473"/>
      <c r="G144" s="449">
        <f>ROUND(D144*E144,2)</f>
        <v>1.38</v>
      </c>
      <c r="H144" s="260"/>
      <c r="I144" s="261"/>
      <c r="J144" s="261"/>
      <c r="K144" s="262"/>
      <c r="L144" s="286"/>
      <c r="M144" s="90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 thickBot="1">
      <c r="A145" s="858"/>
      <c r="B145" s="859"/>
      <c r="C145" s="54" t="s">
        <v>29</v>
      </c>
      <c r="D145" s="860">
        <v>77</v>
      </c>
      <c r="E145" s="56">
        <v>6.8921000000000001</v>
      </c>
      <c r="F145" s="861"/>
      <c r="G145" s="414">
        <f t="shared" ref="G145" si="21">ROUND(D145*E145,2)</f>
        <v>530.69000000000005</v>
      </c>
      <c r="H145" s="280"/>
      <c r="I145" s="281"/>
      <c r="J145" s="207"/>
      <c r="K145" s="362"/>
      <c r="L145" s="433"/>
      <c r="M145" s="63"/>
      <c r="N145" s="426"/>
      <c r="O145" s="416"/>
      <c r="P145" s="416"/>
      <c r="Q145" s="417"/>
      <c r="R145" s="422"/>
      <c r="S145" s="399"/>
      <c r="T145" s="399"/>
    </row>
    <row r="146" spans="1:20" s="81" customFormat="1" ht="15" customHeight="1">
      <c r="A146" s="376">
        <v>210</v>
      </c>
      <c r="B146" s="420" t="s">
        <v>77</v>
      </c>
      <c r="C146" s="377" t="s">
        <v>73</v>
      </c>
      <c r="D146" s="378">
        <v>3</v>
      </c>
      <c r="E146" s="21">
        <v>36.214199999999998</v>
      </c>
      <c r="F146" s="21">
        <v>42.4328</v>
      </c>
      <c r="G146" s="22">
        <f t="shared" ref="G146:G152" si="22">ROUND(D146*(E146+F146),2)</f>
        <v>235.94</v>
      </c>
      <c r="H146" s="303"/>
      <c r="I146" s="381"/>
      <c r="J146" s="381"/>
      <c r="K146" s="342"/>
      <c r="L146" s="382">
        <f>+SUM(G146:G152,J146:J152)</f>
        <v>1026.1799999999998</v>
      </c>
      <c r="M146" s="26">
        <v>1026.18</v>
      </c>
      <c r="N146" s="421"/>
      <c r="O146" s="77"/>
      <c r="P146" s="77"/>
      <c r="Q146" s="384"/>
      <c r="R146" s="422"/>
      <c r="S146" s="399"/>
      <c r="T146" s="399"/>
    </row>
    <row r="147" spans="1:20" s="81" customFormat="1" ht="15" customHeight="1">
      <c r="A147" s="389"/>
      <c r="B147" s="83"/>
      <c r="C147" s="84" t="s">
        <v>26</v>
      </c>
      <c r="D147" s="37"/>
      <c r="E147" s="38"/>
      <c r="F147" s="38"/>
      <c r="G147" s="39">
        <f t="shared" si="22"/>
        <v>0</v>
      </c>
      <c r="H147" s="270"/>
      <c r="I147" s="392"/>
      <c r="J147" s="402"/>
      <c r="K147" s="393"/>
      <c r="L147" s="429"/>
      <c r="M147" s="102"/>
      <c r="N147" s="430"/>
      <c r="O147" s="406"/>
      <c r="P147" s="406"/>
      <c r="Q147" s="407"/>
      <c r="R147" s="422"/>
      <c r="S147" s="399"/>
      <c r="T147" s="399"/>
    </row>
    <row r="148" spans="1:20" s="81" customFormat="1" ht="15" customHeight="1">
      <c r="A148" s="389"/>
      <c r="B148" s="98" t="s">
        <v>32</v>
      </c>
      <c r="C148" s="99" t="s">
        <v>33</v>
      </c>
      <c r="D148" s="37">
        <v>2</v>
      </c>
      <c r="E148" s="101">
        <v>292.75</v>
      </c>
      <c r="F148" s="38">
        <v>42.4328</v>
      </c>
      <c r="G148" s="39">
        <f t="shared" si="22"/>
        <v>670.37</v>
      </c>
      <c r="H148" s="270"/>
      <c r="I148" s="41"/>
      <c r="J148" s="41"/>
      <c r="K148" s="271"/>
      <c r="L148" s="272"/>
      <c r="M148" s="102"/>
      <c r="N148" s="430"/>
      <c r="O148" s="406"/>
      <c r="P148" s="406"/>
      <c r="Q148" s="407"/>
      <c r="R148" s="422"/>
      <c r="S148" s="399"/>
      <c r="T148" s="399"/>
    </row>
    <row r="149" spans="1:20" s="81" customFormat="1" ht="15" customHeight="1">
      <c r="A149" s="389"/>
      <c r="B149" s="83"/>
      <c r="C149" s="48" t="s">
        <v>190</v>
      </c>
      <c r="D149" s="37">
        <f>апр18!D151</f>
        <v>2</v>
      </c>
      <c r="E149" s="41">
        <f>292.75-341.87</f>
        <v>-49.120000000000005</v>
      </c>
      <c r="F149" s="38"/>
      <c r="G149" s="39">
        <f>ROUND(D149*(E149+F149),2)</f>
        <v>-98.24</v>
      </c>
      <c r="H149" s="270"/>
      <c r="I149" s="41"/>
      <c r="J149" s="41"/>
      <c r="K149" s="271"/>
      <c r="L149" s="272"/>
      <c r="M149" s="102"/>
      <c r="N149" s="430"/>
      <c r="O149" s="406"/>
      <c r="P149" s="406"/>
      <c r="Q149" s="407"/>
      <c r="R149" s="422"/>
      <c r="S149" s="399"/>
      <c r="T149" s="399"/>
    </row>
    <row r="150" spans="1:20" s="81" customFormat="1" ht="15" customHeight="1">
      <c r="A150" s="389"/>
      <c r="B150" s="83"/>
      <c r="C150" s="48" t="s">
        <v>135</v>
      </c>
      <c r="D150" s="37">
        <f>апр18!D154+апр18!D155</f>
        <v>29.1</v>
      </c>
      <c r="E150" s="41">
        <f>6.8921-6.5258</f>
        <v>0.36629999999999985</v>
      </c>
      <c r="F150" s="38"/>
      <c r="G150" s="39">
        <f>ROUND(D150*(E150+F150),2)</f>
        <v>10.66</v>
      </c>
      <c r="H150" s="270"/>
      <c r="I150" s="41"/>
      <c r="J150" s="41"/>
      <c r="K150" s="271"/>
      <c r="L150" s="272"/>
      <c r="M150" s="102"/>
      <c r="N150" s="430"/>
      <c r="O150" s="406"/>
      <c r="P150" s="406"/>
      <c r="Q150" s="407"/>
      <c r="R150" s="899"/>
      <c r="S150" s="399"/>
      <c r="T150" s="399"/>
    </row>
    <row r="151" spans="1:20" s="81" customFormat="1" ht="15" customHeight="1">
      <c r="A151" s="389"/>
      <c r="B151" s="83"/>
      <c r="C151" s="48" t="s">
        <v>136</v>
      </c>
      <c r="D151" s="37">
        <v>0.1</v>
      </c>
      <c r="E151" s="41">
        <v>6.8921000000000001</v>
      </c>
      <c r="F151" s="38"/>
      <c r="G151" s="39">
        <f t="shared" si="22"/>
        <v>0.69</v>
      </c>
      <c r="H151" s="432"/>
      <c r="I151" s="207"/>
      <c r="J151" s="207"/>
      <c r="K151" s="362"/>
      <c r="L151" s="433"/>
      <c r="M151" s="63"/>
      <c r="N151" s="434"/>
      <c r="O151" s="435"/>
      <c r="P151" s="435"/>
      <c r="Q151" s="425"/>
      <c r="R151" s="899"/>
      <c r="S151" s="399"/>
      <c r="T151" s="399"/>
    </row>
    <row r="152" spans="1:20" s="81" customFormat="1" ht="15" customHeight="1" thickBot="1">
      <c r="A152" s="411"/>
      <c r="B152" s="412"/>
      <c r="C152" s="99" t="s">
        <v>29</v>
      </c>
      <c r="D152" s="413">
        <v>30</v>
      </c>
      <c r="E152" s="56">
        <v>6.8921000000000001</v>
      </c>
      <c r="F152" s="281"/>
      <c r="G152" s="414">
        <f t="shared" si="22"/>
        <v>206.76</v>
      </c>
      <c r="H152" s="280"/>
      <c r="I152" s="281"/>
      <c r="J152" s="281"/>
      <c r="K152" s="282"/>
      <c r="L152" s="204"/>
      <c r="M152" s="371"/>
      <c r="N152" s="426"/>
      <c r="O152" s="416"/>
      <c r="P152" s="416"/>
      <c r="Q152" s="417"/>
      <c r="R152" s="899"/>
      <c r="S152" s="399"/>
      <c r="T152" s="399"/>
    </row>
    <row r="153" spans="1:20" s="81" customFormat="1" ht="15.75" customHeight="1">
      <c r="A153" s="902">
        <v>211</v>
      </c>
      <c r="B153" s="903" t="s">
        <v>231</v>
      </c>
      <c r="C153" s="439" t="s">
        <v>135</v>
      </c>
      <c r="D153" s="904">
        <f>апр18!D157+апр18!D158</f>
        <v>52.1</v>
      </c>
      <c r="E153" s="23">
        <f>6.8921-6.5258</f>
        <v>0.36629999999999985</v>
      </c>
      <c r="F153" s="905"/>
      <c r="G153" s="22">
        <f>ROUND(D153*E153,2)+0.02</f>
        <v>19.099999999999998</v>
      </c>
      <c r="H153" s="303"/>
      <c r="I153" s="23"/>
      <c r="J153" s="23"/>
      <c r="K153" s="304"/>
      <c r="L153" s="263">
        <f>SUM(G153:G155)</f>
        <v>2098.44</v>
      </c>
      <c r="M153" s="26">
        <v>2098.44</v>
      </c>
      <c r="N153" s="421"/>
      <c r="O153" s="77"/>
      <c r="P153" s="77"/>
      <c r="Q153" s="384"/>
      <c r="R153" s="422"/>
      <c r="S153" s="399"/>
      <c r="T153" s="399"/>
    </row>
    <row r="154" spans="1:20" s="81" customFormat="1" ht="15.75" customHeight="1">
      <c r="A154" s="468"/>
      <c r="B154" s="469"/>
      <c r="C154" s="48" t="s">
        <v>136</v>
      </c>
      <c r="D154" s="471">
        <v>0.7</v>
      </c>
      <c r="E154" s="41">
        <v>6.8921000000000001</v>
      </c>
      <c r="F154" s="473"/>
      <c r="G154" s="449">
        <f>ROUND(D154*E154,2)</f>
        <v>4.82</v>
      </c>
      <c r="H154" s="260"/>
      <c r="I154" s="261"/>
      <c r="J154" s="261"/>
      <c r="K154" s="262"/>
      <c r="L154" s="286"/>
      <c r="M154" s="90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 thickBot="1">
      <c r="A155" s="858"/>
      <c r="B155" s="859"/>
      <c r="C155" s="54" t="s">
        <v>29</v>
      </c>
      <c r="D155" s="860">
        <v>301</v>
      </c>
      <c r="E155" s="56">
        <v>6.8921000000000001</v>
      </c>
      <c r="F155" s="861"/>
      <c r="G155" s="414">
        <f t="shared" ref="G155" si="23">ROUND(D155*E155,2)</f>
        <v>2074.52</v>
      </c>
      <c r="H155" s="280"/>
      <c r="I155" s="281"/>
      <c r="J155" s="207"/>
      <c r="K155" s="362"/>
      <c r="L155" s="433"/>
      <c r="M155" s="63"/>
      <c r="N155" s="426"/>
      <c r="O155" s="416"/>
      <c r="P155" s="416"/>
      <c r="Q155" s="417"/>
      <c r="R155" s="422"/>
      <c r="S155" s="399"/>
      <c r="T155" s="399"/>
    </row>
    <row r="156" spans="1:20" s="81" customFormat="1" ht="15.75" customHeight="1">
      <c r="A156" s="902">
        <v>212</v>
      </c>
      <c r="B156" s="903" t="s">
        <v>140</v>
      </c>
      <c r="C156" s="439" t="s">
        <v>135</v>
      </c>
      <c r="D156" s="904">
        <f>апр18!D160+апр18!D161</f>
        <v>664.6</v>
      </c>
      <c r="E156" s="23">
        <f>6.8921-6.5258</f>
        <v>0.36629999999999985</v>
      </c>
      <c r="F156" s="905"/>
      <c r="G156" s="22">
        <f>ROUND(D156*E156,2)</f>
        <v>243.44</v>
      </c>
      <c r="H156" s="303"/>
      <c r="I156" s="23"/>
      <c r="J156" s="23"/>
      <c r="K156" s="304"/>
      <c r="L156" s="263">
        <f>SUM(G156:G158)</f>
        <v>4879.0700000000006</v>
      </c>
      <c r="M156" s="26">
        <v>4879.07</v>
      </c>
      <c r="N156" s="421"/>
      <c r="O156" s="77"/>
      <c r="P156" s="77"/>
      <c r="Q156" s="384"/>
      <c r="R156" s="422"/>
      <c r="S156" s="399"/>
      <c r="T156" s="399"/>
    </row>
    <row r="157" spans="1:20" s="81" customFormat="1" ht="15.75" customHeight="1">
      <c r="A157" s="468"/>
      <c r="B157" s="469"/>
      <c r="C157" s="48" t="s">
        <v>136</v>
      </c>
      <c r="D157" s="471">
        <v>1.6</v>
      </c>
      <c r="E157" s="41">
        <v>6.8921000000000001</v>
      </c>
      <c r="F157" s="473"/>
      <c r="G157" s="449">
        <f>ROUND(D157*E157,2)</f>
        <v>11.03</v>
      </c>
      <c r="H157" s="260"/>
      <c r="I157" s="261"/>
      <c r="J157" s="261"/>
      <c r="K157" s="262"/>
      <c r="L157" s="286"/>
      <c r="M157" s="90"/>
      <c r="N157" s="423"/>
      <c r="O157" s="406"/>
      <c r="P157" s="406"/>
      <c r="Q157" s="407"/>
      <c r="R157" s="422"/>
      <c r="S157" s="399"/>
      <c r="T157" s="399"/>
    </row>
    <row r="158" spans="1:20" s="81" customFormat="1" ht="15.75" customHeight="1" thickBot="1">
      <c r="A158" s="858"/>
      <c r="B158" s="859"/>
      <c r="C158" s="54" t="s">
        <v>29</v>
      </c>
      <c r="D158" s="860">
        <v>671</v>
      </c>
      <c r="E158" s="56">
        <v>6.8921000000000001</v>
      </c>
      <c r="F158" s="861"/>
      <c r="G158" s="414">
        <f t="shared" ref="G158" si="24">ROUND(D158*E158,2)</f>
        <v>4624.6000000000004</v>
      </c>
      <c r="H158" s="280"/>
      <c r="I158" s="281"/>
      <c r="J158" s="207"/>
      <c r="K158" s="362"/>
      <c r="L158" s="433"/>
      <c r="M158" s="63"/>
      <c r="N158" s="426"/>
      <c r="O158" s="416"/>
      <c r="P158" s="416"/>
      <c r="Q158" s="417"/>
      <c r="R158" s="422"/>
      <c r="S158" s="399"/>
      <c r="T158" s="399"/>
    </row>
    <row r="159" spans="1:20" s="81" customFormat="1" ht="15.75" customHeight="1">
      <c r="A159" s="902">
        <v>213</v>
      </c>
      <c r="B159" s="903" t="s">
        <v>134</v>
      </c>
      <c r="C159" s="439" t="s">
        <v>135</v>
      </c>
      <c r="D159" s="904">
        <f>апр18!D163+апр18!D164</f>
        <v>675.6</v>
      </c>
      <c r="E159" s="23">
        <f>6.8921-6.5258</f>
        <v>0.36629999999999985</v>
      </c>
      <c r="F159" s="905"/>
      <c r="G159" s="22">
        <f>ROUND(D159*E159,2)+0.01</f>
        <v>247.48</v>
      </c>
      <c r="H159" s="303"/>
      <c r="I159" s="23"/>
      <c r="J159" s="23"/>
      <c r="K159" s="304"/>
      <c r="L159" s="263">
        <f>SUM(G159:G161)</f>
        <v>5615.73</v>
      </c>
      <c r="M159" s="26">
        <v>5615.73</v>
      </c>
      <c r="N159" s="421"/>
      <c r="O159" s="77"/>
      <c r="P159" s="77"/>
      <c r="Q159" s="384"/>
      <c r="R159" s="422"/>
      <c r="S159" s="399"/>
      <c r="T159" s="399"/>
    </row>
    <row r="160" spans="1:20" s="81" customFormat="1" ht="15.75" customHeight="1">
      <c r="A160" s="468"/>
      <c r="B160" s="469"/>
      <c r="C160" s="48" t="s">
        <v>136</v>
      </c>
      <c r="D160" s="471">
        <v>1.9</v>
      </c>
      <c r="E160" s="41">
        <v>6.8921000000000001</v>
      </c>
      <c r="F160" s="473"/>
      <c r="G160" s="449">
        <f t="shared" ref="G160:G161" si="25">ROUND(D160*E160,2)</f>
        <v>13.09</v>
      </c>
      <c r="H160" s="260"/>
      <c r="I160" s="261"/>
      <c r="J160" s="261"/>
      <c r="K160" s="262"/>
      <c r="L160" s="286"/>
      <c r="M160" s="90"/>
      <c r="N160" s="423"/>
      <c r="O160" s="406"/>
      <c r="P160" s="406"/>
      <c r="Q160" s="407"/>
      <c r="R160" s="422"/>
      <c r="S160" s="399"/>
      <c r="T160" s="399"/>
    </row>
    <row r="161" spans="1:21" s="81" customFormat="1" ht="15.75" customHeight="1" thickBot="1">
      <c r="A161" s="858"/>
      <c r="B161" s="859"/>
      <c r="C161" s="54" t="s">
        <v>29</v>
      </c>
      <c r="D161" s="860">
        <v>777</v>
      </c>
      <c r="E161" s="56">
        <v>6.8921000000000001</v>
      </c>
      <c r="F161" s="861"/>
      <c r="G161" s="414">
        <f t="shared" si="25"/>
        <v>5355.16</v>
      </c>
      <c r="H161" s="280"/>
      <c r="I161" s="281"/>
      <c r="J161" s="281"/>
      <c r="K161" s="282"/>
      <c r="L161" s="204"/>
      <c r="M161" s="371"/>
      <c r="N161" s="426"/>
      <c r="O161" s="416"/>
      <c r="P161" s="416"/>
      <c r="Q161" s="417"/>
      <c r="R161" s="422"/>
      <c r="S161" s="399"/>
      <c r="T161" s="399"/>
    </row>
    <row r="162" spans="1:21" s="81" customFormat="1" ht="15.75" customHeight="1">
      <c r="A162" s="902">
        <v>215</v>
      </c>
      <c r="B162" s="903" t="s">
        <v>220</v>
      </c>
      <c r="C162" s="439"/>
      <c r="D162" s="904"/>
      <c r="E162" s="23"/>
      <c r="F162" s="905"/>
      <c r="G162" s="22">
        <f>ROUND(D162*E162,2)</f>
        <v>0</v>
      </c>
      <c r="H162" s="303"/>
      <c r="I162" s="23"/>
      <c r="J162" s="23"/>
      <c r="K162" s="304"/>
      <c r="L162" s="263">
        <f>SUM(G162:G164)</f>
        <v>4641.4500000000007</v>
      </c>
      <c r="M162" s="26">
        <v>4641.45</v>
      </c>
      <c r="N162" s="421"/>
      <c r="O162" s="77"/>
      <c r="P162" s="77"/>
      <c r="Q162" s="384"/>
      <c r="R162" s="422"/>
      <c r="S162" s="399"/>
      <c r="T162" s="399"/>
    </row>
    <row r="163" spans="1:21" s="81" customFormat="1" ht="15.75" customHeight="1">
      <c r="A163" s="468"/>
      <c r="B163" s="981" t="s">
        <v>221</v>
      </c>
      <c r="C163" s="48" t="s">
        <v>136</v>
      </c>
      <c r="D163" s="471">
        <v>1.6</v>
      </c>
      <c r="E163" s="41">
        <v>6.7797999999999998</v>
      </c>
      <c r="F163" s="473"/>
      <c r="G163" s="449">
        <f t="shared" ref="G163:G164" si="26">ROUND(D163*E163,2)</f>
        <v>10.85</v>
      </c>
      <c r="H163" s="260"/>
      <c r="I163" s="261"/>
      <c r="J163" s="261"/>
      <c r="K163" s="262"/>
      <c r="L163" s="286"/>
      <c r="M163" s="90"/>
      <c r="N163" s="423"/>
      <c r="O163" s="406"/>
      <c r="P163" s="406"/>
      <c r="Q163" s="407"/>
      <c r="R163" s="422"/>
      <c r="S163" s="399"/>
      <c r="T163" s="399"/>
    </row>
    <row r="164" spans="1:21" s="81" customFormat="1" ht="15.75" customHeight="1" thickBot="1">
      <c r="A164" s="858"/>
      <c r="B164" s="859"/>
      <c r="C164" s="54" t="s">
        <v>29</v>
      </c>
      <c r="D164" s="860">
        <v>683</v>
      </c>
      <c r="E164" s="56">
        <v>6.7797999999999998</v>
      </c>
      <c r="F164" s="861"/>
      <c r="G164" s="414">
        <f t="shared" si="26"/>
        <v>4630.6000000000004</v>
      </c>
      <c r="H164" s="280"/>
      <c r="I164" s="281"/>
      <c r="J164" s="281"/>
      <c r="K164" s="282"/>
      <c r="L164" s="204"/>
      <c r="M164" s="371"/>
      <c r="N164" s="426"/>
      <c r="O164" s="416"/>
      <c r="P164" s="416"/>
      <c r="Q164" s="417"/>
      <c r="R164" s="422"/>
      <c r="S164" s="399"/>
      <c r="T164" s="399"/>
    </row>
    <row r="165" spans="1:21" s="81" customFormat="1" ht="15" customHeight="1">
      <c r="A165" s="376">
        <v>301</v>
      </c>
      <c r="B165" s="70" t="s">
        <v>67</v>
      </c>
      <c r="C165" s="377"/>
      <c r="D165" s="378">
        <v>716</v>
      </c>
      <c r="E165" s="21">
        <v>36.214199999999998</v>
      </c>
      <c r="F165" s="21">
        <v>42.4328</v>
      </c>
      <c r="G165" s="379">
        <f>ROUND(D165*(E165+F165),2)</f>
        <v>56311.25</v>
      </c>
      <c r="H165" s="380"/>
      <c r="I165" s="381"/>
      <c r="J165" s="381"/>
      <c r="K165" s="342"/>
      <c r="L165" s="382">
        <f>+SUM(G165:G174,J165:J173)</f>
        <v>188104.38</v>
      </c>
      <c r="M165" s="26">
        <v>188104.38</v>
      </c>
      <c r="N165" s="383"/>
      <c r="O165" s="77"/>
      <c r="P165" s="77" t="s">
        <v>68</v>
      </c>
      <c r="Q165" s="384">
        <f t="shared" si="16"/>
        <v>-131793.13</v>
      </c>
      <c r="R165" s="385" t="s">
        <v>69</v>
      </c>
      <c r="S165" s="386"/>
      <c r="T165" s="387"/>
      <c r="U165" s="388"/>
    </row>
    <row r="166" spans="1:21" s="81" customFormat="1" ht="12.75">
      <c r="A166" s="389"/>
      <c r="B166" s="83"/>
      <c r="C166" s="390" t="s">
        <v>26</v>
      </c>
      <c r="D166" s="37"/>
      <c r="E166" s="38"/>
      <c r="F166" s="38"/>
      <c r="G166" s="39">
        <f>ROUND(D166*(E166+F166),2)</f>
        <v>0</v>
      </c>
      <c r="H166" s="391"/>
      <c r="I166" s="392"/>
      <c r="J166" s="402"/>
      <c r="K166" s="393"/>
      <c r="L166" s="394"/>
      <c r="M166" s="90"/>
      <c r="N166" s="395"/>
      <c r="O166" s="94"/>
      <c r="P166" s="94"/>
      <c r="Q166" s="396"/>
      <c r="R166" s="397"/>
      <c r="S166" s="398"/>
      <c r="T166" s="399"/>
    </row>
    <row r="167" spans="1:21" s="81" customFormat="1" ht="12.75">
      <c r="A167" s="389"/>
      <c r="B167" s="98" t="s">
        <v>32</v>
      </c>
      <c r="C167" s="99" t="s">
        <v>33</v>
      </c>
      <c r="D167" s="37">
        <v>83</v>
      </c>
      <c r="E167" s="101">
        <v>292.75</v>
      </c>
      <c r="F167" s="38">
        <v>42.4328</v>
      </c>
      <c r="G167" s="400">
        <f>ROUND(D167*(E167+F167),2)</f>
        <v>27820.17</v>
      </c>
      <c r="H167" s="401"/>
      <c r="I167" s="402"/>
      <c r="J167" s="402"/>
      <c r="K167" s="403"/>
      <c r="L167" s="404"/>
      <c r="M167" s="102"/>
      <c r="N167" s="405"/>
      <c r="O167" s="406"/>
      <c r="P167" s="406" t="s">
        <v>68</v>
      </c>
      <c r="Q167" s="407">
        <f>+G167+J167-M167-N167-O167</f>
        <v>27820.17</v>
      </c>
      <c r="R167" s="397" t="s">
        <v>69</v>
      </c>
      <c r="S167" s="398"/>
      <c r="T167" s="399"/>
    </row>
    <row r="168" spans="1:21" s="81" customFormat="1" ht="15" customHeight="1">
      <c r="A168" s="389"/>
      <c r="B168" s="98"/>
      <c r="C168" s="84" t="s">
        <v>26</v>
      </c>
      <c r="D168" s="37">
        <f>апр18!D170</f>
        <v>105</v>
      </c>
      <c r="E168" s="41">
        <f>292.75-341.87</f>
        <v>-49.120000000000005</v>
      </c>
      <c r="F168" s="38"/>
      <c r="G168" s="400">
        <f>+D168*(E168+F168)</f>
        <v>-5157.6000000000004</v>
      </c>
      <c r="H168" s="401"/>
      <c r="I168" s="402"/>
      <c r="J168" s="402"/>
      <c r="K168" s="408"/>
      <c r="L168" s="404"/>
      <c r="M168" s="102"/>
      <c r="N168" s="405"/>
      <c r="O168" s="406"/>
      <c r="P168" s="406"/>
      <c r="Q168" s="407"/>
      <c r="R168" s="397"/>
      <c r="S168" s="398"/>
      <c r="T168" s="399"/>
    </row>
    <row r="169" spans="1:21" s="81" customFormat="1" ht="15" customHeight="1">
      <c r="A169" s="389"/>
      <c r="B169" s="83"/>
      <c r="C169" s="84"/>
      <c r="D169" s="37"/>
      <c r="E169" s="41"/>
      <c r="F169" s="38"/>
      <c r="G169" s="400"/>
      <c r="H169" s="401"/>
      <c r="I169" s="402"/>
      <c r="J169" s="402"/>
      <c r="K169" s="408"/>
      <c r="L169" s="404"/>
      <c r="M169" s="102"/>
      <c r="N169" s="405"/>
      <c r="O169" s="406"/>
      <c r="P169" s="406"/>
      <c r="Q169" s="407"/>
      <c r="R169" s="397"/>
      <c r="S169" s="398"/>
      <c r="T169" s="399"/>
    </row>
    <row r="170" spans="1:21" s="81" customFormat="1" ht="15" customHeight="1">
      <c r="A170" s="389"/>
      <c r="B170" s="83" t="s">
        <v>70</v>
      </c>
      <c r="C170" s="84"/>
      <c r="D170" s="37"/>
      <c r="E170" s="41"/>
      <c r="F170" s="38"/>
      <c r="G170" s="400"/>
      <c r="H170" s="401"/>
      <c r="I170" s="402"/>
      <c r="J170" s="402"/>
      <c r="K170" s="408"/>
      <c r="L170" s="404"/>
      <c r="M170" s="102"/>
      <c r="N170" s="405"/>
      <c r="O170" s="406"/>
      <c r="P170" s="406"/>
      <c r="Q170" s="407"/>
      <c r="R170" s="397"/>
      <c r="S170" s="398"/>
      <c r="T170" s="399"/>
    </row>
    <row r="171" spans="1:21" s="81" customFormat="1" ht="15" customHeight="1">
      <c r="A171" s="389"/>
      <c r="B171" s="83"/>
      <c r="C171" s="48"/>
      <c r="D171" s="37"/>
      <c r="E171" s="41">
        <f>4.4128-4.4153</f>
        <v>-2.5000000000003908E-3</v>
      </c>
      <c r="F171" s="38"/>
      <c r="G171" s="39">
        <f>ROUND(D171*(E171+F171),2)</f>
        <v>0</v>
      </c>
      <c r="H171" s="37"/>
      <c r="I171" s="409"/>
      <c r="J171" s="409"/>
      <c r="K171" s="408"/>
      <c r="L171" s="404"/>
      <c r="M171" s="102"/>
      <c r="N171" s="405"/>
      <c r="O171" s="406"/>
      <c r="P171" s="406"/>
      <c r="Q171" s="407"/>
      <c r="R171" s="397"/>
      <c r="S171" s="398"/>
      <c r="T171" s="399"/>
    </row>
    <row r="172" spans="1:21" s="81" customFormat="1" ht="15" customHeight="1">
      <c r="A172" s="389"/>
      <c r="B172" s="83"/>
      <c r="C172" s="48" t="s">
        <v>135</v>
      </c>
      <c r="D172" s="37">
        <f>апр18!D176+апр18!D177</f>
        <v>12120</v>
      </c>
      <c r="E172" s="41">
        <f>6.8921-6.5258</f>
        <v>0.36629999999999985</v>
      </c>
      <c r="F172" s="38">
        <f>+E172</f>
        <v>0.36629999999999985</v>
      </c>
      <c r="G172" s="39">
        <f>ROUND(D172*E172,2)</f>
        <v>4439.5600000000004</v>
      </c>
      <c r="H172" s="37"/>
      <c r="I172" s="409"/>
      <c r="J172" s="409"/>
      <c r="K172" s="408"/>
      <c r="L172" s="404"/>
      <c r="M172" s="102"/>
      <c r="N172" s="405"/>
      <c r="O172" s="406"/>
      <c r="P172" s="406"/>
      <c r="Q172" s="407"/>
      <c r="R172" s="397"/>
      <c r="S172" s="398"/>
      <c r="T172" s="399"/>
    </row>
    <row r="173" spans="1:21" s="81" customFormat="1" ht="15" customHeight="1">
      <c r="A173" s="389"/>
      <c r="B173" s="83"/>
      <c r="C173" s="48" t="s">
        <v>136</v>
      </c>
      <c r="D173" s="37">
        <v>36</v>
      </c>
      <c r="E173" s="41">
        <v>6.8921000000000001</v>
      </c>
      <c r="F173" s="41">
        <f>+E173</f>
        <v>6.8921000000000001</v>
      </c>
      <c r="G173" s="39">
        <f>ROUND(D173*E173,2)</f>
        <v>248.12</v>
      </c>
      <c r="H173" s="37"/>
      <c r="I173" s="409"/>
      <c r="J173" s="409"/>
      <c r="K173" s="410"/>
      <c r="L173" s="404"/>
      <c r="M173" s="102"/>
      <c r="N173" s="405"/>
      <c r="O173" s="406"/>
      <c r="P173" s="406"/>
      <c r="Q173" s="407"/>
      <c r="R173" s="397"/>
      <c r="S173" s="398"/>
      <c r="T173" s="399"/>
    </row>
    <row r="174" spans="1:21" s="81" customFormat="1" ht="15.75" customHeight="1" thickBot="1">
      <c r="A174" s="411"/>
      <c r="B174" s="412"/>
      <c r="C174" s="99" t="s">
        <v>29</v>
      </c>
      <c r="D174" s="413">
        <f>13480+1636+38</f>
        <v>15154</v>
      </c>
      <c r="E174" s="56">
        <v>6.8921000000000001</v>
      </c>
      <c r="F174" s="41">
        <f>+E174</f>
        <v>6.8921000000000001</v>
      </c>
      <c r="G174" s="414">
        <f>ROUND(D174*E174,2)</f>
        <v>104442.88</v>
      </c>
      <c r="H174" s="248"/>
      <c r="I174" s="60"/>
      <c r="J174" s="60"/>
      <c r="K174" s="203"/>
      <c r="L174" s="204"/>
      <c r="M174" s="371"/>
      <c r="N174" s="415"/>
      <c r="O174" s="416"/>
      <c r="P174" s="416" t="s">
        <v>68</v>
      </c>
      <c r="Q174" s="417">
        <f>+G174+J174-M174-N174-O174</f>
        <v>104442.88</v>
      </c>
      <c r="R174" s="418" t="s">
        <v>69</v>
      </c>
      <c r="S174" s="419">
        <f>SUM(O165:O174)</f>
        <v>0</v>
      </c>
      <c r="T174" s="419">
        <f>SUM(Q165:Q174)</f>
        <v>469.91999999999825</v>
      </c>
    </row>
    <row r="175" spans="1:21" s="81" customFormat="1" ht="15.75" customHeight="1">
      <c r="A175" s="902">
        <v>303</v>
      </c>
      <c r="B175" s="903" t="s">
        <v>227</v>
      </c>
      <c r="C175" s="439" t="s">
        <v>135</v>
      </c>
      <c r="D175" s="904">
        <f>апр18!D179+апр18!D180</f>
        <v>670.6</v>
      </c>
      <c r="E175" s="23">
        <f>6.8921-6.5258</f>
        <v>0.36629999999999985</v>
      </c>
      <c r="F175" s="905"/>
      <c r="G175" s="22">
        <f>ROUND(D175*E175,2)+0.01</f>
        <v>245.64999999999998</v>
      </c>
      <c r="H175" s="303"/>
      <c r="I175" s="23"/>
      <c r="J175" s="23"/>
      <c r="K175" s="304"/>
      <c r="L175" s="263">
        <f>SUM(G175:G177)</f>
        <v>6145.2800000000007</v>
      </c>
      <c r="M175" s="26">
        <v>6145.28</v>
      </c>
      <c r="N175" s="421"/>
      <c r="O175" s="77"/>
      <c r="P175" s="77"/>
      <c r="Q175" s="384"/>
      <c r="R175" s="422"/>
      <c r="S175" s="399"/>
      <c r="T175" s="399"/>
    </row>
    <row r="176" spans="1:21" s="81" customFormat="1" ht="15.75" customHeight="1">
      <c r="A176" s="468"/>
      <c r="B176" s="469"/>
      <c r="C176" s="48" t="s">
        <v>136</v>
      </c>
      <c r="D176" s="471">
        <v>2</v>
      </c>
      <c r="E176" s="41">
        <v>6.8921000000000001</v>
      </c>
      <c r="F176" s="473"/>
      <c r="G176" s="449">
        <f>ROUND(D176*E176,2)</f>
        <v>13.78</v>
      </c>
      <c r="H176" s="260"/>
      <c r="I176" s="261"/>
      <c r="J176" s="261"/>
      <c r="K176" s="262"/>
      <c r="L176" s="286"/>
      <c r="M176" s="90"/>
      <c r="N176" s="423"/>
      <c r="O176" s="406"/>
      <c r="P176" s="406"/>
      <c r="Q176" s="407"/>
      <c r="R176" s="422"/>
      <c r="S176" s="399"/>
      <c r="T176" s="399"/>
    </row>
    <row r="177" spans="1:20" s="81" customFormat="1" ht="15.75" customHeight="1" thickBot="1">
      <c r="A177" s="858"/>
      <c r="B177" s="859"/>
      <c r="C177" s="54" t="s">
        <v>29</v>
      </c>
      <c r="D177" s="860">
        <v>854</v>
      </c>
      <c r="E177" s="56">
        <v>6.8921000000000001</v>
      </c>
      <c r="F177" s="861"/>
      <c r="G177" s="414">
        <f t="shared" ref="G177" si="27">ROUND(D177*E177,2)</f>
        <v>5885.85</v>
      </c>
      <c r="H177" s="280"/>
      <c r="I177" s="281"/>
      <c r="J177" s="281"/>
      <c r="K177" s="282"/>
      <c r="L177" s="204"/>
      <c r="M177" s="371"/>
      <c r="N177" s="426"/>
      <c r="O177" s="416"/>
      <c r="P177" s="416"/>
      <c r="Q177" s="417"/>
      <c r="R177" s="422"/>
      <c r="S177" s="399"/>
      <c r="T177" s="399"/>
    </row>
    <row r="178" spans="1:20" s="81" customFormat="1" ht="15" customHeight="1">
      <c r="A178" s="437">
        <v>304</v>
      </c>
      <c r="B178" s="438" t="s">
        <v>83</v>
      </c>
      <c r="C178" s="377" t="s">
        <v>73</v>
      </c>
      <c r="D178" s="378">
        <v>0</v>
      </c>
      <c r="E178" s="21">
        <v>36.214199999999998</v>
      </c>
      <c r="F178" s="21">
        <v>42.4328</v>
      </c>
      <c r="G178" s="22">
        <f>+D178*(E178+F178)</f>
        <v>0</v>
      </c>
      <c r="H178" s="303"/>
      <c r="I178" s="381"/>
      <c r="J178" s="381"/>
      <c r="K178" s="342"/>
      <c r="L178" s="263">
        <f>SUM(G178:G182,J178:J182)</f>
        <v>342.97</v>
      </c>
      <c r="M178" s="26">
        <v>342.97</v>
      </c>
      <c r="N178" s="421"/>
      <c r="O178" s="77"/>
      <c r="P178" s="77"/>
      <c r="Q178" s="384"/>
      <c r="R178" s="899"/>
      <c r="S178" s="399"/>
      <c r="T178" s="399"/>
    </row>
    <row r="179" spans="1:20" s="81" customFormat="1" ht="15" customHeight="1">
      <c r="A179" s="441"/>
      <c r="B179" s="442"/>
      <c r="C179" s="36" t="s">
        <v>26</v>
      </c>
      <c r="D179" s="37"/>
      <c r="E179" s="38"/>
      <c r="F179" s="38"/>
      <c r="G179" s="39">
        <f>ROUND(D179*(E179+F179),2)</f>
        <v>0</v>
      </c>
      <c r="H179" s="457"/>
      <c r="I179" s="392"/>
      <c r="J179" s="402"/>
      <c r="K179" s="393"/>
      <c r="L179" s="459"/>
      <c r="M179" s="44"/>
      <c r="N179" s="430"/>
      <c r="O179" s="435"/>
      <c r="P179" s="435"/>
      <c r="Q179" s="425"/>
      <c r="R179" s="422"/>
      <c r="S179" s="399"/>
      <c r="T179" s="399"/>
    </row>
    <row r="180" spans="1:20" s="81" customFormat="1" ht="15" customHeight="1">
      <c r="A180" s="441"/>
      <c r="B180" s="442"/>
      <c r="C180" s="48" t="s">
        <v>135</v>
      </c>
      <c r="D180" s="37">
        <f>апр18!D184+апр18!D185</f>
        <v>50.1</v>
      </c>
      <c r="E180" s="41">
        <f>6.8921-6.5258</f>
        <v>0.36629999999999985</v>
      </c>
      <c r="F180" s="38"/>
      <c r="G180" s="39">
        <f>ROUND(D180*(E180),2)</f>
        <v>18.350000000000001</v>
      </c>
      <c r="H180" s="270"/>
      <c r="I180" s="41"/>
      <c r="J180" s="41"/>
      <c r="K180" s="271"/>
      <c r="L180" s="272"/>
      <c r="M180" s="102"/>
      <c r="N180" s="430"/>
      <c r="O180" s="435"/>
      <c r="P180" s="435"/>
      <c r="Q180" s="425"/>
      <c r="R180" s="422"/>
      <c r="S180" s="399"/>
      <c r="T180" s="399"/>
    </row>
    <row r="181" spans="1:20" s="81" customFormat="1" ht="15" customHeight="1">
      <c r="A181" s="441"/>
      <c r="B181" s="442"/>
      <c r="C181" s="48" t="s">
        <v>136</v>
      </c>
      <c r="D181" s="37">
        <v>0.1</v>
      </c>
      <c r="E181" s="41">
        <v>6.8921000000000001</v>
      </c>
      <c r="F181" s="38"/>
      <c r="G181" s="39">
        <f>ROUND(D181*(E181),2)</f>
        <v>0.69</v>
      </c>
      <c r="H181" s="270"/>
      <c r="I181" s="41"/>
      <c r="J181" s="41"/>
      <c r="K181" s="271"/>
      <c r="L181" s="272"/>
      <c r="M181" s="102"/>
      <c r="N181" s="434"/>
      <c r="O181" s="435"/>
      <c r="P181" s="435"/>
      <c r="Q181" s="425"/>
      <c r="R181" s="422"/>
      <c r="S181" s="399"/>
      <c r="T181" s="399"/>
    </row>
    <row r="182" spans="1:20" s="81" customFormat="1" ht="15.75" customHeight="1" thickBot="1">
      <c r="A182" s="445"/>
      <c r="B182" s="446"/>
      <c r="C182" s="54" t="s">
        <v>29</v>
      </c>
      <c r="D182" s="413">
        <v>47</v>
      </c>
      <c r="E182" s="56">
        <v>6.8921000000000001</v>
      </c>
      <c r="F182" s="281"/>
      <c r="G182" s="414">
        <f>ROUND(D182*(E182),2)</f>
        <v>323.93</v>
      </c>
      <c r="H182" s="280"/>
      <c r="I182" s="281"/>
      <c r="J182" s="281"/>
      <c r="K182" s="282"/>
      <c r="L182" s="204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.75" customHeight="1">
      <c r="A183" s="902">
        <v>400</v>
      </c>
      <c r="B183" s="903" t="s">
        <v>238</v>
      </c>
      <c r="C183" s="439" t="s">
        <v>135</v>
      </c>
      <c r="D183" s="904"/>
      <c r="E183" s="23">
        <f>6.8921-6.5258</f>
        <v>0.36629999999999985</v>
      </c>
      <c r="F183" s="905"/>
      <c r="G183" s="22">
        <f>ROUND(D183*E183,2)</f>
        <v>0</v>
      </c>
      <c r="H183" s="303"/>
      <c r="I183" s="23"/>
      <c r="J183" s="23"/>
      <c r="K183" s="304"/>
      <c r="L183" s="263">
        <f>SUM(G183:G185)</f>
        <v>36712.840000000004</v>
      </c>
      <c r="M183" s="26">
        <v>36712.839999999997</v>
      </c>
      <c r="N183" s="421"/>
      <c r="O183" s="77"/>
      <c r="P183" s="77"/>
      <c r="Q183" s="384"/>
      <c r="R183" s="422"/>
      <c r="S183" s="399"/>
      <c r="T183" s="399"/>
    </row>
    <row r="184" spans="1:20" s="81" customFormat="1" ht="15.75" customHeight="1">
      <c r="A184" s="468"/>
      <c r="B184" s="469"/>
      <c r="C184" s="48" t="s">
        <v>136</v>
      </c>
      <c r="D184" s="471">
        <v>12.8</v>
      </c>
      <c r="E184" s="41">
        <v>6.8921000000000001</v>
      </c>
      <c r="F184" s="473"/>
      <c r="G184" s="449">
        <f>ROUND(D184*E184,2)</f>
        <v>88.22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 thickBot="1">
      <c r="A185" s="858"/>
      <c r="B185" s="859"/>
      <c r="C185" s="54" t="s">
        <v>29</v>
      </c>
      <c r="D185" s="860">
        <v>5314</v>
      </c>
      <c r="E185" s="56">
        <v>6.8921000000000001</v>
      </c>
      <c r="F185" s="861"/>
      <c r="G185" s="414">
        <f t="shared" ref="G185" si="28">ROUND(D185*E185,2)</f>
        <v>36624.620000000003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0" s="81" customFormat="1" ht="15" customHeight="1">
      <c r="A186" s="437">
        <v>402</v>
      </c>
      <c r="B186" s="438" t="s">
        <v>122</v>
      </c>
      <c r="C186" s="439"/>
      <c r="D186" s="378"/>
      <c r="E186" s="23"/>
      <c r="F186" s="23"/>
      <c r="G186" s="22"/>
      <c r="H186" s="303"/>
      <c r="I186" s="23"/>
      <c r="J186" s="23"/>
      <c r="K186" s="304"/>
      <c r="L186" s="382">
        <f>+SUM(G186:G189,J186:J189)</f>
        <v>1775.81</v>
      </c>
      <c r="M186" s="26">
        <v>1775.81</v>
      </c>
      <c r="N186" s="421"/>
      <c r="O186" s="77"/>
      <c r="P186" s="77"/>
      <c r="Q186" s="384"/>
      <c r="R186" s="899"/>
      <c r="S186" s="399"/>
      <c r="T186" s="399"/>
    </row>
    <row r="187" spans="1:20" s="81" customFormat="1" ht="15" customHeight="1" thickBot="1">
      <c r="A187" s="441"/>
      <c r="B187" s="442"/>
      <c r="C187" s="48" t="s">
        <v>135</v>
      </c>
      <c r="D187" s="37">
        <f>апр18!D188+апр18!D189</f>
        <v>189.45</v>
      </c>
      <c r="E187" s="41">
        <f>6.8921-6.5258</f>
        <v>0.36629999999999985</v>
      </c>
      <c r="F187" s="41"/>
      <c r="G187" s="414">
        <f>ROUND(D187*E187,2)-0.01</f>
        <v>69.39</v>
      </c>
      <c r="H187" s="260"/>
      <c r="I187" s="261"/>
      <c r="J187" s="261"/>
      <c r="K187" s="262"/>
      <c r="L187" s="394"/>
      <c r="M187" s="90"/>
      <c r="N187" s="443"/>
      <c r="O187" s="94"/>
      <c r="P187" s="94"/>
      <c r="Q187" s="396"/>
      <c r="R187" s="899"/>
      <c r="S187" s="399"/>
      <c r="T187" s="399"/>
    </row>
    <row r="188" spans="1:20" s="81" customFormat="1" ht="15" customHeight="1" thickBot="1">
      <c r="A188" s="441"/>
      <c r="B188" s="444"/>
      <c r="C188" s="48" t="s">
        <v>136</v>
      </c>
      <c r="D188" s="37">
        <v>0.59</v>
      </c>
      <c r="E188" s="41">
        <v>6.8921000000000001</v>
      </c>
      <c r="F188" s="41"/>
      <c r="G188" s="414">
        <f>ROUND(D188*E188,2)</f>
        <v>4.07</v>
      </c>
      <c r="H188" s="432"/>
      <c r="I188" s="207"/>
      <c r="J188" s="207"/>
      <c r="K188" s="362"/>
      <c r="L188" s="433"/>
      <c r="M188" s="63"/>
      <c r="N188" s="423"/>
      <c r="O188" s="406"/>
      <c r="P188" s="406"/>
      <c r="Q188" s="407"/>
      <c r="R188" s="899"/>
      <c r="S188" s="399"/>
      <c r="T188" s="399"/>
    </row>
    <row r="189" spans="1:20" s="81" customFormat="1" ht="15" customHeight="1" thickBot="1">
      <c r="A189" s="445"/>
      <c r="B189" s="446"/>
      <c r="C189" s="99" t="s">
        <v>29</v>
      </c>
      <c r="D189" s="413">
        <v>247</v>
      </c>
      <c r="E189" s="56">
        <v>6.8921000000000001</v>
      </c>
      <c r="F189" s="281"/>
      <c r="G189" s="414">
        <f>ROUND(D189*E189,2)</f>
        <v>1702.35</v>
      </c>
      <c r="H189" s="280"/>
      <c r="I189" s="281"/>
      <c r="J189" s="281"/>
      <c r="K189" s="282"/>
      <c r="L189" s="204"/>
      <c r="M189" s="371"/>
      <c r="N189" s="434"/>
      <c r="O189" s="435"/>
      <c r="P189" s="435"/>
      <c r="Q189" s="425"/>
      <c r="R189" s="899"/>
      <c r="S189" s="399"/>
      <c r="T189" s="399"/>
    </row>
    <row r="190" spans="1:20" s="81" customFormat="1" ht="15.75" customHeight="1">
      <c r="A190" s="447">
        <v>403</v>
      </c>
      <c r="B190" s="438" t="s">
        <v>126</v>
      </c>
      <c r="C190" s="439" t="s">
        <v>135</v>
      </c>
      <c r="D190" s="900">
        <f>апр18!D191+апр18!D192</f>
        <v>57.1</v>
      </c>
      <c r="E190" s="23">
        <f>6.8921-6.5258</f>
        <v>0.36629999999999985</v>
      </c>
      <c r="F190" s="23"/>
      <c r="G190" s="22">
        <f>ROUND(D190*E190,2)</f>
        <v>20.92</v>
      </c>
      <c r="H190" s="303"/>
      <c r="I190" s="23"/>
      <c r="J190" s="23"/>
      <c r="K190" s="304"/>
      <c r="L190" s="263">
        <f>SUM(G190:G192)</f>
        <v>753.55</v>
      </c>
      <c r="M190" s="26">
        <v>753.55</v>
      </c>
      <c r="N190" s="421"/>
      <c r="O190" s="77"/>
      <c r="P190" s="77"/>
      <c r="Q190" s="384"/>
      <c r="R190" s="422"/>
      <c r="S190" s="399"/>
      <c r="T190" s="399"/>
    </row>
    <row r="191" spans="1:20" s="81" customFormat="1" ht="15.75" customHeight="1">
      <c r="A191" s="450"/>
      <c r="B191" s="442"/>
      <c r="C191" s="48" t="s">
        <v>136</v>
      </c>
      <c r="D191" s="448">
        <v>0.3</v>
      </c>
      <c r="E191" s="41">
        <v>6.8921000000000001</v>
      </c>
      <c r="F191" s="261"/>
      <c r="G191" s="449">
        <f t="shared" ref="G191:G192" si="29">ROUND(D191*E191,2)</f>
        <v>2.0699999999999998</v>
      </c>
      <c r="H191" s="260"/>
      <c r="I191" s="261"/>
      <c r="J191" s="261"/>
      <c r="K191" s="262"/>
      <c r="L191" s="286"/>
      <c r="M191" s="90"/>
      <c r="N191" s="423"/>
      <c r="O191" s="406"/>
      <c r="P191" s="406"/>
      <c r="Q191" s="407"/>
      <c r="R191" s="422"/>
      <c r="S191" s="399"/>
      <c r="T191" s="399"/>
    </row>
    <row r="192" spans="1:20" s="81" customFormat="1" ht="15.75" customHeight="1" thickBot="1">
      <c r="A192" s="451"/>
      <c r="B192" s="446"/>
      <c r="C192" s="54" t="s">
        <v>29</v>
      </c>
      <c r="D192" s="901">
        <v>106</v>
      </c>
      <c r="E192" s="56">
        <v>6.8921000000000001</v>
      </c>
      <c r="F192" s="281"/>
      <c r="G192" s="414">
        <f t="shared" si="29"/>
        <v>730.56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906" t="s">
        <v>199</v>
      </c>
      <c r="B193" s="903" t="s">
        <v>191</v>
      </c>
      <c r="C193" s="382" t="s">
        <v>73</v>
      </c>
      <c r="D193" s="904">
        <v>10</v>
      </c>
      <c r="E193" s="907">
        <v>36.214199999999998</v>
      </c>
      <c r="F193" s="905">
        <v>42.4328</v>
      </c>
      <c r="G193" s="908">
        <f>ROUND(D193*E193+D193*F193,2)</f>
        <v>786.47</v>
      </c>
      <c r="H193" s="303"/>
      <c r="I193" s="23"/>
      <c r="J193" s="23"/>
      <c r="K193" s="304"/>
      <c r="L193" s="263">
        <f>SUM(G193:G197)</f>
        <v>13133.76</v>
      </c>
      <c r="M193" s="877">
        <v>13133.76</v>
      </c>
      <c r="N193" s="430"/>
      <c r="O193" s="77"/>
      <c r="P193" s="77"/>
      <c r="Q193" s="384"/>
      <c r="R193" s="422"/>
      <c r="S193" s="399"/>
      <c r="T193" s="399"/>
    </row>
    <row r="194" spans="1:20" s="81" customFormat="1" ht="15.75" customHeight="1" thickBot="1">
      <c r="A194" s="909">
        <v>408</v>
      </c>
      <c r="B194" s="469"/>
      <c r="C194" s="429" t="s">
        <v>26</v>
      </c>
      <c r="D194" s="471"/>
      <c r="E194" s="876"/>
      <c r="F194" s="473"/>
      <c r="G194" s="862">
        <f>ROUND(D194*E194+D194*F194,2)</f>
        <v>0</v>
      </c>
      <c r="H194" s="270"/>
      <c r="I194" s="41"/>
      <c r="J194" s="41"/>
      <c r="K194" s="271"/>
      <c r="L194" s="272"/>
      <c r="M194" s="878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468"/>
      <c r="B195" s="699"/>
      <c r="C195" s="48" t="s">
        <v>135</v>
      </c>
      <c r="D195" s="471">
        <f>апр18!D196+апр18!D197</f>
        <v>1381.3</v>
      </c>
      <c r="E195" s="41">
        <f>6.8921-6.5258</f>
        <v>0.36629999999999985</v>
      </c>
      <c r="F195" s="473"/>
      <c r="G195" s="862">
        <f>ROUND(D195*E195,2)</f>
        <v>505.97</v>
      </c>
      <c r="H195" s="270"/>
      <c r="I195" s="41"/>
      <c r="J195" s="41"/>
      <c r="K195" s="271"/>
      <c r="L195" s="272"/>
      <c r="M195" s="878"/>
      <c r="N195" s="421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468"/>
      <c r="B196" s="469"/>
      <c r="C196" s="48" t="s">
        <v>136</v>
      </c>
      <c r="D196" s="471">
        <f>1.2+2.8+0.1</f>
        <v>4.0999999999999996</v>
      </c>
      <c r="E196" s="41">
        <v>6.8921000000000001</v>
      </c>
      <c r="F196" s="473"/>
      <c r="G196" s="862">
        <f>ROUND(D196*E196,2)</f>
        <v>28.26</v>
      </c>
      <c r="H196" s="270"/>
      <c r="I196" s="41"/>
      <c r="J196" s="41"/>
      <c r="K196" s="271"/>
      <c r="L196" s="272"/>
      <c r="M196" s="878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 thickBot="1">
      <c r="A197" s="858"/>
      <c r="B197" s="859"/>
      <c r="C197" s="54" t="s">
        <v>29</v>
      </c>
      <c r="D197" s="860">
        <f>58+1151+505</f>
        <v>1714</v>
      </c>
      <c r="E197" s="56">
        <v>6.8921000000000001</v>
      </c>
      <c r="F197" s="861"/>
      <c r="G197" s="866">
        <f t="shared" ref="G197" si="30">ROUND(D197*E197,2)</f>
        <v>11813.06</v>
      </c>
      <c r="H197" s="280"/>
      <c r="I197" s="281"/>
      <c r="J197" s="281"/>
      <c r="K197" s="282"/>
      <c r="L197" s="204"/>
      <c r="M197" s="880"/>
      <c r="N197" s="426"/>
      <c r="O197" s="416"/>
      <c r="P197" s="416"/>
      <c r="Q197" s="417"/>
      <c r="R197" s="422"/>
      <c r="S197" s="399"/>
      <c r="T197" s="399"/>
    </row>
    <row r="198" spans="1:20" s="81" customFormat="1" ht="15.75" customHeight="1">
      <c r="A198" s="902">
        <v>405</v>
      </c>
      <c r="B198" s="903" t="s">
        <v>147</v>
      </c>
      <c r="C198" s="439" t="s">
        <v>135</v>
      </c>
      <c r="D198" s="904">
        <f>апр18!D199+апр18!D200</f>
        <v>134.30000000000001</v>
      </c>
      <c r="E198" s="23">
        <f>6.8921-6.5258</f>
        <v>0.36629999999999985</v>
      </c>
      <c r="F198" s="905"/>
      <c r="G198" s="22">
        <f>ROUND(D198*E198,2)</f>
        <v>49.19</v>
      </c>
      <c r="H198" s="303"/>
      <c r="I198" s="261"/>
      <c r="J198" s="261"/>
      <c r="K198" s="262"/>
      <c r="L198" s="286">
        <f>SUM(G198:G200)</f>
        <v>1140.9000000000001</v>
      </c>
      <c r="M198" s="90">
        <v>1140.9000000000001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136</v>
      </c>
      <c r="D199" s="471">
        <v>0.4</v>
      </c>
      <c r="E199" s="41">
        <v>6.8921000000000001</v>
      </c>
      <c r="F199" s="473"/>
      <c r="G199" s="449">
        <f>ROUND(D199*E199,2)</f>
        <v>2.76</v>
      </c>
      <c r="H199" s="260"/>
      <c r="I199" s="261"/>
      <c r="J199" s="261"/>
      <c r="K199" s="262"/>
      <c r="L199" s="28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701"/>
      <c r="B200" s="702"/>
      <c r="C200" s="99" t="s">
        <v>29</v>
      </c>
      <c r="D200" s="703">
        <v>158</v>
      </c>
      <c r="E200" s="56">
        <v>6.8921000000000001</v>
      </c>
      <c r="F200" s="704"/>
      <c r="G200" s="39">
        <f t="shared" ref="G200" si="31">ROUND(D200*E200,2)</f>
        <v>1088.95</v>
      </c>
      <c r="H200" s="280"/>
      <c r="I200" s="281"/>
      <c r="J200" s="281"/>
      <c r="K200" s="282"/>
      <c r="L200" s="204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hidden="1" customHeight="1" outlineLevel="1" thickBot="1">
      <c r="A201" s="910"/>
      <c r="B201" s="911" t="s">
        <v>155</v>
      </c>
      <c r="C201" s="573" t="s">
        <v>115</v>
      </c>
      <c r="D201" s="912"/>
      <c r="E201" s="579">
        <f>7.0379-7.0426</f>
        <v>-4.7000000000005926E-3</v>
      </c>
      <c r="F201" s="580"/>
      <c r="G201" s="913">
        <f>ROUND(D201*E201,2)</f>
        <v>0</v>
      </c>
      <c r="H201" s="914"/>
      <c r="I201" s="23"/>
      <c r="J201" s="23"/>
      <c r="K201" s="304"/>
      <c r="L201" s="263">
        <f>SUM(G201:G203)</f>
        <v>0</v>
      </c>
      <c r="M201" s="26"/>
      <c r="N201" s="421"/>
      <c r="O201" s="77"/>
      <c r="P201" s="77"/>
      <c r="Q201" s="384"/>
      <c r="R201" s="422"/>
      <c r="S201" s="399"/>
      <c r="T201" s="399"/>
    </row>
    <row r="202" spans="1:20" s="81" customFormat="1" ht="15.75" hidden="1" customHeight="1" outlineLevel="1" thickBot="1">
      <c r="A202" s="910"/>
      <c r="B202" s="915"/>
      <c r="C202" s="573" t="s">
        <v>114</v>
      </c>
      <c r="D202" s="912"/>
      <c r="E202" s="579">
        <v>7.0378999999999996</v>
      </c>
      <c r="F202" s="580"/>
      <c r="G202" s="913">
        <f>ROUND(D202*E202,2)</f>
        <v>0</v>
      </c>
      <c r="H202" s="914"/>
      <c r="I202" s="261"/>
      <c r="J202" s="261"/>
      <c r="K202" s="262"/>
      <c r="L202" s="286"/>
      <c r="M202" s="90"/>
      <c r="N202" s="423"/>
      <c r="O202" s="406"/>
      <c r="P202" s="406"/>
      <c r="Q202" s="407"/>
      <c r="R202" s="422"/>
      <c r="S202" s="399"/>
      <c r="T202" s="399"/>
    </row>
    <row r="203" spans="1:20" s="81" customFormat="1" ht="15.75" hidden="1" customHeight="1" outlineLevel="1" thickBot="1">
      <c r="A203" s="910"/>
      <c r="B203" s="915"/>
      <c r="C203" s="916" t="s">
        <v>29</v>
      </c>
      <c r="D203" s="912"/>
      <c r="E203" s="917">
        <v>7.0378999999999996</v>
      </c>
      <c r="F203" s="580"/>
      <c r="G203" s="913">
        <f t="shared" ref="G203" si="32">ROUND(D203*E203,2)</f>
        <v>0</v>
      </c>
      <c r="H203" s="914"/>
      <c r="I203" s="281"/>
      <c r="J203" s="281"/>
      <c r="K203" s="282"/>
      <c r="L203" s="204"/>
      <c r="M203" s="371"/>
      <c r="N203" s="426"/>
      <c r="O203" s="416"/>
      <c r="P203" s="416"/>
      <c r="Q203" s="417"/>
      <c r="R203" s="422"/>
      <c r="S203" s="399"/>
      <c r="T203" s="399"/>
    </row>
    <row r="204" spans="1:20" s="81" customFormat="1" ht="15.75" customHeight="1" collapsed="1">
      <c r="A204" s="902">
        <v>407</v>
      </c>
      <c r="B204" s="903" t="s">
        <v>160</v>
      </c>
      <c r="C204" s="439" t="s">
        <v>135</v>
      </c>
      <c r="D204" s="904">
        <f>апр18!D205+апр18!D206</f>
        <v>27.06</v>
      </c>
      <c r="E204" s="23">
        <f>6.8921-6.5258</f>
        <v>0.36629999999999985</v>
      </c>
      <c r="F204" s="905"/>
      <c r="G204" s="22">
        <f>ROUND(D204*E204,2)+0.01</f>
        <v>9.92</v>
      </c>
      <c r="H204" s="303"/>
      <c r="I204" s="23"/>
      <c r="J204" s="23"/>
      <c r="K204" s="304"/>
      <c r="L204" s="263">
        <f>SUM(G204:G206)</f>
        <v>154.98999999999998</v>
      </c>
      <c r="M204" s="26">
        <v>154.99</v>
      </c>
      <c r="N204" s="421"/>
      <c r="O204" s="77"/>
      <c r="P204" s="77"/>
      <c r="Q204" s="384"/>
      <c r="R204" s="422"/>
      <c r="S204" s="399"/>
      <c r="T204" s="399"/>
    </row>
    <row r="205" spans="1:20" s="81" customFormat="1" ht="15.75" customHeight="1">
      <c r="A205" s="468"/>
      <c r="B205" s="469"/>
      <c r="C205" s="48" t="s">
        <v>136</v>
      </c>
      <c r="D205" s="471">
        <v>0.05</v>
      </c>
      <c r="E205" s="41">
        <v>6.8921000000000001</v>
      </c>
      <c r="F205" s="473"/>
      <c r="G205" s="449">
        <f>ROUND(D205*E205,2)</f>
        <v>0.34</v>
      </c>
      <c r="H205" s="260"/>
      <c r="I205" s="261"/>
      <c r="J205" s="261"/>
      <c r="K205" s="262"/>
      <c r="L205" s="286"/>
      <c r="M205" s="90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 thickBot="1">
      <c r="A206" s="858"/>
      <c r="B206" s="859"/>
      <c r="C206" s="54" t="s">
        <v>29</v>
      </c>
      <c r="D206" s="860">
        <v>21</v>
      </c>
      <c r="E206" s="56">
        <v>6.8921000000000001</v>
      </c>
      <c r="F206" s="861"/>
      <c r="G206" s="414">
        <f t="shared" ref="G206" si="33">ROUND(D206*E206,2)</f>
        <v>144.72999999999999</v>
      </c>
      <c r="H206" s="280"/>
      <c r="I206" s="281"/>
      <c r="J206" s="281"/>
      <c r="K206" s="282"/>
      <c r="L206" s="204"/>
      <c r="M206" s="371"/>
      <c r="N206" s="426"/>
      <c r="O206" s="416"/>
      <c r="P206" s="416"/>
      <c r="Q206" s="417"/>
      <c r="R206" s="422"/>
      <c r="S206" s="399"/>
      <c r="T206" s="399"/>
    </row>
    <row r="207" spans="1:20" s="81" customFormat="1" ht="15" hidden="1" customHeight="1">
      <c r="A207" s="437">
        <v>129</v>
      </c>
      <c r="B207" s="438" t="s">
        <v>38</v>
      </c>
      <c r="C207" s="439"/>
      <c r="D207" s="378"/>
      <c r="E207" s="23"/>
      <c r="F207" s="23"/>
      <c r="G207" s="22"/>
      <c r="H207" s="303"/>
      <c r="I207" s="23"/>
      <c r="J207" s="23"/>
      <c r="K207" s="304"/>
      <c r="L207" s="382">
        <f>+SUM(G207:G210,J207:J210)</f>
        <v>0</v>
      </c>
      <c r="M207" s="26"/>
      <c r="N207" s="421"/>
      <c r="O207" s="77"/>
      <c r="P207" s="77"/>
      <c r="Q207" s="384">
        <f>+L207-M207</f>
        <v>0</v>
      </c>
      <c r="R207" s="899"/>
      <c r="S207" s="399"/>
      <c r="T207" s="399"/>
    </row>
    <row r="208" spans="1:20" s="81" customFormat="1" ht="15" hidden="1" customHeight="1">
      <c r="A208" s="441"/>
      <c r="B208" s="442" t="s">
        <v>198</v>
      </c>
      <c r="C208" s="48" t="s">
        <v>118</v>
      </c>
      <c r="D208" s="37"/>
      <c r="E208" s="41">
        <f>6.8416-6.7432</f>
        <v>9.8399999999999821E-2</v>
      </c>
      <c r="F208" s="41"/>
      <c r="G208" s="39">
        <f>ROUND(D208*E208,2)</f>
        <v>0</v>
      </c>
      <c r="H208" s="260"/>
      <c r="I208" s="261"/>
      <c r="J208" s="261"/>
      <c r="K208" s="262"/>
      <c r="L208" s="394"/>
      <c r="M208" s="90"/>
      <c r="N208" s="443"/>
      <c r="O208" s="94"/>
      <c r="P208" s="94"/>
      <c r="Q208" s="396"/>
      <c r="R208" s="899"/>
      <c r="S208" s="399"/>
      <c r="T208" s="399"/>
    </row>
    <row r="209" spans="1:20" s="81" customFormat="1" ht="15.75" hidden="1" thickBot="1">
      <c r="A209" s="441"/>
      <c r="B209" s="444"/>
      <c r="C209" s="48" t="s">
        <v>119</v>
      </c>
      <c r="D209" s="37"/>
      <c r="E209" s="41">
        <v>6.8415999999999997</v>
      </c>
      <c r="F209" s="41"/>
      <c r="G209" s="39">
        <f t="shared" ref="G209:G210" si="34">ROUND(D209*E209,2)</f>
        <v>0</v>
      </c>
      <c r="H209" s="432"/>
      <c r="I209" s="207"/>
      <c r="J209" s="207"/>
      <c r="K209" s="362"/>
      <c r="L209" s="433"/>
      <c r="M209" s="63"/>
      <c r="N209" s="423"/>
      <c r="O209" s="406"/>
      <c r="P209" s="406"/>
      <c r="Q209" s="407"/>
      <c r="R209" s="899"/>
      <c r="S209" s="399"/>
      <c r="T209" s="399"/>
    </row>
    <row r="210" spans="1:20" s="81" customFormat="1" ht="15" hidden="1" customHeight="1" thickBot="1">
      <c r="A210" s="445"/>
      <c r="B210" s="446"/>
      <c r="C210" s="99" t="s">
        <v>29</v>
      </c>
      <c r="D210" s="413"/>
      <c r="E210" s="56">
        <v>6.8415999999999997</v>
      </c>
      <c r="F210" s="281"/>
      <c r="G210" s="414">
        <f t="shared" si="34"/>
        <v>0</v>
      </c>
      <c r="H210" s="280"/>
      <c r="I210" s="281"/>
      <c r="J210" s="281"/>
      <c r="K210" s="282"/>
      <c r="L210" s="204"/>
      <c r="M210" s="371"/>
      <c r="N210" s="434"/>
      <c r="O210" s="435"/>
      <c r="P210" s="435"/>
      <c r="Q210" s="425"/>
      <c r="R210" s="899"/>
      <c r="S210" s="399"/>
      <c r="T210" s="399"/>
    </row>
    <row r="211" spans="1:20" s="81" customFormat="1" ht="15.75" hidden="1" customHeight="1">
      <c r="A211" s="902">
        <v>118</v>
      </c>
      <c r="B211" s="924" t="s">
        <v>200</v>
      </c>
      <c r="C211" s="390" t="s">
        <v>73</v>
      </c>
      <c r="D211" s="869"/>
      <c r="E211" s="86">
        <v>36.214199999999998</v>
      </c>
      <c r="F211" s="86">
        <v>42.4328</v>
      </c>
      <c r="G211" s="449">
        <f>+D211*(E211+F211)</f>
        <v>0</v>
      </c>
      <c r="H211" s="260"/>
      <c r="I211" s="392"/>
      <c r="J211" s="41"/>
      <c r="K211" s="870"/>
      <c r="L211" s="286">
        <f>SUM(G211:G215,J211:J215)</f>
        <v>0</v>
      </c>
      <c r="M211" s="90"/>
      <c r="N211" s="443"/>
      <c r="O211" s="94"/>
      <c r="P211" s="94"/>
      <c r="Q211" s="396"/>
      <c r="R211" s="422"/>
      <c r="S211" s="399"/>
      <c r="T211" s="399"/>
    </row>
    <row r="212" spans="1:20" s="81" customFormat="1" ht="15.75" hidden="1" customHeight="1">
      <c r="A212" s="468"/>
      <c r="B212" s="920"/>
      <c r="C212" s="36" t="s">
        <v>26</v>
      </c>
      <c r="D212" s="37"/>
      <c r="E212" s="38"/>
      <c r="F212" s="38"/>
      <c r="G212" s="39">
        <f>ROUND(D212*(E212+F212),2)</f>
        <v>0</v>
      </c>
      <c r="H212" s="457"/>
      <c r="I212" s="392"/>
      <c r="J212" s="41"/>
      <c r="K212" s="393"/>
      <c r="L212" s="459"/>
      <c r="M212" s="44"/>
      <c r="N212" s="430"/>
      <c r="O212" s="406"/>
      <c r="P212" s="406"/>
      <c r="Q212" s="407"/>
      <c r="R212" s="422"/>
      <c r="S212" s="399"/>
      <c r="T212" s="399"/>
    </row>
    <row r="213" spans="1:20" s="81" customFormat="1" ht="15.75" hidden="1" customHeight="1">
      <c r="A213" s="468"/>
      <c r="B213" s="920"/>
      <c r="C213" s="48" t="s">
        <v>124</v>
      </c>
      <c r="D213" s="37"/>
      <c r="E213" s="41"/>
      <c r="F213" s="38"/>
      <c r="G213" s="39">
        <f>ROUND(D213*(E213),2)</f>
        <v>0</v>
      </c>
      <c r="H213" s="270"/>
      <c r="I213" s="41"/>
      <c r="J213" s="41"/>
      <c r="K213" s="271"/>
      <c r="L213" s="272"/>
      <c r="M213" s="102"/>
      <c r="N213" s="430"/>
      <c r="O213" s="406"/>
      <c r="P213" s="406"/>
      <c r="Q213" s="407"/>
      <c r="R213" s="422"/>
      <c r="S213" s="399"/>
      <c r="T213" s="399"/>
    </row>
    <row r="214" spans="1:20" s="81" customFormat="1" ht="15.75" hidden="1" customHeight="1">
      <c r="A214" s="468"/>
      <c r="B214" s="920"/>
      <c r="C214" s="48" t="s">
        <v>125</v>
      </c>
      <c r="D214" s="37"/>
      <c r="E214" s="41">
        <v>6.7431999999999999</v>
      </c>
      <c r="F214" s="38"/>
      <c r="G214" s="39">
        <f>ROUND(D214*(E214),2)</f>
        <v>0</v>
      </c>
      <c r="H214" s="270"/>
      <c r="I214" s="41"/>
      <c r="J214" s="41"/>
      <c r="K214" s="271"/>
      <c r="L214" s="272"/>
      <c r="M214" s="102"/>
      <c r="N214" s="434"/>
      <c r="O214" s="435"/>
      <c r="P214" s="435"/>
      <c r="Q214" s="425"/>
      <c r="R214" s="422"/>
      <c r="S214" s="399"/>
      <c r="T214" s="399"/>
    </row>
    <row r="215" spans="1:20" s="81" customFormat="1" ht="15.75" hidden="1" customHeight="1" thickBot="1">
      <c r="A215" s="858"/>
      <c r="B215" s="921"/>
      <c r="C215" s="54" t="s">
        <v>29</v>
      </c>
      <c r="D215" s="413"/>
      <c r="E215" s="56">
        <v>6.7431999999999999</v>
      </c>
      <c r="F215" s="281"/>
      <c r="G215" s="414">
        <f>ROUND(D215*(E215),2)</f>
        <v>0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>
      <c r="A216" s="926"/>
      <c r="B216" s="927"/>
      <c r="C216" s="928"/>
      <c r="D216" s="904"/>
      <c r="E216" s="929"/>
      <c r="F216" s="905"/>
      <c r="G216" s="930"/>
      <c r="H216" s="905"/>
      <c r="I216" s="905"/>
      <c r="J216" s="905"/>
      <c r="K216" s="905"/>
      <c r="L216" s="905"/>
      <c r="M216" s="931"/>
      <c r="N216" s="387"/>
      <c r="O216" s="387"/>
      <c r="P216" s="387"/>
      <c r="Q216" s="387"/>
      <c r="R216" s="422"/>
      <c r="S216" s="399"/>
      <c r="T216" s="399"/>
    </row>
    <row r="217" spans="1:20" s="81" customFormat="1" ht="15" customHeight="1">
      <c r="A217" s="686"/>
      <c r="B217" s="469"/>
      <c r="C217" s="932"/>
      <c r="D217" s="471"/>
      <c r="E217" s="473"/>
      <c r="F217" s="473"/>
      <c r="G217" s="474"/>
      <c r="H217" s="473"/>
      <c r="I217" s="473"/>
      <c r="J217" s="473"/>
      <c r="K217" s="473"/>
      <c r="L217" s="473"/>
      <c r="M217" s="470"/>
      <c r="N217" s="399"/>
      <c r="O217" s="399"/>
      <c r="P217" s="399"/>
      <c r="Q217" s="399"/>
      <c r="R217" s="422"/>
      <c r="S217" s="399"/>
      <c r="T217" s="399"/>
    </row>
    <row r="218" spans="1:20" ht="21.75" thickBot="1">
      <c r="A218" s="171" t="s">
        <v>84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3"/>
      <c r="N218" s="2"/>
      <c r="O218" s="2"/>
      <c r="P218" s="2"/>
      <c r="Q218" s="2"/>
      <c r="R218" s="2"/>
      <c r="S218" s="2"/>
      <c r="T218" s="2"/>
    </row>
    <row r="219" spans="1:20" ht="15.75" customHeight="1" thickTop="1" thickBot="1">
      <c r="A219" s="1540" t="s">
        <v>1</v>
      </c>
      <c r="B219" s="1542" t="s">
        <v>2</v>
      </c>
      <c r="C219" s="1544" t="s">
        <v>3</v>
      </c>
      <c r="D219" s="1546" t="s">
        <v>4</v>
      </c>
      <c r="E219" s="1546"/>
      <c r="F219" s="1546"/>
      <c r="G219" s="1546"/>
      <c r="H219" s="1547" t="s">
        <v>5</v>
      </c>
      <c r="I219" s="1548"/>
      <c r="J219" s="1548"/>
      <c r="K219" s="1549"/>
      <c r="L219" s="1524" t="s">
        <v>6</v>
      </c>
      <c r="M219" s="1511" t="s">
        <v>7</v>
      </c>
      <c r="N219" s="1551" t="s">
        <v>8</v>
      </c>
      <c r="O219" s="1551"/>
      <c r="P219" s="1551"/>
      <c r="Q219" s="1552" t="s">
        <v>18</v>
      </c>
      <c r="R219" s="481" t="s">
        <v>85</v>
      </c>
      <c r="S219" s="482" t="s">
        <v>20</v>
      </c>
      <c r="T219" s="482" t="s">
        <v>21</v>
      </c>
    </row>
    <row r="220" spans="1:20" ht="40.5" customHeight="1" thickTop="1" thickBot="1">
      <c r="A220" s="1541"/>
      <c r="B220" s="1543"/>
      <c r="C220" s="1545" t="s">
        <v>10</v>
      </c>
      <c r="D220" s="483" t="s">
        <v>11</v>
      </c>
      <c r="E220" s="484" t="s">
        <v>12</v>
      </c>
      <c r="F220" s="484" t="s">
        <v>13</v>
      </c>
      <c r="G220" s="485" t="s">
        <v>14</v>
      </c>
      <c r="H220" s="483" t="s">
        <v>11</v>
      </c>
      <c r="I220" s="486" t="s">
        <v>15</v>
      </c>
      <c r="J220" s="485"/>
      <c r="K220" s="487" t="s">
        <v>16</v>
      </c>
      <c r="L220" s="1525"/>
      <c r="M220" s="1550"/>
      <c r="N220" s="488" t="s">
        <v>14</v>
      </c>
      <c r="O220" s="485"/>
      <c r="P220" s="489" t="s">
        <v>18</v>
      </c>
      <c r="Q220" s="490" t="s">
        <v>19</v>
      </c>
      <c r="R220" s="491"/>
      <c r="S220" s="492"/>
      <c r="T220" s="492"/>
    </row>
    <row r="221" spans="1:20">
      <c r="A221" s="961" t="s">
        <v>228</v>
      </c>
      <c r="B221" s="602" t="s">
        <v>186</v>
      </c>
      <c r="C221" s="439" t="s">
        <v>135</v>
      </c>
      <c r="D221" s="184">
        <f>апр18!D222+апр18!D223</f>
        <v>157</v>
      </c>
      <c r="E221" s="41">
        <f>6.6914-6.3259</f>
        <v>0.36549999999999994</v>
      </c>
      <c r="F221" s="23"/>
      <c r="G221" s="185">
        <f>ROUND(D221*(E221),2)</f>
        <v>57.38</v>
      </c>
      <c r="H221" s="620"/>
      <c r="I221" s="620"/>
      <c r="J221" s="620"/>
      <c r="K221" s="634"/>
      <c r="L221" s="603">
        <f>SUM(G221:G223)</f>
        <v>1281.9100000000001</v>
      </c>
      <c r="M221" s="187">
        <v>1281.9100000000001</v>
      </c>
      <c r="N221" s="615"/>
      <c r="O221" s="615"/>
      <c r="P221" s="615"/>
      <c r="Q221" s="615"/>
    </row>
    <row r="222" spans="1:20">
      <c r="A222" s="934"/>
      <c r="B222" s="506"/>
      <c r="C222" s="48" t="s">
        <v>136</v>
      </c>
      <c r="D222" s="49">
        <v>8</v>
      </c>
      <c r="E222" s="41">
        <v>6.6913999999999998</v>
      </c>
      <c r="F222" s="41">
        <f>+E222</f>
        <v>6.6913999999999998</v>
      </c>
      <c r="G222" s="50">
        <f>ROUND(D222*(E222),2)</f>
        <v>53.53</v>
      </c>
      <c r="H222" s="296"/>
      <c r="I222" s="298"/>
      <c r="J222" s="298"/>
      <c r="K222" s="637"/>
      <c r="L222" s="606"/>
      <c r="M222" s="935"/>
      <c r="N222" s="615"/>
      <c r="O222" s="615"/>
      <c r="P222" s="615"/>
      <c r="Q222" s="615"/>
    </row>
    <row r="223" spans="1:20" ht="15.75" thickBot="1">
      <c r="A223" s="934"/>
      <c r="B223" s="506"/>
      <c r="C223" s="54" t="s">
        <v>29</v>
      </c>
      <c r="D223" s="296">
        <v>175</v>
      </c>
      <c r="E223" s="56">
        <v>6.6913999999999998</v>
      </c>
      <c r="F223" s="41">
        <f>+E223</f>
        <v>6.6913999999999998</v>
      </c>
      <c r="G223" s="50">
        <f t="shared" ref="G223" si="35">ROUND(D223*(E223),2)</f>
        <v>1171</v>
      </c>
      <c r="H223" s="296"/>
      <c r="I223" s="298"/>
      <c r="J223" s="298"/>
      <c r="K223" s="637"/>
      <c r="L223" s="614"/>
      <c r="M223" s="935"/>
      <c r="N223" s="615"/>
      <c r="O223" s="615"/>
      <c r="P223" s="615"/>
      <c r="Q223" s="615"/>
    </row>
    <row r="224" spans="1:20">
      <c r="A224" s="961" t="s">
        <v>207</v>
      </c>
      <c r="B224" s="602" t="s">
        <v>184</v>
      </c>
      <c r="C224" s="439" t="s">
        <v>135</v>
      </c>
      <c r="D224" s="184">
        <f>апр18!D225+апр18!D226</f>
        <v>0</v>
      </c>
      <c r="E224" s="41">
        <f>6.6914-6.3259</f>
        <v>0.36549999999999994</v>
      </c>
      <c r="F224" s="23">
        <f>+E224</f>
        <v>0.36549999999999994</v>
      </c>
      <c r="G224" s="185">
        <f>ROUND(D224*(E224),2)</f>
        <v>0</v>
      </c>
      <c r="H224" s="620"/>
      <c r="I224" s="620"/>
      <c r="J224" s="620"/>
      <c r="K224" s="634"/>
      <c r="L224" s="603">
        <f>SUM(G224:G226)</f>
        <v>0</v>
      </c>
      <c r="M224" s="187">
        <v>0</v>
      </c>
      <c r="N224" s="615"/>
      <c r="O224" s="962" t="s">
        <v>224</v>
      </c>
      <c r="P224" s="615"/>
      <c r="Q224" s="615"/>
    </row>
    <row r="225" spans="1:21">
      <c r="A225" s="934"/>
      <c r="B225" s="506"/>
      <c r="C225" s="48" t="s">
        <v>136</v>
      </c>
      <c r="D225" s="49">
        <v>0</v>
      </c>
      <c r="E225" s="41">
        <v>6.6913999999999998</v>
      </c>
      <c r="F225" s="41">
        <f>+E225</f>
        <v>6.6913999999999998</v>
      </c>
      <c r="G225" s="50">
        <f>ROUND(D225*(E225),2)</f>
        <v>0</v>
      </c>
      <c r="H225" s="296"/>
      <c r="I225" s="298"/>
      <c r="J225" s="298"/>
      <c r="K225" s="637"/>
      <c r="L225" s="606"/>
      <c r="M225" s="935"/>
      <c r="N225" s="615"/>
      <c r="O225" s="615"/>
      <c r="P225" s="615"/>
      <c r="Q225" s="615"/>
    </row>
    <row r="226" spans="1:21" ht="15.75" thickBot="1">
      <c r="A226" s="934"/>
      <c r="B226" s="506"/>
      <c r="C226" s="54" t="s">
        <v>29</v>
      </c>
      <c r="D226" s="296">
        <v>0</v>
      </c>
      <c r="E226" s="56">
        <v>6.6913999999999998</v>
      </c>
      <c r="F226" s="41">
        <f>+E226</f>
        <v>6.6913999999999998</v>
      </c>
      <c r="G226" s="50">
        <f t="shared" ref="G226" si="36">ROUND(D226*(E226),2)</f>
        <v>0</v>
      </c>
      <c r="H226" s="296"/>
      <c r="I226" s="298"/>
      <c r="J226" s="298"/>
      <c r="K226" s="637"/>
      <c r="L226" s="614"/>
      <c r="M226" s="935"/>
      <c r="N226" s="615"/>
      <c r="O226" s="615"/>
      <c r="P226" s="615"/>
      <c r="Q226" s="615"/>
    </row>
    <row r="227" spans="1:21" ht="15.75" thickTop="1">
      <c r="A227" s="376">
        <v>100</v>
      </c>
      <c r="B227" s="494" t="s">
        <v>193</v>
      </c>
      <c r="C227" s="71">
        <f>+[1]дек!U72</f>
        <v>0</v>
      </c>
      <c r="D227" s="495">
        <v>9</v>
      </c>
      <c r="E227" s="21">
        <v>36.214199999999998</v>
      </c>
      <c r="F227" s="21">
        <v>42.4328</v>
      </c>
      <c r="G227" s="185">
        <f>ROUND(D227*(E227+F227),2)</f>
        <v>707.82</v>
      </c>
      <c r="H227" s="496"/>
      <c r="I227" s="73"/>
      <c r="J227" s="73"/>
      <c r="K227" s="601"/>
      <c r="L227" s="498">
        <f>SUM(G227:G234)+SUM(J227:J233)</f>
        <v>22195.54</v>
      </c>
      <c r="M227" s="26">
        <v>22195.54</v>
      </c>
      <c r="N227" s="499"/>
      <c r="O227" s="500"/>
      <c r="P227" s="501" t="s">
        <v>87</v>
      </c>
      <c r="Q227" s="595">
        <f t="shared" ref="Q227" si="37">C227+G227+J227-M227-N227-O227</f>
        <v>-21487.72</v>
      </c>
    </row>
    <row r="228" spans="1:21" ht="15.75" thickBot="1">
      <c r="A228" s="389"/>
      <c r="B228" s="506"/>
      <c r="C228" s="507" t="s">
        <v>96</v>
      </c>
      <c r="D228" s="234"/>
      <c r="E228" s="38"/>
      <c r="F228" s="38"/>
      <c r="G228" s="235">
        <f>ROUND(D228*(E228+F228),2)</f>
        <v>0</v>
      </c>
      <c r="H228" s="448"/>
      <c r="I228" s="509"/>
      <c r="J228" s="199"/>
      <c r="K228" s="517"/>
      <c r="L228" s="511"/>
      <c r="M228" s="512"/>
      <c r="N228" s="513"/>
      <c r="O228" s="514"/>
      <c r="P228" s="515"/>
      <c r="Q228" s="262"/>
      <c r="U228" s="33"/>
    </row>
    <row r="229" spans="1:21">
      <c r="A229" s="389"/>
      <c r="B229" s="516" t="s">
        <v>89</v>
      </c>
      <c r="C229" s="512" t="s">
        <v>90</v>
      </c>
      <c r="D229" s="508">
        <v>2</v>
      </c>
      <c r="E229" s="101">
        <v>237.98</v>
      </c>
      <c r="F229" s="21">
        <v>42.4328</v>
      </c>
      <c r="G229" s="50">
        <f>ROUND(D229*(E229+F229),2)</f>
        <v>560.83000000000004</v>
      </c>
      <c r="H229" s="270"/>
      <c r="I229" s="41"/>
      <c r="J229" s="207"/>
      <c r="K229" s="517"/>
      <c r="L229" s="517"/>
      <c r="M229" s="99"/>
      <c r="N229" s="518"/>
      <c r="O229" s="519"/>
      <c r="P229" s="515" t="s">
        <v>87</v>
      </c>
      <c r="Q229" s="271">
        <f>+G229+J229-M229-N229-O229</f>
        <v>560.83000000000004</v>
      </c>
    </row>
    <row r="230" spans="1:21">
      <c r="A230" s="389"/>
      <c r="B230" s="541"/>
      <c r="C230" s="84" t="s">
        <v>97</v>
      </c>
      <c r="D230" s="508"/>
      <c r="E230" s="41"/>
      <c r="F230" s="38"/>
      <c r="G230" s="50">
        <f>ROUND(D230*(E230+F230),2)</f>
        <v>0</v>
      </c>
      <c r="H230" s="432"/>
      <c r="I230" s="362"/>
      <c r="J230" s="207"/>
      <c r="K230" s="517"/>
      <c r="L230" s="517"/>
      <c r="M230" s="520"/>
      <c r="N230" s="521"/>
      <c r="O230" s="522"/>
      <c r="P230" s="523"/>
      <c r="Q230" s="362"/>
    </row>
    <row r="231" spans="1:21">
      <c r="A231" s="389"/>
      <c r="B231" s="541" t="s">
        <v>194</v>
      </c>
      <c r="C231" s="84"/>
      <c r="D231" s="508"/>
      <c r="E231" s="41"/>
      <c r="F231" s="41"/>
      <c r="G231" s="50"/>
      <c r="H231" s="432"/>
      <c r="I231" s="362"/>
      <c r="J231" s="207"/>
      <c r="K231" s="517"/>
      <c r="L231" s="517"/>
      <c r="M231" s="520"/>
      <c r="N231" s="521"/>
      <c r="O231" s="522"/>
      <c r="P231" s="523"/>
      <c r="Q231" s="362"/>
    </row>
    <row r="232" spans="1:21">
      <c r="A232" s="389"/>
      <c r="B232" s="506"/>
      <c r="C232" s="48" t="s">
        <v>135</v>
      </c>
      <c r="D232" s="37"/>
      <c r="E232" s="41"/>
      <c r="F232" s="41">
        <f>+E232</f>
        <v>0</v>
      </c>
      <c r="G232" s="39">
        <f>ROUND(D232*E232,2)</f>
        <v>0</v>
      </c>
      <c r="H232" s="432"/>
      <c r="I232" s="362"/>
      <c r="J232" s="207"/>
      <c r="K232" s="517"/>
      <c r="L232" s="517"/>
      <c r="M232" s="520"/>
      <c r="N232" s="521"/>
      <c r="O232" s="522"/>
      <c r="P232" s="523"/>
      <c r="Q232" s="362"/>
    </row>
    <row r="233" spans="1:21">
      <c r="A233" s="389"/>
      <c r="B233" s="506"/>
      <c r="C233" s="48" t="s">
        <v>136</v>
      </c>
      <c r="D233" s="37">
        <v>137</v>
      </c>
      <c r="E233" s="41">
        <v>6.4709000000000003</v>
      </c>
      <c r="F233" s="41">
        <f>+E233</f>
        <v>6.4709000000000003</v>
      </c>
      <c r="G233" s="39">
        <f>ROUND(D233*E233,2)</f>
        <v>886.51</v>
      </c>
      <c r="H233" s="432"/>
      <c r="I233" s="362"/>
      <c r="J233" s="207"/>
      <c r="K233" s="517"/>
      <c r="L233" s="517"/>
      <c r="M233" s="520"/>
      <c r="N233" s="521"/>
      <c r="O233" s="522"/>
      <c r="P233" s="523"/>
      <c r="Q233" s="362"/>
      <c r="U233" s="33"/>
    </row>
    <row r="234" spans="1:21" ht="15.75" thickBot="1">
      <c r="A234" s="411"/>
      <c r="B234" s="526"/>
      <c r="C234" s="99" t="s">
        <v>29</v>
      </c>
      <c r="D234" s="55">
        <v>3097</v>
      </c>
      <c r="E234" s="56">
        <v>6.4709000000000003</v>
      </c>
      <c r="F234" s="281">
        <f>+E234</f>
        <v>6.4709000000000003</v>
      </c>
      <c r="G234" s="58">
        <f>ROUND(D234*E234,2)</f>
        <v>20040.38</v>
      </c>
      <c r="H234" s="248"/>
      <c r="I234" s="203"/>
      <c r="J234" s="60"/>
      <c r="K234" s="61"/>
      <c r="L234" s="249"/>
      <c r="M234" s="54"/>
      <c r="N234" s="521"/>
      <c r="O234" s="528"/>
      <c r="P234" s="529" t="s">
        <v>87</v>
      </c>
      <c r="Q234" s="362">
        <f>+G234+J234-M234-N234-O234</f>
        <v>20040.38</v>
      </c>
    </row>
    <row r="235" spans="1:21" ht="15.75" collapsed="1" thickTop="1">
      <c r="A235" s="389">
        <v>113</v>
      </c>
      <c r="B235" s="494" t="s">
        <v>102</v>
      </c>
      <c r="C235" s="71">
        <f>+[1]дек!U57</f>
        <v>0</v>
      </c>
      <c r="D235" s="495">
        <v>27</v>
      </c>
      <c r="E235" s="21">
        <v>36.214199999999998</v>
      </c>
      <c r="F235" s="21">
        <v>42.4328</v>
      </c>
      <c r="G235" s="185">
        <f>ROUND(D235*(E235+F235),2)</f>
        <v>2123.4699999999998</v>
      </c>
      <c r="H235" s="496"/>
      <c r="I235" s="73"/>
      <c r="J235" s="73"/>
      <c r="K235" s="497"/>
      <c r="L235" s="498">
        <f>SUM(G235:G241)+SUM(J235:J240)</f>
        <v>32018.03</v>
      </c>
      <c r="M235" s="26">
        <v>32018.03</v>
      </c>
      <c r="N235" s="594"/>
      <c r="O235" s="535"/>
      <c r="P235" s="536" t="s">
        <v>87</v>
      </c>
      <c r="Q235" s="595">
        <f>C235+G235+J235-M235-N235-O235</f>
        <v>-29894.559999999998</v>
      </c>
      <c r="R235" s="502" t="s">
        <v>88</v>
      </c>
      <c r="S235" s="503"/>
      <c r="T235" s="504"/>
      <c r="U235" s="33">
        <f>+M235-L235</f>
        <v>0</v>
      </c>
    </row>
    <row r="236" spans="1:21">
      <c r="A236" s="389"/>
      <c r="B236" s="506"/>
      <c r="C236" s="542"/>
      <c r="D236" s="508"/>
      <c r="E236" s="38"/>
      <c r="F236" s="38"/>
      <c r="G236" s="50">
        <f>ROUND(D236*(E236+F236),2)</f>
        <v>0</v>
      </c>
      <c r="H236" s="596"/>
      <c r="I236" s="409"/>
      <c r="J236" s="509"/>
      <c r="K236" s="543"/>
      <c r="L236" s="511"/>
      <c r="M236" s="99"/>
      <c r="N236" s="513"/>
      <c r="O236" s="514"/>
      <c r="P236" s="515"/>
      <c r="Q236" s="262"/>
      <c r="R236" s="502"/>
      <c r="S236" s="503"/>
      <c r="T236" s="504"/>
    </row>
    <row r="237" spans="1:21">
      <c r="A237" s="389"/>
      <c r="B237" s="516" t="s">
        <v>103</v>
      </c>
      <c r="C237" s="99" t="s">
        <v>90</v>
      </c>
      <c r="D237" s="508">
        <v>9</v>
      </c>
      <c r="E237" s="101">
        <v>292.75</v>
      </c>
      <c r="F237" s="38">
        <v>42.4328</v>
      </c>
      <c r="G237" s="50">
        <f>ROUND(D237*(E237+F237),2)</f>
        <v>3016.65</v>
      </c>
      <c r="H237" s="270"/>
      <c r="I237" s="41"/>
      <c r="J237" s="409"/>
      <c r="K237" s="510"/>
      <c r="L237" s="597"/>
      <c r="M237" s="99"/>
      <c r="N237" s="518"/>
      <c r="O237" s="519"/>
      <c r="P237" s="515" t="s">
        <v>87</v>
      </c>
      <c r="Q237" s="271">
        <f>+G237+J237-M237-N237-O237</f>
        <v>3016.65</v>
      </c>
      <c r="R237" s="502" t="s">
        <v>88</v>
      </c>
      <c r="S237" s="503"/>
      <c r="T237" s="504"/>
    </row>
    <row r="238" spans="1:21">
      <c r="A238" s="389"/>
      <c r="B238" s="506"/>
      <c r="C238" s="390" t="s">
        <v>97</v>
      </c>
      <c r="D238" s="508">
        <f>апр18!D237</f>
        <v>9</v>
      </c>
      <c r="E238" s="41">
        <f>292.75-341.87</f>
        <v>-49.120000000000005</v>
      </c>
      <c r="F238" s="38"/>
      <c r="G238" s="50">
        <f>D238*(E238+F238)</f>
        <v>-442.08000000000004</v>
      </c>
      <c r="H238" s="432"/>
      <c r="I238" s="362"/>
      <c r="J238" s="41"/>
      <c r="K238" s="510"/>
      <c r="L238" s="597"/>
      <c r="M238" s="99"/>
      <c r="N238" s="521"/>
      <c r="O238" s="522"/>
      <c r="P238" s="523"/>
      <c r="Q238" s="362"/>
      <c r="R238" s="502"/>
      <c r="S238" s="503"/>
      <c r="T238" s="504"/>
    </row>
    <row r="239" spans="1:21">
      <c r="A239" s="389"/>
      <c r="B239" s="506"/>
      <c r="C239" s="48" t="s">
        <v>135</v>
      </c>
      <c r="D239" s="37">
        <f>апр18!D240+апр18!D241</f>
        <v>3256</v>
      </c>
      <c r="E239" s="41">
        <f>6.6914-6.3259</f>
        <v>0.36549999999999994</v>
      </c>
      <c r="F239" s="297">
        <f t="shared" ref="F239:F241" si="38">+E239</f>
        <v>0.36549999999999994</v>
      </c>
      <c r="G239" s="39">
        <f>ROUND(D239*(E239+F239)/2,2)</f>
        <v>1190.07</v>
      </c>
      <c r="H239" s="432"/>
      <c r="I239" s="362"/>
      <c r="J239" s="41"/>
      <c r="K239" s="510"/>
      <c r="L239" s="597"/>
      <c r="M239" s="99"/>
      <c r="N239" s="521"/>
      <c r="O239" s="522"/>
      <c r="P239" s="523"/>
      <c r="Q239" s="362"/>
      <c r="R239" s="502"/>
      <c r="S239" s="503"/>
      <c r="T239" s="504"/>
    </row>
    <row r="240" spans="1:21">
      <c r="A240" s="389"/>
      <c r="B240" s="506"/>
      <c r="C240" s="48" t="s">
        <v>136</v>
      </c>
      <c r="D240" s="37">
        <f>56+109</f>
        <v>165</v>
      </c>
      <c r="E240" s="41">
        <v>6.6913999999999998</v>
      </c>
      <c r="F240" s="298">
        <f t="shared" si="38"/>
        <v>6.6913999999999998</v>
      </c>
      <c r="G240" s="39">
        <f>ROUND(D240*E240,2)</f>
        <v>1104.08</v>
      </c>
      <c r="H240" s="432"/>
      <c r="I240" s="362"/>
      <c r="J240" s="41"/>
      <c r="K240" s="510"/>
      <c r="L240" s="597"/>
      <c r="M240" s="99"/>
      <c r="N240" s="521"/>
      <c r="O240" s="522"/>
      <c r="P240" s="523"/>
      <c r="Q240" s="362"/>
      <c r="R240" s="502"/>
      <c r="S240" s="503"/>
      <c r="T240" s="504"/>
    </row>
    <row r="241" spans="1:20" ht="15.75" thickBot="1">
      <c r="A241" s="369"/>
      <c r="B241" s="526"/>
      <c r="C241" s="99" t="s">
        <v>29</v>
      </c>
      <c r="D241" s="55">
        <f>1274+2466</f>
        <v>3740</v>
      </c>
      <c r="E241" s="56">
        <v>6.6913999999999998</v>
      </c>
      <c r="F241" s="57">
        <f t="shared" si="38"/>
        <v>6.6913999999999998</v>
      </c>
      <c r="G241" s="414">
        <f>ROUND(D241*E241,2)</f>
        <v>25025.84</v>
      </c>
      <c r="H241" s="248"/>
      <c r="I241" s="203"/>
      <c r="J241" s="60"/>
      <c r="K241" s="61"/>
      <c r="L241" s="249"/>
      <c r="M241" s="54"/>
      <c r="N241" s="527"/>
      <c r="O241" s="528"/>
      <c r="P241" s="529" t="s">
        <v>87</v>
      </c>
      <c r="Q241" s="58">
        <f>+G241+J241-M241-N241-O241</f>
        <v>25025.84</v>
      </c>
      <c r="R241" s="502" t="s">
        <v>88</v>
      </c>
      <c r="S241" s="598">
        <f>SUM(N235:N241)+O235:O241</f>
        <v>0</v>
      </c>
      <c r="T241" s="598">
        <f>SUM(Q235:Q241)</f>
        <v>-1852.0699999999961</v>
      </c>
    </row>
    <row r="242" spans="1:20">
      <c r="A242" s="376" t="s">
        <v>208</v>
      </c>
      <c r="B242" s="602" t="s">
        <v>213</v>
      </c>
      <c r="C242" s="439" t="s">
        <v>135</v>
      </c>
      <c r="D242" s="184">
        <f>апр18!D243+апр18!D244</f>
        <v>138</v>
      </c>
      <c r="E242" s="41">
        <f>6.6914-6.3259</f>
        <v>0.36549999999999994</v>
      </c>
      <c r="F242" s="23">
        <f>+E242</f>
        <v>0.36549999999999994</v>
      </c>
      <c r="G242" s="185">
        <f>ROUND(D242*(E242),2)</f>
        <v>50.44</v>
      </c>
      <c r="H242" s="620"/>
      <c r="I242" s="620"/>
      <c r="J242" s="620"/>
      <c r="K242" s="634"/>
      <c r="L242" s="603">
        <f>SUM(G242:G244)</f>
        <v>1201.3599999999999</v>
      </c>
      <c r="M242" s="187">
        <v>1201.3599999999999</v>
      </c>
      <c r="N242" s="615"/>
      <c r="O242" s="615"/>
      <c r="P242" s="615"/>
      <c r="Q242" s="615"/>
    </row>
    <row r="243" spans="1:20">
      <c r="A243" s="934"/>
      <c r="B243" s="506"/>
      <c r="C243" s="48" t="s">
        <v>136</v>
      </c>
      <c r="D243" s="49">
        <v>7</v>
      </c>
      <c r="E243" s="41">
        <v>6.6913999999999998</v>
      </c>
      <c r="F243" s="41">
        <f>+E243</f>
        <v>6.6913999999999998</v>
      </c>
      <c r="G243" s="50">
        <f>ROUND(D243*(E243),2)</f>
        <v>46.84</v>
      </c>
      <c r="H243" s="296"/>
      <c r="I243" s="298"/>
      <c r="J243" s="298"/>
      <c r="K243" s="637"/>
      <c r="L243" s="606"/>
      <c r="M243" s="935"/>
      <c r="N243" s="615"/>
      <c r="O243" s="615"/>
      <c r="P243" s="615"/>
      <c r="Q243" s="615"/>
    </row>
    <row r="244" spans="1:20" ht="15.75" thickBot="1">
      <c r="A244" s="934"/>
      <c r="B244" s="506"/>
      <c r="C244" s="54" t="s">
        <v>29</v>
      </c>
      <c r="D244" s="296">
        <v>165</v>
      </c>
      <c r="E244" s="56">
        <v>6.6913999999999998</v>
      </c>
      <c r="F244" s="41">
        <f>+E244</f>
        <v>6.6913999999999998</v>
      </c>
      <c r="G244" s="50">
        <f t="shared" ref="G244" si="39">ROUND(D244*(E244),2)</f>
        <v>1104.08</v>
      </c>
      <c r="H244" s="296"/>
      <c r="I244" s="298"/>
      <c r="J244" s="298"/>
      <c r="K244" s="637"/>
      <c r="L244" s="614"/>
      <c r="M244" s="935"/>
      <c r="N244" s="615"/>
      <c r="O244" s="615"/>
      <c r="P244" s="615"/>
      <c r="Q244" s="615"/>
    </row>
    <row r="245" spans="1:20">
      <c r="A245" s="376">
        <v>201</v>
      </c>
      <c r="B245" s="602" t="s">
        <v>107</v>
      </c>
      <c r="C245" s="618" t="s">
        <v>73</v>
      </c>
      <c r="D245" s="619">
        <v>2</v>
      </c>
      <c r="E245" s="21">
        <v>36.214199999999998</v>
      </c>
      <c r="F245" s="21">
        <v>42.4328</v>
      </c>
      <c r="G245" s="185">
        <f>ROUND(D245*(E245+F245),2)</f>
        <v>157.29</v>
      </c>
      <c r="H245" s="620"/>
      <c r="I245" s="620"/>
      <c r="J245" s="620"/>
      <c r="K245" s="620"/>
      <c r="L245" s="603">
        <f>SUM(G245:G249,J245:J249)</f>
        <v>5543.22</v>
      </c>
      <c r="M245" s="187">
        <v>5543.22</v>
      </c>
      <c r="N245" s="621"/>
      <c r="O245" s="621"/>
      <c r="P245" s="621"/>
      <c r="Q245" s="622"/>
    </row>
    <row r="246" spans="1:20">
      <c r="A246" s="936"/>
      <c r="B246" s="612"/>
      <c r="C246" s="542" t="s">
        <v>96</v>
      </c>
      <c r="D246" s="234"/>
      <c r="E246" s="38"/>
      <c r="F246" s="38"/>
      <c r="G246" s="235">
        <f>ROUND(D246*(E246+F246),2)</f>
        <v>0</v>
      </c>
      <c r="H246" s="298"/>
      <c r="I246" s="298"/>
      <c r="J246" s="298"/>
      <c r="K246" s="298"/>
      <c r="L246" s="606"/>
      <c r="M246" s="935"/>
      <c r="N246" s="615"/>
      <c r="O246" s="615"/>
      <c r="P246" s="615"/>
      <c r="Q246" s="616"/>
    </row>
    <row r="247" spans="1:20">
      <c r="A247" s="936"/>
      <c r="B247" s="612"/>
      <c r="C247" s="48" t="s">
        <v>135</v>
      </c>
      <c r="D247" s="623">
        <f>апр18!D248+апр18!D249</f>
        <v>639</v>
      </c>
      <c r="E247" s="41">
        <f>6.6914-6.3259</f>
        <v>0.36549999999999994</v>
      </c>
      <c r="F247" s="41">
        <f>+E247</f>
        <v>0.36549999999999994</v>
      </c>
      <c r="G247" s="50">
        <f t="shared" ref="G247:G255" si="40">ROUND(D247*(E247),2)</f>
        <v>233.55</v>
      </c>
      <c r="H247" s="298"/>
      <c r="I247" s="298"/>
      <c r="J247" s="298"/>
      <c r="K247" s="298"/>
      <c r="L247" s="614"/>
      <c r="M247" s="935"/>
      <c r="N247" s="615"/>
      <c r="O247" s="615"/>
      <c r="P247" s="615"/>
      <c r="Q247" s="616"/>
    </row>
    <row r="248" spans="1:20">
      <c r="A248" s="936"/>
      <c r="B248" s="612"/>
      <c r="C248" s="48" t="s">
        <v>136</v>
      </c>
      <c r="D248" s="623">
        <v>33</v>
      </c>
      <c r="E248" s="41">
        <v>6.6913999999999998</v>
      </c>
      <c r="F248" s="41">
        <f>+E248</f>
        <v>6.6913999999999998</v>
      </c>
      <c r="G248" s="39">
        <f t="shared" si="40"/>
        <v>220.82</v>
      </c>
      <c r="H248" s="298"/>
      <c r="I248" s="298"/>
      <c r="J248" s="298"/>
      <c r="K248" s="298"/>
      <c r="L248" s="614"/>
      <c r="M248" s="273"/>
      <c r="N248" s="615"/>
      <c r="O248" s="615"/>
      <c r="P248" s="615"/>
      <c r="Q248" s="616"/>
    </row>
    <row r="249" spans="1:20" ht="15.75" thickBot="1">
      <c r="A249" s="937"/>
      <c r="B249" s="526"/>
      <c r="C249" s="99" t="s">
        <v>29</v>
      </c>
      <c r="D249" s="625">
        <v>737</v>
      </c>
      <c r="E249" s="56">
        <v>6.6913999999999998</v>
      </c>
      <c r="F249" s="281">
        <f>+E249</f>
        <v>6.6913999999999998</v>
      </c>
      <c r="G249" s="414">
        <f t="shared" si="40"/>
        <v>4931.5600000000004</v>
      </c>
      <c r="H249" s="41"/>
      <c r="I249" s="41"/>
      <c r="J249" s="281"/>
      <c r="K249" s="281"/>
      <c r="L249" s="784"/>
      <c r="M249" s="938"/>
      <c r="N249" s="626"/>
      <c r="O249" s="626"/>
      <c r="P249" s="626"/>
      <c r="Q249" s="627"/>
    </row>
    <row r="250" spans="1:20">
      <c r="A250" s="376">
        <v>301</v>
      </c>
      <c r="B250" s="602" t="s">
        <v>106</v>
      </c>
      <c r="C250" s="48" t="s">
        <v>135</v>
      </c>
      <c r="D250" s="184">
        <f>апр18!D251+апр18!D252</f>
        <v>866.77</v>
      </c>
      <c r="E250" s="41">
        <f>6.6914-6.3259</f>
        <v>0.36549999999999994</v>
      </c>
      <c r="F250" s="23">
        <f t="shared" ref="F250:F252" si="41">+E250</f>
        <v>0.36549999999999994</v>
      </c>
      <c r="G250" s="185">
        <f>ROUND(D250*(E250),2)+0.01</f>
        <v>316.81</v>
      </c>
      <c r="H250" s="23"/>
      <c r="I250" s="23"/>
      <c r="J250" s="23"/>
      <c r="K250" s="23"/>
      <c r="L250" s="603">
        <f>SUM(G250:G252)</f>
        <v>6340.34</v>
      </c>
      <c r="M250" s="187">
        <v>6340.34</v>
      </c>
      <c r="N250" s="604"/>
      <c r="O250" s="500"/>
      <c r="P250" s="501"/>
      <c r="Q250" s="605"/>
    </row>
    <row r="251" spans="1:20">
      <c r="A251" s="389"/>
      <c r="B251" s="506"/>
      <c r="C251" s="48" t="s">
        <v>136</v>
      </c>
      <c r="D251" s="49">
        <v>38.19</v>
      </c>
      <c r="E251" s="41">
        <v>6.6913999999999998</v>
      </c>
      <c r="F251" s="41">
        <f t="shared" si="41"/>
        <v>6.6913999999999998</v>
      </c>
      <c r="G251" s="50">
        <f t="shared" si="40"/>
        <v>255.54</v>
      </c>
      <c r="H251" s="41"/>
      <c r="I251" s="41"/>
      <c r="J251" s="41"/>
      <c r="K251" s="41"/>
      <c r="L251" s="606"/>
      <c r="M251" s="935"/>
      <c r="N251" s="607"/>
      <c r="O251" s="608"/>
      <c r="P251" s="609"/>
      <c r="Q251" s="610"/>
    </row>
    <row r="252" spans="1:20" ht="15.75" thickBot="1">
      <c r="A252" s="936"/>
      <c r="B252" s="612"/>
      <c r="C252" s="99" t="s">
        <v>29</v>
      </c>
      <c r="D252" s="613">
        <v>862</v>
      </c>
      <c r="E252" s="56">
        <v>6.6913999999999998</v>
      </c>
      <c r="F252" s="281">
        <f t="shared" si="41"/>
        <v>6.6913999999999998</v>
      </c>
      <c r="G252" s="58">
        <f t="shared" si="40"/>
        <v>5767.99</v>
      </c>
      <c r="H252" s="57"/>
      <c r="I252" s="57"/>
      <c r="J252" s="57"/>
      <c r="K252" s="57"/>
      <c r="L252" s="614"/>
      <c r="M252" s="935"/>
      <c r="N252" s="615"/>
      <c r="O252" s="615"/>
      <c r="P252" s="615"/>
      <c r="Q252" s="616"/>
    </row>
    <row r="253" spans="1:20">
      <c r="A253" s="447" t="s">
        <v>205</v>
      </c>
      <c r="B253" s="602" t="s">
        <v>183</v>
      </c>
      <c r="C253" s="439" t="s">
        <v>135</v>
      </c>
      <c r="D253" s="184">
        <f>апр18!D254+апр18!D255</f>
        <v>653</v>
      </c>
      <c r="E253" s="41">
        <f>6.6914-6.3259</f>
        <v>0.36549999999999994</v>
      </c>
      <c r="F253" s="23">
        <f>+E253</f>
        <v>0.36549999999999994</v>
      </c>
      <c r="G253" s="185">
        <f t="shared" si="40"/>
        <v>238.67</v>
      </c>
      <c r="H253" s="620"/>
      <c r="I253" s="620"/>
      <c r="J253" s="620"/>
      <c r="K253" s="634"/>
      <c r="L253" s="603">
        <f>SUM(G253:G255)</f>
        <v>4762.0600000000004</v>
      </c>
      <c r="M253" s="187">
        <v>4762.0600000000004</v>
      </c>
      <c r="N253" s="604"/>
      <c r="O253" s="635"/>
      <c r="P253" s="636"/>
      <c r="Q253" s="605"/>
    </row>
    <row r="254" spans="1:20">
      <c r="A254" s="450" t="s">
        <v>206</v>
      </c>
      <c r="B254" s="506"/>
      <c r="C254" s="48" t="s">
        <v>136</v>
      </c>
      <c r="D254" s="49">
        <v>29</v>
      </c>
      <c r="E254" s="41">
        <v>6.6913999999999998</v>
      </c>
      <c r="F254" s="41">
        <f>+E254</f>
        <v>6.6913999999999998</v>
      </c>
      <c r="G254" s="50">
        <f t="shared" si="40"/>
        <v>194.05</v>
      </c>
      <c r="H254" s="296"/>
      <c r="I254" s="298"/>
      <c r="J254" s="298"/>
      <c r="K254" s="637"/>
      <c r="L254" s="606"/>
      <c r="M254" s="935"/>
      <c r="N254" s="607"/>
      <c r="O254" s="608"/>
      <c r="P254" s="609"/>
      <c r="Q254" s="610"/>
    </row>
    <row r="255" spans="1:20" ht="15.75" thickBot="1">
      <c r="A255" s="451">
        <v>305</v>
      </c>
      <c r="B255" s="506"/>
      <c r="C255" s="54" t="s">
        <v>29</v>
      </c>
      <c r="D255" s="296">
        <f>204+442+1</f>
        <v>647</v>
      </c>
      <c r="E255" s="56">
        <v>6.6913999999999998</v>
      </c>
      <c r="F255" s="41">
        <f t="shared" ref="F255:F256" si="42">+E255</f>
        <v>6.6913999999999998</v>
      </c>
      <c r="G255" s="50">
        <f t="shared" si="40"/>
        <v>4329.34</v>
      </c>
      <c r="H255" s="296"/>
      <c r="I255" s="298"/>
      <c r="J255" s="298"/>
      <c r="K255" s="637"/>
      <c r="L255" s="614"/>
      <c r="M255" s="935"/>
      <c r="N255" s="615"/>
      <c r="O255" s="615"/>
      <c r="P255" s="615"/>
      <c r="Q255" s="616"/>
    </row>
    <row r="256" spans="1:20" collapsed="1">
      <c r="A256" s="376">
        <v>307</v>
      </c>
      <c r="B256" s="602" t="s">
        <v>163</v>
      </c>
      <c r="C256" s="439" t="s">
        <v>135</v>
      </c>
      <c r="D256" s="184">
        <f>апр18!D257+апр18!D258</f>
        <v>366</v>
      </c>
      <c r="E256" s="23">
        <f>6.6914-6.3259</f>
        <v>0.36549999999999994</v>
      </c>
      <c r="F256" s="23">
        <f t="shared" si="42"/>
        <v>0.36549999999999994</v>
      </c>
      <c r="G256" s="185">
        <f>ROUND(D256*(E256),2)</f>
        <v>133.77000000000001</v>
      </c>
      <c r="H256" s="669"/>
      <c r="I256" s="620"/>
      <c r="J256" s="620"/>
      <c r="K256" s="634"/>
      <c r="L256" s="603">
        <f>SUM(G256:G258)</f>
        <v>3057.92</v>
      </c>
      <c r="M256" s="187">
        <v>3057.92</v>
      </c>
      <c r="N256" s="604"/>
      <c r="O256" s="635"/>
      <c r="P256" s="636"/>
      <c r="Q256" s="605"/>
    </row>
    <row r="257" spans="1:17">
      <c r="A257" s="934"/>
      <c r="B257" s="506"/>
      <c r="C257" s="48" t="s">
        <v>136</v>
      </c>
      <c r="D257" s="49">
        <v>19</v>
      </c>
      <c r="E257" s="41">
        <v>6.6913999999999998</v>
      </c>
      <c r="F257" s="41">
        <f>+E257</f>
        <v>6.6913999999999998</v>
      </c>
      <c r="G257" s="50">
        <f>ROUND(D257*(E257),2)</f>
        <v>127.14</v>
      </c>
      <c r="H257" s="296"/>
      <c r="I257" s="298"/>
      <c r="J257" s="298"/>
      <c r="K257" s="637"/>
      <c r="L257" s="606"/>
      <c r="M257" s="935"/>
      <c r="N257" s="607"/>
      <c r="O257" s="608"/>
      <c r="P257" s="609"/>
      <c r="Q257" s="610"/>
    </row>
    <row r="258" spans="1:17" ht="15.75" thickBot="1">
      <c r="A258" s="960"/>
      <c r="B258" s="506"/>
      <c r="C258" s="54" t="s">
        <v>29</v>
      </c>
      <c r="D258" s="296">
        <v>418</v>
      </c>
      <c r="E258" s="56">
        <v>6.6913999999999998</v>
      </c>
      <c r="F258" s="41">
        <f t="shared" ref="F258:F259" si="43">+E258</f>
        <v>6.6913999999999998</v>
      </c>
      <c r="G258" s="50">
        <f t="shared" ref="G258" si="44">ROUND(D258*(E258),2)</f>
        <v>2797.01</v>
      </c>
      <c r="H258" s="296"/>
      <c r="I258" s="298"/>
      <c r="J258" s="298"/>
      <c r="K258" s="637"/>
      <c r="L258" s="614"/>
      <c r="M258" s="935"/>
      <c r="N258" s="615"/>
      <c r="O258" s="615"/>
      <c r="P258" s="615"/>
      <c r="Q258" s="616"/>
    </row>
    <row r="259" spans="1:17" collapsed="1">
      <c r="A259" s="376">
        <v>310</v>
      </c>
      <c r="B259" s="602" t="s">
        <v>235</v>
      </c>
      <c r="C259" s="439" t="s">
        <v>135</v>
      </c>
      <c r="D259" s="184"/>
      <c r="E259" s="41">
        <f>6.6914-6.3259</f>
        <v>0.36549999999999994</v>
      </c>
      <c r="F259" s="23">
        <f t="shared" si="43"/>
        <v>0.36549999999999994</v>
      </c>
      <c r="G259" s="185">
        <f>ROUND(D259*(E259),2)</f>
        <v>0</v>
      </c>
      <c r="H259" s="620"/>
      <c r="I259" s="620"/>
      <c r="J259" s="620"/>
      <c r="K259" s="634"/>
      <c r="L259" s="603">
        <f>SUM(G259:G261)</f>
        <v>1405.19</v>
      </c>
      <c r="M259" s="187">
        <v>1405.19</v>
      </c>
      <c r="N259" s="615"/>
      <c r="O259" s="615"/>
      <c r="P259" s="615"/>
      <c r="Q259" s="615"/>
    </row>
    <row r="260" spans="1:17">
      <c r="A260" s="934"/>
      <c r="B260" s="506"/>
      <c r="C260" s="48" t="s">
        <v>136</v>
      </c>
      <c r="D260" s="49">
        <v>9</v>
      </c>
      <c r="E260" s="41">
        <v>6.6913999999999998</v>
      </c>
      <c r="F260" s="41">
        <f>+E260</f>
        <v>6.6913999999999998</v>
      </c>
      <c r="G260" s="50">
        <f>ROUND(D260*(E260),2)</f>
        <v>60.22</v>
      </c>
      <c r="H260" s="296"/>
      <c r="I260" s="298"/>
      <c r="J260" s="298"/>
      <c r="K260" s="637"/>
      <c r="L260" s="606"/>
      <c r="M260" s="935"/>
      <c r="N260" s="615"/>
      <c r="O260" s="615"/>
      <c r="P260" s="615"/>
      <c r="Q260" s="615"/>
    </row>
    <row r="261" spans="1:17" ht="15.75" thickBot="1">
      <c r="A261" s="934"/>
      <c r="B261" s="506"/>
      <c r="C261" s="54" t="s">
        <v>29</v>
      </c>
      <c r="D261" s="296">
        <v>201</v>
      </c>
      <c r="E261" s="56">
        <v>6.6913999999999998</v>
      </c>
      <c r="F261" s="41">
        <f t="shared" ref="F261:F264" si="45">+E261</f>
        <v>6.6913999999999998</v>
      </c>
      <c r="G261" s="50">
        <f t="shared" ref="G261" si="46">ROUND(D261*(E261),2)</f>
        <v>1344.97</v>
      </c>
      <c r="H261" s="296"/>
      <c r="I261" s="298"/>
      <c r="J261" s="298"/>
      <c r="K261" s="637"/>
      <c r="L261" s="614"/>
      <c r="M261" s="935"/>
      <c r="N261" s="615"/>
      <c r="O261" s="615"/>
      <c r="P261" s="615"/>
      <c r="Q261" s="615"/>
    </row>
    <row r="262" spans="1:17">
      <c r="A262" s="376">
        <v>311</v>
      </c>
      <c r="B262" s="602" t="s">
        <v>204</v>
      </c>
      <c r="C262" s="439" t="s">
        <v>135</v>
      </c>
      <c r="D262" s="184">
        <f>апр18!D263+апр18!D264</f>
        <v>0</v>
      </c>
      <c r="E262" s="41">
        <f>6.6914-6.3259</f>
        <v>0.36549999999999994</v>
      </c>
      <c r="F262" s="23">
        <f t="shared" si="45"/>
        <v>0.36549999999999994</v>
      </c>
      <c r="G262" s="185">
        <f>ROUND(D262*(E262),2)</f>
        <v>0</v>
      </c>
      <c r="H262" s="620"/>
      <c r="I262" s="620"/>
      <c r="J262" s="620"/>
      <c r="K262" s="634"/>
      <c r="L262" s="603">
        <f>SUM(G262:G265)</f>
        <v>0</v>
      </c>
      <c r="M262" s="187">
        <v>0</v>
      </c>
      <c r="N262" s="604"/>
      <c r="O262" s="635" t="s">
        <v>236</v>
      </c>
      <c r="P262" s="636"/>
      <c r="Q262" s="605"/>
    </row>
    <row r="263" spans="1:17">
      <c r="A263" s="389"/>
      <c r="B263" s="939" t="s">
        <v>233</v>
      </c>
      <c r="C263" s="48" t="s">
        <v>136</v>
      </c>
      <c r="D263" s="49">
        <v>0</v>
      </c>
      <c r="E263" s="41">
        <v>6.6913999999999998</v>
      </c>
      <c r="F263" s="41">
        <f t="shared" si="45"/>
        <v>6.6913999999999998</v>
      </c>
      <c r="G263" s="50">
        <f>ROUND(D263*(E263),2)</f>
        <v>0</v>
      </c>
      <c r="H263" s="296"/>
      <c r="I263" s="298"/>
      <c r="J263" s="298"/>
      <c r="K263" s="637"/>
      <c r="L263" s="606"/>
      <c r="M263" s="935"/>
      <c r="N263" s="607"/>
      <c r="O263" s="608"/>
      <c r="P263" s="609"/>
      <c r="Q263" s="610"/>
    </row>
    <row r="264" spans="1:17">
      <c r="A264" s="936"/>
      <c r="B264" s="506"/>
      <c r="C264" s="99" t="s">
        <v>29</v>
      </c>
      <c r="D264" s="296">
        <v>0</v>
      </c>
      <c r="E264" s="101">
        <v>6.6913999999999998</v>
      </c>
      <c r="F264" s="41">
        <f t="shared" si="45"/>
        <v>6.6913999999999998</v>
      </c>
      <c r="G264" s="50">
        <f>ROUND(D264*(E264),2)</f>
        <v>0</v>
      </c>
      <c r="H264" s="296"/>
      <c r="I264" s="298"/>
      <c r="J264" s="298"/>
      <c r="K264" s="940"/>
      <c r="L264" s="614"/>
      <c r="M264" s="935"/>
      <c r="N264" s="615"/>
      <c r="O264" s="615"/>
      <c r="P264" s="615"/>
      <c r="Q264" s="616"/>
    </row>
    <row r="265" spans="1:17" ht="15.75" thickBot="1">
      <c r="A265" s="937"/>
      <c r="B265" s="278"/>
      <c r="C265" s="784"/>
      <c r="D265" s="941"/>
      <c r="E265" s="281"/>
      <c r="F265" s="57"/>
      <c r="G265" s="58">
        <f>ROUND(D265*(E265),2)</f>
        <v>0</v>
      </c>
      <c r="H265" s="613"/>
      <c r="I265" s="57"/>
      <c r="J265" s="57"/>
      <c r="K265" s="666"/>
      <c r="L265" s="784"/>
      <c r="M265" s="938"/>
      <c r="N265" s="626"/>
      <c r="O265" s="626"/>
      <c r="P265" s="626"/>
      <c r="Q265" s="626"/>
    </row>
    <row r="266" spans="1:17">
      <c r="A266" s="376">
        <v>312</v>
      </c>
      <c r="B266" s="602" t="s">
        <v>112</v>
      </c>
      <c r="C266" s="439" t="s">
        <v>135</v>
      </c>
      <c r="D266" s="184">
        <f>апр18!D267+апр18!D268</f>
        <v>611</v>
      </c>
      <c r="E266" s="23">
        <f>6.6914-6.3259</f>
        <v>0.36549999999999994</v>
      </c>
      <c r="F266" s="23">
        <f>+E266</f>
        <v>0.36549999999999994</v>
      </c>
      <c r="G266" s="185">
        <f>ROUND(D266*(E266),2)-0.01</f>
        <v>223.31</v>
      </c>
      <c r="H266" s="620"/>
      <c r="I266" s="620"/>
      <c r="J266" s="620"/>
      <c r="K266" s="634"/>
      <c r="L266" s="603">
        <f>SUM(G266:G269)</f>
        <v>5402.46</v>
      </c>
      <c r="M266" s="187">
        <v>5402.46</v>
      </c>
      <c r="N266" s="604"/>
      <c r="O266" s="635"/>
      <c r="P266" s="636"/>
      <c r="Q266" s="605"/>
    </row>
    <row r="267" spans="1:17">
      <c r="A267" s="934"/>
      <c r="B267" s="506"/>
      <c r="C267" s="48" t="s">
        <v>136</v>
      </c>
      <c r="D267" s="49">
        <v>33</v>
      </c>
      <c r="E267" s="41">
        <v>6.6913999999999998</v>
      </c>
      <c r="F267" s="41">
        <f>+E267</f>
        <v>6.6913999999999998</v>
      </c>
      <c r="G267" s="50">
        <f t="shared" ref="G267:G268" si="47">ROUND(D267*(E267),2)</f>
        <v>220.82</v>
      </c>
      <c r="H267" s="296"/>
      <c r="I267" s="298"/>
      <c r="J267" s="298"/>
      <c r="K267" s="637"/>
      <c r="L267" s="606"/>
      <c r="M267" s="935"/>
      <c r="N267" s="607"/>
      <c r="O267" s="608"/>
      <c r="P267" s="609"/>
      <c r="Q267" s="610"/>
    </row>
    <row r="268" spans="1:17">
      <c r="A268" s="934"/>
      <c r="B268" s="506"/>
      <c r="C268" s="99" t="s">
        <v>29</v>
      </c>
      <c r="D268" s="296">
        <v>741</v>
      </c>
      <c r="E268" s="101">
        <v>6.6913999999999998</v>
      </c>
      <c r="F268" s="41">
        <f>+E268</f>
        <v>6.6913999999999998</v>
      </c>
      <c r="G268" s="50">
        <f t="shared" si="47"/>
        <v>4958.33</v>
      </c>
      <c r="H268" s="296"/>
      <c r="I268" s="298"/>
      <c r="J268" s="298"/>
      <c r="K268" s="637"/>
      <c r="L268" s="614"/>
      <c r="M268" s="935"/>
      <c r="N268" s="615"/>
      <c r="O268" s="615"/>
      <c r="P268" s="615"/>
      <c r="Q268" s="616"/>
    </row>
    <row r="269" spans="1:17" ht="15.75" thickBot="1">
      <c r="A269" s="942"/>
      <c r="B269" s="278"/>
      <c r="C269" s="54"/>
      <c r="D269" s="941"/>
      <c r="E269" s="281"/>
      <c r="F269" s="57"/>
      <c r="G269" s="58"/>
      <c r="H269" s="613"/>
      <c r="I269" s="57"/>
      <c r="J269" s="57"/>
      <c r="K269" s="943"/>
      <c r="L269" s="784"/>
      <c r="M269" s="938"/>
      <c r="N269" s="615"/>
      <c r="O269" s="615"/>
      <c r="P269" s="615"/>
      <c r="Q269" s="615"/>
    </row>
    <row r="270" spans="1:17" collapsed="1">
      <c r="A270" s="376">
        <v>314</v>
      </c>
      <c r="B270" s="602" t="s">
        <v>210</v>
      </c>
      <c r="C270" s="439" t="s">
        <v>135</v>
      </c>
      <c r="D270" s="184">
        <f>апр18!D271+апр18!D272</f>
        <v>41</v>
      </c>
      <c r="E270" s="41">
        <f>6.6914-6.3259</f>
        <v>0.36549999999999994</v>
      </c>
      <c r="F270" s="23">
        <f t="shared" ref="F270" si="48">+E270</f>
        <v>0.36549999999999994</v>
      </c>
      <c r="G270" s="185">
        <f>ROUND(D270*(E270),2)</f>
        <v>14.99</v>
      </c>
      <c r="H270" s="620"/>
      <c r="I270" s="620"/>
      <c r="J270" s="620"/>
      <c r="K270" s="634"/>
      <c r="L270" s="603">
        <f>SUM(G270:G272)</f>
        <v>28.37</v>
      </c>
      <c r="M270" s="187">
        <v>28.37</v>
      </c>
      <c r="N270" s="615"/>
      <c r="O270" s="967"/>
      <c r="P270" s="615"/>
      <c r="Q270" s="615"/>
    </row>
    <row r="271" spans="1:17">
      <c r="A271" s="934"/>
      <c r="B271" s="516"/>
      <c r="C271" s="48" t="s">
        <v>136</v>
      </c>
      <c r="D271" s="49">
        <v>0</v>
      </c>
      <c r="E271" s="41">
        <v>6.6913999999999998</v>
      </c>
      <c r="F271" s="41">
        <f>+E271</f>
        <v>6.6913999999999998</v>
      </c>
      <c r="G271" s="50">
        <f>ROUND(D271*(E271),2)</f>
        <v>0</v>
      </c>
      <c r="H271" s="296"/>
      <c r="I271" s="298"/>
      <c r="J271" s="298"/>
      <c r="K271" s="637"/>
      <c r="L271" s="606"/>
      <c r="M271" s="935"/>
      <c r="N271" s="615"/>
      <c r="O271" s="615"/>
      <c r="P271" s="615"/>
      <c r="Q271" s="615"/>
    </row>
    <row r="272" spans="1:17" ht="15.75" thickBot="1">
      <c r="A272" s="942"/>
      <c r="B272" s="982"/>
      <c r="C272" s="54" t="s">
        <v>29</v>
      </c>
      <c r="D272" s="613">
        <v>2</v>
      </c>
      <c r="E272" s="56">
        <v>6.6913999999999998</v>
      </c>
      <c r="F272" s="281">
        <f t="shared" ref="F272" si="49">+E272</f>
        <v>6.6913999999999998</v>
      </c>
      <c r="G272" s="58">
        <f t="shared" ref="G272" si="50">ROUND(D272*(E272),2)</f>
        <v>13.38</v>
      </c>
      <c r="H272" s="613"/>
      <c r="I272" s="57"/>
      <c r="J272" s="57"/>
      <c r="K272" s="943"/>
      <c r="L272" s="783"/>
      <c r="M272" s="938"/>
      <c r="N272" s="615"/>
      <c r="O272" s="615"/>
      <c r="P272" s="615"/>
      <c r="Q272" s="615"/>
    </row>
    <row r="273" spans="1:21" collapsed="1">
      <c r="A273" s="353" t="s">
        <v>203</v>
      </c>
      <c r="B273" s="494" t="s">
        <v>104</v>
      </c>
      <c r="C273" s="71">
        <f>+[1]дек!U66</f>
        <v>0</v>
      </c>
      <c r="D273" s="495">
        <v>33</v>
      </c>
      <c r="E273" s="21">
        <v>36.214199999999998</v>
      </c>
      <c r="F273" s="21">
        <v>42.4328</v>
      </c>
      <c r="G273" s="185">
        <f>ROUND(D273*(E273+F273),2)</f>
        <v>2595.35</v>
      </c>
      <c r="H273" s="496"/>
      <c r="I273" s="73"/>
      <c r="J273" s="73"/>
      <c r="K273" s="497"/>
      <c r="L273" s="439">
        <f>SUM(G273:G280)+SUM(J273:J279)</f>
        <v>20154.21</v>
      </c>
      <c r="M273" s="26">
        <v>20154.21</v>
      </c>
      <c r="N273" s="499"/>
      <c r="O273" s="500"/>
      <c r="P273" s="501" t="s">
        <v>87</v>
      </c>
      <c r="Q273" s="185">
        <f t="shared" ref="Q273" si="51">C273+G273+J273-M273-N273-O273</f>
        <v>-17558.86</v>
      </c>
      <c r="R273" s="502" t="s">
        <v>88</v>
      </c>
      <c r="S273" s="503"/>
      <c r="T273" s="504"/>
    </row>
    <row r="274" spans="1:21" ht="15.75" thickBot="1">
      <c r="A274" s="934">
        <v>417</v>
      </c>
      <c r="B274" s="506"/>
      <c r="C274" s="599" t="s">
        <v>96</v>
      </c>
      <c r="D274" s="234"/>
      <c r="E274" s="38"/>
      <c r="F274" s="38"/>
      <c r="G274" s="235">
        <f>ROUND(D274*(E274+F274),2)</f>
        <v>0</v>
      </c>
      <c r="H274" s="448"/>
      <c r="I274" s="509"/>
      <c r="J274" s="409"/>
      <c r="K274" s="510"/>
      <c r="L274" s="48"/>
      <c r="M274" s="512"/>
      <c r="N274" s="513"/>
      <c r="O274" s="514"/>
      <c r="P274" s="515"/>
      <c r="Q274" s="262"/>
      <c r="R274" s="502"/>
      <c r="S274" s="503"/>
      <c r="T274" s="504"/>
    </row>
    <row r="275" spans="1:21">
      <c r="A275" s="934"/>
      <c r="B275" s="516" t="s">
        <v>89</v>
      </c>
      <c r="C275" s="512" t="s">
        <v>90</v>
      </c>
      <c r="D275" s="508">
        <v>0</v>
      </c>
      <c r="E275" s="101">
        <v>292.75</v>
      </c>
      <c r="F275" s="21">
        <v>42.4328</v>
      </c>
      <c r="G275" s="50">
        <f>ROUND(D275*(E275+F275),2)</f>
        <v>0</v>
      </c>
      <c r="H275" s="270"/>
      <c r="I275" s="41"/>
      <c r="J275" s="409"/>
      <c r="K275" s="510"/>
      <c r="L275" s="600"/>
      <c r="M275" s="99"/>
      <c r="N275" s="518"/>
      <c r="O275" s="519"/>
      <c r="P275" s="515" t="s">
        <v>87</v>
      </c>
      <c r="Q275" s="271">
        <f>+G275+J275-M275-N275-O275</f>
        <v>0</v>
      </c>
      <c r="R275" s="502" t="s">
        <v>88</v>
      </c>
      <c r="S275" s="503"/>
      <c r="T275" s="504"/>
    </row>
    <row r="276" spans="1:21">
      <c r="A276" s="934"/>
      <c r="B276" s="541"/>
      <c r="C276" s="84" t="s">
        <v>97</v>
      </c>
      <c r="D276" s="508">
        <f>апр18!D275</f>
        <v>0</v>
      </c>
      <c r="E276" s="41">
        <f>292.75-341.87</f>
        <v>-49.120000000000005</v>
      </c>
      <c r="F276" s="38"/>
      <c r="G276" s="50">
        <f>ROUND(D276*(E276+F276),2)</f>
        <v>0</v>
      </c>
      <c r="H276" s="432"/>
      <c r="I276" s="362"/>
      <c r="J276" s="41"/>
      <c r="K276" s="510"/>
      <c r="L276" s="600"/>
      <c r="M276" s="520"/>
      <c r="N276" s="521"/>
      <c r="O276" s="522"/>
      <c r="P276" s="523"/>
      <c r="Q276" s="362"/>
      <c r="R276" s="502"/>
      <c r="S276" s="503"/>
      <c r="T276" s="504"/>
    </row>
    <row r="277" spans="1:21">
      <c r="A277" s="934"/>
      <c r="B277" s="541"/>
      <c r="C277" s="84" t="s">
        <v>97</v>
      </c>
      <c r="D277" s="508"/>
      <c r="E277" s="41"/>
      <c r="F277" s="41"/>
      <c r="G277" s="50">
        <f>D277*(E277+F277)</f>
        <v>0</v>
      </c>
      <c r="H277" s="432"/>
      <c r="I277" s="362"/>
      <c r="J277" s="41"/>
      <c r="K277" s="510"/>
      <c r="L277" s="600"/>
      <c r="M277" s="520"/>
      <c r="N277" s="521"/>
      <c r="O277" s="522"/>
      <c r="P277" s="523"/>
      <c r="Q277" s="362"/>
      <c r="R277" s="502"/>
      <c r="S277" s="503"/>
      <c r="T277" s="504"/>
    </row>
    <row r="278" spans="1:21">
      <c r="A278" s="934"/>
      <c r="B278" s="506"/>
      <c r="C278" s="48" t="s">
        <v>135</v>
      </c>
      <c r="D278" s="37">
        <f>апр18!D279+апр18!D280</f>
        <v>2638</v>
      </c>
      <c r="E278" s="41">
        <f>6.6914-6.3259</f>
        <v>0.36549999999999994</v>
      </c>
      <c r="F278" s="297">
        <f t="shared" ref="F278:F280" si="52">+E278</f>
        <v>0.36549999999999994</v>
      </c>
      <c r="G278" s="39">
        <f>ROUND(D278*(E278),2)-0.01</f>
        <v>964.18000000000006</v>
      </c>
      <c r="H278" s="432"/>
      <c r="I278" s="362"/>
      <c r="J278" s="41"/>
      <c r="K278" s="510"/>
      <c r="L278" s="600"/>
      <c r="M278" s="520"/>
      <c r="N278" s="521"/>
      <c r="O278" s="522"/>
      <c r="P278" s="523"/>
      <c r="Q278" s="362"/>
      <c r="R278" s="502"/>
      <c r="S278" s="503"/>
      <c r="T278" s="504"/>
    </row>
    <row r="279" spans="1:21">
      <c r="A279" s="934"/>
      <c r="B279" s="506"/>
      <c r="C279" s="48" t="s">
        <v>136</v>
      </c>
      <c r="D279" s="37">
        <v>105</v>
      </c>
      <c r="E279" s="41">
        <v>6.6913999999999998</v>
      </c>
      <c r="F279" s="298">
        <f t="shared" si="52"/>
        <v>6.6913999999999998</v>
      </c>
      <c r="G279" s="39">
        <f>ROUND(D279*(E279),2)</f>
        <v>702.6</v>
      </c>
      <c r="H279" s="432"/>
      <c r="I279" s="362"/>
      <c r="J279" s="41"/>
      <c r="K279" s="510"/>
      <c r="L279" s="600"/>
      <c r="M279" s="520"/>
      <c r="N279" s="521"/>
      <c r="O279" s="522"/>
      <c r="P279" s="523"/>
      <c r="Q279" s="362"/>
      <c r="R279" s="502"/>
      <c r="S279" s="503"/>
      <c r="T279" s="504"/>
      <c r="U279" s="33"/>
    </row>
    <row r="280" spans="1:21" ht="15.75" thickBot="1">
      <c r="A280" s="934"/>
      <c r="B280" s="526"/>
      <c r="C280" s="99" t="s">
        <v>29</v>
      </c>
      <c r="D280" s="55">
        <v>2375</v>
      </c>
      <c r="E280" s="56">
        <v>6.6913999999999998</v>
      </c>
      <c r="F280" s="57">
        <f t="shared" si="52"/>
        <v>6.6913999999999998</v>
      </c>
      <c r="G280" s="414">
        <f>ROUND(D280*(E280),2)</f>
        <v>15892.08</v>
      </c>
      <c r="H280" s="248"/>
      <c r="I280" s="203"/>
      <c r="J280" s="60"/>
      <c r="K280" s="61"/>
      <c r="L280" s="204"/>
      <c r="M280" s="54"/>
      <c r="N280" s="527"/>
      <c r="O280" s="528"/>
      <c r="P280" s="529" t="s">
        <v>87</v>
      </c>
      <c r="Q280" s="362">
        <f>+G280+J280-M280-N280-O280</f>
        <v>15892.08</v>
      </c>
      <c r="R280" s="502" t="s">
        <v>88</v>
      </c>
      <c r="S280" s="598">
        <f>SUM(N273:N280)+O273:O280</f>
        <v>0</v>
      </c>
      <c r="T280" s="598">
        <f>SUM(Q273:Q280)</f>
        <v>-1666.7800000000007</v>
      </c>
    </row>
    <row r="281" spans="1:21">
      <c r="A281" s="376">
        <v>407</v>
      </c>
      <c r="B281" s="494" t="s">
        <v>108</v>
      </c>
      <c r="C281" s="71">
        <f>+[1]дек!U87</f>
        <v>0</v>
      </c>
      <c r="D281" s="495">
        <v>5</v>
      </c>
      <c r="E281" s="21">
        <v>36.214199999999998</v>
      </c>
      <c r="F281" s="21">
        <v>42.4328</v>
      </c>
      <c r="G281" s="185">
        <f>ROUND(D281*(E281+F281),2)</f>
        <v>393.24</v>
      </c>
      <c r="H281" s="496"/>
      <c r="I281" s="73"/>
      <c r="J281" s="73"/>
      <c r="K281" s="497"/>
      <c r="L281" s="498">
        <f>SUM(G281:G287)+SUM(J281:J286)</f>
        <v>3262.7299999999996</v>
      </c>
      <c r="M281" s="26">
        <v>3262.73</v>
      </c>
      <c r="N281" s="499"/>
      <c r="O281" s="500"/>
      <c r="P281" s="501" t="s">
        <v>87</v>
      </c>
      <c r="Q281" s="304">
        <f t="shared" ref="Q281:Q283" si="53">C281+G281+J281-M281-N281-O281</f>
        <v>-2869.49</v>
      </c>
    </row>
    <row r="282" spans="1:21">
      <c r="A282" s="389"/>
      <c r="B282" s="506"/>
      <c r="C282" s="542" t="s">
        <v>96</v>
      </c>
      <c r="D282" s="234"/>
      <c r="E282" s="38"/>
      <c r="F282" s="38"/>
      <c r="G282" s="235">
        <f>ROUND(D282*(E282+F282),2)</f>
        <v>0</v>
      </c>
      <c r="H282" s="448"/>
      <c r="I282" s="509"/>
      <c r="J282" s="409"/>
      <c r="K282" s="510"/>
      <c r="L282" s="632"/>
      <c r="M282" s="512"/>
      <c r="N282" s="513"/>
      <c r="O282" s="514"/>
      <c r="P282" s="515"/>
      <c r="Q282" s="262"/>
    </row>
    <row r="283" spans="1:21">
      <c r="A283" s="389"/>
      <c r="B283" s="516" t="s">
        <v>109</v>
      </c>
      <c r="C283" s="633"/>
      <c r="D283" s="508">
        <v>0</v>
      </c>
      <c r="E283" s="101">
        <v>292.75</v>
      </c>
      <c r="F283" s="38">
        <v>42.4328</v>
      </c>
      <c r="G283" s="50">
        <f>D283*(E283+F283)</f>
        <v>0</v>
      </c>
      <c r="H283" s="270"/>
      <c r="I283" s="41"/>
      <c r="J283" s="409"/>
      <c r="K283" s="510"/>
      <c r="L283" s="597"/>
      <c r="M283" s="99"/>
      <c r="N283" s="518"/>
      <c r="O283" s="519"/>
      <c r="P283" s="515" t="s">
        <v>87</v>
      </c>
      <c r="Q283" s="271">
        <f t="shared" si="53"/>
        <v>0</v>
      </c>
    </row>
    <row r="284" spans="1:21">
      <c r="A284" s="389"/>
      <c r="B284" s="541"/>
      <c r="C284" s="84" t="s">
        <v>97</v>
      </c>
      <c r="D284" s="508">
        <f>апр18!D283</f>
        <v>0</v>
      </c>
      <c r="E284" s="41">
        <f>292.75-341.87</f>
        <v>-49.120000000000005</v>
      </c>
      <c r="F284" s="41"/>
      <c r="G284" s="50">
        <f>D284*(E284+F284)</f>
        <v>0</v>
      </c>
      <c r="H284" s="432"/>
      <c r="I284" s="362"/>
      <c r="J284" s="207"/>
      <c r="K284" s="510"/>
      <c r="L284" s="597"/>
      <c r="M284" s="520"/>
      <c r="N284" s="521"/>
      <c r="O284" s="522"/>
      <c r="P284" s="523"/>
      <c r="Q284" s="362"/>
    </row>
    <row r="285" spans="1:21">
      <c r="A285" s="389"/>
      <c r="B285" s="506"/>
      <c r="C285" s="48" t="s">
        <v>135</v>
      </c>
      <c r="D285" s="37">
        <f>апр18!D286+апр18!D287</f>
        <v>418</v>
      </c>
      <c r="E285" s="41">
        <f>6.6914-6.3259</f>
        <v>0.36549999999999994</v>
      </c>
      <c r="F285" s="41">
        <f>+E285</f>
        <v>0.36549999999999994</v>
      </c>
      <c r="G285" s="39">
        <f>ROUND(D285*(E285),2)+0.01</f>
        <v>152.79</v>
      </c>
      <c r="H285" s="432"/>
      <c r="I285" s="362"/>
      <c r="J285" s="207"/>
      <c r="K285" s="510"/>
      <c r="L285" s="597"/>
      <c r="M285" s="520"/>
      <c r="N285" s="521"/>
      <c r="O285" s="522"/>
      <c r="P285" s="523"/>
      <c r="Q285" s="362"/>
    </row>
    <row r="286" spans="1:21">
      <c r="A286" s="389"/>
      <c r="B286" s="506"/>
      <c r="C286" s="48" t="s">
        <v>136</v>
      </c>
      <c r="D286" s="37">
        <v>17</v>
      </c>
      <c r="E286" s="41">
        <v>6.6913999999999998</v>
      </c>
      <c r="F286" s="41">
        <f>+E286</f>
        <v>6.6913999999999998</v>
      </c>
      <c r="G286" s="39">
        <f t="shared" ref="G286:G287" si="54">ROUND(D286*(E286),2)</f>
        <v>113.75</v>
      </c>
      <c r="H286" s="432"/>
      <c r="I286" s="362"/>
      <c r="J286" s="207"/>
      <c r="K286" s="510"/>
      <c r="L286" s="597"/>
      <c r="M286" s="520"/>
      <c r="N286" s="521"/>
      <c r="O286" s="522"/>
      <c r="P286" s="523"/>
      <c r="Q286" s="362"/>
    </row>
    <row r="287" spans="1:21" ht="15.75" thickBot="1">
      <c r="A287" s="411"/>
      <c r="B287" s="526"/>
      <c r="C287" s="54" t="s">
        <v>29</v>
      </c>
      <c r="D287" s="55">
        <v>389</v>
      </c>
      <c r="E287" s="56">
        <v>6.6913999999999998</v>
      </c>
      <c r="F287" s="281">
        <f>+E287</f>
        <v>6.6913999999999998</v>
      </c>
      <c r="G287" s="414">
        <f t="shared" si="54"/>
        <v>2602.9499999999998</v>
      </c>
      <c r="H287" s="248"/>
      <c r="I287" s="203"/>
      <c r="J287" s="60"/>
      <c r="K287" s="61"/>
      <c r="L287" s="249"/>
      <c r="M287" s="54"/>
      <c r="N287" s="527"/>
      <c r="O287" s="528"/>
      <c r="P287" s="529" t="s">
        <v>87</v>
      </c>
      <c r="Q287" s="282">
        <f>+G287+J287-M287-N287-O287</f>
        <v>2602.9499999999998</v>
      </c>
    </row>
    <row r="288" spans="1:21" collapsed="1">
      <c r="A288" s="376">
        <v>411</v>
      </c>
      <c r="B288" s="602" t="s">
        <v>127</v>
      </c>
      <c r="C288" s="439" t="s">
        <v>135</v>
      </c>
      <c r="D288" s="184">
        <f>апр18!D289+апр18!D290</f>
        <v>447</v>
      </c>
      <c r="E288" s="23">
        <f>6.6914-6.3259</f>
        <v>0.36549999999999994</v>
      </c>
      <c r="F288" s="23">
        <f t="shared" ref="F288" si="55">+E288</f>
        <v>0.36549999999999994</v>
      </c>
      <c r="G288" s="185">
        <f>ROUND(D288*(E288),2)</f>
        <v>163.38</v>
      </c>
      <c r="H288" s="669"/>
      <c r="I288" s="620"/>
      <c r="J288" s="620"/>
      <c r="K288" s="634"/>
      <c r="L288" s="603">
        <f>SUM(G288:G291)</f>
        <v>3406.0299999999997</v>
      </c>
      <c r="M288" s="187">
        <v>3406.03</v>
      </c>
      <c r="N288" s="604"/>
      <c r="O288" s="635"/>
      <c r="P288" s="636"/>
      <c r="Q288" s="605"/>
    </row>
    <row r="289" spans="1:21">
      <c r="A289" s="934"/>
      <c r="B289" s="506"/>
      <c r="C289" s="48" t="s">
        <v>136</v>
      </c>
      <c r="D289" s="49">
        <v>20.6</v>
      </c>
      <c r="E289" s="41">
        <v>6.6913999999999998</v>
      </c>
      <c r="F289" s="41">
        <f>+E289</f>
        <v>6.6913999999999998</v>
      </c>
      <c r="G289" s="50">
        <f>ROUND(D289*(E289),2)</f>
        <v>137.84</v>
      </c>
      <c r="H289" s="296"/>
      <c r="I289" s="298"/>
      <c r="J289" s="298"/>
      <c r="K289" s="637"/>
      <c r="L289" s="606"/>
      <c r="M289" s="935"/>
      <c r="N289" s="607"/>
      <c r="O289" s="608"/>
      <c r="P289" s="609"/>
      <c r="Q289" s="610"/>
    </row>
    <row r="290" spans="1:21">
      <c r="A290" s="934"/>
      <c r="B290" s="506"/>
      <c r="C290" s="99" t="s">
        <v>29</v>
      </c>
      <c r="D290" s="296">
        <v>464</v>
      </c>
      <c r="E290" s="101">
        <v>6.6913999999999998</v>
      </c>
      <c r="F290" s="41">
        <f t="shared" ref="F290" si="56">+E290</f>
        <v>6.6913999999999998</v>
      </c>
      <c r="G290" s="50">
        <f t="shared" ref="G290" si="57">ROUND(D290*(E290),2)</f>
        <v>3104.81</v>
      </c>
      <c r="H290" s="296"/>
      <c r="I290" s="298"/>
      <c r="J290" s="298"/>
      <c r="K290" s="637"/>
      <c r="L290" s="606"/>
      <c r="M290" s="935"/>
      <c r="N290" s="615"/>
      <c r="O290" s="615"/>
      <c r="P290" s="615"/>
      <c r="Q290" s="616"/>
    </row>
    <row r="291" spans="1:21" ht="15.75" thickBot="1">
      <c r="A291" s="942"/>
      <c r="B291" s="278"/>
      <c r="C291" s="784"/>
      <c r="D291" s="941"/>
      <c r="E291" s="281"/>
      <c r="F291" s="57"/>
      <c r="G291" s="58"/>
      <c r="H291" s="613"/>
      <c r="I291" s="57"/>
      <c r="J291" s="57"/>
      <c r="K291" s="637"/>
      <c r="L291" s="606"/>
      <c r="M291" s="935"/>
      <c r="N291" s="615"/>
      <c r="O291" s="615"/>
      <c r="P291" s="615"/>
      <c r="Q291" s="615"/>
    </row>
    <row r="292" spans="1:21">
      <c r="A292" s="376">
        <v>501</v>
      </c>
      <c r="B292" s="494" t="s">
        <v>202</v>
      </c>
      <c r="C292" s="71"/>
      <c r="D292" s="495">
        <v>28</v>
      </c>
      <c r="E292" s="21">
        <v>36.214199999999998</v>
      </c>
      <c r="F292" s="21">
        <v>42.4328</v>
      </c>
      <c r="G292" s="185">
        <f>ROUND(D292*(E292+F292),2)</f>
        <v>2202.12</v>
      </c>
      <c r="H292" s="496"/>
      <c r="I292" s="73"/>
      <c r="J292" s="73"/>
      <c r="K292" s="497"/>
      <c r="L292" s="498">
        <f>+SUM(G292:G299,C299)+SUM(J292:J299)</f>
        <v>61591.284</v>
      </c>
      <c r="M292" s="26">
        <v>61591.28</v>
      </c>
      <c r="N292" s="499"/>
      <c r="O292" s="500"/>
      <c r="P292" s="501" t="s">
        <v>87</v>
      </c>
      <c r="Q292" s="304">
        <f t="shared" ref="Q292:Q309" si="58">C292+G292+J292-M292-N292-O292</f>
        <v>-59389.159999999996</v>
      </c>
      <c r="R292" s="502" t="s">
        <v>88</v>
      </c>
      <c r="S292" s="503"/>
      <c r="T292" s="504"/>
      <c r="U292" s="33"/>
    </row>
    <row r="293" spans="1:21">
      <c r="A293" s="389"/>
      <c r="B293" s="506"/>
      <c r="C293" s="507"/>
      <c r="D293" s="508"/>
      <c r="E293" s="38"/>
      <c r="F293" s="38"/>
      <c r="G293" s="50">
        <f>ROUND(D293*(E293+F293),2)</f>
        <v>0</v>
      </c>
      <c r="H293" s="448"/>
      <c r="I293" s="509"/>
      <c r="J293" s="409"/>
      <c r="K293" s="510"/>
      <c r="L293" s="511"/>
      <c r="M293" s="512"/>
      <c r="N293" s="513"/>
      <c r="O293" s="514"/>
      <c r="P293" s="515"/>
      <c r="Q293" s="262"/>
      <c r="R293" s="502"/>
      <c r="S293" s="503"/>
      <c r="T293" s="504"/>
      <c r="U293" s="33"/>
    </row>
    <row r="294" spans="1:21">
      <c r="A294" s="389"/>
      <c r="B294" s="516" t="s">
        <v>89</v>
      </c>
      <c r="C294" s="512" t="s">
        <v>90</v>
      </c>
      <c r="D294" s="508">
        <v>5</v>
      </c>
      <c r="E294" s="101">
        <v>292.75</v>
      </c>
      <c r="F294" s="38">
        <v>42.4328</v>
      </c>
      <c r="G294" s="50">
        <f>D294*(E294+F294)</f>
        <v>1675.914</v>
      </c>
      <c r="H294" s="270"/>
      <c r="I294" s="41"/>
      <c r="J294" s="409"/>
      <c r="K294" s="510"/>
      <c r="L294" s="517"/>
      <c r="M294" s="99"/>
      <c r="N294" s="518"/>
      <c r="O294" s="519"/>
      <c r="P294" s="515" t="s">
        <v>87</v>
      </c>
      <c r="Q294" s="271">
        <f>+G294+J294-M294-N294-O294</f>
        <v>1675.914</v>
      </c>
      <c r="R294" s="502" t="s">
        <v>88</v>
      </c>
      <c r="S294" s="503"/>
      <c r="T294" s="504"/>
    </row>
    <row r="295" spans="1:21">
      <c r="A295" s="389"/>
      <c r="B295" s="506" t="s">
        <v>91</v>
      </c>
      <c r="C295" s="507"/>
      <c r="D295" s="508">
        <f>апр18!D294</f>
        <v>4</v>
      </c>
      <c r="E295" s="41">
        <f>292.75-341.87</f>
        <v>-49.120000000000005</v>
      </c>
      <c r="F295" s="38"/>
      <c r="G295" s="50">
        <f>ROUND(D295*(E295+F295),2)</f>
        <v>-196.48</v>
      </c>
      <c r="H295" s="432"/>
      <c r="I295" s="362"/>
      <c r="J295" s="409"/>
      <c r="K295" s="510"/>
      <c r="L295" s="517"/>
      <c r="M295" s="520"/>
      <c r="N295" s="521"/>
      <c r="O295" s="522"/>
      <c r="P295" s="523"/>
      <c r="Q295" s="362"/>
      <c r="R295" s="502"/>
      <c r="S295" s="503"/>
      <c r="T295" s="504"/>
    </row>
    <row r="296" spans="1:21">
      <c r="A296" s="389"/>
      <c r="B296" s="506" t="s">
        <v>91</v>
      </c>
      <c r="C296" s="507"/>
      <c r="D296" s="508"/>
      <c r="E296" s="38"/>
      <c r="F296" s="41"/>
      <c r="G296" s="50">
        <f>D296*(E296+F296)</f>
        <v>0</v>
      </c>
      <c r="H296" s="432"/>
      <c r="I296" s="362"/>
      <c r="J296" s="409"/>
      <c r="K296" s="510"/>
      <c r="L296" s="517"/>
      <c r="M296" s="520"/>
      <c r="N296" s="521"/>
      <c r="O296" s="522"/>
      <c r="P296" s="523"/>
      <c r="Q296" s="362"/>
      <c r="R296" s="502"/>
      <c r="S296" s="503"/>
      <c r="T296" s="504"/>
    </row>
    <row r="297" spans="1:21">
      <c r="A297" s="389"/>
      <c r="B297" s="506" t="s">
        <v>92</v>
      </c>
      <c r="C297" s="48" t="s">
        <v>135</v>
      </c>
      <c r="D297" s="508">
        <f>апр18!D298+апр18!D299</f>
        <v>6469</v>
      </c>
      <c r="E297" s="41">
        <f>6.6914-6.3259</f>
        <v>0.36549999999999994</v>
      </c>
      <c r="F297" s="41">
        <f>+E297</f>
        <v>0.36549999999999994</v>
      </c>
      <c r="G297" s="39">
        <f>ROUNDDOWN(D297*E297,2)+0.01</f>
        <v>2364.42</v>
      </c>
      <c r="H297" s="432"/>
      <c r="I297" s="362"/>
      <c r="J297" s="41"/>
      <c r="K297" s="510"/>
      <c r="L297" s="517"/>
      <c r="M297" s="520"/>
      <c r="N297" s="521"/>
      <c r="O297" s="522"/>
      <c r="P297" s="523"/>
      <c r="Q297" s="362"/>
      <c r="R297" s="502"/>
      <c r="S297" s="503"/>
      <c r="T297" s="504"/>
    </row>
    <row r="298" spans="1:21">
      <c r="A298" s="389"/>
      <c r="B298" s="506"/>
      <c r="C298" s="48" t="s">
        <v>136</v>
      </c>
      <c r="D298" s="508">
        <v>352</v>
      </c>
      <c r="E298" s="41">
        <v>6.6913999999999998</v>
      </c>
      <c r="F298" s="41">
        <f>+E298</f>
        <v>6.6913999999999998</v>
      </c>
      <c r="G298" s="39">
        <f>ROUND(D298*E298,2)</f>
        <v>2355.37</v>
      </c>
      <c r="H298" s="432"/>
      <c r="I298" s="362"/>
      <c r="J298" s="207"/>
      <c r="K298" s="524"/>
      <c r="L298" s="517"/>
      <c r="M298" s="520"/>
      <c r="N298" s="521"/>
      <c r="O298" s="522"/>
      <c r="P298" s="523"/>
      <c r="Q298" s="362"/>
      <c r="R298" s="502"/>
      <c r="S298" s="503"/>
      <c r="T298" s="504"/>
    </row>
    <row r="299" spans="1:21" ht="15.75" thickBot="1">
      <c r="A299" s="411"/>
      <c r="B299" s="526"/>
      <c r="C299" s="99" t="s">
        <v>29</v>
      </c>
      <c r="D299" s="55">
        <v>7949</v>
      </c>
      <c r="E299" s="56">
        <v>6.6913999999999998</v>
      </c>
      <c r="F299" s="57">
        <f>+E299</f>
        <v>6.6913999999999998</v>
      </c>
      <c r="G299" s="58">
        <f>ROUND(D299*E299,2)</f>
        <v>53189.94</v>
      </c>
      <c r="H299" s="248"/>
      <c r="I299" s="203"/>
      <c r="J299" s="60"/>
      <c r="K299" s="61"/>
      <c r="L299" s="249"/>
      <c r="M299" s="54"/>
      <c r="N299" s="527"/>
      <c r="O299" s="528"/>
      <c r="P299" s="529" t="s">
        <v>87</v>
      </c>
      <c r="Q299" s="282">
        <f>+G299+J299-M299-N299-O299</f>
        <v>53189.94</v>
      </c>
      <c r="R299" s="530" t="s">
        <v>88</v>
      </c>
      <c r="S299" s="531">
        <f>SUM(N292:N299)+O292:O299</f>
        <v>0</v>
      </c>
      <c r="T299" s="531">
        <f>SUM(Q292:Q299)</f>
        <v>-4523.3059999999969</v>
      </c>
      <c r="U299" s="33"/>
    </row>
    <row r="300" spans="1:21" ht="15.75" thickTop="1">
      <c r="A300" s="339">
        <v>502</v>
      </c>
      <c r="B300" s="532" t="s">
        <v>192</v>
      </c>
      <c r="C300" s="71">
        <f>+[1]дек!U51</f>
        <v>-6.0000000303261913E-4</v>
      </c>
      <c r="D300" s="213">
        <v>43</v>
      </c>
      <c r="E300" s="21">
        <v>36.214199999999998</v>
      </c>
      <c r="F300" s="21">
        <v>42.4328</v>
      </c>
      <c r="G300" s="214">
        <f>ROUND(D300*(E300+F300),2)</f>
        <v>3381.82</v>
      </c>
      <c r="H300" s="496"/>
      <c r="I300" s="73"/>
      <c r="J300" s="73"/>
      <c r="K300" s="497"/>
      <c r="L300" s="533">
        <f>+SUM(G300:G307,)+SUM(J300:J307)</f>
        <v>49322.77</v>
      </c>
      <c r="M300" s="26">
        <v>49322.77</v>
      </c>
      <c r="N300" s="534"/>
      <c r="O300" s="535"/>
      <c r="P300" s="536" t="s">
        <v>87</v>
      </c>
      <c r="Q300" s="537">
        <f t="shared" si="58"/>
        <v>-45940.950599999996</v>
      </c>
      <c r="R300" s="538" t="s">
        <v>95</v>
      </c>
      <c r="S300" s="539"/>
      <c r="T300" s="540"/>
      <c r="U300" s="33"/>
    </row>
    <row r="301" spans="1:21">
      <c r="A301" s="353"/>
      <c r="B301" s="541"/>
      <c r="C301" s="542" t="s">
        <v>96</v>
      </c>
      <c r="D301" s="234"/>
      <c r="E301" s="38"/>
      <c r="F301" s="38"/>
      <c r="G301" s="235">
        <f>ROUND(D301*(E301+F301),2)</f>
        <v>0</v>
      </c>
      <c r="H301" s="448"/>
      <c r="I301" s="509"/>
      <c r="J301" s="509"/>
      <c r="K301" s="543"/>
      <c r="L301" s="544"/>
      <c r="M301" s="545"/>
      <c r="N301" s="546"/>
      <c r="O301" s="547"/>
      <c r="P301" s="548"/>
      <c r="Q301" s="549"/>
      <c r="R301" s="550"/>
      <c r="S301" s="551"/>
      <c r="T301" s="552"/>
      <c r="U301" s="33"/>
    </row>
    <row r="302" spans="1:21">
      <c r="A302" s="353"/>
      <c r="B302" s="516" t="s">
        <v>32</v>
      </c>
      <c r="C302" s="99" t="s">
        <v>90</v>
      </c>
      <c r="D302" s="234">
        <v>22</v>
      </c>
      <c r="E302" s="101">
        <v>292.75</v>
      </c>
      <c r="F302" s="38">
        <v>42.4328</v>
      </c>
      <c r="G302" s="235">
        <f>ROUND(D302*(E302+F302),2)</f>
        <v>7374.02</v>
      </c>
      <c r="H302" s="270"/>
      <c r="I302" s="41"/>
      <c r="J302" s="41"/>
      <c r="K302" s="510"/>
      <c r="L302" s="553"/>
      <c r="M302" s="554"/>
      <c r="N302" s="555"/>
      <c r="O302" s="556"/>
      <c r="P302" s="557" t="s">
        <v>87</v>
      </c>
      <c r="Q302" s="558">
        <f>+G302+J302-M302-N302-O302</f>
        <v>7374.02</v>
      </c>
      <c r="R302" s="550" t="s">
        <v>95</v>
      </c>
      <c r="S302" s="551"/>
      <c r="T302" s="552"/>
    </row>
    <row r="303" spans="1:21">
      <c r="A303" s="353"/>
      <c r="B303" s="541"/>
      <c r="C303" s="84" t="s">
        <v>97</v>
      </c>
      <c r="D303" s="234">
        <f>апр18!D302</f>
        <v>24</v>
      </c>
      <c r="E303" s="41">
        <f>292.75-341.87</f>
        <v>-49.120000000000005</v>
      </c>
      <c r="F303" s="38"/>
      <c r="G303" s="50">
        <f>ROUND(D303*E303,2)</f>
        <v>-1178.8800000000001</v>
      </c>
      <c r="H303" s="432"/>
      <c r="I303" s="362"/>
      <c r="J303" s="41"/>
      <c r="K303" s="510"/>
      <c r="L303" s="559"/>
      <c r="M303" s="560"/>
      <c r="N303" s="561"/>
      <c r="O303" s="562"/>
      <c r="P303" s="563"/>
      <c r="Q303" s="564"/>
      <c r="R303" s="550"/>
      <c r="S303" s="551"/>
      <c r="T303" s="552"/>
    </row>
    <row r="304" spans="1:21">
      <c r="A304" s="353"/>
      <c r="B304" s="541"/>
      <c r="C304" s="84" t="s">
        <v>97</v>
      </c>
      <c r="D304" s="234"/>
      <c r="E304" s="38"/>
      <c r="F304" s="240"/>
      <c r="G304" s="50">
        <f>D304*(E304+F304)</f>
        <v>0</v>
      </c>
      <c r="H304" s="432"/>
      <c r="I304" s="362"/>
      <c r="J304" s="41"/>
      <c r="K304" s="510"/>
      <c r="L304" s="559"/>
      <c r="M304" s="560"/>
      <c r="N304" s="561"/>
      <c r="O304" s="562"/>
      <c r="P304" s="563"/>
      <c r="Q304" s="564"/>
      <c r="R304" s="550"/>
      <c r="S304" s="551"/>
      <c r="T304" s="552"/>
    </row>
    <row r="305" spans="1:21">
      <c r="A305" s="353"/>
      <c r="B305" s="541"/>
      <c r="C305" s="48" t="s">
        <v>135</v>
      </c>
      <c r="D305" s="37">
        <f>апр18!D306+апр18!D307</f>
        <v>4702</v>
      </c>
      <c r="E305" s="41">
        <f>6.6914-6.3259</f>
        <v>0.36549999999999994</v>
      </c>
      <c r="F305" s="41">
        <f>+E305</f>
        <v>0.36549999999999994</v>
      </c>
      <c r="G305" s="235">
        <f>ROUND(D305*E305,2)</f>
        <v>1718.58</v>
      </c>
      <c r="H305" s="565"/>
      <c r="I305" s="564"/>
      <c r="J305" s="566"/>
      <c r="K305" s="567"/>
      <c r="L305" s="559"/>
      <c r="M305" s="560"/>
      <c r="N305" s="561"/>
      <c r="O305" s="562"/>
      <c r="P305" s="563"/>
      <c r="Q305" s="564"/>
      <c r="R305" s="550"/>
      <c r="S305" s="551"/>
      <c r="T305" s="552"/>
      <c r="U305" s="352"/>
    </row>
    <row r="306" spans="1:21">
      <c r="A306" s="353"/>
      <c r="B306" s="541"/>
      <c r="C306" s="48" t="s">
        <v>136</v>
      </c>
      <c r="D306" s="37">
        <v>241</v>
      </c>
      <c r="E306" s="41">
        <v>6.6913999999999998</v>
      </c>
      <c r="F306" s="41">
        <f>+E306</f>
        <v>6.6913999999999998</v>
      </c>
      <c r="G306" s="235">
        <f>ROUND(D306*E306,2)</f>
        <v>1612.63</v>
      </c>
      <c r="H306" s="565"/>
      <c r="I306" s="564"/>
      <c r="J306" s="566"/>
      <c r="K306" s="567"/>
      <c r="L306" s="559"/>
      <c r="M306" s="560"/>
      <c r="N306" s="561"/>
      <c r="O306" s="562"/>
      <c r="P306" s="563"/>
      <c r="Q306" s="564"/>
      <c r="R306" s="550"/>
      <c r="S306" s="551"/>
      <c r="T306" s="552"/>
      <c r="U306" s="33"/>
    </row>
    <row r="307" spans="1:21" ht="15.75" thickBot="1">
      <c r="A307" s="369"/>
      <c r="B307" s="568"/>
      <c r="C307" s="99" t="s">
        <v>29</v>
      </c>
      <c r="D307" s="246">
        <v>5442</v>
      </c>
      <c r="E307" s="56">
        <v>6.6913999999999998</v>
      </c>
      <c r="F307" s="57">
        <f>+E307</f>
        <v>6.6913999999999998</v>
      </c>
      <c r="G307" s="247">
        <f>ROUND(D307*E307,2)</f>
        <v>36414.6</v>
      </c>
      <c r="H307" s="248"/>
      <c r="I307" s="203"/>
      <c r="J307" s="60"/>
      <c r="K307" s="61"/>
      <c r="L307" s="204"/>
      <c r="M307" s="560"/>
      <c r="N307" s="561"/>
      <c r="O307" s="528"/>
      <c r="P307" s="529" t="s">
        <v>87</v>
      </c>
      <c r="Q307" s="564">
        <f>+G307+J307-M307-N307-O307</f>
        <v>36414.6</v>
      </c>
      <c r="R307" s="550" t="s">
        <v>95</v>
      </c>
      <c r="S307" s="569">
        <f>SUM(N300:N307)+O300:O307</f>
        <v>0</v>
      </c>
      <c r="T307" s="570">
        <f>SUM(Q302:Q307)</f>
        <v>43788.619999999995</v>
      </c>
    </row>
    <row r="308" spans="1:21" ht="15.75" hidden="1" outlineLevel="1" thickBot="1">
      <c r="A308" s="571"/>
      <c r="B308" s="572" t="s">
        <v>98</v>
      </c>
      <c r="C308" s="573" t="s">
        <v>99</v>
      </c>
      <c r="D308" s="574"/>
      <c r="E308" s="575">
        <f>3.193-2.9732</f>
        <v>0.21980000000000022</v>
      </c>
      <c r="F308" s="575">
        <f>3.193-2.9732</f>
        <v>0.21980000000000022</v>
      </c>
      <c r="G308" s="576">
        <f>D308*E308*70%+D308*F308*30%</f>
        <v>0</v>
      </c>
      <c r="H308" s="577"/>
      <c r="I308" s="578"/>
      <c r="J308" s="579"/>
      <c r="K308" s="579"/>
      <c r="L308" s="580"/>
      <c r="M308" s="581"/>
      <c r="N308" s="582"/>
      <c r="O308" s="535"/>
      <c r="P308" s="536"/>
      <c r="Q308" s="583"/>
      <c r="R308" s="584"/>
      <c r="S308" s="569"/>
      <c r="T308" s="585"/>
    </row>
    <row r="309" spans="1:21" s="81" customFormat="1" ht="16.5" hidden="1" customHeight="1" outlineLevel="1" thickBot="1">
      <c r="A309" s="933" t="s">
        <v>100</v>
      </c>
      <c r="B309" s="587" t="s">
        <v>98</v>
      </c>
      <c r="C309" s="588">
        <f>+[1]авг!C52</f>
        <v>0</v>
      </c>
      <c r="D309" s="589"/>
      <c r="E309" s="575">
        <v>3.1930000000000001</v>
      </c>
      <c r="F309" s="575">
        <f>+E309</f>
        <v>3.1930000000000001</v>
      </c>
      <c r="G309" s="576">
        <f>D309*E309*70%+D309*F309*30%</f>
        <v>0</v>
      </c>
      <c r="H309" s="579"/>
      <c r="I309" s="579"/>
      <c r="J309" s="579"/>
      <c r="K309" s="579"/>
      <c r="L309" s="579">
        <f>+C309+G309+G308</f>
        <v>0</v>
      </c>
      <c r="M309" s="590"/>
      <c r="N309" s="500"/>
      <c r="O309" s="528"/>
      <c r="P309" s="529" t="s">
        <v>87</v>
      </c>
      <c r="Q309" s="591">
        <f t="shared" si="58"/>
        <v>0</v>
      </c>
      <c r="R309" s="592" t="s">
        <v>101</v>
      </c>
      <c r="S309" s="77">
        <f>SUM(N309:N309)+SUM(O309:O309)</f>
        <v>0</v>
      </c>
      <c r="T309" s="593">
        <f>SUM(Q309:Q309)</f>
        <v>0</v>
      </c>
    </row>
    <row r="310" spans="1:21" ht="15.75" hidden="1" outlineLevel="1" thickBot="1">
      <c r="A310" s="944"/>
      <c r="B310" s="945" t="s">
        <v>128</v>
      </c>
      <c r="C310" s="573" t="s">
        <v>115</v>
      </c>
      <c r="D310" s="946"/>
      <c r="E310" s="579">
        <f>6.8021-6.8946</f>
        <v>-9.2499999999999361E-2</v>
      </c>
      <c r="F310" s="579">
        <f t="shared" ref="F310" si="59">+E310</f>
        <v>-9.2499999999999361E-2</v>
      </c>
      <c r="G310" s="947">
        <f>ROUND(D310*(E310),2)</f>
        <v>0</v>
      </c>
      <c r="H310" s="948"/>
      <c r="I310" s="949"/>
      <c r="J310" s="949"/>
      <c r="K310" s="950"/>
      <c r="L310" s="951"/>
      <c r="M310" s="952"/>
      <c r="N310" s="604"/>
      <c r="O310" s="635"/>
      <c r="P310" s="636"/>
      <c r="Q310" s="605"/>
    </row>
    <row r="311" spans="1:21" ht="15.75" hidden="1" outlineLevel="1" thickBot="1">
      <c r="A311" s="953"/>
      <c r="B311" s="954"/>
      <c r="C311" s="573" t="s">
        <v>114</v>
      </c>
      <c r="D311" s="946"/>
      <c r="E311" s="579">
        <v>6.8021000000000003</v>
      </c>
      <c r="F311" s="579">
        <f>+E311</f>
        <v>6.8021000000000003</v>
      </c>
      <c r="G311" s="947">
        <f>ROUND(D311*(E311),2)</f>
        <v>0</v>
      </c>
      <c r="H311" s="948"/>
      <c r="I311" s="949"/>
      <c r="J311" s="949"/>
      <c r="K311" s="950"/>
      <c r="L311" s="955"/>
      <c r="M311" s="956"/>
      <c r="N311" s="607"/>
      <c r="O311" s="608"/>
      <c r="P311" s="609"/>
      <c r="Q311" s="610"/>
    </row>
    <row r="312" spans="1:21" ht="15.75" hidden="1" outlineLevel="1" thickBot="1">
      <c r="A312" s="944"/>
      <c r="B312" s="954"/>
      <c r="C312" s="916" t="s">
        <v>29</v>
      </c>
      <c r="D312" s="948"/>
      <c r="E312" s="917">
        <v>6.8021000000000003</v>
      </c>
      <c r="F312" s="579">
        <f t="shared" ref="F312" si="60">+E312</f>
        <v>6.8021000000000003</v>
      </c>
      <c r="G312" s="947">
        <f t="shared" ref="G312" si="61">ROUND(D312*(E312),2)</f>
        <v>0</v>
      </c>
      <c r="H312" s="948"/>
      <c r="I312" s="949"/>
      <c r="J312" s="949"/>
      <c r="K312" s="950"/>
      <c r="L312" s="951"/>
      <c r="M312" s="956"/>
      <c r="N312" s="615"/>
      <c r="O312" s="615"/>
      <c r="P312" s="615"/>
      <c r="Q312" s="616"/>
    </row>
    <row r="313" spans="1:21" ht="15.75" hidden="1" outlineLevel="1" thickBot="1">
      <c r="A313" s="953"/>
      <c r="B313" s="955"/>
      <c r="C313" s="575"/>
      <c r="D313" s="957"/>
      <c r="E313" s="580"/>
      <c r="F313" s="575"/>
      <c r="G313" s="958"/>
      <c r="H313" s="959"/>
      <c r="I313" s="575"/>
      <c r="J313" s="575"/>
      <c r="K313" s="575"/>
      <c r="L313" s="955"/>
      <c r="M313" s="956"/>
      <c r="N313" s="615"/>
      <c r="O313" s="615"/>
      <c r="P313" s="615"/>
      <c r="Q313" s="615"/>
    </row>
    <row r="314" spans="1:21" collapsed="1">
      <c r="A314" s="963"/>
      <c r="B314" s="621"/>
      <c r="C314" s="621"/>
      <c r="D314" s="964"/>
      <c r="E314" s="905"/>
      <c r="F314" s="621"/>
      <c r="G314" s="905"/>
      <c r="H314" s="621"/>
      <c r="I314" s="621"/>
      <c r="J314" s="621"/>
      <c r="K314" s="621"/>
      <c r="L314" s="621"/>
      <c r="M314" s="965"/>
      <c r="N314" s="615"/>
      <c r="O314" s="615"/>
      <c r="P314" s="615"/>
      <c r="Q314" s="615"/>
    </row>
    <row r="315" spans="1:21" ht="15.75" thickBot="1">
      <c r="A315" s="966"/>
      <c r="B315" s="615"/>
      <c r="C315" s="615"/>
      <c r="D315" s="696"/>
      <c r="E315" s="473"/>
      <c r="F315" s="615"/>
      <c r="G315" s="473"/>
      <c r="H315" s="615"/>
      <c r="I315" s="615"/>
      <c r="J315" s="615"/>
      <c r="K315" s="615"/>
      <c r="L315" s="615"/>
      <c r="M315" s="967"/>
      <c r="N315" s="615"/>
      <c r="O315" s="615"/>
      <c r="P315" s="615"/>
      <c r="Q315" s="615"/>
    </row>
    <row r="316" spans="1:21" s="81" customFormat="1" ht="15" customHeight="1" thickTop="1">
      <c r="A316" s="476"/>
      <c r="B316" s="158"/>
      <c r="C316" s="322"/>
      <c r="D316" s="477"/>
      <c r="E316" s="163"/>
      <c r="F316" s="163"/>
      <c r="G316" s="478"/>
      <c r="H316" s="163"/>
      <c r="I316" s="163"/>
      <c r="J316" s="163"/>
      <c r="K316" s="163"/>
      <c r="L316" s="163"/>
      <c r="M316" s="164"/>
      <c r="N316" s="479"/>
      <c r="O316" s="479"/>
      <c r="P316" s="479"/>
      <c r="Q316" s="479"/>
      <c r="R316" s="422"/>
      <c r="S316"/>
      <c r="T316" s="399"/>
    </row>
    <row r="317" spans="1:21" ht="15.75" thickBot="1">
      <c r="A317" s="968" t="s">
        <v>113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</row>
    <row r="318" spans="1:21" ht="15.75" customHeight="1" thickTop="1" thickBot="1">
      <c r="A318" s="1559" t="s">
        <v>1</v>
      </c>
      <c r="B318" s="1543" t="s">
        <v>2</v>
      </c>
      <c r="C318" s="1545" t="s">
        <v>3</v>
      </c>
      <c r="D318" s="1546" t="s">
        <v>4</v>
      </c>
      <c r="E318" s="1546"/>
      <c r="F318" s="1546"/>
      <c r="G318" s="1546"/>
      <c r="H318" s="1547"/>
      <c r="I318" s="1548"/>
      <c r="J318" s="1548"/>
      <c r="K318" s="1549"/>
      <c r="L318" s="1524" t="s">
        <v>6</v>
      </c>
      <c r="M318" s="1511" t="s">
        <v>7</v>
      </c>
      <c r="N318" s="1551" t="s">
        <v>8</v>
      </c>
      <c r="O318" s="1551"/>
      <c r="P318" s="1551"/>
      <c r="Q318" s="1552"/>
      <c r="R318" s="481"/>
      <c r="S318" s="482" t="s">
        <v>20</v>
      </c>
      <c r="T318" s="482" t="s">
        <v>21</v>
      </c>
    </row>
    <row r="319" spans="1:21" ht="26.25" thickBot="1">
      <c r="A319" s="1560"/>
      <c r="B319" s="1557"/>
      <c r="C319" s="1558" t="s">
        <v>10</v>
      </c>
      <c r="D319" s="483" t="s">
        <v>11</v>
      </c>
      <c r="E319" s="649" t="s">
        <v>12</v>
      </c>
      <c r="F319" s="649" t="s">
        <v>13</v>
      </c>
      <c r="G319" s="650" t="s">
        <v>14</v>
      </c>
      <c r="H319" s="651" t="s">
        <v>11</v>
      </c>
      <c r="I319" s="652" t="s">
        <v>15</v>
      </c>
      <c r="J319" s="653"/>
      <c r="K319" s="654" t="s">
        <v>16</v>
      </c>
      <c r="L319" s="1525"/>
      <c r="M319" s="1554"/>
      <c r="N319" s="655"/>
      <c r="O319" s="653"/>
      <c r="P319" s="656" t="s">
        <v>18</v>
      </c>
      <c r="Q319" s="657" t="s">
        <v>19</v>
      </c>
      <c r="R319" s="491"/>
      <c r="S319" s="492"/>
      <c r="T319" s="492"/>
    </row>
    <row r="320" spans="1:21">
      <c r="A320" s="961" t="s">
        <v>212</v>
      </c>
      <c r="B320" s="659" t="s">
        <v>116</v>
      </c>
      <c r="C320" s="668" t="s">
        <v>73</v>
      </c>
      <c r="D320" s="669">
        <v>6</v>
      </c>
      <c r="E320" s="21">
        <v>36.214199999999998</v>
      </c>
      <c r="F320" s="21">
        <v>42.4328</v>
      </c>
      <c r="G320" s="214">
        <f>+D320*(E320+F320)</f>
        <v>471.88199999999995</v>
      </c>
      <c r="H320" s="687"/>
      <c r="I320" s="688"/>
      <c r="J320" s="670"/>
      <c r="K320" s="689"/>
      <c r="L320" s="603">
        <f>SUM(G320:G326)+SUM(J320:J324)</f>
        <v>12038.232</v>
      </c>
      <c r="M320" s="187">
        <v>12038.23</v>
      </c>
      <c r="N320" s="670"/>
      <c r="O320" s="670"/>
      <c r="P320" s="670"/>
      <c r="Q320" s="670"/>
    </row>
    <row r="321" spans="1:18">
      <c r="A321" s="970"/>
      <c r="B321" s="672"/>
      <c r="C321" s="48"/>
      <c r="D321" s="673"/>
      <c r="E321" s="41"/>
      <c r="F321" s="298"/>
      <c r="G321" s="235">
        <f>+D321*E321</f>
        <v>0</v>
      </c>
      <c r="H321" s="687"/>
      <c r="I321" s="688"/>
      <c r="J321" s="670"/>
      <c r="K321" s="689"/>
      <c r="L321" s="606"/>
      <c r="M321" s="935"/>
      <c r="N321" s="298"/>
      <c r="O321" s="298"/>
      <c r="P321" s="298"/>
      <c r="Q321" s="298"/>
    </row>
    <row r="322" spans="1:18">
      <c r="A322" s="970"/>
      <c r="B322" s="442"/>
      <c r="C322" s="48"/>
      <c r="D322" s="673"/>
      <c r="E322" s="41"/>
      <c r="F322" s="298"/>
      <c r="G322" s="235">
        <f t="shared" ref="G322:G332" si="62">ROUND(D322*E322,2)</f>
        <v>0</v>
      </c>
      <c r="H322" s="687"/>
      <c r="I322" s="688"/>
      <c r="J322" s="670"/>
      <c r="K322" s="850"/>
      <c r="L322" s="614"/>
      <c r="M322" s="935"/>
      <c r="N322" s="298"/>
      <c r="O322" s="298"/>
      <c r="P322" s="298"/>
      <c r="Q322" s="298"/>
    </row>
    <row r="323" spans="1:18">
      <c r="A323" s="970"/>
      <c r="B323" s="35"/>
      <c r="C323" s="606"/>
      <c r="D323" s="673"/>
      <c r="E323" s="41"/>
      <c r="F323" s="298"/>
      <c r="G323" s="235">
        <f t="shared" si="62"/>
        <v>0</v>
      </c>
      <c r="H323" s="270"/>
      <c r="I323" s="688"/>
      <c r="J323" s="670"/>
      <c r="K323" s="689"/>
      <c r="L323" s="614"/>
      <c r="M323" s="273"/>
      <c r="N323" s="298"/>
      <c r="O323" s="298"/>
      <c r="P323" s="298"/>
      <c r="Q323" s="298"/>
    </row>
    <row r="324" spans="1:18" ht="15.75">
      <c r="A324" s="971"/>
      <c r="B324" s="672"/>
      <c r="C324" s="48" t="s">
        <v>135</v>
      </c>
      <c r="D324" s="269">
        <f>апр18!D325+апр18!D326</f>
        <v>1529.3999999999999</v>
      </c>
      <c r="E324" s="41">
        <f>6.6914-6.3259</f>
        <v>0.36549999999999994</v>
      </c>
      <c r="F324" s="298">
        <f t="shared" ref="F324:F325" si="63">+E324</f>
        <v>0.36549999999999994</v>
      </c>
      <c r="G324" s="235">
        <f>ROUND(D324*E324,2)-0.01</f>
        <v>558.99</v>
      </c>
      <c r="H324" s="270"/>
      <c r="I324" s="41"/>
      <c r="J324" s="670"/>
      <c r="K324" s="689"/>
      <c r="L324" s="606"/>
      <c r="M324" s="935"/>
      <c r="N324" s="663"/>
      <c r="O324" s="237"/>
      <c r="P324" s="275"/>
      <c r="Q324" s="237"/>
    </row>
    <row r="325" spans="1:18" ht="15.75">
      <c r="A325" s="972"/>
      <c r="B325" s="35"/>
      <c r="C325" s="48" t="s">
        <v>136</v>
      </c>
      <c r="D325" s="269">
        <v>55</v>
      </c>
      <c r="E325" s="41">
        <v>6.6913999999999998</v>
      </c>
      <c r="F325" s="298">
        <f t="shared" si="63"/>
        <v>6.6913999999999998</v>
      </c>
      <c r="G325" s="235">
        <f t="shared" si="62"/>
        <v>368.03</v>
      </c>
      <c r="H325" s="270"/>
      <c r="I325" s="41"/>
      <c r="J325" s="41"/>
      <c r="K325" s="41"/>
      <c r="L325" s="614"/>
      <c r="M325" s="935"/>
      <c r="N325" s="663"/>
      <c r="O325" s="237"/>
      <c r="P325" s="275"/>
      <c r="Q325" s="237"/>
    </row>
    <row r="326" spans="1:18" ht="15.75" thickBot="1">
      <c r="A326" s="973"/>
      <c r="B326" s="665"/>
      <c r="C326" s="54" t="s">
        <v>29</v>
      </c>
      <c r="D326" s="613">
        <v>1590</v>
      </c>
      <c r="E326" s="56">
        <v>6.6913999999999998</v>
      </c>
      <c r="F326" s="57"/>
      <c r="G326" s="247">
        <f t="shared" si="62"/>
        <v>10639.33</v>
      </c>
      <c r="H326" s="613"/>
      <c r="I326" s="57"/>
      <c r="J326" s="57"/>
      <c r="K326" s="57"/>
      <c r="L326" s="783"/>
      <c r="M326" s="250"/>
      <c r="N326" s="57"/>
      <c r="O326" s="57"/>
      <c r="P326" s="57"/>
      <c r="Q326" s="57"/>
      <c r="R326" s="615"/>
    </row>
    <row r="327" spans="1:18" ht="15.75">
      <c r="A327" s="658">
        <v>212</v>
      </c>
      <c r="B327" s="659" t="s">
        <v>148</v>
      </c>
      <c r="C327" s="786" t="s">
        <v>135</v>
      </c>
      <c r="D327" s="259">
        <f>апр18!D328+апр18!D329</f>
        <v>190.4</v>
      </c>
      <c r="E327" s="41">
        <f>6.6914-6.3259</f>
        <v>0.36549999999999994</v>
      </c>
      <c r="F327" s="691">
        <f>+E327</f>
        <v>0.36549999999999994</v>
      </c>
      <c r="G327" s="214">
        <f>ROUND(D327*E327,2)-0.01</f>
        <v>69.58</v>
      </c>
      <c r="H327" s="303"/>
      <c r="I327" s="23"/>
      <c r="J327" s="23"/>
      <c r="K327" s="23"/>
      <c r="L327" s="603">
        <f>SUM(G327:G329)</f>
        <v>1553.74</v>
      </c>
      <c r="M327" s="187">
        <v>1553.74</v>
      </c>
      <c r="N327" s="660"/>
      <c r="O327" s="217"/>
      <c r="P327" s="661"/>
      <c r="Q327" s="219"/>
    </row>
    <row r="328" spans="1:18" ht="15.75">
      <c r="A328" s="662"/>
      <c r="B328" s="35"/>
      <c r="C328" s="48" t="s">
        <v>136</v>
      </c>
      <c r="D328" s="269">
        <v>7.4</v>
      </c>
      <c r="E328" s="41">
        <v>6.6913999999999998</v>
      </c>
      <c r="F328" s="298">
        <f t="shared" ref="F328" si="64">+E328</f>
        <v>6.6913999999999998</v>
      </c>
      <c r="G328" s="235">
        <f t="shared" si="62"/>
        <v>49.52</v>
      </c>
      <c r="H328" s="270"/>
      <c r="I328" s="41"/>
      <c r="J328" s="41"/>
      <c r="K328" s="41"/>
      <c r="L328" s="606"/>
      <c r="M328" s="935"/>
      <c r="N328" s="663"/>
      <c r="O328" s="237"/>
      <c r="P328" s="275"/>
      <c r="Q328" s="238"/>
    </row>
    <row r="329" spans="1:18" ht="15.75" thickBot="1">
      <c r="A329" s="975"/>
      <c r="B329" s="665"/>
      <c r="C329" s="99" t="s">
        <v>29</v>
      </c>
      <c r="D329" s="613">
        <v>214.4</v>
      </c>
      <c r="E329" s="56">
        <v>6.6913999999999998</v>
      </c>
      <c r="F329" s="57"/>
      <c r="G329" s="247">
        <f t="shared" si="62"/>
        <v>1434.64</v>
      </c>
      <c r="H329" s="613"/>
      <c r="I329" s="57"/>
      <c r="J329" s="57"/>
      <c r="K329" s="57"/>
      <c r="L329" s="614"/>
      <c r="M329" s="606"/>
      <c r="N329" s="57"/>
      <c r="O329" s="57"/>
      <c r="P329" s="57"/>
      <c r="Q329" s="666"/>
    </row>
    <row r="330" spans="1:18" ht="15.75">
      <c r="A330" s="658">
        <v>218</v>
      </c>
      <c r="B330" s="659" t="s">
        <v>117</v>
      </c>
      <c r="C330" s="439" t="s">
        <v>135</v>
      </c>
      <c r="D330" s="259">
        <f>апр18!D331+апр18!D332</f>
        <v>352.1</v>
      </c>
      <c r="E330" s="23">
        <f>6.6914-6.3259</f>
        <v>0.36549999999999994</v>
      </c>
      <c r="F330" s="691">
        <f>+E330</f>
        <v>0.36549999999999994</v>
      </c>
      <c r="G330" s="214">
        <f>ROUND(D330*E330,2)-0.01</f>
        <v>128.68</v>
      </c>
      <c r="H330" s="303"/>
      <c r="I330" s="23"/>
      <c r="J330" s="23"/>
      <c r="K330" s="23"/>
      <c r="L330" s="603">
        <f>SUM(G330:G332)</f>
        <v>2543.61</v>
      </c>
      <c r="M330" s="187">
        <v>2543.61</v>
      </c>
      <c r="N330" s="660"/>
      <c r="O330" s="217"/>
      <c r="P330" s="661"/>
      <c r="Q330" s="219"/>
      <c r="R330" s="615"/>
    </row>
    <row r="331" spans="1:18" ht="15.75">
      <c r="A331" s="662"/>
      <c r="B331" s="506"/>
      <c r="C331" s="48" t="s">
        <v>136</v>
      </c>
      <c r="D331" s="773">
        <v>12.1</v>
      </c>
      <c r="E331" s="41">
        <v>6.6913999999999998</v>
      </c>
      <c r="F331" s="774">
        <f t="shared" ref="F331" si="65">+E331</f>
        <v>6.6913999999999998</v>
      </c>
      <c r="G331" s="775">
        <f t="shared" si="62"/>
        <v>80.97</v>
      </c>
      <c r="H331" s="432"/>
      <c r="I331" s="207"/>
      <c r="J331" s="207"/>
      <c r="K331" s="207"/>
      <c r="L331" s="776"/>
      <c r="M331" s="974"/>
      <c r="N331" s="777"/>
      <c r="O331" s="778"/>
      <c r="P331" s="779"/>
      <c r="Q331" s="780"/>
    </row>
    <row r="332" spans="1:18" ht="15.75" thickBot="1">
      <c r="A332" s="975"/>
      <c r="B332" s="278"/>
      <c r="C332" s="54" t="s">
        <v>29</v>
      </c>
      <c r="D332" s="613">
        <v>348.8</v>
      </c>
      <c r="E332" s="56">
        <v>6.6913999999999998</v>
      </c>
      <c r="F332" s="57"/>
      <c r="G332" s="247">
        <f t="shared" si="62"/>
        <v>2333.96</v>
      </c>
      <c r="H332" s="613"/>
      <c r="I332" s="57"/>
      <c r="J332" s="57"/>
      <c r="K332" s="57"/>
      <c r="L332" s="783"/>
      <c r="M332" s="938"/>
      <c r="N332" s="57"/>
      <c r="O332" s="57"/>
      <c r="P332" s="57"/>
      <c r="Q332" s="666"/>
    </row>
    <row r="333" spans="1:18" ht="15.75">
      <c r="A333" s="658">
        <v>311</v>
      </c>
      <c r="B333" s="602" t="s">
        <v>142</v>
      </c>
      <c r="C333" s="786" t="s">
        <v>73</v>
      </c>
      <c r="D333" s="787">
        <v>6</v>
      </c>
      <c r="E333" s="21">
        <v>36.214199999999998</v>
      </c>
      <c r="F333" s="21">
        <v>42.4328</v>
      </c>
      <c r="G333" s="214">
        <f>+D333*(E333+F333)</f>
        <v>471.88199999999995</v>
      </c>
      <c r="H333" s="687"/>
      <c r="I333" s="688"/>
      <c r="J333" s="670"/>
      <c r="K333" s="850"/>
      <c r="L333" s="603">
        <f>SUM(G333:G336,J333:J336)</f>
        <v>20026.771999999997</v>
      </c>
      <c r="M333" s="187">
        <v>20026.77</v>
      </c>
      <c r="N333" s="788"/>
      <c r="O333" s="789"/>
      <c r="P333" s="790"/>
      <c r="Q333" s="791"/>
    </row>
    <row r="334" spans="1:18" ht="15.75">
      <c r="A334" s="662"/>
      <c r="B334" s="939"/>
      <c r="C334" s="48" t="s">
        <v>135</v>
      </c>
      <c r="D334" s="269">
        <f>апр18!D335+апр18!D336</f>
        <v>2361.5</v>
      </c>
      <c r="E334" s="41">
        <f>6.6914-6.3259</f>
        <v>0.36549999999999994</v>
      </c>
      <c r="F334" s="297">
        <f>+E334</f>
        <v>0.36549999999999994</v>
      </c>
      <c r="G334" s="235">
        <f>ROUND(D334*E334,2)+0.01</f>
        <v>863.14</v>
      </c>
      <c r="H334" s="270"/>
      <c r="I334" s="688"/>
      <c r="J334" s="670"/>
      <c r="K334" s="689"/>
      <c r="L334" s="614"/>
      <c r="M334" s="273"/>
      <c r="N334" s="663"/>
      <c r="O334" s="237"/>
      <c r="P334" s="275"/>
      <c r="Q334" s="238"/>
    </row>
    <row r="335" spans="1:18" ht="15.75">
      <c r="A335" s="662"/>
      <c r="B335" s="506"/>
      <c r="C335" s="48" t="s">
        <v>136</v>
      </c>
      <c r="D335" s="269">
        <v>93.41</v>
      </c>
      <c r="E335" s="41">
        <v>6.6913999999999998</v>
      </c>
      <c r="F335" s="298">
        <f t="shared" ref="F335" si="66">+E335</f>
        <v>6.6913999999999998</v>
      </c>
      <c r="G335" s="235">
        <f t="shared" ref="G335:G336" si="67">ROUND(D335*E335,2)</f>
        <v>625.04</v>
      </c>
      <c r="H335" s="270"/>
      <c r="I335" s="41"/>
      <c r="J335" s="670"/>
      <c r="K335" s="689"/>
      <c r="L335" s="606"/>
      <c r="M335" s="935"/>
      <c r="N335" s="663"/>
      <c r="O335" s="237"/>
      <c r="P335" s="275"/>
      <c r="Q335" s="238"/>
    </row>
    <row r="336" spans="1:18" ht="15.75" thickBot="1">
      <c r="A336" s="975"/>
      <c r="B336" s="278"/>
      <c r="C336" s="54" t="s">
        <v>29</v>
      </c>
      <c r="D336" s="795">
        <v>2699.99</v>
      </c>
      <c r="E336" s="56">
        <v>6.6913999999999998</v>
      </c>
      <c r="F336" s="797"/>
      <c r="G336" s="798">
        <f t="shared" si="67"/>
        <v>18066.71</v>
      </c>
      <c r="H336" s="795"/>
      <c r="I336" s="797"/>
      <c r="J336" s="797"/>
      <c r="K336" s="797"/>
      <c r="L336" s="799"/>
      <c r="M336" s="976"/>
      <c r="N336" s="797"/>
      <c r="O336" s="797"/>
      <c r="P336" s="797"/>
      <c r="Q336" s="800"/>
    </row>
    <row r="337" spans="1:17" ht="15.75">
      <c r="A337" s="658">
        <v>500</v>
      </c>
      <c r="B337" s="659" t="s">
        <v>55</v>
      </c>
      <c r="C337" s="48" t="s">
        <v>135</v>
      </c>
      <c r="D337" s="259">
        <f>апр18!D338+апр18!D339</f>
        <v>2165</v>
      </c>
      <c r="E337" s="41">
        <f>6.6914-6.3259</f>
        <v>0.36549999999999994</v>
      </c>
      <c r="F337" s="691">
        <f>+E337</f>
        <v>0.36549999999999994</v>
      </c>
      <c r="G337" s="214">
        <f>ROUND(D337*E337,2)-0.01</f>
        <v>791.3</v>
      </c>
      <c r="H337" s="303"/>
      <c r="I337" s="23"/>
      <c r="J337" s="23"/>
      <c r="K337" s="23"/>
      <c r="L337" s="603">
        <f>SUM(G337:G339)</f>
        <v>18492.07</v>
      </c>
      <c r="M337" s="187">
        <v>18492.07</v>
      </c>
      <c r="N337" s="660"/>
      <c r="O337" s="217"/>
      <c r="P337" s="661"/>
      <c r="Q337" s="219"/>
    </row>
    <row r="338" spans="1:17" ht="15.75">
      <c r="A338" s="662" t="s">
        <v>211</v>
      </c>
      <c r="B338" s="35"/>
      <c r="C338" s="48" t="s">
        <v>136</v>
      </c>
      <c r="D338" s="269">
        <v>88.48</v>
      </c>
      <c r="E338" s="41">
        <v>6.6913999999999998</v>
      </c>
      <c r="F338" s="298">
        <f t="shared" ref="F338" si="68">+E338</f>
        <v>6.6913999999999998</v>
      </c>
      <c r="G338" s="235">
        <f>ROUND(D338*E338,2)</f>
        <v>592.05999999999995</v>
      </c>
      <c r="H338" s="270"/>
      <c r="I338" s="41"/>
      <c r="J338" s="41"/>
      <c r="K338" s="41"/>
      <c r="L338" s="606"/>
      <c r="M338" s="935"/>
      <c r="N338" s="663"/>
      <c r="O338" s="237"/>
      <c r="P338" s="275"/>
      <c r="Q338" s="238"/>
    </row>
    <row r="339" spans="1:17" ht="15.75" thickBot="1">
      <c r="A339" s="969"/>
      <c r="B339" s="665"/>
      <c r="C339" s="99" t="s">
        <v>29</v>
      </c>
      <c r="D339" s="613">
        <v>2556.8200000000002</v>
      </c>
      <c r="E339" s="56">
        <v>6.6913999999999998</v>
      </c>
      <c r="F339" s="57"/>
      <c r="G339" s="247">
        <f>ROUND(D339*E339,2)</f>
        <v>17108.71</v>
      </c>
      <c r="H339" s="613"/>
      <c r="I339" s="57"/>
      <c r="J339" s="57"/>
      <c r="K339" s="57"/>
      <c r="L339" s="614"/>
      <c r="M339" s="935"/>
      <c r="N339" s="57"/>
      <c r="O339" s="57"/>
      <c r="P339" s="57"/>
      <c r="Q339" s="666"/>
    </row>
    <row r="340" spans="1:17">
      <c r="A340" s="977"/>
    </row>
    <row r="341" spans="1:17">
      <c r="A341" s="977"/>
    </row>
    <row r="342" spans="1:17">
      <c r="A342" s="977"/>
    </row>
  </sheetData>
  <mergeCells count="40">
    <mergeCell ref="M318:M319"/>
    <mergeCell ref="N318:Q318"/>
    <mergeCell ref="A318:A319"/>
    <mergeCell ref="B318:B319"/>
    <mergeCell ref="C318:C319"/>
    <mergeCell ref="D318:G318"/>
    <mergeCell ref="H318:K318"/>
    <mergeCell ref="L318:L319"/>
    <mergeCell ref="M100:M101"/>
    <mergeCell ref="N100:Q100"/>
    <mergeCell ref="A219:A220"/>
    <mergeCell ref="B219:B220"/>
    <mergeCell ref="C219:C220"/>
    <mergeCell ref="D219:G219"/>
    <mergeCell ref="H219:K219"/>
    <mergeCell ref="L219:L220"/>
    <mergeCell ref="M219:M220"/>
    <mergeCell ref="N219:Q219"/>
    <mergeCell ref="A100:A101"/>
    <mergeCell ref="B100:B101"/>
    <mergeCell ref="C100:C101"/>
    <mergeCell ref="D100:G100"/>
    <mergeCell ref="H100:K100"/>
    <mergeCell ref="L100:L101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360"/>
  <sheetViews>
    <sheetView topLeftCell="A45" workbookViewId="0">
      <pane xSplit="3" topLeftCell="D1" activePane="topRight" state="frozen"/>
      <selection pane="topRight" activeCell="E56" sqref="E5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36</v>
      </c>
      <c r="E4" s="21">
        <v>36.214199999999998</v>
      </c>
      <c r="F4" s="21">
        <v>42.4328</v>
      </c>
      <c r="G4" s="22">
        <f>ROUND(D4*(E4+F4),2)</f>
        <v>2831.29</v>
      </c>
      <c r="H4" s="20"/>
      <c r="I4" s="23"/>
      <c r="J4" s="23"/>
      <c r="K4" s="24"/>
      <c r="L4" s="25">
        <f>SUM(G4:G8,J4:J7)</f>
        <v>120717.09</v>
      </c>
      <c r="M4" s="26">
        <v>120717.09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143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117885.8</v>
      </c>
      <c r="S6" s="31"/>
      <c r="T6" s="32"/>
    </row>
    <row r="7" spans="1:22">
      <c r="A7" s="34"/>
      <c r="B7" s="35"/>
      <c r="C7" s="48" t="s">
        <v>144</v>
      </c>
      <c r="D7" s="49">
        <f>402.3+125.2</f>
        <v>527.5</v>
      </c>
      <c r="E7" s="41">
        <v>6.5090000000000003</v>
      </c>
      <c r="F7" s="41">
        <f>+E7</f>
        <v>6.5090000000000003</v>
      </c>
      <c r="G7" s="50">
        <f>ROUND(D7*E7,2)</f>
        <v>3433.5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117885.8</v>
      </c>
    </row>
    <row r="8" spans="1:22" ht="15.75" thickBot="1">
      <c r="A8" s="52"/>
      <c r="B8" s="53"/>
      <c r="C8" s="99" t="s">
        <v>29</v>
      </c>
      <c r="D8" s="55">
        <f>13410+4173.7</f>
        <v>17583.7</v>
      </c>
      <c r="E8" s="56">
        <v>6.5090000000000003</v>
      </c>
      <c r="F8" s="57">
        <f>+E8</f>
        <v>6.5090000000000003</v>
      </c>
      <c r="G8" s="58">
        <f>ROUND(D8*E8,2)</f>
        <v>114452.3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114452.3</v>
      </c>
      <c r="R8" s="66" t="s">
        <v>25</v>
      </c>
      <c r="S8" s="67">
        <f>SUM(O4:O8)</f>
        <v>0</v>
      </c>
      <c r="T8" s="68">
        <f>SUM(Q4:Q8)</f>
        <v>114452.3</v>
      </c>
    </row>
    <row r="9" spans="1:22" s="140" customFormat="1" hidden="1" collapsed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idden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idden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110</v>
      </c>
      <c r="E13" s="21">
        <v>36.214199999999998</v>
      </c>
      <c r="F13" s="21">
        <v>42.4328</v>
      </c>
      <c r="G13" s="22">
        <f>ROUND(D13*(E13+F13),2)</f>
        <v>8651.17</v>
      </c>
      <c r="H13" s="72"/>
      <c r="I13" s="21"/>
      <c r="J13" s="73"/>
      <c r="K13" s="24"/>
      <c r="L13" s="74">
        <f>SUM(G13:G20,J13:J19)</f>
        <v>51228.32</v>
      </c>
      <c r="M13" s="26">
        <v>51228.32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16</v>
      </c>
      <c r="E15" s="101">
        <v>237.98</v>
      </c>
      <c r="F15" s="38">
        <v>42.4328</v>
      </c>
      <c r="G15" s="39">
        <f>ROUND(D15*(E15+F15),2)</f>
        <v>4486.6000000000004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май18!D15</f>
        <v>26</v>
      </c>
      <c r="E16" s="41">
        <f>237.98-292.75</f>
        <v>-54.77000000000001</v>
      </c>
      <c r="F16" s="38"/>
      <c r="G16" s="50">
        <f>+D16*(E16+F16)</f>
        <v>-1424.0200000000002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143</v>
      </c>
      <c r="D18" s="49">
        <f>май18!D19+май18!D20</f>
        <v>6253.7000000000007</v>
      </c>
      <c r="E18" s="881">
        <f>6.4709-6.6914</f>
        <v>-0.22049999999999947</v>
      </c>
      <c r="F18" s="41">
        <f>+E18</f>
        <v>-0.22049999999999947</v>
      </c>
      <c r="G18" s="50">
        <f>ROUND(D18*E18*70%+D18*F18*30%,2)+0.01</f>
        <v>-1378.93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144</v>
      </c>
      <c r="D19" s="49">
        <f>17.2+161.2+5.7</f>
        <v>184.09999999999997</v>
      </c>
      <c r="E19" s="41">
        <v>6.4709000000000003</v>
      </c>
      <c r="F19" s="41">
        <f>E19</f>
        <v>6.4709000000000003</v>
      </c>
      <c r="G19" s="50">
        <f>ROUND(D19*E19*70%+D19*F19*30%,2)</f>
        <v>1191.29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572.5+5374+189</f>
        <v>6135.5</v>
      </c>
      <c r="E20" s="56">
        <v>6.4709000000000003</v>
      </c>
      <c r="F20" s="109">
        <f>+E20</f>
        <v>6.4709000000000003</v>
      </c>
      <c r="G20" s="110">
        <f>ROUND(D20*E20*70%+D20*F20*30%,2)</f>
        <v>39702.21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92" t="s">
        <v>241</v>
      </c>
      <c r="B30" s="183" t="s">
        <v>242</v>
      </c>
      <c r="C30" s="439" t="s">
        <v>243</v>
      </c>
      <c r="D30" s="296">
        <v>2.37</v>
      </c>
      <c r="E30" s="41">
        <v>36.214199999999998</v>
      </c>
      <c r="F30" s="41">
        <v>42.4328</v>
      </c>
      <c r="G30" s="235">
        <f>ROUND(D30*(E30+F30),2)</f>
        <v>186.39</v>
      </c>
      <c r="H30" s="270"/>
      <c r="I30" s="41"/>
      <c r="J30" s="41"/>
      <c r="K30" s="271"/>
      <c r="L30" s="294">
        <f>SUM(G30:G33)+J30:J33</f>
        <v>186.39</v>
      </c>
      <c r="M30" s="227">
        <v>186.39</v>
      </c>
      <c r="N30" s="274"/>
      <c r="O30" s="237"/>
      <c r="P30" s="275"/>
      <c r="Q30" s="237"/>
      <c r="R30" s="242"/>
      <c r="S30" s="266"/>
      <c r="T30" s="266"/>
    </row>
    <row r="31" spans="1:21">
      <c r="A31" s="896"/>
      <c r="B31" s="192"/>
      <c r="C31" s="700" t="s">
        <v>143</v>
      </c>
      <c r="D31" s="296">
        <v>0</v>
      </c>
      <c r="E31" s="41">
        <f>6.4709-6.6914</f>
        <v>-0.22049999999999947</v>
      </c>
      <c r="F31" s="41">
        <f>E31</f>
        <v>-0.22049999999999947</v>
      </c>
      <c r="G31" s="235">
        <f>ROUND(D31*E31,2)</f>
        <v>0</v>
      </c>
      <c r="H31" s="270"/>
      <c r="I31" s="41"/>
      <c r="J31" s="41"/>
      <c r="K31" s="271"/>
      <c r="L31" s="294"/>
      <c r="M31" s="227"/>
      <c r="N31" s="274"/>
      <c r="O31" s="237"/>
      <c r="P31" s="275"/>
      <c r="Q31" s="237"/>
      <c r="R31" s="242"/>
      <c r="S31" s="266"/>
      <c r="T31" s="266"/>
    </row>
    <row r="32" spans="1:21" ht="15.75">
      <c r="A32" s="896"/>
      <c r="B32" s="192"/>
      <c r="C32" s="48" t="s">
        <v>144</v>
      </c>
      <c r="D32" s="269">
        <v>0</v>
      </c>
      <c r="E32" s="41">
        <v>6.4709000000000003</v>
      </c>
      <c r="F32" s="41">
        <f t="shared" ref="F32:F33" si="0">+E32</f>
        <v>6.4709000000000003</v>
      </c>
      <c r="G32" s="235">
        <f t="shared" ref="G32:G33" si="1">ROUND(D32*E32,2)</f>
        <v>0</v>
      </c>
      <c r="H32" s="270"/>
      <c r="I32" s="41"/>
      <c r="J32" s="41"/>
      <c r="K32" s="271"/>
      <c r="L32" s="272"/>
      <c r="M32" s="273"/>
      <c r="N32" s="274"/>
      <c r="O32" s="237"/>
      <c r="P32" s="275"/>
      <c r="Q32" s="237"/>
      <c r="R32" s="242"/>
      <c r="S32" s="266"/>
      <c r="T32" s="266"/>
    </row>
    <row r="33" spans="1:21" ht="16.5" thickBot="1">
      <c r="A33" s="891"/>
      <c r="B33" s="887"/>
      <c r="C33" s="54" t="s">
        <v>29</v>
      </c>
      <c r="D33" s="279">
        <v>0</v>
      </c>
      <c r="E33" s="56">
        <v>6.4709000000000003</v>
      </c>
      <c r="F33" s="57">
        <f t="shared" si="0"/>
        <v>6.4709000000000003</v>
      </c>
      <c r="G33" s="247">
        <f t="shared" si="1"/>
        <v>0</v>
      </c>
      <c r="H33" s="280"/>
      <c r="I33" s="281"/>
      <c r="J33" s="281"/>
      <c r="K33" s="282"/>
      <c r="L33" s="204"/>
      <c r="M33" s="250"/>
      <c r="N33" s="283"/>
      <c r="O33" s="252"/>
      <c r="P33" s="284"/>
      <c r="Q33" s="252"/>
      <c r="R33" s="242"/>
      <c r="S33" s="266"/>
      <c r="T33" s="266"/>
    </row>
    <row r="34" spans="1:21">
      <c r="A34" s="892">
        <v>202</v>
      </c>
      <c r="B34" s="183" t="s">
        <v>159</v>
      </c>
      <c r="C34" s="439" t="s">
        <v>143</v>
      </c>
      <c r="D34" s="296">
        <f>май18!D31+май18!D32</f>
        <v>177.48</v>
      </c>
      <c r="E34" s="41">
        <f>6.4709-6.6914</f>
        <v>-0.22049999999999947</v>
      </c>
      <c r="F34" s="41">
        <f t="shared" ref="F34:F39" si="2">+E34</f>
        <v>-0.22049999999999947</v>
      </c>
      <c r="G34" s="235">
        <f>ROUND(D34*E34,2)-0.01</f>
        <v>-39.14</v>
      </c>
      <c r="H34" s="270"/>
      <c r="I34" s="41"/>
      <c r="J34" s="41"/>
      <c r="K34" s="271"/>
      <c r="L34" s="294">
        <f>SUM(G34:G36)</f>
        <v>399.71999999999997</v>
      </c>
      <c r="M34" s="227">
        <v>399.72</v>
      </c>
      <c r="N34" s="274"/>
      <c r="O34" s="237"/>
      <c r="P34" s="275"/>
      <c r="Q34" s="237"/>
      <c r="R34" s="242"/>
      <c r="S34" s="266"/>
      <c r="T34" s="266"/>
    </row>
    <row r="35" spans="1:21" ht="15.75">
      <c r="A35" s="896"/>
      <c r="B35" s="192"/>
      <c r="C35" s="48" t="s">
        <v>144</v>
      </c>
      <c r="D35" s="269">
        <v>0.72</v>
      </c>
      <c r="E35" s="41">
        <v>6.4709000000000003</v>
      </c>
      <c r="F35" s="41">
        <f t="shared" si="2"/>
        <v>6.4709000000000003</v>
      </c>
      <c r="G35" s="235">
        <f t="shared" ref="G35:G36" si="3">ROUND(D35*E35,2)</f>
        <v>4.66</v>
      </c>
      <c r="H35" s="270"/>
      <c r="I35" s="41"/>
      <c r="J35" s="41"/>
      <c r="K35" s="271"/>
      <c r="L35" s="272"/>
      <c r="M35" s="273"/>
      <c r="N35" s="274"/>
      <c r="O35" s="237"/>
      <c r="P35" s="275"/>
      <c r="Q35" s="237"/>
      <c r="R35" s="242"/>
      <c r="S35" s="266"/>
      <c r="T35" s="266"/>
    </row>
    <row r="36" spans="1:21" ht="16.5" thickBot="1">
      <c r="A36" s="891"/>
      <c r="B36" s="887"/>
      <c r="C36" s="54" t="s">
        <v>29</v>
      </c>
      <c r="D36" s="279">
        <v>67.099999999999994</v>
      </c>
      <c r="E36" s="56">
        <v>6.4709000000000003</v>
      </c>
      <c r="F36" s="57">
        <f t="shared" si="2"/>
        <v>6.4709000000000003</v>
      </c>
      <c r="G36" s="247">
        <f t="shared" si="3"/>
        <v>434.2</v>
      </c>
      <c r="H36" s="280"/>
      <c r="I36" s="281"/>
      <c r="J36" s="281"/>
      <c r="K36" s="282"/>
      <c r="L36" s="204"/>
      <c r="M36" s="250"/>
      <c r="N36" s="283"/>
      <c r="O36" s="252"/>
      <c r="P36" s="284"/>
      <c r="Q36" s="252"/>
      <c r="R36" s="242"/>
      <c r="S36" s="266"/>
      <c r="T36" s="266"/>
    </row>
    <row r="37" spans="1:21">
      <c r="A37" s="892">
        <v>204</v>
      </c>
      <c r="B37" s="183" t="s">
        <v>137</v>
      </c>
      <c r="C37" s="439" t="s">
        <v>143</v>
      </c>
      <c r="D37" s="296">
        <f>май18!D34+май18!D35</f>
        <v>213.76</v>
      </c>
      <c r="E37" s="41">
        <f>6.4709-6.6914</f>
        <v>-0.22049999999999947</v>
      </c>
      <c r="F37" s="41">
        <f t="shared" si="2"/>
        <v>-0.22049999999999947</v>
      </c>
      <c r="G37" s="235">
        <f>ROUND(D37*E37,2)</f>
        <v>-47.13</v>
      </c>
      <c r="H37" s="270"/>
      <c r="I37" s="41"/>
      <c r="J37" s="41"/>
      <c r="K37" s="271"/>
      <c r="L37" s="294">
        <f>SUM(G37:G39)</f>
        <v>1153.6099999999999</v>
      </c>
      <c r="M37" s="227">
        <v>1153.6099999999999</v>
      </c>
      <c r="N37" s="274"/>
      <c r="O37" s="237"/>
      <c r="P37" s="275"/>
      <c r="Q37" s="237"/>
      <c r="R37" s="242"/>
      <c r="S37" s="266"/>
      <c r="T37" s="266"/>
    </row>
    <row r="38" spans="1:21" ht="15.75">
      <c r="A38" s="896"/>
      <c r="B38" s="192"/>
      <c r="C38" s="48" t="s">
        <v>144</v>
      </c>
      <c r="D38" s="269">
        <v>1.96</v>
      </c>
      <c r="E38" s="41">
        <v>6.4709000000000003</v>
      </c>
      <c r="F38" s="41">
        <f t="shared" si="2"/>
        <v>6.4709000000000003</v>
      </c>
      <c r="G38" s="235">
        <f>ROUND(D38*E38,2)</f>
        <v>12.68</v>
      </c>
      <c r="H38" s="270"/>
      <c r="I38" s="41"/>
      <c r="J38" s="41"/>
      <c r="K38" s="271"/>
      <c r="L38" s="272"/>
      <c r="M38" s="273"/>
      <c r="N38" s="274"/>
      <c r="O38" s="237"/>
      <c r="P38" s="275"/>
      <c r="Q38" s="237"/>
      <c r="R38" s="242"/>
      <c r="S38" s="266"/>
      <c r="T38" s="266"/>
    </row>
    <row r="39" spans="1:21" ht="16.5" thickBot="1">
      <c r="A39" s="891"/>
      <c r="B39" s="887"/>
      <c r="C39" s="54" t="s">
        <v>29</v>
      </c>
      <c r="D39" s="279">
        <v>183.6</v>
      </c>
      <c r="E39" s="56">
        <v>6.4709000000000003</v>
      </c>
      <c r="F39" s="57">
        <f t="shared" si="2"/>
        <v>6.4709000000000003</v>
      </c>
      <c r="G39" s="247">
        <f>ROUND(D39*E39,2)</f>
        <v>1188.06</v>
      </c>
      <c r="H39" s="280"/>
      <c r="I39" s="281"/>
      <c r="J39" s="281"/>
      <c r="K39" s="282"/>
      <c r="L39" s="204"/>
      <c r="M39" s="250"/>
      <c r="N39" s="283"/>
      <c r="O39" s="252"/>
      <c r="P39" s="284"/>
      <c r="Q39" s="252"/>
      <c r="R39" s="242"/>
      <c r="S39" s="266"/>
      <c r="T39" s="266"/>
    </row>
    <row r="40" spans="1:21">
      <c r="A40" s="892">
        <v>210</v>
      </c>
      <c r="B40" s="183" t="s">
        <v>245</v>
      </c>
      <c r="C40" s="439" t="s">
        <v>143</v>
      </c>
      <c r="D40" s="296"/>
      <c r="E40" s="41">
        <f>6.4709-6.6914</f>
        <v>-0.22049999999999947</v>
      </c>
      <c r="F40" s="41">
        <f t="shared" ref="F40:F42" si="4">+E40</f>
        <v>-0.22049999999999947</v>
      </c>
      <c r="G40" s="235">
        <f>ROUND(D40*E40,2)</f>
        <v>0</v>
      </c>
      <c r="H40" s="270"/>
      <c r="I40" s="41"/>
      <c r="J40" s="41"/>
      <c r="K40" s="271"/>
      <c r="L40" s="294">
        <f>SUM(G40:G42)</f>
        <v>1168</v>
      </c>
      <c r="M40" s="227">
        <v>1168</v>
      </c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192"/>
      <c r="C41" s="48" t="s">
        <v>144</v>
      </c>
      <c r="D41" s="269">
        <v>1.9</v>
      </c>
      <c r="E41" s="41">
        <v>6.4709000000000003</v>
      </c>
      <c r="F41" s="41">
        <f t="shared" si="4"/>
        <v>6.4709000000000003</v>
      </c>
      <c r="G41" s="235">
        <f>ROUND(D41*E41,2)+0.01</f>
        <v>12.299999999999999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178.6</v>
      </c>
      <c r="E42" s="56">
        <v>6.4709000000000003</v>
      </c>
      <c r="F42" s="57">
        <f t="shared" si="4"/>
        <v>6.4709000000000003</v>
      </c>
      <c r="G42" s="247">
        <f t="shared" ref="G42" si="5">ROUND(D42*E42,2)</f>
        <v>1155.7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>
      <c r="A43" s="892">
        <v>215</v>
      </c>
      <c r="B43" s="183" t="s">
        <v>189</v>
      </c>
      <c r="C43" s="71">
        <v>0</v>
      </c>
      <c r="D43" s="213">
        <v>0</v>
      </c>
      <c r="E43" s="21">
        <v>36.214199999999998</v>
      </c>
      <c r="F43" s="21">
        <v>42.4328</v>
      </c>
      <c r="G43" s="214">
        <f>ROUND(D43*(E43+F43),2)</f>
        <v>0</v>
      </c>
      <c r="H43" s="213"/>
      <c r="I43" s="194"/>
      <c r="J43" s="215"/>
      <c r="K43" s="679"/>
      <c r="L43" s="216">
        <f>SUM(G43:G50)+SUM(J43:J50)</f>
        <v>1956.8999999999999</v>
      </c>
      <c r="M43" s="187">
        <v>1956.9</v>
      </c>
      <c r="N43" s="188"/>
      <c r="O43" s="217"/>
      <c r="P43" s="218"/>
      <c r="Q43" s="219"/>
      <c r="R43" s="220"/>
      <c r="S43" s="221"/>
      <c r="T43" s="222"/>
      <c r="U43" s="33"/>
    </row>
    <row r="44" spans="1:21">
      <c r="A44" s="890"/>
      <c r="B44" s="872"/>
      <c r="C44" s="84" t="s">
        <v>26</v>
      </c>
      <c r="D44" s="37"/>
      <c r="E44" s="38"/>
      <c r="F44" s="38"/>
      <c r="G44" s="39">
        <f>ROUND(D44*(E44+F44),2)</f>
        <v>0</v>
      </c>
      <c r="H44" s="225"/>
      <c r="I44" s="194"/>
      <c r="J44" s="194"/>
      <c r="K44" s="226"/>
      <c r="L44" s="196"/>
      <c r="M44" s="227"/>
      <c r="N44" s="228"/>
      <c r="O44" s="229"/>
      <c r="P44" s="230"/>
      <c r="Q44" s="231"/>
      <c r="R44" s="232"/>
      <c r="S44" s="233"/>
      <c r="T44" s="224"/>
      <c r="U44" s="33"/>
    </row>
    <row r="45" spans="1:21">
      <c r="A45" s="890"/>
      <c r="B45" s="873" t="s">
        <v>32</v>
      </c>
      <c r="C45" s="99" t="s">
        <v>33</v>
      </c>
      <c r="D45" s="234">
        <v>0</v>
      </c>
      <c r="E45" s="101">
        <v>167.13</v>
      </c>
      <c r="F45" s="38">
        <v>42.4328</v>
      </c>
      <c r="G45" s="235">
        <f>ROUND(D45*(E45+F45),2)</f>
        <v>0</v>
      </c>
      <c r="H45" s="234"/>
      <c r="I45" s="194"/>
      <c r="J45" s="194"/>
      <c r="K45" s="195"/>
      <c r="L45" s="196"/>
      <c r="M45" s="227"/>
      <c r="N45" s="236"/>
      <c r="O45" s="237"/>
      <c r="P45" s="230"/>
      <c r="Q45" s="238"/>
      <c r="R45" s="232"/>
      <c r="S45" s="233"/>
      <c r="T45" s="224"/>
    </row>
    <row r="46" spans="1:21">
      <c r="A46" s="890"/>
      <c r="B46" s="872" t="s">
        <v>33</v>
      </c>
      <c r="C46" s="239" t="s">
        <v>26</v>
      </c>
      <c r="D46" s="234"/>
      <c r="E46" s="240"/>
      <c r="F46" s="240">
        <v>0</v>
      </c>
      <c r="G46" s="235">
        <f>+ROUND(D46*E46,2)</f>
        <v>0</v>
      </c>
      <c r="H46" s="241"/>
      <c r="I46" s="194"/>
      <c r="J46" s="194"/>
      <c r="K46" s="195"/>
      <c r="L46" s="196"/>
      <c r="M46" s="227"/>
      <c r="N46" s="236"/>
      <c r="O46" s="237"/>
      <c r="P46" s="230"/>
      <c r="Q46" s="238"/>
      <c r="R46" s="242"/>
      <c r="S46" s="233"/>
      <c r="T46" s="224"/>
    </row>
    <row r="47" spans="1:21">
      <c r="A47" s="890"/>
      <c r="B47" s="872"/>
      <c r="C47" s="239" t="s">
        <v>26</v>
      </c>
      <c r="D47" s="234"/>
      <c r="E47" s="240"/>
      <c r="F47" s="41"/>
      <c r="G47" s="235">
        <f>+ROUND(D47*F47,2)</f>
        <v>0</v>
      </c>
      <c r="H47" s="241"/>
      <c r="I47" s="194"/>
      <c r="J47" s="194"/>
      <c r="K47" s="195"/>
      <c r="L47" s="196"/>
      <c r="M47" s="227"/>
      <c r="N47" s="236"/>
      <c r="O47" s="237"/>
      <c r="P47" s="230"/>
      <c r="Q47" s="238"/>
      <c r="R47" s="242"/>
      <c r="S47" s="233"/>
      <c r="T47" s="224"/>
    </row>
    <row r="48" spans="1:21">
      <c r="A48" s="890"/>
      <c r="B48" s="872"/>
      <c r="C48" s="48" t="s">
        <v>143</v>
      </c>
      <c r="D48" s="49">
        <f>май18!D42+май18!D43</f>
        <v>331.2</v>
      </c>
      <c r="E48" s="41">
        <f>6.4709-6.6914</f>
        <v>-0.22049999999999947</v>
      </c>
      <c r="F48" s="41">
        <f t="shared" ref="F48:F50" si="6">+E48</f>
        <v>-0.22049999999999947</v>
      </c>
      <c r="G48" s="50">
        <f>ROUND(D48*E48,2)+0.01</f>
        <v>-73.02</v>
      </c>
      <c r="H48" s="241"/>
      <c r="I48" s="194"/>
      <c r="J48" s="194"/>
      <c r="K48" s="195"/>
      <c r="L48" s="196"/>
      <c r="M48" s="227"/>
      <c r="N48" s="236"/>
      <c r="O48" s="237"/>
      <c r="P48" s="230"/>
      <c r="Q48" s="238"/>
      <c r="R48" s="242"/>
      <c r="S48" s="233"/>
      <c r="T48" s="224"/>
    </row>
    <row r="49" spans="1:21">
      <c r="A49" s="890"/>
      <c r="B49" s="872"/>
      <c r="C49" s="48" t="s">
        <v>144</v>
      </c>
      <c r="D49" s="49">
        <v>3.3</v>
      </c>
      <c r="E49" s="41">
        <v>6.4709000000000003</v>
      </c>
      <c r="F49" s="41">
        <f t="shared" si="6"/>
        <v>6.4709000000000003</v>
      </c>
      <c r="G49" s="50">
        <f>ROUND(D49*E49,2)</f>
        <v>21.35</v>
      </c>
      <c r="H49" s="241"/>
      <c r="I49" s="194"/>
      <c r="J49" s="243"/>
      <c r="K49" s="195"/>
      <c r="L49" s="196"/>
      <c r="M49" s="227"/>
      <c r="N49" s="236"/>
      <c r="O49" s="237"/>
      <c r="P49" s="230"/>
      <c r="Q49" s="238"/>
      <c r="R49" s="242"/>
      <c r="S49" s="233"/>
      <c r="T49" s="224"/>
      <c r="U49" s="33"/>
    </row>
    <row r="50" spans="1:21" ht="15.75" thickBot="1">
      <c r="A50" s="897"/>
      <c r="B50" s="875"/>
      <c r="C50" s="99" t="s">
        <v>29</v>
      </c>
      <c r="D50" s="246">
        <v>310.39999999999998</v>
      </c>
      <c r="E50" s="56">
        <v>6.4709000000000003</v>
      </c>
      <c r="F50" s="57">
        <f t="shared" si="6"/>
        <v>6.4709000000000003</v>
      </c>
      <c r="G50" s="247">
        <f>ROUND(D50*E50*70%+D50*F50*30%,2)</f>
        <v>2008.57</v>
      </c>
      <c r="H50" s="248"/>
      <c r="I50" s="203"/>
      <c r="J50" s="60"/>
      <c r="K50" s="61"/>
      <c r="L50" s="249"/>
      <c r="M50" s="250"/>
      <c r="N50" s="251"/>
      <c r="O50" s="252"/>
      <c r="P50" s="253"/>
      <c r="Q50" s="254"/>
      <c r="R50" s="255"/>
      <c r="S50" s="256"/>
      <c r="T50" s="256"/>
    </row>
    <row r="51" spans="1:21" ht="16.5" collapsed="1" thickTop="1" thickBot="1">
      <c r="A51" s="891">
        <v>309</v>
      </c>
      <c r="B51" s="887" t="s">
        <v>152</v>
      </c>
      <c r="C51" s="54" t="s">
        <v>143</v>
      </c>
      <c r="D51" s="296">
        <f>май18!D45+май18!D46</f>
        <v>410.65000000000003</v>
      </c>
      <c r="E51" s="41">
        <f>6.4709-6.6914</f>
        <v>-0.22049999999999947</v>
      </c>
      <c r="F51" s="41">
        <f>+E51</f>
        <v>-0.22049999999999947</v>
      </c>
      <c r="G51" s="235">
        <f>ROUND(D51*E51,2)</f>
        <v>-90.55</v>
      </c>
      <c r="H51" s="270"/>
      <c r="I51" s="41"/>
      <c r="J51" s="41"/>
      <c r="K51" s="271"/>
      <c r="L51" s="294">
        <f>SUM(G51:G53)</f>
        <v>2320.12</v>
      </c>
      <c r="M51" s="227">
        <v>2320.12</v>
      </c>
      <c r="N51" s="274"/>
      <c r="O51" s="237"/>
      <c r="P51" s="275"/>
      <c r="Q51" s="237"/>
      <c r="R51" s="242"/>
      <c r="S51" s="266"/>
      <c r="T51" s="266"/>
    </row>
    <row r="52" spans="1:21" ht="15.75">
      <c r="A52" s="896"/>
      <c r="B52" s="885"/>
      <c r="C52" s="48" t="s">
        <v>144</v>
      </c>
      <c r="D52" s="269">
        <v>3.94</v>
      </c>
      <c r="E52" s="41">
        <v>6.4709000000000003</v>
      </c>
      <c r="F52" s="41">
        <f>+E52</f>
        <v>6.4709000000000003</v>
      </c>
      <c r="G52" s="235">
        <f t="shared" ref="G52:G53" si="7">ROUND(D52*E52,2)</f>
        <v>25.5</v>
      </c>
      <c r="H52" s="270"/>
      <c r="I52" s="41"/>
      <c r="J52" s="41"/>
      <c r="K52" s="271"/>
      <c r="L52" s="272"/>
      <c r="M52" s="273"/>
      <c r="N52" s="274"/>
      <c r="O52" s="237"/>
      <c r="P52" s="275"/>
      <c r="Q52" s="237"/>
      <c r="R52" s="242"/>
      <c r="S52" s="266"/>
      <c r="T52" s="266"/>
    </row>
    <row r="53" spans="1:21" ht="16.5" thickBot="1">
      <c r="A53" s="891"/>
      <c r="B53" s="887"/>
      <c r="C53" s="54" t="s">
        <v>29</v>
      </c>
      <c r="D53" s="279">
        <v>368.6</v>
      </c>
      <c r="E53" s="56">
        <v>6.4709000000000003</v>
      </c>
      <c r="F53" s="57">
        <f>+E53</f>
        <v>6.4709000000000003</v>
      </c>
      <c r="G53" s="247">
        <f t="shared" si="7"/>
        <v>2385.17</v>
      </c>
      <c r="H53" s="280"/>
      <c r="I53" s="281"/>
      <c r="J53" s="281"/>
      <c r="K53" s="282"/>
      <c r="L53" s="204"/>
      <c r="M53" s="250"/>
      <c r="N53" s="283"/>
      <c r="O53" s="252"/>
      <c r="P53" s="284"/>
      <c r="Q53" s="252"/>
      <c r="R53" s="242"/>
      <c r="S53" s="266"/>
      <c r="T53" s="266"/>
    </row>
    <row r="54" spans="1:21">
      <c r="A54" s="888">
        <v>314</v>
      </c>
      <c r="B54" s="889" t="s">
        <v>52</v>
      </c>
      <c r="C54" s="71">
        <v>0</v>
      </c>
      <c r="D54" s="213">
        <v>178.2</v>
      </c>
      <c r="E54" s="21">
        <v>36.214199999999998</v>
      </c>
      <c r="F54" s="21">
        <v>42.4328</v>
      </c>
      <c r="G54" s="214">
        <f>ROUND(D54*(E54+F54),2)</f>
        <v>14014.9</v>
      </c>
      <c r="H54" s="213"/>
      <c r="J54" s="215"/>
      <c r="K54" s="679"/>
      <c r="L54" s="216">
        <f>SUM(G54:G61)+SUM(J54:J61)</f>
        <v>69396.81</v>
      </c>
      <c r="M54" s="187">
        <v>69396.81</v>
      </c>
      <c r="N54" s="188"/>
      <c r="O54" s="217">
        <v>4253.6899999999996</v>
      </c>
      <c r="P54" s="218" t="s">
        <v>47</v>
      </c>
      <c r="Q54" s="219">
        <f t="shared" ref="Q54" si="8">C54+G54+J54-M54-N54-O54</f>
        <v>-59635.6</v>
      </c>
      <c r="R54" s="220" t="s">
        <v>53</v>
      </c>
      <c r="S54" s="221"/>
      <c r="T54" s="222"/>
      <c r="U54" s="33">
        <f>+C54+L54-M54</f>
        <v>0</v>
      </c>
    </row>
    <row r="55" spans="1:21" ht="15.75" thickBot="1">
      <c r="A55" s="890"/>
      <c r="B55" s="872"/>
      <c r="C55" s="84" t="s">
        <v>26</v>
      </c>
      <c r="D55" s="37"/>
      <c r="E55" s="38"/>
      <c r="F55" s="38"/>
      <c r="G55" s="39">
        <f>ROUND(D55*(E55+F55),2)</f>
        <v>0</v>
      </c>
      <c r="H55" s="225"/>
      <c r="I55" s="194"/>
      <c r="J55" s="194"/>
      <c r="K55" s="226"/>
      <c r="L55" s="196"/>
      <c r="M55" s="227"/>
      <c r="N55" s="228"/>
      <c r="O55" s="229"/>
      <c r="P55" s="230"/>
      <c r="Q55" s="231"/>
      <c r="R55" s="232"/>
      <c r="S55" s="233"/>
      <c r="T55" s="224"/>
      <c r="U55" s="33"/>
    </row>
    <row r="56" spans="1:21">
      <c r="A56" s="890"/>
      <c r="B56" s="873" t="s">
        <v>32</v>
      </c>
      <c r="C56" s="99" t="s">
        <v>33</v>
      </c>
      <c r="D56" s="234">
        <v>0</v>
      </c>
      <c r="E56" s="101">
        <v>167.13</v>
      </c>
      <c r="F56" s="21">
        <v>42.4328</v>
      </c>
      <c r="G56" s="235">
        <f>ROUND(D56*(E56+F56),2)</f>
        <v>0</v>
      </c>
      <c r="H56" s="234"/>
      <c r="I56" s="194"/>
      <c r="J56" s="194"/>
      <c r="K56" s="195"/>
      <c r="L56" s="196"/>
      <c r="M56" s="227"/>
      <c r="N56" s="236"/>
      <c r="O56" s="237">
        <v>5456.6</v>
      </c>
      <c r="P56" s="230" t="s">
        <v>47</v>
      </c>
      <c r="Q56" s="238">
        <f>+G56+J56-M56-N56-O56</f>
        <v>-5456.6</v>
      </c>
      <c r="R56" s="232"/>
      <c r="S56" s="233"/>
      <c r="T56" s="224"/>
    </row>
    <row r="57" spans="1:21">
      <c r="A57" s="890"/>
      <c r="B57" s="872" t="s">
        <v>33</v>
      </c>
      <c r="C57" s="239" t="s">
        <v>26</v>
      </c>
      <c r="D57" s="234"/>
      <c r="E57" s="240"/>
      <c r="F57" s="240">
        <v>0</v>
      </c>
      <c r="G57" s="235">
        <f>+ROUND(D57*E57,2)</f>
        <v>0</v>
      </c>
      <c r="H57" s="241"/>
      <c r="I57" s="194"/>
      <c r="J57" s="194"/>
      <c r="K57" s="195"/>
      <c r="L57" s="196"/>
      <c r="M57" s="227"/>
      <c r="N57" s="236"/>
      <c r="O57" s="237"/>
      <c r="P57" s="230"/>
      <c r="Q57" s="238"/>
      <c r="R57" s="242"/>
      <c r="S57" s="233"/>
      <c r="T57" s="224"/>
    </row>
    <row r="58" spans="1:21">
      <c r="A58" s="890"/>
      <c r="B58" s="872"/>
      <c r="C58" s="239" t="s">
        <v>26</v>
      </c>
      <c r="D58" s="234"/>
      <c r="E58" s="240"/>
      <c r="F58" s="41"/>
      <c r="G58" s="235">
        <f>+ROUND(D58*F58,2)</f>
        <v>0</v>
      </c>
      <c r="H58" s="241"/>
      <c r="I58" s="194"/>
      <c r="J58" s="194"/>
      <c r="K58" s="195"/>
      <c r="L58" s="196"/>
      <c r="M58" s="227"/>
      <c r="N58" s="236"/>
      <c r="O58" s="237"/>
      <c r="P58" s="230"/>
      <c r="Q58" s="238"/>
      <c r="R58" s="242"/>
      <c r="S58" s="233"/>
      <c r="T58" s="224"/>
    </row>
    <row r="59" spans="1:21">
      <c r="A59" s="890"/>
      <c r="B59" s="872"/>
      <c r="C59" s="48" t="s">
        <v>143</v>
      </c>
      <c r="D59" s="49">
        <f>май18!D53+май18!D54</f>
        <v>10631.9</v>
      </c>
      <c r="E59" s="41">
        <f>6.4709-6.6914</f>
        <v>-0.22049999999999947</v>
      </c>
      <c r="F59" s="41">
        <f t="shared" ref="F59:F96" si="9">+E59</f>
        <v>-0.22049999999999947</v>
      </c>
      <c r="G59" s="50">
        <f>ROUND(D59*E59,2)-0.01</f>
        <v>-2344.34</v>
      </c>
      <c r="H59" s="241"/>
      <c r="I59" s="194"/>
      <c r="J59" s="194"/>
      <c r="K59" s="195"/>
      <c r="L59" s="196"/>
      <c r="M59" s="227"/>
      <c r="N59" s="236"/>
      <c r="O59" s="237"/>
      <c r="P59" s="230"/>
      <c r="Q59" s="238"/>
      <c r="R59" s="242"/>
      <c r="S59" s="233"/>
      <c r="T59" s="224"/>
    </row>
    <row r="60" spans="1:21">
      <c r="A60" s="890"/>
      <c r="B60" s="872"/>
      <c r="C60" s="48" t="s">
        <v>144</v>
      </c>
      <c r="D60" s="49">
        <v>94.4</v>
      </c>
      <c r="E60" s="41">
        <v>6.4709000000000003</v>
      </c>
      <c r="F60" s="41">
        <f t="shared" si="9"/>
        <v>6.4709000000000003</v>
      </c>
      <c r="G60" s="50">
        <f>ROUND(D60*E60,2)</f>
        <v>610.85</v>
      </c>
      <c r="H60" s="241"/>
      <c r="I60" s="194"/>
      <c r="J60" s="243"/>
      <c r="K60" s="195"/>
      <c r="L60" s="196"/>
      <c r="M60" s="227"/>
      <c r="N60" s="236"/>
      <c r="O60" s="237"/>
      <c r="P60" s="230"/>
      <c r="Q60" s="238"/>
      <c r="R60" s="242"/>
      <c r="S60" s="233"/>
      <c r="T60" s="224"/>
      <c r="U60" s="33"/>
    </row>
    <row r="61" spans="1:21" ht="15.75" thickBot="1">
      <c r="A61" s="891"/>
      <c r="B61" s="887"/>
      <c r="C61" s="54" t="s">
        <v>29</v>
      </c>
      <c r="D61" s="246">
        <v>8826.5</v>
      </c>
      <c r="E61" s="56">
        <v>6.4709000000000003</v>
      </c>
      <c r="F61" s="57">
        <f t="shared" si="9"/>
        <v>6.4709000000000003</v>
      </c>
      <c r="G61" s="247">
        <f>ROUND(D61*E61*70%+D61*F61*30%,2)</f>
        <v>57115.4</v>
      </c>
      <c r="H61" s="248"/>
      <c r="I61" s="203"/>
      <c r="J61" s="60"/>
      <c r="K61" s="61"/>
      <c r="L61" s="249"/>
      <c r="M61" s="250"/>
      <c r="N61" s="251"/>
      <c r="O61" s="252">
        <v>15777.9</v>
      </c>
      <c r="P61" s="253" t="s">
        <v>47</v>
      </c>
      <c r="Q61" s="254">
        <f>+G61+J61-M61-N61-O61</f>
        <v>41337.5</v>
      </c>
      <c r="R61" s="255" t="s">
        <v>54</v>
      </c>
      <c r="S61" s="256">
        <f>SUM(O54:O61)</f>
        <v>25488.190000000002</v>
      </c>
      <c r="T61" s="256">
        <f>SUM(Q54:Q61)</f>
        <v>-23754.699999999997</v>
      </c>
    </row>
    <row r="62" spans="1:21">
      <c r="A62" s="892">
        <v>402</v>
      </c>
      <c r="B62" s="183" t="s">
        <v>178</v>
      </c>
      <c r="C62" s="439" t="s">
        <v>143</v>
      </c>
      <c r="D62" s="296">
        <f>май18!D56+май18!D57</f>
        <v>197.65</v>
      </c>
      <c r="E62" s="41">
        <f>6.4709-6.6914</f>
        <v>-0.22049999999999947</v>
      </c>
      <c r="F62" s="41">
        <f t="shared" si="9"/>
        <v>-0.22049999999999947</v>
      </c>
      <c r="G62" s="235">
        <f t="shared" ref="G62:G73" si="10">ROUND(D62*E62,2)</f>
        <v>-43.58</v>
      </c>
      <c r="H62" s="270"/>
      <c r="I62" s="41"/>
      <c r="J62" s="41"/>
      <c r="K62" s="271"/>
      <c r="L62" s="294">
        <f>SUM(G62:G64)</f>
        <v>963.36</v>
      </c>
      <c r="M62" s="227">
        <v>963.36</v>
      </c>
      <c r="N62" s="274"/>
      <c r="O62" s="237"/>
      <c r="P62" s="275"/>
      <c r="Q62" s="237"/>
      <c r="R62" s="242"/>
      <c r="S62" s="266"/>
      <c r="T62" s="266"/>
    </row>
    <row r="63" spans="1:21" ht="15.75">
      <c r="A63" s="896"/>
      <c r="B63" s="192"/>
      <c r="C63" s="48" t="s">
        <v>144</v>
      </c>
      <c r="D63" s="269">
        <v>1.65</v>
      </c>
      <c r="E63" s="41">
        <v>6.4709000000000003</v>
      </c>
      <c r="F63" s="41">
        <f t="shared" si="9"/>
        <v>6.4709000000000003</v>
      </c>
      <c r="G63" s="235">
        <f t="shared" si="10"/>
        <v>10.68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1" ht="16.5" thickBot="1">
      <c r="A64" s="891"/>
      <c r="B64" s="202"/>
      <c r="C64" s="54" t="s">
        <v>29</v>
      </c>
      <c r="D64" s="279">
        <v>153.96</v>
      </c>
      <c r="E64" s="56">
        <v>6.4709000000000003</v>
      </c>
      <c r="F64" s="57">
        <f t="shared" si="9"/>
        <v>6.4709000000000003</v>
      </c>
      <c r="G64" s="247">
        <f t="shared" si="10"/>
        <v>996.26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0">
      <c r="A65" s="892">
        <v>409</v>
      </c>
      <c r="B65" s="183" t="s">
        <v>218</v>
      </c>
      <c r="C65" s="439" t="s">
        <v>143</v>
      </c>
      <c r="D65" s="296">
        <f>май18!D59+май18!D60</f>
        <v>116.63000000000001</v>
      </c>
      <c r="E65" s="41">
        <f>6.4709-6.6914</f>
        <v>-0.22049999999999947</v>
      </c>
      <c r="F65" s="41">
        <f t="shared" si="9"/>
        <v>-0.22049999999999947</v>
      </c>
      <c r="G65" s="235">
        <f>ROUND(D65*E65,2)+0.01</f>
        <v>-25.709999999999997</v>
      </c>
      <c r="H65" s="270"/>
      <c r="I65" s="41"/>
      <c r="J65" s="41"/>
      <c r="K65" s="271"/>
      <c r="L65" s="294">
        <f>SUM(G65:G67)</f>
        <v>730.99</v>
      </c>
      <c r="M65" s="227">
        <v>730.99</v>
      </c>
      <c r="N65" s="274"/>
      <c r="O65" s="237"/>
      <c r="P65" s="275"/>
      <c r="Q65" s="237"/>
      <c r="R65" s="242"/>
      <c r="S65" s="266"/>
      <c r="T65" s="266"/>
    </row>
    <row r="66" spans="1:20" ht="15.75">
      <c r="A66" s="896"/>
      <c r="B66" s="192"/>
      <c r="C66" s="48" t="s">
        <v>144</v>
      </c>
      <c r="D66" s="269">
        <v>1.24</v>
      </c>
      <c r="E66" s="41">
        <v>6.4709000000000003</v>
      </c>
      <c r="F66" s="41">
        <f t="shared" si="9"/>
        <v>6.4709000000000003</v>
      </c>
      <c r="G66" s="235">
        <f t="shared" si="10"/>
        <v>8.02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0" ht="16.5" thickBot="1">
      <c r="A67" s="891"/>
      <c r="B67" s="887"/>
      <c r="C67" s="54" t="s">
        <v>29</v>
      </c>
      <c r="D67" s="279">
        <v>115.7</v>
      </c>
      <c r="E67" s="56">
        <v>6.4709000000000003</v>
      </c>
      <c r="F67" s="57">
        <f t="shared" si="9"/>
        <v>6.4709000000000003</v>
      </c>
      <c r="G67" s="247">
        <f t="shared" si="10"/>
        <v>748.68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0">
      <c r="A68" s="892">
        <v>410</v>
      </c>
      <c r="B68" s="183" t="s">
        <v>138</v>
      </c>
      <c r="C68" s="439" t="s">
        <v>143</v>
      </c>
      <c r="D68" s="296">
        <f>май18!D62+май18!D63</f>
        <v>278.55</v>
      </c>
      <c r="E68" s="41">
        <f>6.4709-6.6914</f>
        <v>-0.22049999999999947</v>
      </c>
      <c r="F68" s="41">
        <f t="shared" si="9"/>
        <v>-0.22049999999999947</v>
      </c>
      <c r="G68" s="235">
        <f>ROUND(D68*E68,2)+0.01</f>
        <v>-61.410000000000004</v>
      </c>
      <c r="H68" s="270"/>
      <c r="I68" s="41"/>
      <c r="J68" s="41"/>
      <c r="K68" s="271"/>
      <c r="L68" s="294">
        <f>SUM(G68:G70)</f>
        <v>1514.12</v>
      </c>
      <c r="M68" s="227">
        <v>1514.12</v>
      </c>
      <c r="N68" s="274"/>
      <c r="O68" s="237"/>
      <c r="P68" s="275"/>
      <c r="Q68" s="237"/>
      <c r="R68" s="242"/>
      <c r="S68" s="266"/>
      <c r="T68" s="266"/>
    </row>
    <row r="69" spans="1:20" ht="15.75">
      <c r="A69" s="896"/>
      <c r="B69" s="192"/>
      <c r="C69" s="48" t="s">
        <v>144</v>
      </c>
      <c r="D69" s="269">
        <v>2.58</v>
      </c>
      <c r="E69" s="41">
        <v>6.4709000000000003</v>
      </c>
      <c r="F69" s="41">
        <f t="shared" si="9"/>
        <v>6.4709000000000003</v>
      </c>
      <c r="G69" s="235">
        <f t="shared" si="10"/>
        <v>16.690000000000001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0" ht="16.5" thickBot="1">
      <c r="A70" s="891"/>
      <c r="B70" s="887"/>
      <c r="C70" s="54" t="s">
        <v>29</v>
      </c>
      <c r="D70" s="279">
        <v>240.9</v>
      </c>
      <c r="E70" s="56">
        <v>6.4709000000000003</v>
      </c>
      <c r="F70" s="57">
        <f t="shared" si="9"/>
        <v>6.4709000000000003</v>
      </c>
      <c r="G70" s="247">
        <f t="shared" si="10"/>
        <v>1558.84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0">
      <c r="A71" s="892">
        <v>411</v>
      </c>
      <c r="B71" s="183" t="s">
        <v>229</v>
      </c>
      <c r="C71" s="439" t="s">
        <v>143</v>
      </c>
      <c r="D71" s="296">
        <f>май18!D65+май18!D66</f>
        <v>0</v>
      </c>
      <c r="E71" s="41">
        <f>6.4709-6.6914</f>
        <v>-0.22049999999999947</v>
      </c>
      <c r="F71" s="41">
        <f t="shared" si="9"/>
        <v>-0.22049999999999947</v>
      </c>
      <c r="G71" s="235">
        <f t="shared" si="10"/>
        <v>0</v>
      </c>
      <c r="H71" s="270"/>
      <c r="I71" s="41"/>
      <c r="J71" s="41"/>
      <c r="K71" s="271"/>
      <c r="L71" s="294">
        <f>SUM(G71:G73)</f>
        <v>52.35</v>
      </c>
      <c r="M71" s="227">
        <v>56.05</v>
      </c>
      <c r="N71" s="274"/>
      <c r="O71" s="983" t="s">
        <v>244</v>
      </c>
      <c r="P71" s="275"/>
      <c r="Q71" s="237"/>
      <c r="R71" s="242"/>
      <c r="S71" s="266"/>
      <c r="T71" s="266"/>
    </row>
    <row r="72" spans="1:20" ht="15.75">
      <c r="A72" s="896"/>
      <c r="B72" s="192"/>
      <c r="C72" s="48" t="s">
        <v>144</v>
      </c>
      <c r="D72" s="269">
        <v>0.09</v>
      </c>
      <c r="E72" s="41">
        <v>6.4709000000000003</v>
      </c>
      <c r="F72" s="41">
        <f t="shared" si="9"/>
        <v>6.4709000000000003</v>
      </c>
      <c r="G72" s="235">
        <f>ROUND(D72*E72,2)</f>
        <v>0.57999999999999996</v>
      </c>
      <c r="H72" s="270"/>
      <c r="I72" s="41"/>
      <c r="J72" s="41"/>
      <c r="K72" s="271"/>
      <c r="L72" s="272"/>
      <c r="M72" s="273"/>
      <c r="N72" s="274"/>
      <c r="O72" s="237"/>
      <c r="P72" s="275"/>
      <c r="Q72" s="237"/>
      <c r="R72" s="242"/>
      <c r="S72" s="266"/>
      <c r="T72" s="266"/>
    </row>
    <row r="73" spans="1:20" ht="16.5" thickBot="1">
      <c r="A73" s="891"/>
      <c r="B73" s="887"/>
      <c r="C73" s="54" t="s">
        <v>29</v>
      </c>
      <c r="D73" s="279">
        <v>8</v>
      </c>
      <c r="E73" s="56">
        <v>6.4709000000000003</v>
      </c>
      <c r="F73" s="57">
        <f t="shared" si="9"/>
        <v>6.4709000000000003</v>
      </c>
      <c r="G73" s="247">
        <f t="shared" si="10"/>
        <v>51.77</v>
      </c>
      <c r="H73" s="280"/>
      <c r="I73" s="281"/>
      <c r="J73" s="281"/>
      <c r="K73" s="282"/>
      <c r="L73" s="204"/>
      <c r="M73" s="250"/>
      <c r="N73" s="283"/>
      <c r="O73" s="252"/>
      <c r="P73" s="284"/>
      <c r="Q73" s="252"/>
      <c r="R73" s="242"/>
      <c r="S73" s="266"/>
      <c r="T73" s="266"/>
    </row>
    <row r="74" spans="1:20" ht="16.5" collapsed="1" thickBot="1">
      <c r="A74" s="891">
        <v>412</v>
      </c>
      <c r="B74" s="887" t="s">
        <v>58</v>
      </c>
      <c r="C74" s="54" t="s">
        <v>59</v>
      </c>
      <c r="D74" s="822">
        <v>0.25</v>
      </c>
      <c r="E74" s="21">
        <v>36.214199999999998</v>
      </c>
      <c r="F74" s="21">
        <v>42.4328</v>
      </c>
      <c r="G74" s="214">
        <f>ROUND(D74*(E74+F74),2)</f>
        <v>19.66</v>
      </c>
      <c r="H74" s="213"/>
      <c r="I74" s="41"/>
      <c r="J74" s="215"/>
      <c r="K74" s="679"/>
      <c r="L74" s="294">
        <f>SUM(G74:G78)</f>
        <v>1284.1300000000001</v>
      </c>
      <c r="M74" s="227">
        <v>1284.1300000000001</v>
      </c>
      <c r="N74" s="264"/>
      <c r="O74" s="229"/>
      <c r="P74" s="265"/>
      <c r="Q74" s="229"/>
      <c r="R74" s="242"/>
      <c r="S74" s="266"/>
      <c r="T74" s="266"/>
    </row>
    <row r="75" spans="1:20" ht="15.75">
      <c r="A75" s="896"/>
      <c r="B75" s="885"/>
      <c r="C75" s="292"/>
      <c r="D75" s="269"/>
      <c r="E75" s="38"/>
      <c r="F75" s="38"/>
      <c r="G75" s="235">
        <f>ROUND(D75*(E75+F75),2)</f>
        <v>0</v>
      </c>
      <c r="H75" s="225"/>
      <c r="I75" s="41"/>
      <c r="J75" s="194"/>
      <c r="K75" s="295"/>
      <c r="L75" s="294"/>
      <c r="M75" s="227"/>
      <c r="N75" s="264"/>
      <c r="O75" s="229"/>
      <c r="P75" s="265"/>
      <c r="Q75" s="229"/>
      <c r="R75" s="242"/>
      <c r="S75" s="266"/>
      <c r="T75" s="266"/>
    </row>
    <row r="76" spans="1:20">
      <c r="A76" s="896"/>
      <c r="B76" s="885"/>
      <c r="C76" s="48" t="s">
        <v>143</v>
      </c>
      <c r="D76" s="296">
        <f>май18!D70+май18!D71</f>
        <v>196.4</v>
      </c>
      <c r="E76" s="41">
        <f>6.4709-6.6914</f>
        <v>-0.22049999999999947</v>
      </c>
      <c r="F76" s="41">
        <f t="shared" ref="F76:F93" si="11">+E76</f>
        <v>-0.22049999999999947</v>
      </c>
      <c r="G76" s="235">
        <f>ROUND(D76*E76,2)+0.01</f>
        <v>-43.300000000000004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5.75">
      <c r="A77" s="896"/>
      <c r="B77" s="885"/>
      <c r="C77" s="48" t="s">
        <v>144</v>
      </c>
      <c r="D77" s="269">
        <v>2.1</v>
      </c>
      <c r="E77" s="41">
        <v>6.4709000000000003</v>
      </c>
      <c r="F77" s="41">
        <f t="shared" si="11"/>
        <v>6.4709000000000003</v>
      </c>
      <c r="G77" s="235">
        <f t="shared" ref="G77:G78" si="12">ROUND(D77*E77,2)</f>
        <v>13.59</v>
      </c>
      <c r="H77" s="270"/>
      <c r="I77" s="41"/>
      <c r="J77" s="41"/>
      <c r="K77" s="271"/>
      <c r="L77" s="272"/>
      <c r="M77" s="273"/>
      <c r="N77" s="274"/>
      <c r="O77" s="237"/>
      <c r="P77" s="275"/>
      <c r="Q77" s="237"/>
      <c r="R77" s="242"/>
      <c r="S77" s="266"/>
      <c r="T77" s="266"/>
    </row>
    <row r="78" spans="1:20" ht="16.5" thickBot="1">
      <c r="A78" s="891"/>
      <c r="B78" s="887"/>
      <c r="C78" s="54" t="s">
        <v>29</v>
      </c>
      <c r="D78" s="279">
        <v>200</v>
      </c>
      <c r="E78" s="56">
        <v>6.4709000000000003</v>
      </c>
      <c r="F78" s="57">
        <f t="shared" si="11"/>
        <v>6.4709000000000003</v>
      </c>
      <c r="G78" s="247">
        <f t="shared" si="12"/>
        <v>1294.18</v>
      </c>
      <c r="H78" s="280"/>
      <c r="I78" s="281"/>
      <c r="J78" s="281"/>
      <c r="K78" s="282"/>
      <c r="L78" s="204"/>
      <c r="M78" s="250"/>
      <c r="N78" s="283"/>
      <c r="O78" s="252"/>
      <c r="P78" s="284"/>
      <c r="Q78" s="252"/>
      <c r="R78" s="242"/>
      <c r="S78" s="266"/>
      <c r="T78" s="266"/>
    </row>
    <row r="79" spans="1:20" ht="15" customHeight="1">
      <c r="A79" s="892">
        <v>413</v>
      </c>
      <c r="B79" s="883" t="s">
        <v>56</v>
      </c>
      <c r="C79" s="439" t="s">
        <v>143</v>
      </c>
      <c r="D79" s="894">
        <f>май18!D73+май18!D74</f>
        <v>213.5</v>
      </c>
      <c r="E79" s="41">
        <f>6.4709-6.6914</f>
        <v>-0.22049999999999947</v>
      </c>
      <c r="F79" s="41">
        <f t="shared" si="11"/>
        <v>-0.22049999999999947</v>
      </c>
      <c r="G79" s="214">
        <f>ROUND(D79*E79,2)+0.01</f>
        <v>-47.07</v>
      </c>
      <c r="H79" s="260"/>
      <c r="I79" s="261"/>
      <c r="J79" s="261"/>
      <c r="K79" s="262"/>
      <c r="L79" s="286">
        <f>SUM(G79:G81)</f>
        <v>1006.39</v>
      </c>
      <c r="M79" s="227">
        <v>1006.39</v>
      </c>
      <c r="N79" s="264"/>
      <c r="O79" s="229"/>
      <c r="P79" s="265"/>
      <c r="Q79" s="229"/>
      <c r="R79" s="287"/>
      <c r="S79" s="288"/>
      <c r="T79" s="288"/>
    </row>
    <row r="80" spans="1:20" ht="15.75">
      <c r="A80" s="893"/>
      <c r="B80" s="885"/>
      <c r="C80" s="48" t="s">
        <v>144</v>
      </c>
      <c r="D80" s="895">
        <v>1.7</v>
      </c>
      <c r="E80" s="41">
        <v>6.4709000000000003</v>
      </c>
      <c r="F80" s="41">
        <f t="shared" si="11"/>
        <v>6.4709000000000003</v>
      </c>
      <c r="G80" s="235">
        <f t="shared" ref="G80:G84" si="13">ROUND(D80*E80,2)</f>
        <v>11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87"/>
      <c r="S80" s="288"/>
      <c r="T80" s="288"/>
    </row>
    <row r="81" spans="1:20" ht="16.5" thickBot="1">
      <c r="A81" s="891"/>
      <c r="B81" s="887"/>
      <c r="C81" s="54" t="s">
        <v>29</v>
      </c>
      <c r="D81" s="279">
        <v>161.1</v>
      </c>
      <c r="E81" s="56">
        <v>6.4709000000000003</v>
      </c>
      <c r="F81" s="57">
        <f t="shared" si="11"/>
        <v>6.4709000000000003</v>
      </c>
      <c r="G81" s="247">
        <f t="shared" si="13"/>
        <v>1042.46</v>
      </c>
      <c r="H81" s="280"/>
      <c r="I81" s="281"/>
      <c r="J81" s="281"/>
      <c r="K81" s="682"/>
      <c r="L81" s="204"/>
      <c r="M81" s="250"/>
      <c r="N81" s="283"/>
      <c r="O81" s="252"/>
      <c r="P81" s="284"/>
      <c r="Q81" s="252"/>
      <c r="R81" s="287"/>
      <c r="S81" s="288"/>
      <c r="T81" s="288"/>
    </row>
    <row r="82" spans="1:20">
      <c r="A82" s="892">
        <v>414</v>
      </c>
      <c r="B82" s="183" t="s">
        <v>179</v>
      </c>
      <c r="C82" s="439" t="s">
        <v>143</v>
      </c>
      <c r="D82" s="296">
        <f>май18!D76+май18!D77</f>
        <v>24.46</v>
      </c>
      <c r="E82" s="41">
        <f>6.4709-6.6914</f>
        <v>-0.22049999999999947</v>
      </c>
      <c r="F82" s="41">
        <f t="shared" si="11"/>
        <v>-0.22049999999999947</v>
      </c>
      <c r="G82" s="235">
        <f>ROUND(D82*E82,2)</f>
        <v>-5.39</v>
      </c>
      <c r="H82" s="270"/>
      <c r="I82" s="41"/>
      <c r="J82" s="41"/>
      <c r="K82" s="271"/>
      <c r="L82" s="294">
        <f>SUM(G82:G84)</f>
        <v>37.120000000000005</v>
      </c>
      <c r="M82" s="227">
        <v>37.119999999999997</v>
      </c>
      <c r="N82" s="274"/>
      <c r="O82" s="237"/>
      <c r="P82" s="275"/>
      <c r="Q82" s="237"/>
      <c r="R82" s="242"/>
      <c r="S82" s="266"/>
      <c r="T82" s="266"/>
    </row>
    <row r="83" spans="1:20" ht="15.75">
      <c r="A83" s="896"/>
      <c r="B83" s="192"/>
      <c r="C83" s="48" t="s">
        <v>144</v>
      </c>
      <c r="D83" s="269">
        <v>7.0000000000000007E-2</v>
      </c>
      <c r="E83" s="41">
        <v>6.4709000000000003</v>
      </c>
      <c r="F83" s="41">
        <f t="shared" si="11"/>
        <v>6.4709000000000003</v>
      </c>
      <c r="G83" s="235">
        <f t="shared" si="13"/>
        <v>0.45</v>
      </c>
      <c r="H83" s="270"/>
      <c r="I83" s="41"/>
      <c r="J83" s="41"/>
      <c r="K83" s="271"/>
      <c r="L83" s="272"/>
      <c r="M83" s="273"/>
      <c r="N83" s="274"/>
      <c r="O83" s="237"/>
      <c r="P83" s="275"/>
      <c r="Q83" s="237"/>
      <c r="R83" s="242"/>
      <c r="S83" s="266"/>
      <c r="T83" s="266"/>
    </row>
    <row r="84" spans="1:20" ht="16.5" thickBot="1">
      <c r="A84" s="891"/>
      <c r="B84" s="887"/>
      <c r="C84" s="99" t="s">
        <v>29</v>
      </c>
      <c r="D84" s="279">
        <v>6.5</v>
      </c>
      <c r="E84" s="56">
        <v>6.4709000000000003</v>
      </c>
      <c r="F84" s="57">
        <f t="shared" si="11"/>
        <v>6.4709000000000003</v>
      </c>
      <c r="G84" s="247">
        <f t="shared" si="13"/>
        <v>42.06</v>
      </c>
      <c r="H84" s="280"/>
      <c r="I84" s="281"/>
      <c r="J84" s="281"/>
      <c r="K84" s="282"/>
      <c r="L84" s="204"/>
      <c r="M84" s="250"/>
      <c r="N84" s="283"/>
      <c r="O84" s="252"/>
      <c r="P84" s="284"/>
      <c r="Q84" s="252"/>
      <c r="R84" s="242"/>
      <c r="S84" s="266"/>
      <c r="T84" s="266"/>
    </row>
    <row r="85" spans="1:20" collapsed="1">
      <c r="A85" s="892">
        <v>415</v>
      </c>
      <c r="B85" s="183" t="s">
        <v>166</v>
      </c>
      <c r="C85" s="439" t="s">
        <v>143</v>
      </c>
      <c r="D85" s="296">
        <f>май18!D79+май18!D80</f>
        <v>196.99</v>
      </c>
      <c r="E85" s="41">
        <f>6.4709-6.6914</f>
        <v>-0.22049999999999947</v>
      </c>
      <c r="F85" s="41">
        <f t="shared" si="11"/>
        <v>-0.22049999999999947</v>
      </c>
      <c r="G85" s="235">
        <f>ROUND(D85*E85,2)</f>
        <v>-43.44</v>
      </c>
      <c r="H85" s="270"/>
      <c r="I85" s="41"/>
      <c r="J85" s="41"/>
      <c r="K85" s="271"/>
      <c r="L85" s="294">
        <f>SUM(G85:G87)</f>
        <v>1104.3700000000001</v>
      </c>
      <c r="M85" s="227">
        <v>1104.3699999999999</v>
      </c>
      <c r="N85" s="274"/>
      <c r="O85" s="237"/>
      <c r="P85" s="275"/>
      <c r="Q85" s="237"/>
      <c r="R85" s="242"/>
      <c r="S85" s="266"/>
      <c r="T85" s="266"/>
    </row>
    <row r="86" spans="1:20" ht="15.75">
      <c r="A86" s="896"/>
      <c r="B86" s="192"/>
      <c r="C86" s="48" t="s">
        <v>144</v>
      </c>
      <c r="D86" s="269">
        <v>1.88</v>
      </c>
      <c r="E86" s="41">
        <v>6.4709000000000003</v>
      </c>
      <c r="F86" s="41">
        <f t="shared" si="11"/>
        <v>6.4709000000000003</v>
      </c>
      <c r="G86" s="235">
        <f t="shared" ref="G86:G87" si="14">ROUND(D86*E86,2)</f>
        <v>12.17</v>
      </c>
      <c r="H86" s="270"/>
      <c r="I86" s="41"/>
      <c r="J86" s="41"/>
      <c r="K86" s="271"/>
      <c r="L86" s="272"/>
      <c r="M86" s="273"/>
      <c r="N86" s="274"/>
      <c r="O86" s="237"/>
      <c r="P86" s="275"/>
      <c r="Q86" s="237"/>
      <c r="R86" s="242"/>
      <c r="S86" s="266"/>
      <c r="T86" s="266"/>
    </row>
    <row r="87" spans="1:20" ht="16.5" thickBot="1">
      <c r="A87" s="891"/>
      <c r="B87" s="887"/>
      <c r="C87" s="54" t="s">
        <v>29</v>
      </c>
      <c r="D87" s="279">
        <v>175.5</v>
      </c>
      <c r="E87" s="56">
        <v>6.4709000000000003</v>
      </c>
      <c r="F87" s="57">
        <f t="shared" si="11"/>
        <v>6.4709000000000003</v>
      </c>
      <c r="G87" s="247">
        <f t="shared" si="14"/>
        <v>1135.6400000000001</v>
      </c>
      <c r="H87" s="280"/>
      <c r="I87" s="281"/>
      <c r="J87" s="281"/>
      <c r="K87" s="282"/>
      <c r="L87" s="204"/>
      <c r="M87" s="250"/>
      <c r="N87" s="283"/>
      <c r="O87" s="252"/>
      <c r="P87" s="284"/>
      <c r="Q87" s="252"/>
      <c r="R87" s="242"/>
      <c r="S87" s="266"/>
      <c r="T87" s="266"/>
    </row>
    <row r="88" spans="1:20">
      <c r="A88" s="892">
        <v>416</v>
      </c>
      <c r="B88" s="183" t="s">
        <v>173</v>
      </c>
      <c r="C88" s="439" t="s">
        <v>143</v>
      </c>
      <c r="D88" s="296">
        <f>май18!D82+май18!D83</f>
        <v>397.71</v>
      </c>
      <c r="E88" s="41">
        <f>6.4709-6.6914</f>
        <v>-0.22049999999999947</v>
      </c>
      <c r="F88" s="41">
        <f t="shared" si="11"/>
        <v>-0.22049999999999947</v>
      </c>
      <c r="G88" s="235">
        <f>ROUND(D88*E88,2)</f>
        <v>-87.7</v>
      </c>
      <c r="H88" s="270"/>
      <c r="I88" s="41"/>
      <c r="J88" s="41"/>
      <c r="K88" s="271"/>
      <c r="L88" s="294">
        <f>SUM(G88:G90)</f>
        <v>2806.2799999999997</v>
      </c>
      <c r="M88" s="227">
        <v>2806.28</v>
      </c>
      <c r="N88" s="274"/>
      <c r="O88" s="237"/>
      <c r="P88" s="275"/>
      <c r="Q88" s="237"/>
      <c r="R88" s="242"/>
      <c r="S88" s="266"/>
      <c r="T88" s="266"/>
    </row>
    <row r="89" spans="1:20" ht="15.75">
      <c r="A89" s="896"/>
      <c r="B89" s="192"/>
      <c r="C89" s="48" t="s">
        <v>144</v>
      </c>
      <c r="D89" s="269">
        <v>4.7300000000000004</v>
      </c>
      <c r="E89" s="41">
        <v>6.4709000000000003</v>
      </c>
      <c r="F89" s="41">
        <f t="shared" si="11"/>
        <v>6.4709000000000003</v>
      </c>
      <c r="G89" s="235">
        <f>ROUND(D89*E89,2)</f>
        <v>30.61</v>
      </c>
      <c r="H89" s="270"/>
      <c r="I89" s="41"/>
      <c r="J89" s="41"/>
      <c r="K89" s="271"/>
      <c r="L89" s="272"/>
      <c r="M89" s="273"/>
      <c r="N89" s="274"/>
      <c r="O89" s="237"/>
      <c r="P89" s="275"/>
      <c r="Q89" s="237"/>
      <c r="R89" s="242"/>
      <c r="S89" s="266"/>
      <c r="T89" s="266"/>
    </row>
    <row r="90" spans="1:20" ht="16.5" thickBot="1">
      <c r="A90" s="891"/>
      <c r="B90" s="887"/>
      <c r="C90" s="54" t="s">
        <v>29</v>
      </c>
      <c r="D90" s="279">
        <v>442.5</v>
      </c>
      <c r="E90" s="56">
        <v>6.4709000000000003</v>
      </c>
      <c r="F90" s="57">
        <f t="shared" si="11"/>
        <v>6.4709000000000003</v>
      </c>
      <c r="G90" s="247">
        <f>ROUND(D90*E90,2)</f>
        <v>2863.37</v>
      </c>
      <c r="H90" s="280"/>
      <c r="I90" s="281"/>
      <c r="J90" s="281"/>
      <c r="K90" s="282"/>
      <c r="L90" s="204"/>
      <c r="M90" s="250"/>
      <c r="N90" s="283"/>
      <c r="O90" s="252"/>
      <c r="P90" s="284"/>
      <c r="Q90" s="252"/>
      <c r="R90" s="242"/>
      <c r="S90" s="266"/>
      <c r="T90" s="266"/>
    </row>
    <row r="91" spans="1:20">
      <c r="A91" s="892">
        <v>417</v>
      </c>
      <c r="B91" s="183" t="s">
        <v>174</v>
      </c>
      <c r="C91" s="439" t="s">
        <v>143</v>
      </c>
      <c r="D91" s="296">
        <f>май18!D85+май18!D86</f>
        <v>204.97</v>
      </c>
      <c r="E91" s="41">
        <f>6.4709-6.6914</f>
        <v>-0.22049999999999947</v>
      </c>
      <c r="F91" s="41">
        <f t="shared" si="11"/>
        <v>-0.22049999999999947</v>
      </c>
      <c r="G91" s="235">
        <f>ROUND(D91*E91,2)</f>
        <v>-45.2</v>
      </c>
      <c r="H91" s="270"/>
      <c r="I91" s="41"/>
      <c r="J91" s="41"/>
      <c r="K91" s="271"/>
      <c r="L91" s="294">
        <f>SUM(G91:G93)</f>
        <v>980.94999999999993</v>
      </c>
      <c r="M91" s="227">
        <v>980.95</v>
      </c>
      <c r="N91" s="274"/>
      <c r="O91" s="237"/>
      <c r="P91" s="275"/>
      <c r="Q91" s="237"/>
      <c r="R91" s="242"/>
      <c r="S91" s="266"/>
      <c r="T91" s="266"/>
    </row>
    <row r="92" spans="1:20" ht="15.75">
      <c r="A92" s="896"/>
      <c r="B92" s="192"/>
      <c r="C92" s="48" t="s">
        <v>144</v>
      </c>
      <c r="D92" s="269">
        <v>1.68</v>
      </c>
      <c r="E92" s="41">
        <v>6.4709000000000003</v>
      </c>
      <c r="F92" s="41">
        <f t="shared" si="11"/>
        <v>6.4709000000000003</v>
      </c>
      <c r="G92" s="235">
        <f t="shared" ref="G92:G93" si="15">ROUND(D92*E92,2)</f>
        <v>10.87</v>
      </c>
      <c r="H92" s="270"/>
      <c r="I92" s="41"/>
      <c r="J92" s="41"/>
      <c r="K92" s="271"/>
      <c r="L92" s="272"/>
      <c r="M92" s="273"/>
      <c r="N92" s="274"/>
      <c r="O92" s="237"/>
      <c r="P92" s="275"/>
      <c r="Q92" s="237"/>
      <c r="R92" s="242"/>
      <c r="S92" s="266"/>
      <c r="T92" s="266"/>
    </row>
    <row r="93" spans="1:20" ht="16.5" thickBot="1">
      <c r="A93" s="891"/>
      <c r="B93" s="202"/>
      <c r="C93" s="54" t="s">
        <v>29</v>
      </c>
      <c r="D93" s="279">
        <v>156.9</v>
      </c>
      <c r="E93" s="56">
        <v>6.4709000000000003</v>
      </c>
      <c r="F93" s="57">
        <f t="shared" si="11"/>
        <v>6.4709000000000003</v>
      </c>
      <c r="G93" s="247">
        <f t="shared" si="15"/>
        <v>1015.28</v>
      </c>
      <c r="H93" s="280"/>
      <c r="I93" s="281"/>
      <c r="J93" s="281"/>
      <c r="K93" s="282"/>
      <c r="L93" s="204"/>
      <c r="M93" s="250"/>
      <c r="N93" s="283"/>
      <c r="O93" s="252"/>
      <c r="P93" s="284"/>
      <c r="Q93" s="252"/>
      <c r="R93" s="242"/>
      <c r="S93" s="266"/>
      <c r="T93" s="266"/>
    </row>
    <row r="94" spans="1:20" ht="15.75">
      <c r="A94" s="892">
        <v>500</v>
      </c>
      <c r="B94" s="883" t="s">
        <v>55</v>
      </c>
      <c r="C94" s="439" t="s">
        <v>143</v>
      </c>
      <c r="D94" s="259">
        <f>май18!D88+май18!D89</f>
        <v>2999.05</v>
      </c>
      <c r="E94" s="41">
        <f>6.4709-6.6914</f>
        <v>-0.22049999999999947</v>
      </c>
      <c r="F94" s="41">
        <f t="shared" si="9"/>
        <v>-0.22049999999999947</v>
      </c>
      <c r="G94" s="214">
        <f>ROUND(D94*E94,2)</f>
        <v>-661.29</v>
      </c>
      <c r="H94" s="260"/>
      <c r="I94" s="261"/>
      <c r="J94" s="261"/>
      <c r="K94" s="262"/>
      <c r="L94" s="263">
        <f>SUM(G94:G96)</f>
        <v>15695.59</v>
      </c>
      <c r="M94" s="187">
        <v>15695.59</v>
      </c>
      <c r="N94" s="264"/>
      <c r="O94" s="229"/>
      <c r="P94" s="265"/>
      <c r="Q94" s="229"/>
      <c r="R94" s="242"/>
      <c r="S94" s="266"/>
      <c r="T94" s="266"/>
    </row>
    <row r="95" spans="1:20" ht="15.75">
      <c r="A95" s="893" t="s">
        <v>197</v>
      </c>
      <c r="B95" s="885"/>
      <c r="C95" s="48" t="s">
        <v>144</v>
      </c>
      <c r="D95" s="269">
        <v>26.76</v>
      </c>
      <c r="E95" s="41">
        <v>6.4709000000000003</v>
      </c>
      <c r="F95" s="41">
        <f t="shared" si="9"/>
        <v>6.4709000000000003</v>
      </c>
      <c r="G95" s="235">
        <f>ROUND(D95*E95,2)</f>
        <v>173.16</v>
      </c>
      <c r="H95" s="270"/>
      <c r="I95" s="41"/>
      <c r="J95" s="41"/>
      <c r="K95" s="271"/>
      <c r="L95" s="272"/>
      <c r="M95" s="273"/>
      <c r="N95" s="274"/>
      <c r="O95" s="237"/>
      <c r="P95" s="275"/>
      <c r="Q95" s="237"/>
      <c r="R95" s="242"/>
      <c r="S95" s="266"/>
      <c r="T95" s="266"/>
    </row>
    <row r="96" spans="1:20" ht="16.5" thickBot="1">
      <c r="A96" s="891"/>
      <c r="B96" s="887"/>
      <c r="C96" s="54" t="s">
        <v>29</v>
      </c>
      <c r="D96" s="279">
        <v>2501</v>
      </c>
      <c r="E96" s="56">
        <v>6.4709000000000003</v>
      </c>
      <c r="F96" s="57">
        <f t="shared" si="9"/>
        <v>6.4709000000000003</v>
      </c>
      <c r="G96" s="247">
        <f t="shared" ref="G96" si="16">ROUND(D96*E96,2)</f>
        <v>16183.72</v>
      </c>
      <c r="H96" s="280"/>
      <c r="I96" s="281"/>
      <c r="J96" s="281"/>
      <c r="K96" s="282"/>
      <c r="L96" s="204"/>
      <c r="M96" s="250"/>
      <c r="N96" s="283"/>
      <c r="O96" s="252"/>
      <c r="P96" s="284"/>
      <c r="Q96" s="252"/>
      <c r="R96" s="242"/>
      <c r="S96" s="266"/>
      <c r="T96" s="266"/>
    </row>
    <row r="97" spans="1:21" ht="16.5" hidden="1" outlineLevel="1" thickBot="1">
      <c r="A97" s="892"/>
      <c r="B97" s="883" t="s">
        <v>57</v>
      </c>
      <c r="C97" s="439"/>
      <c r="D97" s="259"/>
      <c r="E97" s="21">
        <v>36.214199999999998</v>
      </c>
      <c r="F97" s="21">
        <v>42.4328</v>
      </c>
      <c r="G97" s="214">
        <f>ROUND(D97*(E97+F97),2)</f>
        <v>0</v>
      </c>
      <c r="H97" s="213">
        <v>0</v>
      </c>
      <c r="I97">
        <v>22.478999999999999</v>
      </c>
      <c r="J97" s="215">
        <f t="shared" ref="J97" si="17">H97*I97</f>
        <v>0</v>
      </c>
      <c r="K97" s="679">
        <v>42705</v>
      </c>
      <c r="L97" s="294">
        <f>SUM(G97:G101)+J97+J99</f>
        <v>0</v>
      </c>
      <c r="M97" s="227"/>
      <c r="N97" s="264"/>
      <c r="O97" s="229"/>
      <c r="P97" s="265"/>
      <c r="Q97" s="229"/>
      <c r="R97" s="242"/>
      <c r="S97" s="266"/>
      <c r="T97" s="266"/>
    </row>
    <row r="98" spans="1:21" ht="16.5" hidden="1" outlineLevel="1" thickBot="1">
      <c r="A98" s="891"/>
      <c r="B98" s="887"/>
      <c r="C98" s="54"/>
      <c r="D98" s="269"/>
      <c r="E98" s="38">
        <f>32.332-28.8628</f>
        <v>3.4692000000000007</v>
      </c>
      <c r="F98" s="38">
        <f>37.8898-33.8306</f>
        <v>4.0592000000000041</v>
      </c>
      <c r="G98" s="235">
        <f>ROUND(D98*(E98+F98),2)</f>
        <v>0</v>
      </c>
      <c r="H98" s="225"/>
      <c r="J98" s="194"/>
      <c r="K98" s="683"/>
      <c r="L98" s="294"/>
      <c r="M98" s="227"/>
      <c r="N98" s="264"/>
      <c r="O98" s="229"/>
      <c r="P98" s="265"/>
      <c r="Q98" s="229"/>
      <c r="R98" s="242"/>
      <c r="S98" s="266"/>
      <c r="T98" s="266"/>
    </row>
    <row r="99" spans="1:21" ht="15.75" hidden="1" outlineLevel="1" thickBot="1">
      <c r="A99" s="892"/>
      <c r="B99" s="883"/>
      <c r="C99" s="439" t="s">
        <v>170</v>
      </c>
      <c r="D99" s="296"/>
      <c r="E99" s="41">
        <f>7.0207-6.6426</f>
        <v>0.37809999999999988</v>
      </c>
      <c r="F99" s="41">
        <f>+E99</f>
        <v>0.37809999999999988</v>
      </c>
      <c r="G99" s="235">
        <f>ROUND(D99*E99,2)</f>
        <v>0</v>
      </c>
      <c r="H99" s="270"/>
      <c r="I99" s="41"/>
      <c r="J99" s="41"/>
      <c r="K99" s="684"/>
      <c r="L99" s="272"/>
      <c r="M99" s="273"/>
      <c r="N99" s="274"/>
      <c r="O99" s="237"/>
      <c r="P99" s="275"/>
      <c r="Q99" s="237"/>
      <c r="R99" s="242"/>
      <c r="S99" s="266"/>
      <c r="T99" s="266"/>
    </row>
    <row r="100" spans="1:21" ht="16.5" hidden="1" outlineLevel="1" thickBot="1">
      <c r="A100" s="891"/>
      <c r="B100" s="887"/>
      <c r="C100" s="54" t="s">
        <v>171</v>
      </c>
      <c r="D100" s="269"/>
      <c r="E100" s="41">
        <v>7.0206999999999997</v>
      </c>
      <c r="F100" s="41">
        <f>+E100</f>
        <v>7.0206999999999997</v>
      </c>
      <c r="G100" s="235">
        <f>ROUND(D100*E100,2)</f>
        <v>0</v>
      </c>
      <c r="H100" s="270"/>
      <c r="I100" s="41"/>
      <c r="J100" s="41"/>
      <c r="K100" s="684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1" ht="16.5" hidden="1" outlineLevel="1" thickBot="1">
      <c r="A101" s="892"/>
      <c r="B101" s="883"/>
      <c r="C101" s="439" t="s">
        <v>29</v>
      </c>
      <c r="D101" s="279"/>
      <c r="E101" s="56">
        <v>7.0206999999999997</v>
      </c>
      <c r="F101" s="57">
        <f>+E101</f>
        <v>7.0206999999999997</v>
      </c>
      <c r="G101" s="247">
        <f>ROUND(D101*E101,2)</f>
        <v>0</v>
      </c>
      <c r="H101" s="280"/>
      <c r="I101" s="281"/>
      <c r="J101" s="281"/>
      <c r="K101" s="6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1" ht="15.75" hidden="1" outlineLevel="1" thickBot="1">
      <c r="A102" s="892"/>
      <c r="B102" s="183" t="s">
        <v>145</v>
      </c>
      <c r="C102" s="439" t="s">
        <v>170</v>
      </c>
      <c r="D102" s="296"/>
      <c r="E102" s="41">
        <f>7.0207-6.6426</f>
        <v>0.37809999999999988</v>
      </c>
      <c r="F102" s="41">
        <f t="shared" ref="F102:F104" si="18">+E102</f>
        <v>0.37809999999999988</v>
      </c>
      <c r="G102" s="235">
        <f>ROUND(D102*E102,2)</f>
        <v>0</v>
      </c>
      <c r="H102" s="270"/>
      <c r="I102" s="41"/>
      <c r="J102" s="41"/>
      <c r="K102" s="271"/>
      <c r="L102" s="294">
        <f>SUM(G102:G104)</f>
        <v>0</v>
      </c>
      <c r="M102" s="227"/>
      <c r="N102" s="274"/>
      <c r="O102" s="237"/>
      <c r="P102" s="275"/>
      <c r="Q102" s="237"/>
      <c r="R102" s="242"/>
      <c r="S102" s="266"/>
      <c r="T102" s="266"/>
    </row>
    <row r="103" spans="1:21" ht="16.5" hidden="1" outlineLevel="1" thickBot="1">
      <c r="A103" s="891"/>
      <c r="B103" s="887"/>
      <c r="C103" s="54" t="s">
        <v>171</v>
      </c>
      <c r="D103" s="269"/>
      <c r="E103" s="41">
        <v>7.0206999999999997</v>
      </c>
      <c r="F103" s="41">
        <f t="shared" si="18"/>
        <v>7.0206999999999997</v>
      </c>
      <c r="G103" s="235">
        <f t="shared" ref="G103:G104" si="19">ROUND(D103*E103,2)</f>
        <v>0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1" ht="16.5" hidden="1" outlineLevel="1" thickBot="1">
      <c r="A104" s="892"/>
      <c r="B104" s="183"/>
      <c r="C104" s="439" t="s">
        <v>29</v>
      </c>
      <c r="D104" s="279"/>
      <c r="E104" s="56">
        <v>7.0206999999999997</v>
      </c>
      <c r="F104" s="57">
        <f t="shared" si="18"/>
        <v>7.0206999999999997</v>
      </c>
      <c r="G104" s="247">
        <f t="shared" si="19"/>
        <v>0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1" ht="16.5" collapsed="1" thickTop="1">
      <c r="A105" s="898"/>
      <c r="B105" s="321"/>
      <c r="C105" s="322"/>
      <c r="D105" s="323"/>
      <c r="E105" s="163"/>
      <c r="F105" s="324"/>
      <c r="G105" s="325"/>
      <c r="H105" s="163"/>
      <c r="I105" s="163"/>
      <c r="J105" s="163"/>
      <c r="K105" s="163"/>
      <c r="L105" s="163"/>
      <c r="M105" s="326"/>
      <c r="N105" s="327"/>
      <c r="O105" s="328"/>
      <c r="P105" s="329"/>
      <c r="Q105" s="328"/>
      <c r="R105" s="330"/>
      <c r="S105" s="331"/>
      <c r="T105" s="266"/>
    </row>
    <row r="106" spans="1:21" ht="21.75" thickBot="1">
      <c r="A106" s="171" t="s">
        <v>60</v>
      </c>
      <c r="B106" s="2"/>
      <c r="C106" s="3"/>
      <c r="D106" s="2"/>
      <c r="E106" s="2"/>
      <c r="F106" s="2"/>
      <c r="G106" s="332"/>
      <c r="H106" s="332"/>
      <c r="I106" s="332"/>
      <c r="J106" s="2"/>
      <c r="K106" s="2"/>
      <c r="L106" s="2"/>
      <c r="M106" s="3"/>
      <c r="N106" s="2"/>
      <c r="O106" s="2"/>
      <c r="P106" s="2"/>
      <c r="Q106" s="2"/>
      <c r="R106" s="2"/>
      <c r="S106" s="2"/>
    </row>
    <row r="107" spans="1:21" ht="15" customHeight="1" thickTop="1">
      <c r="A107" s="1553" t="s">
        <v>1</v>
      </c>
      <c r="B107" s="1516" t="s">
        <v>2</v>
      </c>
      <c r="C107" s="1518" t="s">
        <v>3</v>
      </c>
      <c r="D107" s="1532" t="s">
        <v>4</v>
      </c>
      <c r="E107" s="1532"/>
      <c r="F107" s="1532"/>
      <c r="G107" s="1532"/>
      <c r="H107" s="1533" t="s">
        <v>5</v>
      </c>
      <c r="I107" s="1534"/>
      <c r="J107" s="1534"/>
      <c r="K107" s="1534"/>
      <c r="L107" s="1524" t="s">
        <v>6</v>
      </c>
      <c r="M107" s="1537" t="s">
        <v>7</v>
      </c>
      <c r="N107" s="1538" t="s">
        <v>8</v>
      </c>
      <c r="O107" s="1538"/>
      <c r="P107" s="1538"/>
      <c r="Q107" s="1539"/>
      <c r="R107" s="5"/>
      <c r="S107" s="5"/>
      <c r="T107" s="5" t="s">
        <v>61</v>
      </c>
      <c r="U107" t="s">
        <v>21</v>
      </c>
    </row>
    <row r="108" spans="1:21" ht="27" customHeight="1" thickBot="1">
      <c r="A108" s="1531"/>
      <c r="B108" s="1517"/>
      <c r="C108" s="1519" t="s">
        <v>10</v>
      </c>
      <c r="D108" s="333" t="s">
        <v>11</v>
      </c>
      <c r="E108" s="7" t="s">
        <v>12</v>
      </c>
      <c r="F108" s="7" t="s">
        <v>13</v>
      </c>
      <c r="G108" s="334" t="s">
        <v>14</v>
      </c>
      <c r="H108" s="335" t="s">
        <v>11</v>
      </c>
      <c r="I108" s="333" t="s">
        <v>15</v>
      </c>
      <c r="J108" s="336" t="s">
        <v>14</v>
      </c>
      <c r="K108" s="11" t="s">
        <v>16</v>
      </c>
      <c r="L108" s="1525"/>
      <c r="M108" s="1511"/>
      <c r="N108" s="337" t="s">
        <v>62</v>
      </c>
      <c r="O108" s="338" t="s">
        <v>44</v>
      </c>
      <c r="P108" s="13" t="s">
        <v>18</v>
      </c>
      <c r="Q108" s="14" t="s">
        <v>19</v>
      </c>
    </row>
    <row r="109" spans="1:21" ht="14.25" customHeight="1">
      <c r="A109" s="339" t="s">
        <v>63</v>
      </c>
      <c r="B109" s="18" t="s">
        <v>64</v>
      </c>
      <c r="C109" s="71"/>
      <c r="D109" s="340">
        <v>48</v>
      </c>
      <c r="E109" s="21">
        <v>36.214199999999998</v>
      </c>
      <c r="F109" s="21">
        <v>42.4328</v>
      </c>
      <c r="G109" s="185">
        <f>ROUND(D109*(E109+F109),2)</f>
        <v>3775.06</v>
      </c>
      <c r="H109" s="184"/>
      <c r="I109" s="23"/>
      <c r="J109" s="341"/>
      <c r="K109" s="342"/>
      <c r="L109" s="343">
        <f>SUM(G109:G114,J109:J113)</f>
        <v>283538.60000000003</v>
      </c>
      <c r="M109" s="344">
        <v>283538.59999999998</v>
      </c>
      <c r="N109" s="345"/>
      <c r="O109" s="346">
        <v>7157.88</v>
      </c>
      <c r="P109" s="347" t="s">
        <v>24</v>
      </c>
      <c r="Q109" s="348">
        <f t="shared" ref="Q109:Q175" si="20">C109+G109+J109-M109-N109-O109</f>
        <v>-286921.42</v>
      </c>
      <c r="R109" s="349" t="s">
        <v>65</v>
      </c>
      <c r="S109" s="350" t="s">
        <v>20</v>
      </c>
      <c r="T109" s="351" t="s">
        <v>21</v>
      </c>
      <c r="U109" s="352">
        <f>+L109-M109+C109</f>
        <v>5.8207660913467407E-11</v>
      </c>
    </row>
    <row r="110" spans="1:21" ht="14.25" customHeight="1">
      <c r="A110" s="353"/>
      <c r="B110" s="35"/>
      <c r="C110" s="84" t="s">
        <v>26</v>
      </c>
      <c r="D110" s="37"/>
      <c r="E110" s="38"/>
      <c r="F110" s="38"/>
      <c r="G110" s="39">
        <f>ROUND(D110*(E110+F110),2)</f>
        <v>0</v>
      </c>
      <c r="H110" s="49"/>
      <c r="I110" s="271"/>
      <c r="J110" s="101"/>
      <c r="K110" s="354"/>
      <c r="L110" s="355"/>
      <c r="M110" s="356"/>
      <c r="N110" s="357"/>
      <c r="O110" s="358"/>
      <c r="P110" s="359"/>
      <c r="Q110" s="358"/>
      <c r="R110" s="349"/>
      <c r="S110" s="350"/>
      <c r="T110" s="351"/>
      <c r="U110" s="352"/>
    </row>
    <row r="111" spans="1:21">
      <c r="A111" s="353"/>
      <c r="B111" s="35"/>
      <c r="C111" s="48"/>
      <c r="D111" s="49"/>
      <c r="E111" s="41"/>
      <c r="F111" s="41"/>
      <c r="G111" s="50">
        <f>ROUND(D111*E111*70%+D111*F111*30%,2)</f>
        <v>0</v>
      </c>
      <c r="H111" s="49"/>
      <c r="I111" s="271"/>
      <c r="J111" s="41"/>
      <c r="K111" s="354"/>
      <c r="L111" s="355"/>
      <c r="M111" s="356"/>
      <c r="N111" s="357"/>
      <c r="O111" s="358"/>
      <c r="P111" s="359"/>
      <c r="Q111" s="358"/>
      <c r="R111" s="349"/>
      <c r="S111" s="350"/>
      <c r="T111" s="351"/>
      <c r="U111" s="352"/>
    </row>
    <row r="112" spans="1:21">
      <c r="A112" s="353"/>
      <c r="B112" s="35"/>
      <c r="C112" s="48" t="s">
        <v>143</v>
      </c>
      <c r="D112" s="49"/>
      <c r="E112" s="41"/>
      <c r="F112" s="38"/>
      <c r="G112" s="50">
        <f>ROUND(+D112*E112,2)</f>
        <v>0</v>
      </c>
      <c r="H112" s="49"/>
      <c r="I112" s="271"/>
      <c r="J112" s="41"/>
      <c r="K112" s="354"/>
      <c r="L112" s="355"/>
      <c r="M112" s="356"/>
      <c r="N112" s="357"/>
      <c r="O112" s="358"/>
      <c r="P112" s="359"/>
      <c r="Q112" s="358"/>
      <c r="R112" s="349"/>
      <c r="S112" s="350"/>
      <c r="T112" s="351"/>
      <c r="U112" s="352"/>
    </row>
    <row r="113" spans="1:21">
      <c r="A113" s="353"/>
      <c r="B113" s="35"/>
      <c r="C113" s="48" t="s">
        <v>144</v>
      </c>
      <c r="D113" s="49">
        <f>67+23+10</f>
        <v>100</v>
      </c>
      <c r="E113" s="41">
        <v>6.6997999999999998</v>
      </c>
      <c r="F113" s="41">
        <f>+E113</f>
        <v>6.6997999999999998</v>
      </c>
      <c r="G113" s="50">
        <f>ROUND(D113*E113,2)-0.01</f>
        <v>669.97</v>
      </c>
      <c r="H113" s="361"/>
      <c r="I113" s="362"/>
      <c r="J113" s="207"/>
      <c r="K113" s="363"/>
      <c r="L113" s="364"/>
      <c r="M113" s="365"/>
      <c r="N113" s="366"/>
      <c r="O113" s="367"/>
      <c r="P113" s="368"/>
      <c r="Q113" s="358"/>
      <c r="R113" s="349"/>
      <c r="S113" s="350"/>
      <c r="T113" s="351"/>
      <c r="U113" s="352"/>
    </row>
    <row r="114" spans="1:21" ht="15.75" thickBot="1">
      <c r="A114" s="369"/>
      <c r="B114" s="53" t="s">
        <v>66</v>
      </c>
      <c r="C114" s="99" t="s">
        <v>29</v>
      </c>
      <c r="D114" s="55">
        <f>27827+9510+4320</f>
        <v>41657</v>
      </c>
      <c r="E114" s="56">
        <v>6.6997999999999998</v>
      </c>
      <c r="F114" s="370">
        <f>+E114</f>
        <v>6.6997999999999998</v>
      </c>
      <c r="G114" s="58">
        <f>ROUND(D114*E114,2)</f>
        <v>279093.57</v>
      </c>
      <c r="H114" s="248"/>
      <c r="I114" s="203"/>
      <c r="J114" s="60"/>
      <c r="K114" s="203"/>
      <c r="L114" s="204"/>
      <c r="M114" s="371"/>
      <c r="N114" s="372"/>
      <c r="O114" s="373">
        <v>165882.5</v>
      </c>
      <c r="P114" s="374" t="s">
        <v>24</v>
      </c>
      <c r="Q114" s="373">
        <f>G114+J114-M114-N114-O114</f>
        <v>113211.07</v>
      </c>
      <c r="R114" s="349" t="s">
        <v>65</v>
      </c>
      <c r="S114" s="375">
        <f>SUM(O109:O114)</f>
        <v>173040.38</v>
      </c>
      <c r="T114" s="375">
        <f>SUM(Q109:Q114)</f>
        <v>-173710.34999999998</v>
      </c>
    </row>
    <row r="115" spans="1:21" s="81" customFormat="1" ht="15" customHeight="1">
      <c r="A115" s="437">
        <v>101</v>
      </c>
      <c r="B115" s="438" t="s">
        <v>82</v>
      </c>
      <c r="C115" s="377" t="s">
        <v>73</v>
      </c>
      <c r="D115" s="378">
        <v>24</v>
      </c>
      <c r="E115" s="21">
        <v>36.214199999999998</v>
      </c>
      <c r="F115" s="21">
        <v>42.4328</v>
      </c>
      <c r="G115" s="22">
        <f>+D115*(E115+F115)</f>
        <v>1887.5279999999998</v>
      </c>
      <c r="H115" s="303"/>
      <c r="I115" s="381"/>
      <c r="J115" s="381"/>
      <c r="K115" s="342"/>
      <c r="L115" s="263">
        <f>SUM(G115:G119,J115:J119)</f>
        <v>76025.678</v>
      </c>
      <c r="M115" s="26">
        <v>76025.679999999993</v>
      </c>
      <c r="N115" s="421"/>
      <c r="O115" s="77"/>
      <c r="P115" s="77"/>
      <c r="Q115" s="384"/>
      <c r="R115" s="422"/>
      <c r="S115" s="399"/>
      <c r="T115" s="399"/>
    </row>
    <row r="116" spans="1:21" s="81" customFormat="1" ht="15" customHeight="1">
      <c r="A116" s="441"/>
      <c r="B116" s="442"/>
      <c r="C116" s="36" t="s">
        <v>26</v>
      </c>
      <c r="D116" s="37"/>
      <c r="E116" s="38"/>
      <c r="F116" s="38"/>
      <c r="G116" s="39">
        <f>ROUND(D116*(E116+F116),2)</f>
        <v>0</v>
      </c>
      <c r="H116" s="457"/>
      <c r="I116" s="392"/>
      <c r="J116" s="402"/>
      <c r="K116" s="393"/>
      <c r="L116" s="459"/>
      <c r="M116" s="44"/>
      <c r="N116" s="430"/>
      <c r="O116" s="435"/>
      <c r="P116" s="435"/>
      <c r="Q116" s="425"/>
      <c r="R116" s="422"/>
      <c r="S116" s="399"/>
      <c r="T116" s="399"/>
    </row>
    <row r="117" spans="1:21" s="81" customFormat="1" ht="15" customHeight="1">
      <c r="A117" s="441"/>
      <c r="B117" s="442"/>
      <c r="C117" s="48" t="s">
        <v>143</v>
      </c>
      <c r="D117" s="37">
        <f>май18!D111+май18!D112</f>
        <v>12850</v>
      </c>
      <c r="E117" s="41">
        <f>6.7798-6.8921</f>
        <v>-0.11230000000000029</v>
      </c>
      <c r="F117" s="38"/>
      <c r="G117" s="39">
        <f>ROUND(D117*(E117),2)</f>
        <v>-1443.06</v>
      </c>
      <c r="H117" s="270"/>
      <c r="I117" s="41"/>
      <c r="J117" s="41"/>
      <c r="K117" s="271"/>
      <c r="L117" s="272"/>
      <c r="M117" s="102"/>
      <c r="N117" s="430"/>
      <c r="O117" s="435"/>
      <c r="P117" s="435"/>
      <c r="Q117" s="425"/>
      <c r="R117" s="422"/>
      <c r="S117" s="399"/>
      <c r="T117" s="399"/>
    </row>
    <row r="118" spans="1:21" s="81" customFormat="1" ht="15" customHeight="1">
      <c r="A118" s="441"/>
      <c r="B118" s="442"/>
      <c r="C118" s="48" t="s">
        <v>144</v>
      </c>
      <c r="D118" s="37">
        <v>27</v>
      </c>
      <c r="E118" s="41">
        <v>6.7797999999999998</v>
      </c>
      <c r="F118" s="38"/>
      <c r="G118" s="39">
        <f>ROUND(D118*(E118),2)</f>
        <v>183.05</v>
      </c>
      <c r="H118" s="270"/>
      <c r="I118" s="41"/>
      <c r="J118" s="41"/>
      <c r="K118" s="271"/>
      <c r="L118" s="272"/>
      <c r="M118" s="102"/>
      <c r="N118" s="434"/>
      <c r="O118" s="435"/>
      <c r="P118" s="435"/>
      <c r="Q118" s="425"/>
      <c r="R118" s="422"/>
      <c r="S118" s="399"/>
      <c r="T118" s="399"/>
    </row>
    <row r="119" spans="1:21" s="81" customFormat="1" ht="15" customHeight="1" thickBot="1">
      <c r="A119" s="445"/>
      <c r="B119" s="446"/>
      <c r="C119" s="54" t="s">
        <v>29</v>
      </c>
      <c r="D119" s="413">
        <v>11121</v>
      </c>
      <c r="E119" s="56">
        <v>6.7797999999999998</v>
      </c>
      <c r="F119" s="281"/>
      <c r="G119" s="414">
        <f>ROUND(D119*(E119),2)</f>
        <v>75398.16</v>
      </c>
      <c r="H119" s="280"/>
      <c r="I119" s="281"/>
      <c r="J119" s="281"/>
      <c r="K119" s="282"/>
      <c r="L119" s="204"/>
      <c r="M119" s="371"/>
      <c r="N119" s="426"/>
      <c r="O119" s="416"/>
      <c r="P119" s="416"/>
      <c r="Q119" s="417"/>
      <c r="R119" s="899"/>
      <c r="S119" s="399"/>
      <c r="T119" s="399"/>
    </row>
    <row r="120" spans="1:21" s="81" customFormat="1" ht="15.75" customHeight="1">
      <c r="A120" s="902">
        <v>107</v>
      </c>
      <c r="B120" s="903" t="s">
        <v>239</v>
      </c>
      <c r="C120" s="439" t="s">
        <v>143</v>
      </c>
      <c r="D120" s="904">
        <v>0</v>
      </c>
      <c r="E120" s="23">
        <f>6.7798-6.8921</f>
        <v>-0.11230000000000029</v>
      </c>
      <c r="F120" s="905"/>
      <c r="G120" s="22">
        <f>ROUND(D120*E120,2)</f>
        <v>0</v>
      </c>
      <c r="H120" s="303"/>
      <c r="I120" s="23"/>
      <c r="J120" s="23"/>
      <c r="K120" s="304"/>
      <c r="L120" s="263">
        <f>SUM(G120:G122)</f>
        <v>3221.08</v>
      </c>
      <c r="M120" s="26">
        <v>3221.08</v>
      </c>
      <c r="N120" s="421"/>
      <c r="O120" s="77"/>
      <c r="P120" s="77"/>
      <c r="Q120" s="384"/>
      <c r="R120" s="422"/>
      <c r="S120" s="399"/>
      <c r="T120" s="399"/>
    </row>
    <row r="121" spans="1:21" s="81" customFormat="1" ht="15.75" customHeight="1">
      <c r="A121" s="468"/>
      <c r="B121" s="469"/>
      <c r="C121" s="48" t="s">
        <v>144</v>
      </c>
      <c r="D121" s="471">
        <v>1.1000000000000001</v>
      </c>
      <c r="E121" s="41">
        <v>6.7797999999999998</v>
      </c>
      <c r="F121" s="473"/>
      <c r="G121" s="449">
        <f>ROUND(D121*E121,2)-0.01</f>
        <v>7.45</v>
      </c>
      <c r="H121" s="260"/>
      <c r="I121" s="261"/>
      <c r="J121" s="261"/>
      <c r="K121" s="262"/>
      <c r="L121" s="286"/>
      <c r="M121" s="90"/>
      <c r="N121" s="423"/>
      <c r="O121" s="406"/>
      <c r="P121" s="406"/>
      <c r="Q121" s="407"/>
      <c r="R121" s="422"/>
      <c r="S121" s="399"/>
      <c r="T121" s="399"/>
    </row>
    <row r="122" spans="1:21" s="81" customFormat="1" ht="15.75" customHeight="1" thickBot="1">
      <c r="A122" s="858"/>
      <c r="B122" s="859"/>
      <c r="C122" s="54" t="s">
        <v>29</v>
      </c>
      <c r="D122" s="860">
        <v>474</v>
      </c>
      <c r="E122" s="56">
        <v>6.7797999999999998</v>
      </c>
      <c r="F122" s="861"/>
      <c r="G122" s="414">
        <f t="shared" ref="G122" si="21">ROUND(D122*E122,2)</f>
        <v>3213.63</v>
      </c>
      <c r="H122" s="280"/>
      <c r="I122" s="281"/>
      <c r="J122" s="281"/>
      <c r="K122" s="282"/>
      <c r="L122" s="204"/>
      <c r="M122" s="371"/>
      <c r="N122" s="426"/>
      <c r="O122" s="416"/>
      <c r="P122" s="416"/>
      <c r="Q122" s="417"/>
      <c r="R122" s="422"/>
      <c r="S122" s="399"/>
      <c r="T122" s="399"/>
    </row>
    <row r="123" spans="1:21" s="81" customFormat="1" ht="15.75" customHeight="1">
      <c r="A123" s="902">
        <v>108</v>
      </c>
      <c r="B123" s="903" t="s">
        <v>168</v>
      </c>
      <c r="C123" s="439" t="s">
        <v>143</v>
      </c>
      <c r="D123" s="904">
        <f>май18!D117+май18!D118</f>
        <v>183.4</v>
      </c>
      <c r="E123" s="23">
        <f>6.7798-6.8921</f>
        <v>-0.11230000000000029</v>
      </c>
      <c r="F123" s="905"/>
      <c r="G123" s="22">
        <f>ROUND(D123*E123,2)</f>
        <v>-20.6</v>
      </c>
      <c r="H123" s="303"/>
      <c r="I123" s="23"/>
      <c r="J123" s="23"/>
      <c r="K123" s="304"/>
      <c r="L123" s="263">
        <f>SUM(G123:G125)</f>
        <v>1053.32</v>
      </c>
      <c r="M123" s="26">
        <v>1053.32</v>
      </c>
      <c r="N123" s="421"/>
      <c r="O123" s="77"/>
      <c r="P123" s="77"/>
      <c r="Q123" s="384"/>
      <c r="R123" s="422"/>
      <c r="S123" s="399"/>
      <c r="T123" s="399"/>
    </row>
    <row r="124" spans="1:21" s="81" customFormat="1" ht="15.75" customHeight="1">
      <c r="A124" s="468"/>
      <c r="B124" s="469"/>
      <c r="C124" s="48" t="s">
        <v>144</v>
      </c>
      <c r="D124" s="471">
        <v>0.4</v>
      </c>
      <c r="E124" s="41">
        <v>6.7797999999999998</v>
      </c>
      <c r="F124" s="473"/>
      <c r="G124" s="449">
        <f>ROUND(D124*E124,2)</f>
        <v>2.71</v>
      </c>
      <c r="H124" s="260"/>
      <c r="I124" s="261"/>
      <c r="J124" s="261"/>
      <c r="K124" s="262"/>
      <c r="L124" s="286"/>
      <c r="M124" s="90"/>
      <c r="N124" s="423"/>
      <c r="O124" s="406"/>
      <c r="P124" s="406"/>
      <c r="Q124" s="407"/>
      <c r="R124" s="422"/>
      <c r="S124" s="399"/>
      <c r="T124" s="399"/>
    </row>
    <row r="125" spans="1:21" s="81" customFormat="1" ht="15.75" customHeight="1" thickBot="1">
      <c r="A125" s="858"/>
      <c r="B125" s="859"/>
      <c r="C125" s="54" t="s">
        <v>29</v>
      </c>
      <c r="D125" s="860">
        <v>158</v>
      </c>
      <c r="E125" s="56">
        <v>6.7797999999999998</v>
      </c>
      <c r="F125" s="861"/>
      <c r="G125" s="414">
        <f t="shared" ref="G125" si="22">ROUND(D125*E125,2)</f>
        <v>1071.21</v>
      </c>
      <c r="H125" s="280"/>
      <c r="I125" s="281"/>
      <c r="J125" s="281"/>
      <c r="K125" s="282"/>
      <c r="L125" s="204"/>
      <c r="M125" s="371"/>
      <c r="N125" s="426"/>
      <c r="O125" s="416"/>
      <c r="P125" s="416"/>
      <c r="Q125" s="417"/>
      <c r="R125" s="422"/>
      <c r="S125" s="399"/>
      <c r="T125" s="399"/>
    </row>
    <row r="126" spans="1:21" s="81" customFormat="1" ht="15.75" customHeight="1">
      <c r="A126" s="468">
        <v>109</v>
      </c>
      <c r="B126" s="699" t="s">
        <v>175</v>
      </c>
      <c r="C126" s="439" t="s">
        <v>143</v>
      </c>
      <c r="D126" s="918">
        <f>май18!D121+май18!D120</f>
        <v>741.8</v>
      </c>
      <c r="E126" s="23">
        <f>6.7798-6.8921</f>
        <v>-0.11230000000000029</v>
      </c>
      <c r="F126" s="473"/>
      <c r="G126" s="862">
        <f>ROUND(D126*E126,2)-0.01</f>
        <v>-83.31</v>
      </c>
      <c r="H126" s="261"/>
      <c r="I126" s="261"/>
      <c r="J126" s="261"/>
      <c r="K126" s="185"/>
      <c r="L126" s="263">
        <f>SUM(G126:G129)+SUM(J126:J129)</f>
        <v>4199.4940000000006</v>
      </c>
      <c r="M126" s="26">
        <v>4199.49</v>
      </c>
      <c r="N126" s="443"/>
      <c r="O126" s="94"/>
      <c r="P126" s="94"/>
      <c r="Q126" s="396"/>
      <c r="R126" s="422"/>
      <c r="S126" s="399"/>
      <c r="T126" s="399"/>
    </row>
    <row r="127" spans="1:21" s="81" customFormat="1" ht="15.75" customHeight="1">
      <c r="A127" s="468"/>
      <c r="B127" s="469"/>
      <c r="C127" s="48" t="s">
        <v>144</v>
      </c>
      <c r="D127" s="919">
        <v>1.5</v>
      </c>
      <c r="E127" s="41">
        <v>6.7797999999999998</v>
      </c>
      <c r="F127" s="473"/>
      <c r="G127" s="409">
        <f>ROUND(D127*E127,2)</f>
        <v>10.17</v>
      </c>
      <c r="H127" s="41"/>
      <c r="I127" s="41"/>
      <c r="J127" s="41"/>
      <c r="K127" s="50"/>
      <c r="L127" s="286"/>
      <c r="M127" s="90"/>
      <c r="N127" s="423"/>
      <c r="O127" s="406"/>
      <c r="P127" s="406"/>
      <c r="Q127" s="407"/>
      <c r="R127" s="422"/>
      <c r="S127" s="399"/>
      <c r="T127" s="399"/>
    </row>
    <row r="128" spans="1:21" s="81" customFormat="1" ht="15.75" customHeight="1">
      <c r="A128" s="468"/>
      <c r="B128" s="920"/>
      <c r="C128" s="99" t="s">
        <v>29</v>
      </c>
      <c r="D128" s="919">
        <v>607</v>
      </c>
      <c r="E128" s="101">
        <v>6.7797999999999998</v>
      </c>
      <c r="F128" s="473"/>
      <c r="G128" s="409">
        <f t="shared" ref="G128" si="23">ROUND(D128*E128,2)</f>
        <v>4115.34</v>
      </c>
      <c r="H128" s="41"/>
      <c r="I128" s="41"/>
      <c r="J128" s="41"/>
      <c r="K128" s="50"/>
      <c r="L128" s="286"/>
      <c r="M128" s="90"/>
      <c r="N128" s="423"/>
      <c r="O128" s="406"/>
      <c r="P128" s="406"/>
      <c r="Q128" s="407"/>
      <c r="R128" s="422"/>
      <c r="S128" s="399"/>
      <c r="T128" s="399"/>
    </row>
    <row r="129" spans="1:20" s="81" customFormat="1" ht="15.75" customHeight="1" thickBot="1">
      <c r="A129" s="858"/>
      <c r="B129" s="921"/>
      <c r="C129" s="54" t="s">
        <v>73</v>
      </c>
      <c r="D129" s="922">
        <v>2</v>
      </c>
      <c r="E129" s="56">
        <v>36.214199999999998</v>
      </c>
      <c r="F129" s="861">
        <v>42.4328</v>
      </c>
      <c r="G129" s="923">
        <f>+D129*(E129+F129)</f>
        <v>157.29399999999998</v>
      </c>
      <c r="H129" s="281"/>
      <c r="I129" s="281"/>
      <c r="J129" s="281"/>
      <c r="K129" s="58"/>
      <c r="L129" s="204"/>
      <c r="M129" s="371"/>
      <c r="N129" s="426"/>
      <c r="O129" s="416"/>
      <c r="P129" s="416"/>
      <c r="Q129" s="417"/>
      <c r="R129" s="422"/>
      <c r="S129" s="399"/>
      <c r="T129" s="399"/>
    </row>
    <row r="130" spans="1:20" s="81" customFormat="1" ht="15.75" customHeight="1">
      <c r="A130" s="376">
        <v>117</v>
      </c>
      <c r="B130" s="420" t="s">
        <v>72</v>
      </c>
      <c r="C130" s="377" t="s">
        <v>73</v>
      </c>
      <c r="D130" s="378">
        <v>133</v>
      </c>
      <c r="E130" s="21">
        <v>36.214199999999998</v>
      </c>
      <c r="F130" s="21">
        <v>42.4328</v>
      </c>
      <c r="G130" s="22">
        <f>+D130*(E130+F130)</f>
        <v>10460.050999999999</v>
      </c>
      <c r="H130" s="303"/>
      <c r="I130" s="381"/>
      <c r="J130" s="381"/>
      <c r="K130" s="342"/>
      <c r="L130" s="263">
        <f>SUM(G130:G134,J130:J134)</f>
        <v>217910.69099999999</v>
      </c>
      <c r="M130" s="26">
        <v>217910.69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.75" customHeight="1">
      <c r="A131" s="389"/>
      <c r="B131" s="83"/>
      <c r="C131" s="84" t="s">
        <v>26</v>
      </c>
      <c r="D131" s="37"/>
      <c r="E131" s="38"/>
      <c r="F131" s="38"/>
      <c r="G131" s="39">
        <f>ROUND(D131*(E131+F131),2)</f>
        <v>0</v>
      </c>
      <c r="H131" s="270"/>
      <c r="I131" s="392"/>
      <c r="J131" s="402"/>
      <c r="K131" s="393"/>
      <c r="L131" s="272"/>
      <c r="M131" s="102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>
      <c r="A132" s="389"/>
      <c r="B132" s="83"/>
      <c r="C132" s="48" t="s">
        <v>143</v>
      </c>
      <c r="D132" s="37">
        <f>май18!D126+май18!D127</f>
        <v>37229</v>
      </c>
      <c r="E132" s="41">
        <f>6.7798-6.8921</f>
        <v>-0.11230000000000029</v>
      </c>
      <c r="F132" s="38"/>
      <c r="G132" s="39">
        <f>ROUND(D132*(E132),2)</f>
        <v>-4180.82</v>
      </c>
      <c r="H132" s="270"/>
      <c r="I132" s="41"/>
      <c r="J132" s="41"/>
      <c r="K132" s="271"/>
      <c r="L132" s="272"/>
      <c r="M132" s="102"/>
      <c r="N132" s="423"/>
      <c r="O132" s="406"/>
      <c r="P132" s="406"/>
      <c r="Q132" s="407"/>
      <c r="R132" s="422"/>
      <c r="S132" s="399"/>
      <c r="T132" s="399"/>
    </row>
    <row r="133" spans="1:20" s="81" customFormat="1" ht="15.75" customHeight="1">
      <c r="A133" s="389"/>
      <c r="B133" s="83"/>
      <c r="C133" s="48" t="s">
        <v>144</v>
      </c>
      <c r="D133" s="37">
        <v>75</v>
      </c>
      <c r="E133" s="41">
        <v>6.7797999999999998</v>
      </c>
      <c r="F133" s="38"/>
      <c r="G133" s="39">
        <f>ROUND(D133*(E133),2)</f>
        <v>508.49</v>
      </c>
      <c r="H133" s="270"/>
      <c r="I133" s="41"/>
      <c r="J133" s="41"/>
      <c r="K133" s="271"/>
      <c r="L133" s="272"/>
      <c r="M133" s="102"/>
      <c r="N133" s="423"/>
      <c r="O133" s="406"/>
      <c r="P133" s="406"/>
      <c r="Q133" s="425"/>
      <c r="R133" s="422"/>
      <c r="S133" s="399"/>
      <c r="T133" s="399"/>
    </row>
    <row r="134" spans="1:20" s="81" customFormat="1" ht="15.75" customHeight="1" thickBot="1">
      <c r="A134" s="411"/>
      <c r="B134" s="412"/>
      <c r="C134" s="99" t="s">
        <v>29</v>
      </c>
      <c r="D134" s="413">
        <v>31140</v>
      </c>
      <c r="E134" s="56">
        <v>6.7797999999999998</v>
      </c>
      <c r="F134" s="281"/>
      <c r="G134" s="414">
        <f>ROUND(D134*(E134),2)</f>
        <v>211122.97</v>
      </c>
      <c r="H134" s="280"/>
      <c r="I134" s="281"/>
      <c r="J134" s="281"/>
      <c r="K134" s="282"/>
      <c r="L134" s="204"/>
      <c r="M134" s="371"/>
      <c r="N134" s="426"/>
      <c r="O134" s="416"/>
      <c r="P134" s="416"/>
      <c r="Q134" s="417"/>
      <c r="R134" s="422"/>
      <c r="S134" s="399"/>
      <c r="T134" s="399"/>
    </row>
    <row r="135" spans="1:20" s="81" customFormat="1" ht="15.75" customHeight="1">
      <c r="A135" s="376">
        <v>118</v>
      </c>
      <c r="B135" s="924" t="s">
        <v>215</v>
      </c>
      <c r="C135" s="377" t="s">
        <v>73</v>
      </c>
      <c r="D135" s="378">
        <v>84</v>
      </c>
      <c r="E135" s="21">
        <v>36.214199999999998</v>
      </c>
      <c r="F135" s="21">
        <v>42.4328</v>
      </c>
      <c r="G135" s="22">
        <f>+D135*(E135+F135)</f>
        <v>6606.347999999999</v>
      </c>
      <c r="H135" s="303"/>
      <c r="I135" s="381"/>
      <c r="J135" s="41"/>
      <c r="K135" s="342"/>
      <c r="L135" s="263">
        <f>SUM(G135:G139,J135:J139)</f>
        <v>69640.097999999998</v>
      </c>
      <c r="M135" s="26">
        <v>69640.100000000006</v>
      </c>
      <c r="N135" s="421"/>
      <c r="O135" s="77"/>
      <c r="P135" s="77"/>
      <c r="Q135" s="384"/>
      <c r="R135" s="422"/>
      <c r="S135" s="399"/>
      <c r="T135" s="399"/>
    </row>
    <row r="136" spans="1:20" s="81" customFormat="1" ht="15.75" customHeight="1">
      <c r="A136" s="389"/>
      <c r="B136" s="920"/>
      <c r="C136" s="36" t="s">
        <v>26</v>
      </c>
      <c r="D136" s="37"/>
      <c r="E136" s="38"/>
      <c r="F136" s="38"/>
      <c r="G136" s="39">
        <f>ROUND(D136*(E136+F136),2)</f>
        <v>0</v>
      </c>
      <c r="H136" s="457"/>
      <c r="I136" s="392"/>
      <c r="J136" s="41"/>
      <c r="K136" s="393"/>
      <c r="L136" s="459"/>
      <c r="M136" s="44"/>
      <c r="N136" s="430"/>
      <c r="O136" s="406"/>
      <c r="P136" s="406"/>
      <c r="Q136" s="407"/>
      <c r="R136" s="422"/>
      <c r="S136" s="399"/>
      <c r="T136" s="399"/>
    </row>
    <row r="137" spans="1:20" s="81" customFormat="1" ht="15.75" customHeight="1">
      <c r="A137" s="389"/>
      <c r="B137" s="920"/>
      <c r="C137" s="48" t="s">
        <v>143</v>
      </c>
      <c r="D137" s="37">
        <f>май18!D131+май18!D132</f>
        <v>10952.2</v>
      </c>
      <c r="E137" s="41">
        <f>6.7798-6.8921</f>
        <v>-0.11230000000000029</v>
      </c>
      <c r="F137" s="38"/>
      <c r="G137" s="39">
        <f>ROUND(D137*(E137),2)-0.01</f>
        <v>-1229.94</v>
      </c>
      <c r="H137" s="270"/>
      <c r="I137" s="41"/>
      <c r="J137" s="41"/>
      <c r="K137" s="271"/>
      <c r="L137" s="272"/>
      <c r="M137" s="102"/>
      <c r="N137" s="430"/>
      <c r="O137" s="406"/>
      <c r="P137" s="406"/>
      <c r="Q137" s="407"/>
      <c r="R137" s="422"/>
      <c r="S137" s="399"/>
      <c r="T137" s="399"/>
    </row>
    <row r="138" spans="1:20" s="81" customFormat="1" ht="15.75" customHeight="1">
      <c r="A138" s="389"/>
      <c r="B138" s="920"/>
      <c r="C138" s="48" t="s">
        <v>144</v>
      </c>
      <c r="D138" s="37">
        <v>22.7</v>
      </c>
      <c r="E138" s="41">
        <v>6.7797999999999998</v>
      </c>
      <c r="F138" s="38"/>
      <c r="G138" s="39">
        <f>ROUND(D138*(E138),2)</f>
        <v>153.9</v>
      </c>
      <c r="H138" s="270"/>
      <c r="I138" s="41"/>
      <c r="J138" s="41"/>
      <c r="K138" s="271"/>
      <c r="L138" s="272"/>
      <c r="M138" s="102"/>
      <c r="N138" s="434"/>
      <c r="O138" s="435"/>
      <c r="P138" s="435"/>
      <c r="Q138" s="425"/>
      <c r="R138" s="422"/>
      <c r="S138" s="399"/>
      <c r="T138" s="399"/>
    </row>
    <row r="139" spans="1:20" s="81" customFormat="1" ht="15.75" customHeight="1" thickBot="1">
      <c r="A139" s="411"/>
      <c r="B139" s="921"/>
      <c r="C139" s="54" t="s">
        <v>29</v>
      </c>
      <c r="D139" s="413">
        <v>9456</v>
      </c>
      <c r="E139" s="56">
        <v>6.7797999999999998</v>
      </c>
      <c r="F139" s="281"/>
      <c r="G139" s="414">
        <f>ROUND(D139*(E139),2)</f>
        <v>64109.79</v>
      </c>
      <c r="H139" s="432"/>
      <c r="I139" s="207"/>
      <c r="J139" s="207"/>
      <c r="K139" s="362"/>
      <c r="L139" s="433"/>
      <c r="M139" s="63"/>
      <c r="N139" s="434"/>
      <c r="O139" s="435"/>
      <c r="P139" s="435"/>
      <c r="Q139" s="425"/>
      <c r="R139" s="422"/>
      <c r="S139" s="399"/>
      <c r="T139" s="399"/>
    </row>
    <row r="140" spans="1:20" s="81" customFormat="1" ht="15.75" customHeight="1">
      <c r="A140" s="468">
        <v>121</v>
      </c>
      <c r="B140" s="699" t="s">
        <v>154</v>
      </c>
      <c r="C140" s="700" t="s">
        <v>143</v>
      </c>
      <c r="D140" s="471">
        <f>май18!D134+май18!D135</f>
        <v>370.9</v>
      </c>
      <c r="E140" s="261">
        <f>6.7798-6.8921</f>
        <v>-0.11230000000000029</v>
      </c>
      <c r="F140" s="473"/>
      <c r="G140" s="449">
        <f>ROUND(D140*E140,2)</f>
        <v>-41.65</v>
      </c>
      <c r="H140" s="303"/>
      <c r="I140" s="23"/>
      <c r="J140" s="23"/>
      <c r="K140" s="304"/>
      <c r="L140" s="263">
        <f>SUM(G140:G142)</f>
        <v>2024.1599999999999</v>
      </c>
      <c r="M140" s="26">
        <v>2024.16</v>
      </c>
      <c r="N140" s="421"/>
      <c r="O140" s="77"/>
      <c r="P140" s="77"/>
      <c r="Q140" s="384"/>
      <c r="R140" s="422"/>
      <c r="S140" s="399"/>
      <c r="T140" s="399"/>
    </row>
    <row r="141" spans="1:20" s="81" customFormat="1" ht="15.75" customHeight="1">
      <c r="A141" s="468"/>
      <c r="B141" s="469"/>
      <c r="C141" s="48" t="s">
        <v>144</v>
      </c>
      <c r="D141" s="471">
        <v>0.7</v>
      </c>
      <c r="E141" s="41">
        <v>6.7797999999999998</v>
      </c>
      <c r="F141" s="473"/>
      <c r="G141" s="449">
        <f>ROUND(D141*E141,2)</f>
        <v>4.75</v>
      </c>
      <c r="H141" s="260"/>
      <c r="I141" s="261"/>
      <c r="J141" s="261"/>
      <c r="K141" s="262"/>
      <c r="L141" s="286"/>
      <c r="M141" s="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858"/>
      <c r="B142" s="859"/>
      <c r="C142" s="54" t="s">
        <v>29</v>
      </c>
      <c r="D142" s="860">
        <v>304</v>
      </c>
      <c r="E142" s="56">
        <v>6.7797999999999998</v>
      </c>
      <c r="F142" s="861"/>
      <c r="G142" s="414">
        <f t="shared" ref="G142" si="24">ROUND(D142*E142,2)</f>
        <v>2061.06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376">
        <v>202</v>
      </c>
      <c r="B143" s="420" t="s">
        <v>74</v>
      </c>
      <c r="C143" s="377" t="s">
        <v>73</v>
      </c>
      <c r="D143" s="378">
        <v>12</v>
      </c>
      <c r="E143" s="21">
        <v>36.214199999999998</v>
      </c>
      <c r="F143" s="21">
        <v>42.4328</v>
      </c>
      <c r="G143" s="22">
        <f>ROUND(D143*(E143+F143),2)</f>
        <v>943.76</v>
      </c>
      <c r="H143" s="303"/>
      <c r="I143" s="381"/>
      <c r="J143" s="381"/>
      <c r="K143" s="342"/>
      <c r="L143" s="263">
        <f>SUM(G143:G149,J143:J149)</f>
        <v>18268.14</v>
      </c>
      <c r="M143" s="26">
        <v>18268.14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389"/>
      <c r="B144" s="98"/>
      <c r="C144" s="84" t="s">
        <v>26</v>
      </c>
      <c r="D144" s="37"/>
      <c r="E144" s="38"/>
      <c r="F144" s="38"/>
      <c r="G144" s="39">
        <f>ROUND(D144*(E144+F144),2)</f>
        <v>0</v>
      </c>
      <c r="H144" s="270"/>
      <c r="I144" s="392"/>
      <c r="J144" s="402"/>
      <c r="K144" s="393"/>
      <c r="L144" s="272"/>
      <c r="M144" s="102"/>
      <c r="N144" s="423"/>
      <c r="O144" s="406"/>
      <c r="P144" s="406"/>
      <c r="Q144" s="407"/>
      <c r="R144" s="422"/>
      <c r="S144" s="399"/>
      <c r="T144" s="399"/>
    </row>
    <row r="145" spans="1:20" s="81" customFormat="1" ht="15.75" customHeight="1">
      <c r="A145" s="389"/>
      <c r="B145" s="98" t="s">
        <v>32</v>
      </c>
      <c r="C145" s="99" t="s">
        <v>33</v>
      </c>
      <c r="D145" s="428">
        <v>5</v>
      </c>
      <c r="E145" s="101">
        <v>237.98</v>
      </c>
      <c r="F145" s="38">
        <v>42.43</v>
      </c>
      <c r="G145" s="39">
        <f>ROUND(D145*(E145+F145),2)</f>
        <v>1402.05</v>
      </c>
      <c r="H145" s="270"/>
      <c r="I145" s="41"/>
      <c r="J145" s="41"/>
      <c r="K145" s="271"/>
      <c r="L145" s="272"/>
      <c r="M145" s="102"/>
      <c r="N145" s="423"/>
      <c r="O145" s="406"/>
      <c r="P145" s="406"/>
      <c r="Q145" s="407"/>
      <c r="R145" s="422"/>
      <c r="S145" s="399"/>
      <c r="T145" s="399"/>
    </row>
    <row r="146" spans="1:20" s="81" customFormat="1" ht="15.75" customHeight="1">
      <c r="A146" s="389"/>
      <c r="B146" s="83"/>
      <c r="C146" s="48" t="s">
        <v>76</v>
      </c>
      <c r="D146" s="37">
        <f>май18!D138</f>
        <v>6</v>
      </c>
      <c r="E146" s="41">
        <f>237.98-292.75</f>
        <v>-54.77000000000001</v>
      </c>
      <c r="F146" s="38"/>
      <c r="G146" s="39">
        <f>ROUND(D146*(E146+F146),2)+0.01</f>
        <v>-328.61</v>
      </c>
      <c r="H146" s="270"/>
      <c r="I146" s="41"/>
      <c r="J146" s="41"/>
      <c r="K146" s="271"/>
      <c r="L146" s="272"/>
      <c r="M146" s="102"/>
      <c r="N146" s="423"/>
      <c r="O146" s="406"/>
      <c r="P146" s="406"/>
      <c r="Q146" s="407"/>
      <c r="R146" s="422"/>
      <c r="S146" s="399"/>
      <c r="T146" s="399"/>
    </row>
    <row r="147" spans="1:20" s="81" customFormat="1" ht="15.75" customHeight="1">
      <c r="A147" s="389"/>
      <c r="B147" s="83"/>
      <c r="C147" s="48" t="s">
        <v>143</v>
      </c>
      <c r="D147" s="37">
        <f>май18!D141+май18!D142</f>
        <v>2772.61</v>
      </c>
      <c r="E147" s="41">
        <f>6.7798-6.8921</f>
        <v>-0.11230000000000029</v>
      </c>
      <c r="F147" s="38"/>
      <c r="G147" s="39">
        <f>ROUND(D147*(E147+F147),2)</f>
        <v>-311.36</v>
      </c>
      <c r="H147" s="270"/>
      <c r="I147" s="41"/>
      <c r="J147" s="41"/>
      <c r="K147" s="271"/>
      <c r="L147" s="272"/>
      <c r="M147" s="102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>
      <c r="A148" s="389"/>
      <c r="B148" s="83"/>
      <c r="C148" s="48" t="s">
        <v>144</v>
      </c>
      <c r="D148" s="37">
        <f>5.8+0.09</f>
        <v>5.89</v>
      </c>
      <c r="E148" s="41">
        <v>6.7797999999999998</v>
      </c>
      <c r="F148" s="38"/>
      <c r="G148" s="39">
        <f>ROUND(D148*E148,2)</f>
        <v>39.93</v>
      </c>
      <c r="H148" s="270"/>
      <c r="I148" s="41"/>
      <c r="J148" s="41"/>
      <c r="K148" s="271"/>
      <c r="L148" s="272"/>
      <c r="M148" s="102"/>
      <c r="N148" s="423"/>
      <c r="O148" s="406"/>
      <c r="P148" s="406"/>
      <c r="Q148" s="425"/>
      <c r="R148" s="422"/>
      <c r="S148" s="399"/>
      <c r="T148" s="399"/>
    </row>
    <row r="149" spans="1:20" s="81" customFormat="1" ht="15" customHeight="1" thickBot="1">
      <c r="A149" s="411"/>
      <c r="B149" s="412"/>
      <c r="C149" s="99" t="s">
        <v>29</v>
      </c>
      <c r="D149" s="413">
        <v>2437</v>
      </c>
      <c r="E149" s="56">
        <v>6.7797999999999998</v>
      </c>
      <c r="F149" s="281"/>
      <c r="G149" s="414">
        <f>ROUND(D149*(E149+F149),2)</f>
        <v>16522.37</v>
      </c>
      <c r="H149" s="280"/>
      <c r="I149" s="281"/>
      <c r="J149" s="281"/>
      <c r="K149" s="282"/>
      <c r="L149" s="204"/>
      <c r="M149" s="371"/>
      <c r="N149" s="426"/>
      <c r="O149" s="416"/>
      <c r="P149" s="416"/>
      <c r="Q149" s="417"/>
      <c r="R149" s="422"/>
      <c r="S149" s="399"/>
      <c r="T149" s="399"/>
    </row>
    <row r="150" spans="1:20" s="81" customFormat="1" ht="15.75" customHeight="1">
      <c r="A150" s="902">
        <v>203</v>
      </c>
      <c r="B150" s="903" t="s">
        <v>230</v>
      </c>
      <c r="C150" s="439" t="s">
        <v>143</v>
      </c>
      <c r="D150" s="904">
        <f>май18!D144+май18!D145</f>
        <v>77.2</v>
      </c>
      <c r="E150" s="23">
        <f>6.7798-6.8921</f>
        <v>-0.11230000000000029</v>
      </c>
      <c r="F150" s="905"/>
      <c r="G150" s="22">
        <f>ROUND(D150*E150,2)-0.01</f>
        <v>-8.68</v>
      </c>
      <c r="H150" s="303"/>
      <c r="I150" s="23"/>
      <c r="J150" s="23"/>
      <c r="K150" s="304"/>
      <c r="L150" s="263">
        <f>SUM(G150:G152)</f>
        <v>467.27</v>
      </c>
      <c r="M150" s="26">
        <v>467.27</v>
      </c>
      <c r="N150" s="421"/>
      <c r="O150" s="77"/>
      <c r="P150" s="77"/>
      <c r="Q150" s="384"/>
      <c r="R150" s="422"/>
      <c r="S150" s="399"/>
      <c r="T150" s="399"/>
    </row>
    <row r="151" spans="1:20" s="81" customFormat="1" ht="15.75" customHeight="1">
      <c r="A151" s="468"/>
      <c r="B151" s="469"/>
      <c r="C151" s="48" t="s">
        <v>144</v>
      </c>
      <c r="D151" s="471">
        <v>0.2</v>
      </c>
      <c r="E151" s="41">
        <v>6.7797999999999998</v>
      </c>
      <c r="F151" s="473"/>
      <c r="G151" s="449">
        <f>ROUND(D151*E151,2)</f>
        <v>1.36</v>
      </c>
      <c r="H151" s="260"/>
      <c r="I151" s="261"/>
      <c r="J151" s="261"/>
      <c r="K151" s="262"/>
      <c r="L151" s="286"/>
      <c r="M151" s="90"/>
      <c r="N151" s="423"/>
      <c r="O151" s="406"/>
      <c r="P151" s="406"/>
      <c r="Q151" s="407"/>
      <c r="R151" s="422"/>
      <c r="S151" s="399"/>
      <c r="T151" s="399"/>
    </row>
    <row r="152" spans="1:20" s="81" customFormat="1" ht="15.75" customHeight="1" thickBot="1">
      <c r="A152" s="858"/>
      <c r="B152" s="859"/>
      <c r="C152" s="54" t="s">
        <v>29</v>
      </c>
      <c r="D152" s="860">
        <v>70</v>
      </c>
      <c r="E152" s="56">
        <v>6.7797999999999998</v>
      </c>
      <c r="F152" s="861"/>
      <c r="G152" s="414">
        <f t="shared" ref="G152" si="25">ROUND(D152*E152,2)</f>
        <v>474.59</v>
      </c>
      <c r="H152" s="280"/>
      <c r="I152" s="281"/>
      <c r="J152" s="207"/>
      <c r="K152" s="362"/>
      <c r="L152" s="433"/>
      <c r="M152" s="63"/>
      <c r="N152" s="426"/>
      <c r="O152" s="416"/>
      <c r="P152" s="416"/>
      <c r="Q152" s="417"/>
      <c r="R152" s="422"/>
      <c r="S152" s="399"/>
      <c r="T152" s="399"/>
    </row>
    <row r="153" spans="1:20" s="81" customFormat="1" ht="15.75" customHeight="1">
      <c r="A153" s="902">
        <v>207</v>
      </c>
      <c r="B153" s="903" t="s">
        <v>248</v>
      </c>
      <c r="C153" s="439" t="s">
        <v>143</v>
      </c>
      <c r="D153" s="904">
        <v>0</v>
      </c>
      <c r="E153" s="23">
        <f>6.7798-6.8921</f>
        <v>-0.11230000000000029</v>
      </c>
      <c r="F153" s="905"/>
      <c r="G153" s="22">
        <f>ROUND(D153*E153,2)</f>
        <v>0</v>
      </c>
      <c r="H153" s="303"/>
      <c r="I153" s="23"/>
      <c r="J153" s="23"/>
      <c r="K153" s="304"/>
      <c r="L153" s="263">
        <f>SUM(G153:G155)</f>
        <v>741.03</v>
      </c>
      <c r="M153" s="26">
        <v>741.03</v>
      </c>
      <c r="N153" s="421"/>
      <c r="O153" s="77"/>
      <c r="P153" s="77"/>
      <c r="Q153" s="384"/>
      <c r="R153" s="422"/>
      <c r="S153" s="399"/>
      <c r="T153" s="399"/>
    </row>
    <row r="154" spans="1:20" s="81" customFormat="1" ht="15.75" customHeight="1">
      <c r="A154" s="468"/>
      <c r="B154" s="469"/>
      <c r="C154" s="48" t="s">
        <v>144</v>
      </c>
      <c r="D154" s="471">
        <v>0.3</v>
      </c>
      <c r="E154" s="41">
        <v>6.7797999999999998</v>
      </c>
      <c r="F154" s="473"/>
      <c r="G154" s="449">
        <f>ROUND(D154*E154,2)</f>
        <v>2.0299999999999998</v>
      </c>
      <c r="H154" s="260"/>
      <c r="I154" s="261"/>
      <c r="J154" s="261"/>
      <c r="K154" s="262"/>
      <c r="L154" s="286"/>
      <c r="M154" s="90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 thickBot="1">
      <c r="A155" s="858"/>
      <c r="B155" s="859"/>
      <c r="C155" s="54" t="s">
        <v>29</v>
      </c>
      <c r="D155" s="860">
        <v>109</v>
      </c>
      <c r="E155" s="56">
        <v>6.7797999999999998</v>
      </c>
      <c r="F155" s="861"/>
      <c r="G155" s="414">
        <f t="shared" ref="G155" si="26">ROUND(D155*E155,2)</f>
        <v>739</v>
      </c>
      <c r="H155" s="280"/>
      <c r="I155" s="281"/>
      <c r="J155" s="207"/>
      <c r="K155" s="362"/>
      <c r="L155" s="433"/>
      <c r="M155" s="63"/>
      <c r="N155" s="426"/>
      <c r="O155" s="416"/>
      <c r="P155" s="416"/>
      <c r="Q155" s="417"/>
      <c r="R155" s="422"/>
      <c r="S155" s="399"/>
      <c r="T155" s="399"/>
    </row>
    <row r="156" spans="1:20" s="81" customFormat="1" ht="15" customHeight="1">
      <c r="A156" s="376">
        <v>210</v>
      </c>
      <c r="B156" s="420" t="s">
        <v>77</v>
      </c>
      <c r="C156" s="377" t="s">
        <v>73</v>
      </c>
      <c r="D156" s="378">
        <v>2</v>
      </c>
      <c r="E156" s="21">
        <v>36.214199999999998</v>
      </c>
      <c r="F156" s="21">
        <v>42.4328</v>
      </c>
      <c r="G156" s="22">
        <f t="shared" ref="G156:G162" si="27">ROUND(D156*(E156+F156),2)</f>
        <v>157.29</v>
      </c>
      <c r="H156" s="303"/>
      <c r="I156" s="381"/>
      <c r="J156" s="381"/>
      <c r="K156" s="342"/>
      <c r="L156" s="382">
        <f>+SUM(G156:G162,J156:J162)</f>
        <v>6099.68</v>
      </c>
      <c r="M156" s="26">
        <v>6099.68</v>
      </c>
      <c r="N156" s="421"/>
      <c r="O156" s="77"/>
      <c r="P156" s="77"/>
      <c r="Q156" s="384"/>
      <c r="R156" s="422"/>
      <c r="S156" s="399"/>
      <c r="T156" s="399"/>
    </row>
    <row r="157" spans="1:20" s="81" customFormat="1" ht="15" customHeight="1">
      <c r="A157" s="389"/>
      <c r="B157" s="83"/>
      <c r="C157" s="84" t="s">
        <v>26</v>
      </c>
      <c r="D157" s="37"/>
      <c r="E157" s="38"/>
      <c r="F157" s="38"/>
      <c r="G157" s="39">
        <f t="shared" si="27"/>
        <v>0</v>
      </c>
      <c r="H157" s="270"/>
      <c r="I157" s="392"/>
      <c r="J157" s="402"/>
      <c r="K157" s="393"/>
      <c r="L157" s="429"/>
      <c r="M157" s="102"/>
      <c r="N157" s="430"/>
      <c r="O157" s="406"/>
      <c r="P157" s="406"/>
      <c r="Q157" s="407"/>
      <c r="R157" s="422"/>
      <c r="S157" s="399"/>
      <c r="T157" s="399"/>
    </row>
    <row r="158" spans="1:20" s="81" customFormat="1" ht="15" customHeight="1">
      <c r="A158" s="389"/>
      <c r="B158" s="98" t="s">
        <v>32</v>
      </c>
      <c r="C158" s="99" t="s">
        <v>33</v>
      </c>
      <c r="D158" s="37">
        <v>4</v>
      </c>
      <c r="E158" s="101">
        <v>237.98</v>
      </c>
      <c r="F158" s="38">
        <v>42.4328</v>
      </c>
      <c r="G158" s="39">
        <f t="shared" si="27"/>
        <v>1121.6500000000001</v>
      </c>
      <c r="H158" s="270"/>
      <c r="I158" s="41"/>
      <c r="J158" s="41"/>
      <c r="K158" s="271"/>
      <c r="L158" s="272"/>
      <c r="M158" s="102"/>
      <c r="N158" s="430"/>
      <c r="O158" s="406"/>
      <c r="P158" s="406"/>
      <c r="Q158" s="407"/>
      <c r="R158" s="422"/>
      <c r="S158" s="399"/>
      <c r="T158" s="399"/>
    </row>
    <row r="159" spans="1:20" s="81" customFormat="1" ht="15" customHeight="1">
      <c r="A159" s="389"/>
      <c r="B159" s="83"/>
      <c r="C159" s="48" t="s">
        <v>190</v>
      </c>
      <c r="D159" s="37">
        <f>май18!D148</f>
        <v>2</v>
      </c>
      <c r="E159" s="41">
        <f>237.98-292.75</f>
        <v>-54.77000000000001</v>
      </c>
      <c r="F159" s="38"/>
      <c r="G159" s="39">
        <f>ROUND(D159*(E159+F159),2)</f>
        <v>-109.54</v>
      </c>
      <c r="H159" s="270"/>
      <c r="I159" s="41"/>
      <c r="J159" s="41"/>
      <c r="K159" s="271"/>
      <c r="L159" s="272"/>
      <c r="M159" s="102"/>
      <c r="N159" s="430"/>
      <c r="O159" s="406"/>
      <c r="P159" s="406"/>
      <c r="Q159" s="407"/>
      <c r="R159" s="422"/>
      <c r="S159" s="399"/>
      <c r="T159" s="399"/>
    </row>
    <row r="160" spans="1:20" s="81" customFormat="1" ht="15" customHeight="1">
      <c r="A160" s="389"/>
      <c r="B160" s="83"/>
      <c r="C160" s="48" t="s">
        <v>143</v>
      </c>
      <c r="D160" s="37">
        <f>май18!D151+май18!D152</f>
        <v>30.1</v>
      </c>
      <c r="E160" s="41">
        <f>6.7798-6.8921</f>
        <v>-0.11230000000000029</v>
      </c>
      <c r="F160" s="38"/>
      <c r="G160" s="39">
        <f>ROUND(D160*(E160+F160),2)</f>
        <v>-3.38</v>
      </c>
      <c r="H160" s="270"/>
      <c r="I160" s="41"/>
      <c r="J160" s="41"/>
      <c r="K160" s="271"/>
      <c r="L160" s="272"/>
      <c r="M160" s="102"/>
      <c r="N160" s="430"/>
      <c r="O160" s="406"/>
      <c r="P160" s="406"/>
      <c r="Q160" s="407"/>
      <c r="R160" s="899"/>
      <c r="S160" s="399"/>
      <c r="T160" s="399"/>
    </row>
    <row r="161" spans="1:21" s="81" customFormat="1" ht="15" customHeight="1">
      <c r="A161" s="389"/>
      <c r="B161" s="83"/>
      <c r="C161" s="48" t="s">
        <v>144</v>
      </c>
      <c r="D161" s="37">
        <v>1.7</v>
      </c>
      <c r="E161" s="41">
        <v>6.7797999999999998</v>
      </c>
      <c r="F161" s="38"/>
      <c r="G161" s="39">
        <f t="shared" si="27"/>
        <v>11.53</v>
      </c>
      <c r="H161" s="432"/>
      <c r="I161" s="207"/>
      <c r="J161" s="207"/>
      <c r="K161" s="362"/>
      <c r="L161" s="433"/>
      <c r="M161" s="63"/>
      <c r="N161" s="434"/>
      <c r="O161" s="435"/>
      <c r="P161" s="435"/>
      <c r="Q161" s="425"/>
      <c r="R161" s="899"/>
      <c r="S161" s="399"/>
      <c r="T161" s="399"/>
    </row>
    <row r="162" spans="1:21" s="81" customFormat="1" ht="15" customHeight="1" thickBot="1">
      <c r="A162" s="411"/>
      <c r="B162" s="412"/>
      <c r="C162" s="99" t="s">
        <v>29</v>
      </c>
      <c r="D162" s="413">
        <v>726</v>
      </c>
      <c r="E162" s="56">
        <v>6.7797999999999998</v>
      </c>
      <c r="F162" s="281"/>
      <c r="G162" s="414">
        <f t="shared" si="27"/>
        <v>4922.13</v>
      </c>
      <c r="H162" s="280"/>
      <c r="I162" s="281"/>
      <c r="J162" s="281"/>
      <c r="K162" s="282"/>
      <c r="L162" s="204"/>
      <c r="M162" s="371"/>
      <c r="N162" s="426"/>
      <c r="O162" s="416"/>
      <c r="P162" s="416"/>
      <c r="Q162" s="417"/>
      <c r="R162" s="899"/>
      <c r="S162" s="399"/>
      <c r="T162" s="399"/>
    </row>
    <row r="163" spans="1:21" s="81" customFormat="1" ht="15.75" customHeight="1">
      <c r="A163" s="902">
        <v>211</v>
      </c>
      <c r="B163" s="903" t="s">
        <v>231</v>
      </c>
      <c r="C163" s="439" t="s">
        <v>143</v>
      </c>
      <c r="D163" s="904">
        <f>май18!D154+май18!D155</f>
        <v>301.7</v>
      </c>
      <c r="E163" s="23">
        <f>6.7798-6.8921</f>
        <v>-0.11230000000000029</v>
      </c>
      <c r="F163" s="905"/>
      <c r="G163" s="22">
        <f>ROUND(D163*E163,2)</f>
        <v>-33.880000000000003</v>
      </c>
      <c r="H163" s="303"/>
      <c r="I163" s="23"/>
      <c r="J163" s="23"/>
      <c r="K163" s="304"/>
      <c r="L163" s="263">
        <f>SUM(G163:G165)</f>
        <v>1678.7</v>
      </c>
      <c r="M163" s="26">
        <v>1678.7</v>
      </c>
      <c r="N163" s="421"/>
      <c r="O163" s="77"/>
      <c r="P163" s="77"/>
      <c r="Q163" s="384"/>
      <c r="R163" s="422"/>
      <c r="S163" s="399"/>
      <c r="T163" s="399"/>
    </row>
    <row r="164" spans="1:21" s="81" customFormat="1" ht="15.75" customHeight="1">
      <c r="A164" s="468"/>
      <c r="B164" s="469"/>
      <c r="C164" s="48" t="s">
        <v>144</v>
      </c>
      <c r="D164" s="471">
        <v>0.6</v>
      </c>
      <c r="E164" s="41">
        <v>6.7797999999999998</v>
      </c>
      <c r="F164" s="473"/>
      <c r="G164" s="449">
        <f>ROUND(D164*E164,2)</f>
        <v>4.07</v>
      </c>
      <c r="H164" s="260"/>
      <c r="I164" s="261"/>
      <c r="J164" s="261"/>
      <c r="K164" s="262"/>
      <c r="L164" s="286"/>
      <c r="M164" s="90"/>
      <c r="N164" s="423"/>
      <c r="O164" s="406"/>
      <c r="P164" s="406"/>
      <c r="Q164" s="407"/>
      <c r="R164" s="422"/>
      <c r="S164" s="399"/>
      <c r="T164" s="399"/>
    </row>
    <row r="165" spans="1:21" s="81" customFormat="1" ht="15.75" customHeight="1" thickBot="1">
      <c r="A165" s="858"/>
      <c r="B165" s="859"/>
      <c r="C165" s="54" t="s">
        <v>29</v>
      </c>
      <c r="D165" s="860">
        <v>252</v>
      </c>
      <c r="E165" s="56">
        <v>6.7797999999999998</v>
      </c>
      <c r="F165" s="861"/>
      <c r="G165" s="414">
        <f t="shared" ref="G165" si="28">ROUND(D165*E165,2)</f>
        <v>1708.51</v>
      </c>
      <c r="H165" s="280"/>
      <c r="I165" s="281"/>
      <c r="J165" s="207"/>
      <c r="K165" s="362"/>
      <c r="L165" s="433"/>
      <c r="M165" s="63"/>
      <c r="N165" s="426"/>
      <c r="O165" s="416"/>
      <c r="P165" s="416"/>
      <c r="Q165" s="417"/>
      <c r="R165" s="422"/>
      <c r="S165" s="399"/>
      <c r="T165" s="399"/>
    </row>
    <row r="166" spans="1:21" s="81" customFormat="1" ht="15.75" customHeight="1">
      <c r="A166" s="902">
        <v>212</v>
      </c>
      <c r="B166" s="903" t="s">
        <v>140</v>
      </c>
      <c r="C166" s="439" t="s">
        <v>143</v>
      </c>
      <c r="D166" s="904">
        <f>май18!D157+май18!D158</f>
        <v>672.6</v>
      </c>
      <c r="E166" s="23">
        <f>6.7798-6.8921</f>
        <v>-0.11230000000000029</v>
      </c>
      <c r="F166" s="905"/>
      <c r="G166" s="22">
        <f>ROUND(D166*E166,2)+0.01</f>
        <v>-75.52</v>
      </c>
      <c r="H166" s="303"/>
      <c r="I166" s="23"/>
      <c r="J166" s="23"/>
      <c r="K166" s="304"/>
      <c r="L166" s="263">
        <f>SUM(G166:G168)</f>
        <v>3845.91</v>
      </c>
      <c r="M166" s="26">
        <v>3845.91</v>
      </c>
      <c r="N166" s="421"/>
      <c r="O166" s="77"/>
      <c r="P166" s="77"/>
      <c r="Q166" s="384"/>
      <c r="R166" s="422"/>
      <c r="S166" s="399"/>
      <c r="T166" s="399"/>
    </row>
    <row r="167" spans="1:21" s="81" customFormat="1" ht="15.75" customHeight="1">
      <c r="A167" s="468"/>
      <c r="B167" s="469"/>
      <c r="C167" s="48" t="s">
        <v>144</v>
      </c>
      <c r="D167" s="471">
        <v>1.4</v>
      </c>
      <c r="E167" s="41">
        <v>6.7797999999999998</v>
      </c>
      <c r="F167" s="473"/>
      <c r="G167" s="449">
        <f>ROUND(D167*E167,2)</f>
        <v>9.49</v>
      </c>
      <c r="H167" s="260"/>
      <c r="I167" s="261"/>
      <c r="J167" s="261"/>
      <c r="K167" s="262"/>
      <c r="L167" s="286"/>
      <c r="M167" s="90"/>
      <c r="N167" s="423"/>
      <c r="O167" s="406"/>
      <c r="P167" s="406"/>
      <c r="Q167" s="407"/>
      <c r="R167" s="422"/>
      <c r="S167" s="399"/>
      <c r="T167" s="399"/>
    </row>
    <row r="168" spans="1:21" s="81" customFormat="1" ht="15.75" customHeight="1" thickBot="1">
      <c r="A168" s="858"/>
      <c r="B168" s="859"/>
      <c r="C168" s="54" t="s">
        <v>29</v>
      </c>
      <c r="D168" s="860">
        <v>577</v>
      </c>
      <c r="E168" s="56">
        <v>6.7797999999999998</v>
      </c>
      <c r="F168" s="861"/>
      <c r="G168" s="414">
        <f t="shared" ref="G168" si="29">ROUND(D168*E168,2)</f>
        <v>3911.94</v>
      </c>
      <c r="H168" s="280"/>
      <c r="I168" s="281"/>
      <c r="J168" s="207"/>
      <c r="K168" s="362"/>
      <c r="L168" s="433"/>
      <c r="M168" s="63"/>
      <c r="N168" s="426"/>
      <c r="O168" s="416"/>
      <c r="P168" s="416"/>
      <c r="Q168" s="417"/>
      <c r="R168" s="422"/>
      <c r="S168" s="399"/>
      <c r="T168" s="399"/>
    </row>
    <row r="169" spans="1:21" s="81" customFormat="1" ht="15.75" customHeight="1">
      <c r="A169" s="902">
        <v>213</v>
      </c>
      <c r="B169" s="903" t="s">
        <v>134</v>
      </c>
      <c r="C169" s="439" t="s">
        <v>143</v>
      </c>
      <c r="D169" s="904">
        <f>май18!D160+май18!D161</f>
        <v>778.9</v>
      </c>
      <c r="E169" s="23">
        <f>6.7798-6.8921</f>
        <v>-0.11230000000000029</v>
      </c>
      <c r="F169" s="905"/>
      <c r="G169" s="22">
        <f>ROUND(D169*E169,2)</f>
        <v>-87.47</v>
      </c>
      <c r="H169" s="303"/>
      <c r="I169" s="23"/>
      <c r="J169" s="23"/>
      <c r="K169" s="304"/>
      <c r="L169" s="263">
        <f>SUM(G169:G171)</f>
        <v>4180.41</v>
      </c>
      <c r="M169" s="26">
        <v>4180.41</v>
      </c>
      <c r="N169" s="421"/>
      <c r="O169" s="77"/>
      <c r="P169" s="77"/>
      <c r="Q169" s="384"/>
      <c r="R169" s="422"/>
      <c r="S169" s="399"/>
      <c r="T169" s="399"/>
    </row>
    <row r="170" spans="1:21" s="81" customFormat="1" ht="15.75" customHeight="1">
      <c r="A170" s="468"/>
      <c r="B170" s="469"/>
      <c r="C170" s="48" t="s">
        <v>144</v>
      </c>
      <c r="D170" s="471">
        <v>1.5</v>
      </c>
      <c r="E170" s="41">
        <v>6.7797999999999998</v>
      </c>
      <c r="F170" s="473"/>
      <c r="G170" s="449">
        <f t="shared" ref="G170:G171" si="30">ROUND(D170*E170,2)</f>
        <v>10.17</v>
      </c>
      <c r="H170" s="260"/>
      <c r="I170" s="261"/>
      <c r="J170" s="261"/>
      <c r="K170" s="262"/>
      <c r="L170" s="286"/>
      <c r="M170" s="90"/>
      <c r="N170" s="423"/>
      <c r="O170" s="406"/>
      <c r="P170" s="406"/>
      <c r="Q170" s="407"/>
      <c r="R170" s="422"/>
      <c r="S170" s="399"/>
      <c r="T170" s="399"/>
    </row>
    <row r="171" spans="1:21" s="81" customFormat="1" ht="15.75" customHeight="1" thickBot="1">
      <c r="A171" s="858"/>
      <c r="B171" s="859"/>
      <c r="C171" s="54" t="s">
        <v>29</v>
      </c>
      <c r="D171" s="860">
        <v>628</v>
      </c>
      <c r="E171" s="56">
        <v>6.7797999999999998</v>
      </c>
      <c r="F171" s="861"/>
      <c r="G171" s="414">
        <f t="shared" si="30"/>
        <v>4257.71</v>
      </c>
      <c r="H171" s="280"/>
      <c r="I171" s="281"/>
      <c r="J171" s="281"/>
      <c r="K171" s="282"/>
      <c r="L171" s="204"/>
      <c r="M171" s="371"/>
      <c r="N171" s="426"/>
      <c r="O171" s="416"/>
      <c r="P171" s="416"/>
      <c r="Q171" s="417"/>
      <c r="R171" s="422"/>
      <c r="S171" s="399"/>
      <c r="T171" s="399"/>
    </row>
    <row r="172" spans="1:21" s="81" customFormat="1" ht="15.75" customHeight="1">
      <c r="A172" s="902">
        <v>215</v>
      </c>
      <c r="B172" s="903" t="s">
        <v>220</v>
      </c>
      <c r="C172" s="439"/>
      <c r="D172" s="904"/>
      <c r="E172" s="23"/>
      <c r="F172" s="905"/>
      <c r="G172" s="22">
        <f>ROUND(D172*E172,2)</f>
        <v>0</v>
      </c>
      <c r="H172" s="303"/>
      <c r="I172" s="23"/>
      <c r="J172" s="23"/>
      <c r="K172" s="304"/>
      <c r="L172" s="263">
        <f>SUM(G172:G174)</f>
        <v>3828.27</v>
      </c>
      <c r="M172" s="26">
        <v>3828.27</v>
      </c>
      <c r="N172" s="421"/>
      <c r="O172" s="77"/>
      <c r="P172" s="77"/>
      <c r="Q172" s="384"/>
      <c r="R172" s="422"/>
      <c r="S172" s="399"/>
      <c r="T172" s="399"/>
    </row>
    <row r="173" spans="1:21" s="81" customFormat="1" ht="15.75" customHeight="1">
      <c r="A173" s="468"/>
      <c r="B173" s="981" t="s">
        <v>221</v>
      </c>
      <c r="C173" s="48" t="s">
        <v>144</v>
      </c>
      <c r="D173" s="471">
        <v>1.4</v>
      </c>
      <c r="E173" s="41">
        <v>6.6997999999999998</v>
      </c>
      <c r="F173" s="473"/>
      <c r="G173" s="449">
        <f t="shared" ref="G173:G174" si="31">ROUND(D173*E173,2)</f>
        <v>9.3800000000000008</v>
      </c>
      <c r="H173" s="260"/>
      <c r="I173" s="261"/>
      <c r="J173" s="261"/>
      <c r="K173" s="262"/>
      <c r="L173" s="286"/>
      <c r="M173" s="90"/>
      <c r="N173" s="423"/>
      <c r="O173" s="406"/>
      <c r="P173" s="406"/>
      <c r="Q173" s="407"/>
      <c r="R173" s="422"/>
      <c r="S173" s="399"/>
      <c r="T173" s="399"/>
    </row>
    <row r="174" spans="1:21" s="81" customFormat="1" ht="15.75" customHeight="1" thickBot="1">
      <c r="A174" s="858"/>
      <c r="B174" s="859"/>
      <c r="C174" s="54" t="s">
        <v>29</v>
      </c>
      <c r="D174" s="860">
        <v>570</v>
      </c>
      <c r="E174" s="56">
        <v>6.6997999999999998</v>
      </c>
      <c r="F174" s="861"/>
      <c r="G174" s="414">
        <f t="shared" si="31"/>
        <v>3818.89</v>
      </c>
      <c r="H174" s="280"/>
      <c r="I174" s="281"/>
      <c r="J174" s="281"/>
      <c r="K174" s="282"/>
      <c r="L174" s="204"/>
      <c r="M174" s="371"/>
      <c r="N174" s="426"/>
      <c r="O174" s="416"/>
      <c r="P174" s="416"/>
      <c r="Q174" s="417"/>
      <c r="R174" s="422"/>
      <c r="S174" s="399"/>
      <c r="T174" s="399"/>
    </row>
    <row r="175" spans="1:21" s="81" customFormat="1" ht="15" customHeight="1">
      <c r="A175" s="376">
        <v>301</v>
      </c>
      <c r="B175" s="70" t="s">
        <v>67</v>
      </c>
      <c r="C175" s="377"/>
      <c r="D175" s="378">
        <v>725</v>
      </c>
      <c r="E175" s="21">
        <v>36.214199999999998</v>
      </c>
      <c r="F175" s="21">
        <v>42.4328</v>
      </c>
      <c r="G175" s="379">
        <f>ROUND(D175*(E175+F175),2)</f>
        <v>57019.08</v>
      </c>
      <c r="H175" s="380"/>
      <c r="I175" s="381"/>
      <c r="J175" s="381"/>
      <c r="K175" s="342"/>
      <c r="L175" s="382">
        <f>+SUM(G175:G184,J175:J183)</f>
        <v>158129.52000000002</v>
      </c>
      <c r="M175" s="26">
        <v>158129.51999999999</v>
      </c>
      <c r="N175" s="383"/>
      <c r="O175" s="77"/>
      <c r="P175" s="77" t="s">
        <v>68</v>
      </c>
      <c r="Q175" s="384">
        <f t="shared" si="20"/>
        <v>-101110.43999999999</v>
      </c>
      <c r="R175" s="385" t="s">
        <v>69</v>
      </c>
      <c r="S175" s="386"/>
      <c r="T175" s="387"/>
      <c r="U175" s="388"/>
    </row>
    <row r="176" spans="1:21" s="81" customFormat="1" ht="12.75">
      <c r="A176" s="389"/>
      <c r="B176" s="83"/>
      <c r="C176" s="390" t="s">
        <v>26</v>
      </c>
      <c r="D176" s="37"/>
      <c r="E176" s="38"/>
      <c r="F176" s="38"/>
      <c r="G176" s="39">
        <f>ROUND(D176*(E176+F176),2)</f>
        <v>0</v>
      </c>
      <c r="H176" s="391"/>
      <c r="I176" s="392"/>
      <c r="J176" s="402"/>
      <c r="K176" s="393"/>
      <c r="L176" s="394"/>
      <c r="M176" s="90"/>
      <c r="N176" s="395"/>
      <c r="O176" s="94"/>
      <c r="P176" s="94"/>
      <c r="Q176" s="396"/>
      <c r="R176" s="397"/>
      <c r="S176" s="398"/>
      <c r="T176" s="399"/>
    </row>
    <row r="177" spans="1:20" s="81" customFormat="1" ht="12.75">
      <c r="A177" s="389"/>
      <c r="B177" s="98" t="s">
        <v>32</v>
      </c>
      <c r="C177" s="99" t="s">
        <v>33</v>
      </c>
      <c r="D177" s="37">
        <v>71</v>
      </c>
      <c r="E177" s="101">
        <v>237.98</v>
      </c>
      <c r="F177" s="38">
        <v>42.4328</v>
      </c>
      <c r="G177" s="400">
        <f>ROUND(D177*(E177+F177),2)</f>
        <v>19909.310000000001</v>
      </c>
      <c r="H177" s="401"/>
      <c r="I177" s="402"/>
      <c r="J177" s="402"/>
      <c r="K177" s="403"/>
      <c r="L177" s="404"/>
      <c r="M177" s="102"/>
      <c r="N177" s="405"/>
      <c r="O177" s="406"/>
      <c r="P177" s="406" t="s">
        <v>68</v>
      </c>
      <c r="Q177" s="407">
        <f>+G177+J177-M177-N177-O177</f>
        <v>19909.310000000001</v>
      </c>
      <c r="R177" s="397" t="s">
        <v>69</v>
      </c>
      <c r="S177" s="398"/>
      <c r="T177" s="399"/>
    </row>
    <row r="178" spans="1:20" s="81" customFormat="1" ht="15" customHeight="1">
      <c r="A178" s="389"/>
      <c r="B178" s="98"/>
      <c r="C178" s="84" t="s">
        <v>26</v>
      </c>
      <c r="D178" s="37">
        <f>май18!D167</f>
        <v>83</v>
      </c>
      <c r="E178" s="41">
        <f>237.98-292.75</f>
        <v>-54.77000000000001</v>
      </c>
      <c r="F178" s="38"/>
      <c r="G178" s="400">
        <f>+D178*(E178+F178)+0.24</f>
        <v>-4545.670000000001</v>
      </c>
      <c r="H178" s="401"/>
      <c r="I178" s="402"/>
      <c r="J178" s="402"/>
      <c r="K178" s="408"/>
      <c r="L178" s="404"/>
      <c r="M178" s="102"/>
      <c r="N178" s="405"/>
      <c r="O178" s="406"/>
      <c r="P178" s="406"/>
      <c r="Q178" s="407"/>
      <c r="R178" s="397"/>
      <c r="S178" s="398"/>
      <c r="T178" s="399"/>
    </row>
    <row r="179" spans="1:20" s="81" customFormat="1" ht="15" customHeight="1">
      <c r="A179" s="389"/>
      <c r="B179" s="83"/>
      <c r="C179" s="84"/>
      <c r="D179" s="37"/>
      <c r="E179" s="41"/>
      <c r="F179" s="38"/>
      <c r="G179" s="400"/>
      <c r="H179" s="401"/>
      <c r="I179" s="402"/>
      <c r="J179" s="402"/>
      <c r="K179" s="408"/>
      <c r="L179" s="404"/>
      <c r="M179" s="102"/>
      <c r="N179" s="405"/>
      <c r="O179" s="406"/>
      <c r="P179" s="406"/>
      <c r="Q179" s="407"/>
      <c r="R179" s="397"/>
      <c r="S179" s="398"/>
      <c r="T179" s="399"/>
    </row>
    <row r="180" spans="1:20" s="81" customFormat="1" ht="15" customHeight="1">
      <c r="A180" s="389"/>
      <c r="B180" s="83" t="s">
        <v>70</v>
      </c>
      <c r="C180" s="84"/>
      <c r="D180" s="37"/>
      <c r="E180" s="41"/>
      <c r="F180" s="38"/>
      <c r="G180" s="400"/>
      <c r="H180" s="401"/>
      <c r="I180" s="402"/>
      <c r="J180" s="402"/>
      <c r="K180" s="408"/>
      <c r="L180" s="404"/>
      <c r="M180" s="102"/>
      <c r="N180" s="405"/>
      <c r="O180" s="406"/>
      <c r="P180" s="406"/>
      <c r="Q180" s="407"/>
      <c r="R180" s="397"/>
      <c r="S180" s="398"/>
      <c r="T180" s="399"/>
    </row>
    <row r="181" spans="1:20" s="81" customFormat="1" ht="15" customHeight="1">
      <c r="A181" s="389"/>
      <c r="B181" s="83"/>
      <c r="C181" s="48"/>
      <c r="D181" s="37"/>
      <c r="E181" s="41">
        <f>4.4128-4.4153</f>
        <v>-2.5000000000003908E-3</v>
      </c>
      <c r="F181" s="38"/>
      <c r="G181" s="39">
        <f>ROUND(D181*(E181+F181),2)</f>
        <v>0</v>
      </c>
      <c r="H181" s="37"/>
      <c r="I181" s="409"/>
      <c r="J181" s="409"/>
      <c r="K181" s="408"/>
      <c r="L181" s="404"/>
      <c r="M181" s="102"/>
      <c r="N181" s="405"/>
      <c r="O181" s="406"/>
      <c r="P181" s="406"/>
      <c r="Q181" s="407"/>
      <c r="R181" s="397"/>
      <c r="S181" s="398"/>
      <c r="T181" s="399"/>
    </row>
    <row r="182" spans="1:20" s="81" customFormat="1" ht="15" customHeight="1">
      <c r="A182" s="389"/>
      <c r="B182" s="83"/>
      <c r="C182" s="48" t="s">
        <v>143</v>
      </c>
      <c r="D182" s="37">
        <f>май18!D173+май18!D174</f>
        <v>15190</v>
      </c>
      <c r="E182" s="41">
        <f>6.7798-6.8921</f>
        <v>-0.11230000000000029</v>
      </c>
      <c r="F182" s="38">
        <f>+E182</f>
        <v>-0.11230000000000029</v>
      </c>
      <c r="G182" s="39">
        <f>ROUND(D182*E182,2)</f>
        <v>-1705.84</v>
      </c>
      <c r="H182" s="37"/>
      <c r="I182" s="409"/>
      <c r="J182" s="409"/>
      <c r="K182" s="408"/>
      <c r="L182" s="404"/>
      <c r="M182" s="102"/>
      <c r="N182" s="405"/>
      <c r="O182" s="406"/>
      <c r="P182" s="406"/>
      <c r="Q182" s="407"/>
      <c r="R182" s="397"/>
      <c r="S182" s="398"/>
      <c r="T182" s="399"/>
    </row>
    <row r="183" spans="1:20" s="81" customFormat="1" ht="15" customHeight="1">
      <c r="A183" s="389"/>
      <c r="B183" s="83"/>
      <c r="C183" s="48" t="s">
        <v>144</v>
      </c>
      <c r="D183" s="37">
        <v>31</v>
      </c>
      <c r="E183" s="41">
        <v>6.7797999999999998</v>
      </c>
      <c r="F183" s="41">
        <f>+E183</f>
        <v>6.7797999999999998</v>
      </c>
      <c r="G183" s="39">
        <f>ROUND(D183*E183,2)</f>
        <v>210.17</v>
      </c>
      <c r="H183" s="37"/>
      <c r="I183" s="409"/>
      <c r="J183" s="409"/>
      <c r="K183" s="410"/>
      <c r="L183" s="404"/>
      <c r="M183" s="102"/>
      <c r="N183" s="405"/>
      <c r="O183" s="406"/>
      <c r="P183" s="406"/>
      <c r="Q183" s="407"/>
      <c r="R183" s="397"/>
      <c r="S183" s="398"/>
      <c r="T183" s="399"/>
    </row>
    <row r="184" spans="1:20" s="81" customFormat="1" ht="15.75" customHeight="1" thickBot="1">
      <c r="A184" s="411"/>
      <c r="B184" s="412"/>
      <c r="C184" s="99" t="s">
        <v>29</v>
      </c>
      <c r="D184" s="413">
        <v>12868</v>
      </c>
      <c r="E184" s="56">
        <v>6.7797999999999998</v>
      </c>
      <c r="F184" s="41">
        <f>+E184</f>
        <v>6.7797999999999998</v>
      </c>
      <c r="G184" s="414">
        <f>ROUND(D184*E184,2)</f>
        <v>87242.47</v>
      </c>
      <c r="H184" s="248"/>
      <c r="I184" s="60"/>
      <c r="J184" s="60"/>
      <c r="K184" s="203"/>
      <c r="L184" s="204"/>
      <c r="M184" s="371"/>
      <c r="N184" s="415"/>
      <c r="O184" s="416"/>
      <c r="P184" s="416" t="s">
        <v>68</v>
      </c>
      <c r="Q184" s="417">
        <f>+G184+J184-M184-N184-O184</f>
        <v>87242.47</v>
      </c>
      <c r="R184" s="418" t="s">
        <v>69</v>
      </c>
      <c r="S184" s="419">
        <f>SUM(O175:O184)</f>
        <v>0</v>
      </c>
      <c r="T184" s="419">
        <f>SUM(Q175:Q184)</f>
        <v>6041.3400000000111</v>
      </c>
    </row>
    <row r="185" spans="1:20" s="81" customFormat="1" ht="15.75" customHeight="1">
      <c r="A185" s="902">
        <v>303</v>
      </c>
      <c r="B185" s="903" t="s">
        <v>227</v>
      </c>
      <c r="C185" s="439" t="s">
        <v>143</v>
      </c>
      <c r="D185" s="904">
        <f>май18!D176+май18!D177</f>
        <v>856</v>
      </c>
      <c r="E185" s="23">
        <f>6.7798-6.8921</f>
        <v>-0.11230000000000029</v>
      </c>
      <c r="F185" s="905"/>
      <c r="G185" s="22">
        <f>ROUND(D185*E185,2)-0.01</f>
        <v>-96.14</v>
      </c>
      <c r="H185" s="303"/>
      <c r="I185" s="23"/>
      <c r="J185" s="23"/>
      <c r="K185" s="304"/>
      <c r="L185" s="263">
        <f>SUM(G185:G187)</f>
        <v>4457.18</v>
      </c>
      <c r="M185" s="26">
        <v>4457.18</v>
      </c>
      <c r="N185" s="421"/>
      <c r="O185" s="77"/>
      <c r="P185" s="77"/>
      <c r="Q185" s="384"/>
      <c r="R185" s="422"/>
      <c r="S185" s="399"/>
      <c r="T185" s="399"/>
    </row>
    <row r="186" spans="1:20" s="81" customFormat="1" ht="15.75" customHeight="1">
      <c r="A186" s="468"/>
      <c r="B186" s="469"/>
      <c r="C186" s="48" t="s">
        <v>144</v>
      </c>
      <c r="D186" s="471">
        <v>1.6</v>
      </c>
      <c r="E186" s="41">
        <v>6.7797999999999998</v>
      </c>
      <c r="F186" s="473"/>
      <c r="G186" s="449">
        <f>ROUND(D186*E186,2)</f>
        <v>10.85</v>
      </c>
      <c r="H186" s="260"/>
      <c r="I186" s="261"/>
      <c r="J186" s="261"/>
      <c r="K186" s="262"/>
      <c r="L186" s="286"/>
      <c r="M186" s="90"/>
      <c r="N186" s="423"/>
      <c r="O186" s="406"/>
      <c r="P186" s="406"/>
      <c r="Q186" s="407"/>
      <c r="R186" s="422"/>
      <c r="S186" s="399"/>
      <c r="T186" s="399"/>
    </row>
    <row r="187" spans="1:20" s="81" customFormat="1" ht="15.75" customHeight="1" thickBot="1">
      <c r="A187" s="858"/>
      <c r="B187" s="859"/>
      <c r="C187" s="54" t="s">
        <v>29</v>
      </c>
      <c r="D187" s="860">
        <v>670</v>
      </c>
      <c r="E187" s="56">
        <v>6.7797999999999998</v>
      </c>
      <c r="F187" s="861"/>
      <c r="G187" s="414">
        <f t="shared" ref="G187" si="32">ROUND(D187*E187,2)</f>
        <v>4542.47</v>
      </c>
      <c r="H187" s="280"/>
      <c r="I187" s="281"/>
      <c r="J187" s="281"/>
      <c r="K187" s="282"/>
      <c r="L187" s="204"/>
      <c r="M187" s="371"/>
      <c r="N187" s="426"/>
      <c r="O187" s="416"/>
      <c r="P187" s="416"/>
      <c r="Q187" s="417"/>
      <c r="R187" s="422"/>
      <c r="S187" s="399"/>
      <c r="T187" s="399"/>
    </row>
    <row r="188" spans="1:20" s="81" customFormat="1" ht="15" customHeight="1">
      <c r="A188" s="437">
        <v>304</v>
      </c>
      <c r="B188" s="438" t="s">
        <v>83</v>
      </c>
      <c r="C188" s="377" t="s">
        <v>73</v>
      </c>
      <c r="D188" s="378">
        <v>1</v>
      </c>
      <c r="E188" s="21">
        <v>36.214199999999998</v>
      </c>
      <c r="F188" s="21">
        <v>42.4328</v>
      </c>
      <c r="G188" s="22">
        <f>+D188*(E188+F188)</f>
        <v>78.646999999999991</v>
      </c>
      <c r="H188" s="303"/>
      <c r="I188" s="381"/>
      <c r="J188" s="381"/>
      <c r="K188" s="342"/>
      <c r="L188" s="263">
        <f>SUM(G188:G192,J188:J192)</f>
        <v>440.14699999999999</v>
      </c>
      <c r="M188" s="26">
        <v>440.15</v>
      </c>
      <c r="N188" s="421"/>
      <c r="O188" s="77"/>
      <c r="P188" s="77"/>
      <c r="Q188" s="384"/>
      <c r="R188" s="899"/>
      <c r="S188" s="399"/>
      <c r="T188" s="399"/>
    </row>
    <row r="189" spans="1:20" s="81" customFormat="1" ht="15" customHeight="1">
      <c r="A189" s="441"/>
      <c r="B189" s="442"/>
      <c r="C189" s="36" t="s">
        <v>26</v>
      </c>
      <c r="D189" s="37"/>
      <c r="E189" s="38"/>
      <c r="F189" s="38"/>
      <c r="G189" s="39">
        <f>ROUND(D189*(E189+F189),2)</f>
        <v>0</v>
      </c>
      <c r="H189" s="457"/>
      <c r="I189" s="392"/>
      <c r="J189" s="402"/>
      <c r="K189" s="393"/>
      <c r="L189" s="459"/>
      <c r="M189" s="44"/>
      <c r="N189" s="430"/>
      <c r="O189" s="435"/>
      <c r="P189" s="435"/>
      <c r="Q189" s="425"/>
      <c r="R189" s="422"/>
      <c r="S189" s="399"/>
      <c r="T189" s="399"/>
    </row>
    <row r="190" spans="1:20" s="81" customFormat="1" ht="15" customHeight="1">
      <c r="A190" s="441"/>
      <c r="B190" s="442"/>
      <c r="C190" s="48" t="s">
        <v>143</v>
      </c>
      <c r="D190" s="37">
        <f>май18!D181+май18!D182</f>
        <v>47.1</v>
      </c>
      <c r="E190" s="41">
        <f>6.7798-6.8921</f>
        <v>-0.11230000000000029</v>
      </c>
      <c r="F190" s="38"/>
      <c r="G190" s="39">
        <f>ROUND(D190*(E190),2)</f>
        <v>-5.29</v>
      </c>
      <c r="H190" s="270"/>
      <c r="I190" s="41"/>
      <c r="J190" s="41"/>
      <c r="K190" s="271"/>
      <c r="L190" s="272"/>
      <c r="M190" s="102"/>
      <c r="N190" s="430"/>
      <c r="O190" s="435"/>
      <c r="P190" s="435"/>
      <c r="Q190" s="425"/>
      <c r="R190" s="422"/>
      <c r="S190" s="399"/>
      <c r="T190" s="399"/>
    </row>
    <row r="191" spans="1:20" s="81" customFormat="1" ht="15" customHeight="1">
      <c r="A191" s="441"/>
      <c r="B191" s="442"/>
      <c r="C191" s="48" t="s">
        <v>144</v>
      </c>
      <c r="D191" s="37">
        <v>0.1</v>
      </c>
      <c r="E191" s="41">
        <v>6.7797999999999998</v>
      </c>
      <c r="F191" s="38"/>
      <c r="G191" s="39">
        <f>ROUND(D191*(E191),2)</f>
        <v>0.68</v>
      </c>
      <c r="H191" s="270"/>
      <c r="I191" s="41"/>
      <c r="J191" s="41"/>
      <c r="K191" s="271"/>
      <c r="L191" s="272"/>
      <c r="M191" s="102"/>
      <c r="N191" s="434"/>
      <c r="O191" s="435"/>
      <c r="P191" s="435"/>
      <c r="Q191" s="425"/>
      <c r="R191" s="422"/>
      <c r="S191" s="399"/>
      <c r="T191" s="399"/>
    </row>
    <row r="192" spans="1:20" s="81" customFormat="1" ht="15.75" customHeight="1" thickBot="1">
      <c r="A192" s="445"/>
      <c r="B192" s="446"/>
      <c r="C192" s="54" t="s">
        <v>29</v>
      </c>
      <c r="D192" s="413">
        <v>54</v>
      </c>
      <c r="E192" s="56">
        <v>6.7797999999999998</v>
      </c>
      <c r="F192" s="281"/>
      <c r="G192" s="414">
        <f>ROUND(D192*(E192),2)</f>
        <v>366.11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" customHeight="1">
      <c r="A193" s="447">
        <v>400</v>
      </c>
      <c r="B193" s="903" t="s">
        <v>238</v>
      </c>
      <c r="C193" s="377" t="s">
        <v>73</v>
      </c>
      <c r="D193" s="378">
        <v>1</v>
      </c>
      <c r="E193" s="21">
        <v>36.214199999999998</v>
      </c>
      <c r="F193" s="21">
        <v>42.4328</v>
      </c>
      <c r="G193" s="22">
        <f>+D193*(E193+F193)</f>
        <v>78.646999999999991</v>
      </c>
      <c r="H193" s="303"/>
      <c r="I193" s="381"/>
      <c r="J193" s="381"/>
      <c r="K193" s="342"/>
      <c r="L193" s="263">
        <f>SUM(G193:G197,J193:J197)</f>
        <v>26358.967000000001</v>
      </c>
      <c r="M193" s="26">
        <v>26358.97</v>
      </c>
      <c r="N193" s="421"/>
      <c r="O193" s="77"/>
      <c r="P193" s="77"/>
      <c r="Q193" s="384"/>
      <c r="R193" s="899"/>
      <c r="S193" s="399"/>
      <c r="T193" s="399"/>
    </row>
    <row r="194" spans="1:20" s="81" customFormat="1" ht="15" customHeight="1" thickBot="1">
      <c r="A194" s="450"/>
      <c r="B194" s="469"/>
      <c r="C194" s="36" t="s">
        <v>26</v>
      </c>
      <c r="D194" s="37"/>
      <c r="E194" s="38"/>
      <c r="F194" s="38"/>
      <c r="G194" s="39">
        <f>ROUND(D194*(E194+F194),2)</f>
        <v>0</v>
      </c>
      <c r="H194" s="457"/>
      <c r="I194" s="392"/>
      <c r="J194" s="402"/>
      <c r="K194" s="393"/>
      <c r="L194" s="459"/>
      <c r="M194" s="44"/>
      <c r="N194" s="430"/>
      <c r="O194" s="435"/>
      <c r="P194" s="435"/>
      <c r="Q194" s="425"/>
      <c r="R194" s="422"/>
      <c r="S194" s="399"/>
      <c r="T194" s="399"/>
    </row>
    <row r="195" spans="1:20" s="81" customFormat="1" ht="15.75" customHeight="1">
      <c r="A195" s="984"/>
      <c r="C195" s="439" t="s">
        <v>143</v>
      </c>
      <c r="D195" s="904">
        <f>май18!D184+май18!D185</f>
        <v>5326.8</v>
      </c>
      <c r="E195" s="23">
        <f>6.7798-6.8921</f>
        <v>-0.11230000000000029</v>
      </c>
      <c r="F195" s="905"/>
      <c r="G195" s="22">
        <f>ROUND(D195*E195,2)</f>
        <v>-598.20000000000005</v>
      </c>
      <c r="H195" s="303"/>
      <c r="I195" s="23"/>
      <c r="J195" s="23"/>
      <c r="K195" s="304"/>
      <c r="L195" s="263"/>
      <c r="M195" s="26"/>
      <c r="N195" s="421"/>
      <c r="O195" s="77"/>
      <c r="P195" s="77"/>
      <c r="Q195" s="384"/>
      <c r="R195" s="422"/>
      <c r="S195" s="399"/>
      <c r="T195" s="399"/>
    </row>
    <row r="196" spans="1:20" s="81" customFormat="1" ht="15.75" customHeight="1">
      <c r="A196" s="450"/>
      <c r="B196" s="469"/>
      <c r="C196" s="48" t="s">
        <v>144</v>
      </c>
      <c r="D196" s="471">
        <v>9.5</v>
      </c>
      <c r="E196" s="41">
        <v>6.7797999999999998</v>
      </c>
      <c r="F196" s="473"/>
      <c r="G196" s="449">
        <f>ROUND(D196*E196,2)</f>
        <v>64.41</v>
      </c>
      <c r="H196" s="260"/>
      <c r="I196" s="261"/>
      <c r="J196" s="261"/>
      <c r="K196" s="262"/>
      <c r="L196" s="286"/>
      <c r="M196" s="90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 thickBot="1">
      <c r="A197" s="451"/>
      <c r="B197" s="859"/>
      <c r="C197" s="54" t="s">
        <v>29</v>
      </c>
      <c r="D197" s="860">
        <f>3556+399</f>
        <v>3955</v>
      </c>
      <c r="E197" s="56">
        <v>6.7797999999999998</v>
      </c>
      <c r="F197" s="861"/>
      <c r="G197" s="414">
        <f t="shared" ref="G197" si="33">ROUND(D197*E197,2)</f>
        <v>26814.11</v>
      </c>
      <c r="H197" s="280"/>
      <c r="I197" s="281"/>
      <c r="J197" s="281"/>
      <c r="K197" s="282"/>
      <c r="L197" s="204"/>
      <c r="M197" s="371"/>
      <c r="N197" s="426"/>
      <c r="O197" s="416"/>
      <c r="P197" s="416"/>
      <c r="Q197" s="417"/>
      <c r="R197" s="422"/>
      <c r="S197" s="399"/>
      <c r="T197" s="399"/>
    </row>
    <row r="198" spans="1:20" s="81" customFormat="1" ht="15" customHeight="1">
      <c r="A198" s="437">
        <v>402</v>
      </c>
      <c r="B198" s="438" t="s">
        <v>122</v>
      </c>
      <c r="C198" s="439"/>
      <c r="D198" s="378"/>
      <c r="E198" s="23"/>
      <c r="F198" s="23"/>
      <c r="G198" s="22"/>
      <c r="H198" s="303"/>
      <c r="I198" s="23"/>
      <c r="J198" s="23"/>
      <c r="K198" s="304"/>
      <c r="L198" s="382">
        <f>+SUM(G198:G201,J198:J201)</f>
        <v>1528.5</v>
      </c>
      <c r="M198" s="26">
        <v>1528.5</v>
      </c>
      <c r="N198" s="421"/>
      <c r="O198" s="77"/>
      <c r="P198" s="77"/>
      <c r="Q198" s="384"/>
      <c r="R198" s="899"/>
      <c r="S198" s="399"/>
      <c r="T198" s="399"/>
    </row>
    <row r="199" spans="1:20" s="81" customFormat="1" ht="15" customHeight="1" thickBot="1">
      <c r="A199" s="441"/>
      <c r="B199" s="442"/>
      <c r="C199" s="48" t="s">
        <v>143</v>
      </c>
      <c r="D199" s="37">
        <f>май18!D188+май18!D189</f>
        <v>247.59</v>
      </c>
      <c r="E199" s="41">
        <f>6.7798-6.8921</f>
        <v>-0.11230000000000029</v>
      </c>
      <c r="F199" s="41"/>
      <c r="G199" s="414">
        <f>ROUND(D199*E199,2)</f>
        <v>-27.8</v>
      </c>
      <c r="H199" s="260"/>
      <c r="I199" s="261"/>
      <c r="J199" s="261"/>
      <c r="K199" s="262"/>
      <c r="L199" s="394"/>
      <c r="M199" s="90"/>
      <c r="N199" s="443"/>
      <c r="O199" s="94"/>
      <c r="P199" s="94"/>
      <c r="Q199" s="396"/>
      <c r="R199" s="899"/>
      <c r="S199" s="399"/>
      <c r="T199" s="399"/>
    </row>
    <row r="200" spans="1:20" s="81" customFormat="1" ht="15" customHeight="1" thickBot="1">
      <c r="A200" s="441"/>
      <c r="B200" s="444"/>
      <c r="C200" s="48" t="s">
        <v>144</v>
      </c>
      <c r="D200" s="37">
        <v>0.55000000000000004</v>
      </c>
      <c r="E200" s="41">
        <v>6.7797999999999998</v>
      </c>
      <c r="F200" s="41"/>
      <c r="G200" s="414">
        <f>ROUND(D200*E200,2)</f>
        <v>3.73</v>
      </c>
      <c r="H200" s="432"/>
      <c r="I200" s="207"/>
      <c r="J200" s="207"/>
      <c r="K200" s="362"/>
      <c r="L200" s="433"/>
      <c r="M200" s="63"/>
      <c r="N200" s="423"/>
      <c r="O200" s="406"/>
      <c r="P200" s="406"/>
      <c r="Q200" s="407"/>
      <c r="R200" s="899"/>
      <c r="S200" s="399"/>
      <c r="T200" s="399"/>
    </row>
    <row r="201" spans="1:20" s="81" customFormat="1" ht="15" customHeight="1" thickBot="1">
      <c r="A201" s="445"/>
      <c r="B201" s="446"/>
      <c r="C201" s="99" t="s">
        <v>29</v>
      </c>
      <c r="D201" s="413">
        <v>229</v>
      </c>
      <c r="E201" s="56">
        <v>6.7797999999999998</v>
      </c>
      <c r="F201" s="281"/>
      <c r="G201" s="414">
        <f>ROUND(D201*E201,2)</f>
        <v>1552.57</v>
      </c>
      <c r="H201" s="280"/>
      <c r="I201" s="281"/>
      <c r="J201" s="281"/>
      <c r="K201" s="282"/>
      <c r="L201" s="204"/>
      <c r="M201" s="371"/>
      <c r="N201" s="434"/>
      <c r="O201" s="435"/>
      <c r="P201" s="435"/>
      <c r="Q201" s="425"/>
      <c r="R201" s="899"/>
      <c r="S201" s="399"/>
      <c r="T201" s="399"/>
    </row>
    <row r="202" spans="1:20" s="81" customFormat="1" ht="15.75" customHeight="1">
      <c r="A202" s="447">
        <v>403</v>
      </c>
      <c r="B202" s="438" t="s">
        <v>126</v>
      </c>
      <c r="C202" s="439" t="s">
        <v>143</v>
      </c>
      <c r="D202" s="900">
        <f>май18!D191+май18!D192</f>
        <v>106.3</v>
      </c>
      <c r="E202" s="23">
        <f>6.7798-6.8921</f>
        <v>-0.11230000000000029</v>
      </c>
      <c r="F202" s="23"/>
      <c r="G202" s="22">
        <f>ROUND(D202*E202,2)</f>
        <v>-11.94</v>
      </c>
      <c r="H202" s="303"/>
      <c r="I202" s="23"/>
      <c r="J202" s="23"/>
      <c r="K202" s="304"/>
      <c r="L202" s="263">
        <f>SUM(G202:G204)</f>
        <v>626.71999999999991</v>
      </c>
      <c r="M202" s="26">
        <v>626.72</v>
      </c>
      <c r="N202" s="421"/>
      <c r="O202" s="77"/>
      <c r="P202" s="77"/>
      <c r="Q202" s="384"/>
      <c r="R202" s="422"/>
      <c r="S202" s="399"/>
      <c r="T202" s="399"/>
    </row>
    <row r="203" spans="1:20" s="81" customFormat="1" ht="15.75" customHeight="1">
      <c r="A203" s="450"/>
      <c r="B203" s="442"/>
      <c r="C203" s="48" t="s">
        <v>144</v>
      </c>
      <c r="D203" s="448">
        <v>0.2</v>
      </c>
      <c r="E203" s="41">
        <v>6.7797999999999998</v>
      </c>
      <c r="F203" s="261"/>
      <c r="G203" s="449">
        <f t="shared" ref="G203:G204" si="34">ROUND(D203*E203,2)</f>
        <v>1.36</v>
      </c>
      <c r="H203" s="260"/>
      <c r="I203" s="261"/>
      <c r="J203" s="261"/>
      <c r="K203" s="262"/>
      <c r="L203" s="286"/>
      <c r="M203" s="90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451"/>
      <c r="B204" s="446"/>
      <c r="C204" s="54" t="s">
        <v>29</v>
      </c>
      <c r="D204" s="901">
        <v>94</v>
      </c>
      <c r="E204" s="56">
        <v>6.7797999999999998</v>
      </c>
      <c r="F204" s="281"/>
      <c r="G204" s="414">
        <f t="shared" si="34"/>
        <v>637.29999999999995</v>
      </c>
      <c r="H204" s="280"/>
      <c r="I204" s="281"/>
      <c r="J204" s="281"/>
      <c r="K204" s="282"/>
      <c r="L204" s="204"/>
      <c r="M204" s="371"/>
      <c r="N204" s="426"/>
      <c r="O204" s="416"/>
      <c r="P204" s="416"/>
      <c r="Q204" s="417"/>
      <c r="R204" s="422"/>
      <c r="S204" s="399"/>
      <c r="T204" s="399"/>
    </row>
    <row r="205" spans="1:20" s="81" customFormat="1" ht="15.75" customHeight="1">
      <c r="A205" s="906" t="s">
        <v>199</v>
      </c>
      <c r="B205" s="903" t="s">
        <v>191</v>
      </c>
      <c r="C205" s="382" t="s">
        <v>73</v>
      </c>
      <c r="D205" s="904">
        <v>32</v>
      </c>
      <c r="E205" s="907">
        <v>36.214199999999998</v>
      </c>
      <c r="F205" s="905">
        <v>42.4328</v>
      </c>
      <c r="G205" s="908">
        <f>ROUND(D205*E205+D205*F205,2)</f>
        <v>2516.6999999999998</v>
      </c>
      <c r="H205" s="303"/>
      <c r="I205" s="23"/>
      <c r="J205" s="23"/>
      <c r="K205" s="304"/>
      <c r="L205" s="263">
        <f>SUM(G205:G209)</f>
        <v>12606</v>
      </c>
      <c r="M205" s="877">
        <v>12606</v>
      </c>
      <c r="N205" s="430"/>
      <c r="O205" s="77"/>
      <c r="P205" s="77"/>
      <c r="Q205" s="384"/>
      <c r="R205" s="422"/>
      <c r="S205" s="399"/>
      <c r="T205" s="399"/>
    </row>
    <row r="206" spans="1:20" s="81" customFormat="1" ht="15.75" customHeight="1" thickBot="1">
      <c r="A206" s="909">
        <v>408</v>
      </c>
      <c r="B206" s="469"/>
      <c r="C206" s="429" t="s">
        <v>26</v>
      </c>
      <c r="D206" s="471"/>
      <c r="E206" s="876"/>
      <c r="F206" s="473"/>
      <c r="G206" s="862">
        <f>ROUND(D206*E206+D206*F206,2)</f>
        <v>0</v>
      </c>
      <c r="H206" s="270"/>
      <c r="I206" s="41"/>
      <c r="J206" s="41"/>
      <c r="K206" s="271"/>
      <c r="L206" s="272"/>
      <c r="M206" s="878"/>
      <c r="N206" s="430"/>
      <c r="O206" s="406"/>
      <c r="P206" s="406"/>
      <c r="Q206" s="407"/>
      <c r="R206" s="422"/>
      <c r="S206" s="399"/>
      <c r="T206" s="399"/>
    </row>
    <row r="207" spans="1:20" s="81" customFormat="1" ht="15.75" customHeight="1">
      <c r="A207" s="468"/>
      <c r="B207" s="699"/>
      <c r="C207" s="48" t="s">
        <v>143</v>
      </c>
      <c r="D207" s="471">
        <f>май18!D196+май18!D197</f>
        <v>1718.1</v>
      </c>
      <c r="E207" s="41">
        <f>6.7798-6.8921</f>
        <v>-0.11230000000000029</v>
      </c>
      <c r="F207" s="473"/>
      <c r="G207" s="862">
        <f>ROUND(D207*E207,2)-0.01</f>
        <v>-192.95</v>
      </c>
      <c r="H207" s="270"/>
      <c r="I207" s="41"/>
      <c r="J207" s="41"/>
      <c r="K207" s="271"/>
      <c r="L207" s="272"/>
      <c r="M207" s="878"/>
      <c r="N207" s="421"/>
      <c r="O207" s="406"/>
      <c r="P207" s="406"/>
      <c r="Q207" s="407"/>
      <c r="R207" s="422"/>
      <c r="S207" s="399"/>
      <c r="T207" s="399"/>
    </row>
    <row r="208" spans="1:20" s="81" customFormat="1" ht="15.75" customHeight="1">
      <c r="A208" s="468"/>
      <c r="B208" s="469"/>
      <c r="C208" s="48" t="s">
        <v>144</v>
      </c>
      <c r="D208" s="471">
        <f>1+2.5+0.1</f>
        <v>3.6</v>
      </c>
      <c r="E208" s="41">
        <v>6.7797999999999998</v>
      </c>
      <c r="F208" s="473"/>
      <c r="G208" s="862">
        <f>ROUND(D208*E208,2)</f>
        <v>24.41</v>
      </c>
      <c r="H208" s="270"/>
      <c r="I208" s="41"/>
      <c r="J208" s="41"/>
      <c r="K208" s="271"/>
      <c r="L208" s="272"/>
      <c r="M208" s="878"/>
      <c r="N208" s="423"/>
      <c r="O208" s="406"/>
      <c r="P208" s="406"/>
      <c r="Q208" s="407"/>
      <c r="R208" s="422"/>
      <c r="S208" s="399"/>
      <c r="T208" s="399"/>
    </row>
    <row r="209" spans="1:20" s="81" customFormat="1" ht="15.75" customHeight="1" thickBot="1">
      <c r="A209" s="858"/>
      <c r="B209" s="859"/>
      <c r="C209" s="54" t="s">
        <v>29</v>
      </c>
      <c r="D209" s="860">
        <f>431+1030+52</f>
        <v>1513</v>
      </c>
      <c r="E209" s="56">
        <v>6.7797999999999998</v>
      </c>
      <c r="F209" s="861"/>
      <c r="G209" s="866">
        <f t="shared" ref="G209" si="35">ROUND(D209*E209,2)</f>
        <v>10257.84</v>
      </c>
      <c r="H209" s="280"/>
      <c r="I209" s="281"/>
      <c r="J209" s="281"/>
      <c r="K209" s="282"/>
      <c r="L209" s="204"/>
      <c r="M209" s="880"/>
      <c r="N209" s="426"/>
      <c r="O209" s="416"/>
      <c r="P209" s="416"/>
      <c r="Q209" s="417"/>
      <c r="R209" s="422"/>
      <c r="S209" s="399"/>
      <c r="T209" s="399"/>
    </row>
    <row r="210" spans="1:20" s="81" customFormat="1" ht="15.75" customHeight="1">
      <c r="A210" s="902">
        <v>405</v>
      </c>
      <c r="B210" s="903" t="s">
        <v>147</v>
      </c>
      <c r="C210" s="439" t="s">
        <v>143</v>
      </c>
      <c r="D210" s="904">
        <f>май18!D199+май18!D200</f>
        <v>158.4</v>
      </c>
      <c r="E210" s="23">
        <f>6.7798-6.8921</f>
        <v>-0.11230000000000029</v>
      </c>
      <c r="F210" s="905"/>
      <c r="G210" s="22">
        <f>ROUND(D210*E210,2)</f>
        <v>-17.79</v>
      </c>
      <c r="H210" s="303"/>
      <c r="I210" s="261"/>
      <c r="J210" s="261"/>
      <c r="K210" s="262"/>
      <c r="L210" s="286">
        <f>SUM(G210:G212)</f>
        <v>804.6</v>
      </c>
      <c r="M210" s="90">
        <v>804.6</v>
      </c>
      <c r="N210" s="421"/>
      <c r="O210" s="77"/>
      <c r="P210" s="77"/>
      <c r="Q210" s="384"/>
      <c r="R210" s="422"/>
      <c r="S210" s="399"/>
      <c r="T210" s="399"/>
    </row>
    <row r="211" spans="1:20" s="81" customFormat="1" ht="15.75" customHeight="1">
      <c r="A211" s="468"/>
      <c r="B211" s="469"/>
      <c r="C211" s="48" t="s">
        <v>144</v>
      </c>
      <c r="D211" s="471">
        <v>0.3</v>
      </c>
      <c r="E211" s="41">
        <v>6.7797999999999998</v>
      </c>
      <c r="F211" s="473"/>
      <c r="G211" s="449">
        <f>ROUND(D211*E211,2)</f>
        <v>2.0299999999999998</v>
      </c>
      <c r="H211" s="260"/>
      <c r="I211" s="261"/>
      <c r="J211" s="261"/>
      <c r="K211" s="262"/>
      <c r="L211" s="286"/>
      <c r="M211" s="90"/>
      <c r="N211" s="423"/>
      <c r="O211" s="406"/>
      <c r="P211" s="406"/>
      <c r="Q211" s="407"/>
      <c r="R211" s="422"/>
      <c r="S211" s="399"/>
      <c r="T211" s="399"/>
    </row>
    <row r="212" spans="1:20" s="81" customFormat="1" ht="15.75" customHeight="1" thickBot="1">
      <c r="A212" s="701"/>
      <c r="B212" s="702"/>
      <c r="C212" s="99" t="s">
        <v>29</v>
      </c>
      <c r="D212" s="703">
        <v>121</v>
      </c>
      <c r="E212" s="56">
        <v>6.7797999999999998</v>
      </c>
      <c r="F212" s="704"/>
      <c r="G212" s="39">
        <f t="shared" ref="G212" si="36">ROUND(D212*E212,2)</f>
        <v>820.36</v>
      </c>
      <c r="H212" s="280"/>
      <c r="I212" s="281"/>
      <c r="J212" s="281"/>
      <c r="K212" s="282"/>
      <c r="L212" s="204"/>
      <c r="M212" s="371"/>
      <c r="N212" s="426"/>
      <c r="O212" s="416"/>
      <c r="P212" s="416"/>
      <c r="Q212" s="417"/>
      <c r="R212" s="422"/>
      <c r="S212" s="399"/>
      <c r="T212" s="399"/>
    </row>
    <row r="213" spans="1:20" s="81" customFormat="1" ht="15.75" hidden="1" customHeight="1" outlineLevel="1" thickBot="1">
      <c r="A213" s="910"/>
      <c r="B213" s="911" t="s">
        <v>155</v>
      </c>
      <c r="C213" s="573" t="s">
        <v>115</v>
      </c>
      <c r="D213" s="912"/>
      <c r="E213" s="579">
        <f>7.0379-7.0426</f>
        <v>-4.7000000000005926E-3</v>
      </c>
      <c r="F213" s="580"/>
      <c r="G213" s="913">
        <f>ROUND(D213*E213,2)</f>
        <v>0</v>
      </c>
      <c r="H213" s="914"/>
      <c r="I213" s="23"/>
      <c r="J213" s="23"/>
      <c r="K213" s="304"/>
      <c r="L213" s="263">
        <f>SUM(G213:G215)</f>
        <v>0</v>
      </c>
      <c r="M213" s="26"/>
      <c r="N213" s="421"/>
      <c r="O213" s="77"/>
      <c r="P213" s="77"/>
      <c r="Q213" s="384"/>
      <c r="R213" s="422"/>
      <c r="S213" s="399"/>
      <c r="T213" s="399"/>
    </row>
    <row r="214" spans="1:20" s="81" customFormat="1" ht="15.75" hidden="1" customHeight="1" outlineLevel="1" thickBot="1">
      <c r="A214" s="910"/>
      <c r="B214" s="915"/>
      <c r="C214" s="573" t="s">
        <v>114</v>
      </c>
      <c r="D214" s="912"/>
      <c r="E214" s="579">
        <v>7.0378999999999996</v>
      </c>
      <c r="F214" s="580"/>
      <c r="G214" s="913">
        <f>ROUND(D214*E214,2)</f>
        <v>0</v>
      </c>
      <c r="H214" s="914"/>
      <c r="I214" s="261"/>
      <c r="J214" s="261"/>
      <c r="K214" s="262"/>
      <c r="L214" s="286"/>
      <c r="M214" s="90"/>
      <c r="N214" s="423"/>
      <c r="O214" s="406"/>
      <c r="P214" s="406"/>
      <c r="Q214" s="407"/>
      <c r="R214" s="422"/>
      <c r="S214" s="399"/>
      <c r="T214" s="399"/>
    </row>
    <row r="215" spans="1:20" s="81" customFormat="1" ht="15.75" hidden="1" customHeight="1" outlineLevel="1" thickBot="1">
      <c r="A215" s="910"/>
      <c r="B215" s="915"/>
      <c r="C215" s="916" t="s">
        <v>29</v>
      </c>
      <c r="D215" s="912"/>
      <c r="E215" s="917">
        <v>7.0378999999999996</v>
      </c>
      <c r="F215" s="580"/>
      <c r="G215" s="913">
        <f t="shared" ref="G215" si="37">ROUND(D215*E215,2)</f>
        <v>0</v>
      </c>
      <c r="H215" s="914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 collapsed="1">
      <c r="A216" s="902">
        <v>407</v>
      </c>
      <c r="B216" s="903" t="s">
        <v>160</v>
      </c>
      <c r="C216" s="439" t="s">
        <v>143</v>
      </c>
      <c r="D216" s="904">
        <f>май18!D205+май18!D206</f>
        <v>21.05</v>
      </c>
      <c r="E216" s="23">
        <f>6.7798-6.8921</f>
        <v>-0.11230000000000029</v>
      </c>
      <c r="F216" s="905"/>
      <c r="G216" s="22">
        <f>ROUND(D216*E216,2)</f>
        <v>-2.36</v>
      </c>
      <c r="H216" s="303"/>
      <c r="I216" s="23"/>
      <c r="J216" s="23"/>
      <c r="K216" s="304"/>
      <c r="L216" s="263">
        <f>SUM(G216:G218)</f>
        <v>119.95</v>
      </c>
      <c r="M216" s="26">
        <v>119.95</v>
      </c>
      <c r="N216" s="421"/>
      <c r="O216" s="77"/>
      <c r="P216" s="77"/>
      <c r="Q216" s="384"/>
      <c r="R216" s="422"/>
      <c r="S216" s="399"/>
      <c r="T216" s="399"/>
    </row>
    <row r="217" spans="1:20" s="81" customFormat="1" ht="15.75" customHeight="1">
      <c r="A217" s="468"/>
      <c r="B217" s="469"/>
      <c r="C217" s="48" t="s">
        <v>144</v>
      </c>
      <c r="D217" s="471">
        <v>0.04</v>
      </c>
      <c r="E217" s="41">
        <v>6.7797999999999998</v>
      </c>
      <c r="F217" s="473"/>
      <c r="G217" s="449">
        <f>ROUND(D217*E217,2)</f>
        <v>0.27</v>
      </c>
      <c r="H217" s="260"/>
      <c r="I217" s="261"/>
      <c r="J217" s="261"/>
      <c r="K217" s="262"/>
      <c r="L217" s="286"/>
      <c r="M217" s="90"/>
      <c r="N217" s="423"/>
      <c r="O217" s="406"/>
      <c r="P217" s="406"/>
      <c r="Q217" s="407"/>
      <c r="R217" s="422"/>
      <c r="S217" s="399"/>
      <c r="T217" s="399"/>
    </row>
    <row r="218" spans="1:20" s="81" customFormat="1" ht="15.75" customHeight="1" thickBot="1">
      <c r="A218" s="858"/>
      <c r="B218" s="859"/>
      <c r="C218" s="54" t="s">
        <v>29</v>
      </c>
      <c r="D218" s="860">
        <v>18</v>
      </c>
      <c r="E218" s="56">
        <v>6.7797999999999998</v>
      </c>
      <c r="F218" s="861"/>
      <c r="G218" s="414">
        <f t="shared" ref="G218" si="38">ROUND(D218*E218,2)</f>
        <v>122.04</v>
      </c>
      <c r="H218" s="280"/>
      <c r="I218" s="281"/>
      <c r="J218" s="281"/>
      <c r="K218" s="282"/>
      <c r="L218" s="204"/>
      <c r="M218" s="371"/>
      <c r="N218" s="426"/>
      <c r="O218" s="416"/>
      <c r="P218" s="416"/>
      <c r="Q218" s="417"/>
      <c r="R218" s="422"/>
      <c r="S218" s="399"/>
      <c r="T218" s="399"/>
    </row>
    <row r="219" spans="1:20" s="81" customFormat="1" ht="15" hidden="1" customHeight="1">
      <c r="A219" s="437">
        <v>129</v>
      </c>
      <c r="B219" s="438" t="s">
        <v>38</v>
      </c>
      <c r="C219" s="439"/>
      <c r="D219" s="378"/>
      <c r="E219" s="23"/>
      <c r="F219" s="23"/>
      <c r="G219" s="22"/>
      <c r="H219" s="303"/>
      <c r="I219" s="23"/>
      <c r="J219" s="23"/>
      <c r="K219" s="304"/>
      <c r="L219" s="382">
        <f>+SUM(G219:G222,J219:J222)</f>
        <v>0</v>
      </c>
      <c r="M219" s="26"/>
      <c r="N219" s="421"/>
      <c r="O219" s="77"/>
      <c r="P219" s="77"/>
      <c r="Q219" s="384">
        <f>+L219-M219</f>
        <v>0</v>
      </c>
      <c r="R219" s="899"/>
      <c r="S219" s="399"/>
      <c r="T219" s="399"/>
    </row>
    <row r="220" spans="1:20" s="81" customFormat="1" ht="15" hidden="1" customHeight="1">
      <c r="A220" s="441"/>
      <c r="B220" s="442" t="s">
        <v>198</v>
      </c>
      <c r="C220" s="48" t="s">
        <v>118</v>
      </c>
      <c r="D220" s="37"/>
      <c r="E220" s="41">
        <f>6.8416-6.7432</f>
        <v>9.8399999999999821E-2</v>
      </c>
      <c r="F220" s="41"/>
      <c r="G220" s="39">
        <f>ROUND(D220*E220,2)</f>
        <v>0</v>
      </c>
      <c r="H220" s="260"/>
      <c r="I220" s="261"/>
      <c r="J220" s="261"/>
      <c r="K220" s="262"/>
      <c r="L220" s="394"/>
      <c r="M220" s="90"/>
      <c r="N220" s="443"/>
      <c r="O220" s="94"/>
      <c r="P220" s="94"/>
      <c r="Q220" s="396"/>
      <c r="R220" s="899"/>
      <c r="S220" s="399"/>
      <c r="T220" s="399"/>
    </row>
    <row r="221" spans="1:20" s="81" customFormat="1" ht="15.75" hidden="1" thickBot="1">
      <c r="A221" s="441"/>
      <c r="B221" s="444"/>
      <c r="C221" s="48" t="s">
        <v>119</v>
      </c>
      <c r="D221" s="37"/>
      <c r="E221" s="41">
        <v>6.8415999999999997</v>
      </c>
      <c r="F221" s="41"/>
      <c r="G221" s="39">
        <f t="shared" ref="G221:G222" si="39">ROUND(D221*E221,2)</f>
        <v>0</v>
      </c>
      <c r="H221" s="432"/>
      <c r="I221" s="207"/>
      <c r="J221" s="207"/>
      <c r="K221" s="362"/>
      <c r="L221" s="433"/>
      <c r="M221" s="63"/>
      <c r="N221" s="423"/>
      <c r="O221" s="406"/>
      <c r="P221" s="406"/>
      <c r="Q221" s="407"/>
      <c r="R221" s="899"/>
      <c r="S221" s="399"/>
      <c r="T221" s="399"/>
    </row>
    <row r="222" spans="1:20" s="81" customFormat="1" ht="15" hidden="1" customHeight="1" thickBot="1">
      <c r="A222" s="445"/>
      <c r="B222" s="446"/>
      <c r="C222" s="99" t="s">
        <v>29</v>
      </c>
      <c r="D222" s="413"/>
      <c r="E222" s="56">
        <v>6.8415999999999997</v>
      </c>
      <c r="F222" s="281"/>
      <c r="G222" s="414">
        <f t="shared" si="39"/>
        <v>0</v>
      </c>
      <c r="H222" s="280"/>
      <c r="I222" s="281"/>
      <c r="J222" s="281"/>
      <c r="K222" s="282"/>
      <c r="L222" s="204"/>
      <c r="M222" s="371"/>
      <c r="N222" s="434"/>
      <c r="O222" s="435"/>
      <c r="P222" s="435"/>
      <c r="Q222" s="425"/>
      <c r="R222" s="899"/>
      <c r="S222" s="399"/>
      <c r="T222" s="399"/>
    </row>
    <row r="223" spans="1:20" s="81" customFormat="1" ht="15.75" hidden="1" customHeight="1">
      <c r="A223" s="902">
        <v>118</v>
      </c>
      <c r="B223" s="924" t="s">
        <v>200</v>
      </c>
      <c r="C223" s="390" t="s">
        <v>73</v>
      </c>
      <c r="D223" s="869"/>
      <c r="E223" s="86">
        <v>36.214199999999998</v>
      </c>
      <c r="F223" s="86">
        <v>42.4328</v>
      </c>
      <c r="G223" s="449">
        <f>+D223*(E223+F223)</f>
        <v>0</v>
      </c>
      <c r="H223" s="260"/>
      <c r="I223" s="392"/>
      <c r="J223" s="41"/>
      <c r="K223" s="870"/>
      <c r="L223" s="286">
        <f>SUM(G223:G227,J223:J227)</f>
        <v>0</v>
      </c>
      <c r="M223" s="90"/>
      <c r="N223" s="443"/>
      <c r="O223" s="94"/>
      <c r="P223" s="94"/>
      <c r="Q223" s="396"/>
      <c r="R223" s="422"/>
      <c r="S223" s="399"/>
      <c r="T223" s="399"/>
    </row>
    <row r="224" spans="1:20" s="81" customFormat="1" ht="15.75" hidden="1" customHeight="1">
      <c r="A224" s="468"/>
      <c r="B224" s="920"/>
      <c r="C224" s="36" t="s">
        <v>26</v>
      </c>
      <c r="D224" s="37"/>
      <c r="E224" s="38"/>
      <c r="F224" s="38"/>
      <c r="G224" s="39">
        <f>ROUND(D224*(E224+F224),2)</f>
        <v>0</v>
      </c>
      <c r="H224" s="457"/>
      <c r="I224" s="392"/>
      <c r="J224" s="41"/>
      <c r="K224" s="393"/>
      <c r="L224" s="459"/>
      <c r="M224" s="44"/>
      <c r="N224" s="430"/>
      <c r="O224" s="406"/>
      <c r="P224" s="406"/>
      <c r="Q224" s="407"/>
      <c r="R224" s="422"/>
      <c r="S224" s="399"/>
      <c r="T224" s="399"/>
    </row>
    <row r="225" spans="1:21" s="81" customFormat="1" ht="15.75" hidden="1" customHeight="1">
      <c r="A225" s="468"/>
      <c r="B225" s="920"/>
      <c r="C225" s="48" t="s">
        <v>124</v>
      </c>
      <c r="D225" s="37"/>
      <c r="E225" s="41"/>
      <c r="F225" s="38"/>
      <c r="G225" s="39">
        <f>ROUND(D225*(E225),2)</f>
        <v>0</v>
      </c>
      <c r="H225" s="270"/>
      <c r="I225" s="41"/>
      <c r="J225" s="41"/>
      <c r="K225" s="271"/>
      <c r="L225" s="272"/>
      <c r="M225" s="102"/>
      <c r="N225" s="430"/>
      <c r="O225" s="406"/>
      <c r="P225" s="406"/>
      <c r="Q225" s="407"/>
      <c r="R225" s="422"/>
      <c r="S225" s="399"/>
      <c r="T225" s="399"/>
    </row>
    <row r="226" spans="1:21" s="81" customFormat="1" ht="15.75" hidden="1" customHeight="1">
      <c r="A226" s="468"/>
      <c r="B226" s="920"/>
      <c r="C226" s="48" t="s">
        <v>125</v>
      </c>
      <c r="D226" s="37"/>
      <c r="E226" s="41">
        <v>6.7431999999999999</v>
      </c>
      <c r="F226" s="38"/>
      <c r="G226" s="39">
        <f>ROUND(D226*(E226),2)</f>
        <v>0</v>
      </c>
      <c r="H226" s="270"/>
      <c r="I226" s="41"/>
      <c r="J226" s="41"/>
      <c r="K226" s="271"/>
      <c r="L226" s="272"/>
      <c r="M226" s="102"/>
      <c r="N226" s="434"/>
      <c r="O226" s="435"/>
      <c r="P226" s="435"/>
      <c r="Q226" s="425"/>
      <c r="R226" s="422"/>
      <c r="S226" s="399"/>
      <c r="T226" s="399"/>
    </row>
    <row r="227" spans="1:21" s="81" customFormat="1" ht="15.75" hidden="1" customHeight="1" thickBot="1">
      <c r="A227" s="858"/>
      <c r="B227" s="921"/>
      <c r="C227" s="54" t="s">
        <v>29</v>
      </c>
      <c r="D227" s="413"/>
      <c r="E227" s="56">
        <v>6.7431999999999999</v>
      </c>
      <c r="F227" s="281"/>
      <c r="G227" s="414">
        <f>ROUND(D227*(E227),2)</f>
        <v>0</v>
      </c>
      <c r="H227" s="280"/>
      <c r="I227" s="281"/>
      <c r="J227" s="281"/>
      <c r="K227" s="282"/>
      <c r="L227" s="204"/>
      <c r="M227" s="371"/>
      <c r="N227" s="426"/>
      <c r="O227" s="416"/>
      <c r="P227" s="416"/>
      <c r="Q227" s="417"/>
      <c r="R227" s="422"/>
      <c r="S227" s="399"/>
      <c r="T227" s="399"/>
    </row>
    <row r="228" spans="1:21" s="81" customFormat="1" ht="15.75" customHeight="1">
      <c r="A228" s="926"/>
      <c r="B228" s="927"/>
      <c r="C228" s="928"/>
      <c r="D228" s="904"/>
      <c r="E228" s="929"/>
      <c r="F228" s="905"/>
      <c r="G228" s="930"/>
      <c r="H228" s="905"/>
      <c r="I228" s="905"/>
      <c r="J228" s="905"/>
      <c r="K228" s="905"/>
      <c r="L228" s="905"/>
      <c r="M228" s="931"/>
      <c r="N228" s="387"/>
      <c r="O228" s="387"/>
      <c r="P228" s="387"/>
      <c r="Q228" s="387"/>
      <c r="R228" s="422"/>
      <c r="S228" s="399"/>
      <c r="T228" s="399"/>
    </row>
    <row r="229" spans="1:21" s="81" customFormat="1" ht="15" customHeight="1">
      <c r="A229" s="686"/>
      <c r="B229" s="469"/>
      <c r="C229" s="932"/>
      <c r="D229" s="471"/>
      <c r="E229" s="473"/>
      <c r="F229" s="473"/>
      <c r="G229" s="474"/>
      <c r="H229" s="473"/>
      <c r="I229" s="473"/>
      <c r="J229" s="473"/>
      <c r="K229" s="473"/>
      <c r="L229" s="473"/>
      <c r="M229" s="470"/>
      <c r="N229" s="399"/>
      <c r="O229" s="399"/>
      <c r="P229" s="399"/>
      <c r="Q229" s="399"/>
      <c r="R229" s="422"/>
      <c r="S229" s="399"/>
      <c r="T229" s="399"/>
    </row>
    <row r="230" spans="1:21" ht="21.75" thickBot="1">
      <c r="A230" s="171" t="s">
        <v>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3"/>
      <c r="N230" s="2"/>
      <c r="O230" s="2"/>
      <c r="P230" s="2"/>
      <c r="Q230" s="2"/>
      <c r="R230" s="2"/>
      <c r="S230" s="2"/>
      <c r="T230" s="2"/>
    </row>
    <row r="231" spans="1:21" ht="15.75" customHeight="1" thickTop="1" thickBot="1">
      <c r="A231" s="1540" t="s">
        <v>1</v>
      </c>
      <c r="B231" s="1542" t="s">
        <v>2</v>
      </c>
      <c r="C231" s="1544" t="s">
        <v>3</v>
      </c>
      <c r="D231" s="1546" t="s">
        <v>4</v>
      </c>
      <c r="E231" s="1546"/>
      <c r="F231" s="1546"/>
      <c r="G231" s="1546"/>
      <c r="H231" s="1547" t="s">
        <v>5</v>
      </c>
      <c r="I231" s="1548"/>
      <c r="J231" s="1548"/>
      <c r="K231" s="1549"/>
      <c r="L231" s="1524" t="s">
        <v>6</v>
      </c>
      <c r="M231" s="1511" t="s">
        <v>7</v>
      </c>
      <c r="N231" s="1551" t="s">
        <v>8</v>
      </c>
      <c r="O231" s="1551"/>
      <c r="P231" s="1551"/>
      <c r="Q231" s="1552" t="s">
        <v>18</v>
      </c>
      <c r="R231" s="481" t="s">
        <v>85</v>
      </c>
      <c r="S231" s="482" t="s">
        <v>20</v>
      </c>
      <c r="T231" s="482" t="s">
        <v>21</v>
      </c>
    </row>
    <row r="232" spans="1:21" ht="40.5" customHeight="1" thickTop="1" thickBot="1">
      <c r="A232" s="1541"/>
      <c r="B232" s="1543"/>
      <c r="C232" s="1545" t="s">
        <v>10</v>
      </c>
      <c r="D232" s="483" t="s">
        <v>11</v>
      </c>
      <c r="E232" s="484" t="s">
        <v>12</v>
      </c>
      <c r="F232" s="484" t="s">
        <v>13</v>
      </c>
      <c r="G232" s="485" t="s">
        <v>14</v>
      </c>
      <c r="H232" s="483" t="s">
        <v>11</v>
      </c>
      <c r="I232" s="486" t="s">
        <v>15</v>
      </c>
      <c r="J232" s="485"/>
      <c r="K232" s="487" t="s">
        <v>16</v>
      </c>
      <c r="L232" s="1525"/>
      <c r="M232" s="1550"/>
      <c r="N232" s="488" t="s">
        <v>14</v>
      </c>
      <c r="O232" s="485"/>
      <c r="P232" s="489" t="s">
        <v>18</v>
      </c>
      <c r="Q232" s="490" t="s">
        <v>19</v>
      </c>
      <c r="R232" s="491"/>
      <c r="S232" s="492"/>
      <c r="T232" s="492"/>
    </row>
    <row r="233" spans="1:21">
      <c r="A233" s="961" t="s">
        <v>228</v>
      </c>
      <c r="B233" s="602" t="s">
        <v>186</v>
      </c>
      <c r="C233" s="439" t="s">
        <v>143</v>
      </c>
      <c r="D233" s="184">
        <f>май18!D222+май18!D223</f>
        <v>183</v>
      </c>
      <c r="E233" s="41">
        <f>6.4709-6.6914</f>
        <v>-0.22049999999999947</v>
      </c>
      <c r="F233" s="23"/>
      <c r="G233" s="185">
        <f>ROUND(D233*(E233),2)-0.01</f>
        <v>-40.36</v>
      </c>
      <c r="H233" s="620"/>
      <c r="I233" s="620"/>
      <c r="J233" s="620"/>
      <c r="K233" s="634"/>
      <c r="L233" s="603">
        <f>SUM(G233:G235)</f>
        <v>969.09999999999991</v>
      </c>
      <c r="M233" s="187">
        <v>969.1</v>
      </c>
      <c r="N233" s="615"/>
      <c r="O233" s="615"/>
      <c r="P233" s="615"/>
      <c r="Q233" s="615"/>
    </row>
    <row r="234" spans="1:21">
      <c r="A234" s="934"/>
      <c r="B234" s="506"/>
      <c r="C234" s="48" t="s">
        <v>144</v>
      </c>
      <c r="D234" s="49">
        <v>7</v>
      </c>
      <c r="E234" s="41">
        <v>6.4709000000000003</v>
      </c>
      <c r="F234" s="41">
        <f>+E234</f>
        <v>6.4709000000000003</v>
      </c>
      <c r="G234" s="50">
        <f>ROUND(D234*(E234),2)</f>
        <v>45.3</v>
      </c>
      <c r="H234" s="296"/>
      <c r="I234" s="298"/>
      <c r="J234" s="298"/>
      <c r="K234" s="637"/>
      <c r="L234" s="606"/>
      <c r="M234" s="935"/>
      <c r="N234" s="615"/>
      <c r="O234" s="615"/>
      <c r="P234" s="615"/>
      <c r="Q234" s="615"/>
    </row>
    <row r="235" spans="1:21" ht="15.75" thickBot="1">
      <c r="A235" s="934"/>
      <c r="B235" s="506"/>
      <c r="C235" s="54" t="s">
        <v>29</v>
      </c>
      <c r="D235" s="296">
        <v>149</v>
      </c>
      <c r="E235" s="56">
        <v>6.4709000000000003</v>
      </c>
      <c r="F235" s="41">
        <f>+E235</f>
        <v>6.4709000000000003</v>
      </c>
      <c r="G235" s="50">
        <f t="shared" ref="G235" si="40">ROUND(D235*(E235),2)</f>
        <v>964.16</v>
      </c>
      <c r="H235" s="296"/>
      <c r="I235" s="298"/>
      <c r="J235" s="298"/>
      <c r="K235" s="637"/>
      <c r="L235" s="614"/>
      <c r="M235" s="935"/>
      <c r="N235" s="615"/>
      <c r="O235" s="615"/>
      <c r="P235" s="615"/>
      <c r="Q235" s="615"/>
    </row>
    <row r="236" spans="1:21">
      <c r="A236" s="961" t="s">
        <v>207</v>
      </c>
      <c r="B236" s="602" t="s">
        <v>184</v>
      </c>
      <c r="C236" s="439" t="s">
        <v>143</v>
      </c>
      <c r="D236" s="184">
        <f>май18!D225+май18!D226</f>
        <v>0</v>
      </c>
      <c r="E236" s="41">
        <f>6.4709-6.6914</f>
        <v>-0.22049999999999947</v>
      </c>
      <c r="F236" s="23">
        <f>+E236</f>
        <v>-0.22049999999999947</v>
      </c>
      <c r="G236" s="185">
        <f>ROUND(D236*(E236),2)</f>
        <v>0</v>
      </c>
      <c r="H236" s="620"/>
      <c r="I236" s="620"/>
      <c r="J236" s="620"/>
      <c r="K236" s="634"/>
      <c r="L236" s="603">
        <f>SUM(G236:G238)</f>
        <v>0</v>
      </c>
      <c r="M236" s="187">
        <v>0</v>
      </c>
      <c r="N236" s="615"/>
      <c r="O236" s="962" t="s">
        <v>224</v>
      </c>
      <c r="P236" s="615"/>
      <c r="Q236" s="615"/>
    </row>
    <row r="237" spans="1:21">
      <c r="A237" s="934"/>
      <c r="B237" s="506"/>
      <c r="C237" s="48" t="s">
        <v>144</v>
      </c>
      <c r="D237" s="49">
        <v>0</v>
      </c>
      <c r="E237" s="41">
        <v>6.4709000000000003</v>
      </c>
      <c r="F237" s="41">
        <f>+E237</f>
        <v>6.4709000000000003</v>
      </c>
      <c r="G237" s="50">
        <f>ROUND(D237*(E237),2)</f>
        <v>0</v>
      </c>
      <c r="H237" s="296"/>
      <c r="I237" s="298"/>
      <c r="J237" s="298"/>
      <c r="K237" s="637"/>
      <c r="L237" s="606"/>
      <c r="M237" s="935"/>
      <c r="N237" s="615"/>
      <c r="O237" s="615"/>
      <c r="P237" s="615"/>
      <c r="Q237" s="615"/>
    </row>
    <row r="238" spans="1:21" ht="15.75" thickBot="1">
      <c r="A238" s="934"/>
      <c r="B238" s="506"/>
      <c r="C238" s="54" t="s">
        <v>29</v>
      </c>
      <c r="D238" s="296">
        <v>0</v>
      </c>
      <c r="E238" s="56">
        <v>6.4709000000000003</v>
      </c>
      <c r="F238" s="41">
        <f>+E238</f>
        <v>6.4709000000000003</v>
      </c>
      <c r="G238" s="50">
        <f t="shared" ref="G238" si="41">ROUND(D238*(E238),2)</f>
        <v>0</v>
      </c>
      <c r="H238" s="296"/>
      <c r="I238" s="298"/>
      <c r="J238" s="298"/>
      <c r="K238" s="637"/>
      <c r="L238" s="614"/>
      <c r="M238" s="935"/>
      <c r="N238" s="615"/>
      <c r="O238" s="615"/>
      <c r="P238" s="615"/>
      <c r="Q238" s="615"/>
    </row>
    <row r="239" spans="1:21" ht="15.75" thickTop="1">
      <c r="A239" s="376">
        <v>100</v>
      </c>
      <c r="B239" s="494" t="s">
        <v>193</v>
      </c>
      <c r="C239" s="71">
        <f>+[1]дек!U72</f>
        <v>0</v>
      </c>
      <c r="D239" s="495">
        <v>7</v>
      </c>
      <c r="E239" s="21">
        <v>36.214199999999998</v>
      </c>
      <c r="F239" s="21">
        <v>42.4328</v>
      </c>
      <c r="G239" s="185">
        <f>ROUND(D239*(E239+F239),2)</f>
        <v>550.53</v>
      </c>
      <c r="H239" s="496"/>
      <c r="I239" s="73"/>
      <c r="J239" s="73"/>
      <c r="K239" s="601"/>
      <c r="L239" s="498">
        <f>SUM(G239:G246)+SUM(J239:J245)</f>
        <v>19056.14</v>
      </c>
      <c r="M239" s="26">
        <v>19056.14</v>
      </c>
      <c r="N239" s="499"/>
      <c r="O239" s="500"/>
      <c r="P239" s="501" t="s">
        <v>87</v>
      </c>
      <c r="Q239" s="595">
        <f t="shared" ref="Q239" si="42">C239+G239+J239-M239-N239-O239</f>
        <v>-18505.61</v>
      </c>
    </row>
    <row r="240" spans="1:21" ht="15.75" thickBot="1">
      <c r="A240" s="389"/>
      <c r="B240" s="506"/>
      <c r="C240" s="507" t="s">
        <v>96</v>
      </c>
      <c r="D240" s="234"/>
      <c r="E240" s="38"/>
      <c r="F240" s="38"/>
      <c r="G240" s="235">
        <f>ROUND(D240*(E240+F240),2)</f>
        <v>0</v>
      </c>
      <c r="H240" s="448"/>
      <c r="I240" s="509"/>
      <c r="J240" s="199"/>
      <c r="K240" s="517"/>
      <c r="L240" s="511"/>
      <c r="M240" s="512"/>
      <c r="N240" s="513"/>
      <c r="O240" s="514"/>
      <c r="P240" s="515"/>
      <c r="Q240" s="262"/>
      <c r="U240" s="33"/>
    </row>
    <row r="241" spans="1:21">
      <c r="A241" s="389"/>
      <c r="B241" s="516" t="s">
        <v>89</v>
      </c>
      <c r="C241" s="512" t="s">
        <v>90</v>
      </c>
      <c r="D241" s="508">
        <v>1</v>
      </c>
      <c r="E241" s="101">
        <v>237.98</v>
      </c>
      <c r="F241" s="21">
        <v>42.4328</v>
      </c>
      <c r="G241" s="50">
        <f>ROUND(D241*(E241+F241),2)</f>
        <v>280.41000000000003</v>
      </c>
      <c r="H241" s="270"/>
      <c r="I241" s="41"/>
      <c r="J241" s="207"/>
      <c r="K241" s="517"/>
      <c r="L241" s="517"/>
      <c r="M241" s="99"/>
      <c r="N241" s="518"/>
      <c r="O241" s="519"/>
      <c r="P241" s="515" t="s">
        <v>87</v>
      </c>
      <c r="Q241" s="271">
        <f>+G241+J241-M241-N241-O241</f>
        <v>280.41000000000003</v>
      </c>
    </row>
    <row r="242" spans="1:21">
      <c r="A242" s="389"/>
      <c r="B242" s="541"/>
      <c r="C242" s="84" t="s">
        <v>97</v>
      </c>
      <c r="D242" s="508"/>
      <c r="E242" s="41"/>
      <c r="F242" s="38"/>
      <c r="G242" s="50">
        <f>ROUND(D242*(E242+F242),2)</f>
        <v>0</v>
      </c>
      <c r="H242" s="432"/>
      <c r="I242" s="362"/>
      <c r="J242" s="207"/>
      <c r="K242" s="517"/>
      <c r="L242" s="517"/>
      <c r="M242" s="520"/>
      <c r="N242" s="521"/>
      <c r="O242" s="522"/>
      <c r="P242" s="523"/>
      <c r="Q242" s="362"/>
    </row>
    <row r="243" spans="1:21">
      <c r="A243" s="389"/>
      <c r="B243" s="541" t="s">
        <v>194</v>
      </c>
      <c r="C243" s="84"/>
      <c r="D243" s="508"/>
      <c r="E243" s="41"/>
      <c r="F243" s="41"/>
      <c r="G243" s="50"/>
      <c r="H243" s="432"/>
      <c r="I243" s="362"/>
      <c r="J243" s="207"/>
      <c r="K243" s="517"/>
      <c r="L243" s="517"/>
      <c r="M243" s="520"/>
      <c r="N243" s="521"/>
      <c r="O243" s="522"/>
      <c r="P243" s="523"/>
      <c r="Q243" s="362"/>
    </row>
    <row r="244" spans="1:21">
      <c r="A244" s="389"/>
      <c r="B244" s="506"/>
      <c r="C244" s="48" t="s">
        <v>143</v>
      </c>
      <c r="D244" s="37"/>
      <c r="E244" s="41"/>
      <c r="F244" s="41">
        <f>+E244</f>
        <v>0</v>
      </c>
      <c r="G244" s="39">
        <f>ROUND(D244*E244,2)</f>
        <v>0</v>
      </c>
      <c r="H244" s="432"/>
      <c r="I244" s="362"/>
      <c r="J244" s="207"/>
      <c r="K244" s="517"/>
      <c r="L244" s="517"/>
      <c r="M244" s="520"/>
      <c r="N244" s="521"/>
      <c r="O244" s="522"/>
      <c r="P244" s="523"/>
      <c r="Q244" s="362"/>
    </row>
    <row r="245" spans="1:21">
      <c r="A245" s="389"/>
      <c r="B245" s="506"/>
      <c r="C245" s="48" t="s">
        <v>144</v>
      </c>
      <c r="D245" s="37">
        <v>119</v>
      </c>
      <c r="E245" s="41">
        <v>6.5090000000000003</v>
      </c>
      <c r="F245" s="41">
        <f>+E245</f>
        <v>6.5090000000000003</v>
      </c>
      <c r="G245" s="39">
        <f>ROUND(D245*E245,2)</f>
        <v>774.57</v>
      </c>
      <c r="H245" s="432"/>
      <c r="I245" s="362"/>
      <c r="J245" s="207"/>
      <c r="K245" s="517"/>
      <c r="L245" s="517"/>
      <c r="M245" s="520"/>
      <c r="N245" s="521"/>
      <c r="O245" s="522"/>
      <c r="P245" s="523"/>
      <c r="Q245" s="362"/>
      <c r="U245" s="33"/>
    </row>
    <row r="246" spans="1:21" ht="15.75" thickBot="1">
      <c r="A246" s="411"/>
      <c r="B246" s="526"/>
      <c r="C246" s="99" t="s">
        <v>29</v>
      </c>
      <c r="D246" s="55">
        <v>2681</v>
      </c>
      <c r="E246" s="56">
        <v>6.5090000000000003</v>
      </c>
      <c r="F246" s="281">
        <f>+E246</f>
        <v>6.5090000000000003</v>
      </c>
      <c r="G246" s="58">
        <f>ROUND(D246*E246,2)</f>
        <v>17450.63</v>
      </c>
      <c r="H246" s="248"/>
      <c r="I246" s="203"/>
      <c r="J246" s="60"/>
      <c r="K246" s="61"/>
      <c r="L246" s="249"/>
      <c r="M246" s="54"/>
      <c r="N246" s="521"/>
      <c r="O246" s="528"/>
      <c r="P246" s="529" t="s">
        <v>87</v>
      </c>
      <c r="Q246" s="362">
        <f>+G246+J246-M246-N246-O246</f>
        <v>17450.63</v>
      </c>
    </row>
    <row r="247" spans="1:21" ht="15.75" collapsed="1" thickTop="1">
      <c r="A247" s="389">
        <v>113</v>
      </c>
      <c r="B247" s="494" t="s">
        <v>102</v>
      </c>
      <c r="C247" s="71">
        <f>+[1]дек!U57</f>
        <v>0</v>
      </c>
      <c r="D247" s="495">
        <v>22</v>
      </c>
      <c r="E247" s="21">
        <v>36.214199999999998</v>
      </c>
      <c r="F247" s="21">
        <v>42.4328</v>
      </c>
      <c r="G247" s="185">
        <f>ROUND(D247*(E247+F247),2)</f>
        <v>1730.23</v>
      </c>
      <c r="H247" s="496"/>
      <c r="I247" s="73"/>
      <c r="J247" s="73"/>
      <c r="K247" s="497"/>
      <c r="L247" s="498">
        <f>SUM(G247:G253)+SUM(J247:J252)</f>
        <v>22153.030000000002</v>
      </c>
      <c r="M247" s="26">
        <v>22153.03</v>
      </c>
      <c r="N247" s="594"/>
      <c r="O247" s="535"/>
      <c r="P247" s="536" t="s">
        <v>87</v>
      </c>
      <c r="Q247" s="595">
        <f>C247+G247+J247-M247-N247-O247</f>
        <v>-20422.8</v>
      </c>
      <c r="R247" s="502" t="s">
        <v>88</v>
      </c>
      <c r="S247" s="503"/>
      <c r="T247" s="504"/>
      <c r="U247" s="33">
        <f>+M247-L247</f>
        <v>0</v>
      </c>
    </row>
    <row r="248" spans="1:21">
      <c r="A248" s="389"/>
      <c r="B248" s="506"/>
      <c r="C248" s="542"/>
      <c r="D248" s="508"/>
      <c r="E248" s="38"/>
      <c r="F248" s="38"/>
      <c r="G248" s="50">
        <f>ROUND(D248*(E248+F248),2)</f>
        <v>0</v>
      </c>
      <c r="H248" s="596"/>
      <c r="I248" s="409"/>
      <c r="J248" s="509"/>
      <c r="K248" s="543"/>
      <c r="L248" s="511"/>
      <c r="M248" s="99"/>
      <c r="N248" s="513"/>
      <c r="O248" s="514"/>
      <c r="P248" s="515"/>
      <c r="Q248" s="262"/>
      <c r="R248" s="502"/>
      <c r="S248" s="503"/>
      <c r="T248" s="504"/>
    </row>
    <row r="249" spans="1:21">
      <c r="A249" s="389"/>
      <c r="B249" s="516" t="s">
        <v>103</v>
      </c>
      <c r="C249" s="99" t="s">
        <v>90</v>
      </c>
      <c r="D249" s="508">
        <v>7</v>
      </c>
      <c r="E249" s="101">
        <v>237.98</v>
      </c>
      <c r="F249" s="38">
        <v>42.4328</v>
      </c>
      <c r="G249" s="50">
        <f>ROUND(D249*(E249+F249),2)</f>
        <v>1962.89</v>
      </c>
      <c r="H249" s="270"/>
      <c r="I249" s="41"/>
      <c r="J249" s="409"/>
      <c r="K249" s="510"/>
      <c r="L249" s="597"/>
      <c r="M249" s="99"/>
      <c r="N249" s="518"/>
      <c r="O249" s="519"/>
      <c r="P249" s="515" t="s">
        <v>87</v>
      </c>
      <c r="Q249" s="271">
        <f>+G249+J249-M249-N249-O249</f>
        <v>1962.89</v>
      </c>
      <c r="R249" s="502" t="s">
        <v>88</v>
      </c>
      <c r="S249" s="503"/>
      <c r="T249" s="504"/>
    </row>
    <row r="250" spans="1:21">
      <c r="A250" s="389"/>
      <c r="B250" s="506"/>
      <c r="C250" s="390" t="s">
        <v>97</v>
      </c>
      <c r="D250" s="508">
        <f>май18!D237</f>
        <v>9</v>
      </c>
      <c r="E250" s="41">
        <f>237.98-292.75</f>
        <v>-54.77000000000001</v>
      </c>
      <c r="F250" s="38"/>
      <c r="G250" s="50">
        <f>D250*(E250+F250)</f>
        <v>-492.93000000000006</v>
      </c>
      <c r="H250" s="432"/>
      <c r="I250" s="362"/>
      <c r="J250" s="41"/>
      <c r="K250" s="510"/>
      <c r="L250" s="597"/>
      <c r="M250" s="99"/>
      <c r="N250" s="521"/>
      <c r="O250" s="522"/>
      <c r="P250" s="523"/>
      <c r="Q250" s="362"/>
      <c r="R250" s="502"/>
      <c r="S250" s="503"/>
      <c r="T250" s="504"/>
    </row>
    <row r="251" spans="1:21">
      <c r="A251" s="389"/>
      <c r="B251" s="506"/>
      <c r="C251" s="48" t="s">
        <v>143</v>
      </c>
      <c r="D251" s="37">
        <f>май18!D240+май18!D241</f>
        <v>3905</v>
      </c>
      <c r="E251" s="41">
        <f>6.4709-6.6914</f>
        <v>-0.22049999999999947</v>
      </c>
      <c r="F251" s="297">
        <f t="shared" ref="F251:F253" si="43">+E251</f>
        <v>-0.22049999999999947</v>
      </c>
      <c r="G251" s="39">
        <f>ROUND(D251*(E251+F251)/2,2)-0.01</f>
        <v>-861.06</v>
      </c>
      <c r="H251" s="432"/>
      <c r="I251" s="362"/>
      <c r="J251" s="41"/>
      <c r="K251" s="510"/>
      <c r="L251" s="597"/>
      <c r="M251" s="99"/>
      <c r="N251" s="521"/>
      <c r="O251" s="522"/>
      <c r="P251" s="523"/>
      <c r="Q251" s="362"/>
      <c r="R251" s="502"/>
      <c r="S251" s="503"/>
      <c r="T251" s="504"/>
    </row>
    <row r="252" spans="1:21">
      <c r="A252" s="389"/>
      <c r="B252" s="506"/>
      <c r="C252" s="48" t="s">
        <v>144</v>
      </c>
      <c r="D252" s="37">
        <v>129</v>
      </c>
      <c r="E252" s="41">
        <v>6.4709000000000003</v>
      </c>
      <c r="F252" s="298">
        <f t="shared" si="43"/>
        <v>6.4709000000000003</v>
      </c>
      <c r="G252" s="39">
        <f>ROUND(D252*E252,2)</f>
        <v>834.75</v>
      </c>
      <c r="H252" s="432"/>
      <c r="I252" s="362"/>
      <c r="J252" s="41"/>
      <c r="K252" s="510"/>
      <c r="L252" s="597"/>
      <c r="M252" s="99"/>
      <c r="N252" s="521"/>
      <c r="O252" s="522"/>
      <c r="P252" s="523"/>
      <c r="Q252" s="362"/>
      <c r="R252" s="502"/>
      <c r="S252" s="503"/>
      <c r="T252" s="504"/>
    </row>
    <row r="253" spans="1:21" ht="15.75" thickBot="1">
      <c r="A253" s="369"/>
      <c r="B253" s="526"/>
      <c r="C253" s="99" t="s">
        <v>29</v>
      </c>
      <c r="D253" s="55">
        <v>2933</v>
      </c>
      <c r="E253" s="56">
        <v>6.4709000000000003</v>
      </c>
      <c r="F253" s="57">
        <f t="shared" si="43"/>
        <v>6.4709000000000003</v>
      </c>
      <c r="G253" s="414">
        <f>ROUND(D253*E253,2)</f>
        <v>18979.150000000001</v>
      </c>
      <c r="H253" s="248"/>
      <c r="I253" s="203"/>
      <c r="J253" s="60"/>
      <c r="K253" s="61"/>
      <c r="L253" s="249"/>
      <c r="M253" s="54"/>
      <c r="N253" s="527"/>
      <c r="O253" s="528"/>
      <c r="P253" s="529" t="s">
        <v>87</v>
      </c>
      <c r="Q253" s="58">
        <f>+G253+J253-M253-N253-O253</f>
        <v>18979.150000000001</v>
      </c>
      <c r="R253" s="502" t="s">
        <v>88</v>
      </c>
      <c r="S253" s="598">
        <f>SUM(N247:N253)+O247:O253</f>
        <v>0</v>
      </c>
      <c r="T253" s="598">
        <f>SUM(Q247:Q253)</f>
        <v>519.2400000000016</v>
      </c>
    </row>
    <row r="254" spans="1:21">
      <c r="A254" s="376" t="s">
        <v>208</v>
      </c>
      <c r="B254" s="602" t="s">
        <v>213</v>
      </c>
      <c r="C254" s="439" t="s">
        <v>143</v>
      </c>
      <c r="D254" s="184">
        <f>май18!D243+май18!D244</f>
        <v>172</v>
      </c>
      <c r="E254" s="41">
        <f>6.4709-6.6914</f>
        <v>-0.22049999999999947</v>
      </c>
      <c r="F254" s="23">
        <f>+E254</f>
        <v>-0.22049999999999947</v>
      </c>
      <c r="G254" s="185">
        <f>ROUND(D254*(E254),2)</f>
        <v>-37.93</v>
      </c>
      <c r="H254" s="620"/>
      <c r="I254" s="620"/>
      <c r="J254" s="620"/>
      <c r="K254" s="634"/>
      <c r="L254" s="603">
        <f>SUM(G254:G256)</f>
        <v>939.18</v>
      </c>
      <c r="M254" s="187">
        <v>939.18</v>
      </c>
      <c r="N254" s="615"/>
      <c r="O254" s="615"/>
      <c r="P254" s="615"/>
      <c r="Q254" s="615"/>
    </row>
    <row r="255" spans="1:21">
      <c r="A255" s="934"/>
      <c r="B255" s="506"/>
      <c r="C255" s="48" t="s">
        <v>144</v>
      </c>
      <c r="D255" s="49">
        <v>6</v>
      </c>
      <c r="E255" s="41">
        <v>6.4709000000000003</v>
      </c>
      <c r="F255" s="41">
        <f>+E255</f>
        <v>6.4709000000000003</v>
      </c>
      <c r="G255" s="50">
        <f>ROUND(D255*(E255),2)</f>
        <v>38.83</v>
      </c>
      <c r="H255" s="296"/>
      <c r="I255" s="298"/>
      <c r="J255" s="298"/>
      <c r="K255" s="637"/>
      <c r="L255" s="606"/>
      <c r="M255" s="935"/>
      <c r="N255" s="615"/>
      <c r="O255" s="615"/>
      <c r="P255" s="615"/>
      <c r="Q255" s="615"/>
    </row>
    <row r="256" spans="1:21" ht="15.75" thickBot="1">
      <c r="A256" s="934"/>
      <c r="B256" s="506"/>
      <c r="C256" s="54" t="s">
        <v>29</v>
      </c>
      <c r="D256" s="296">
        <v>145</v>
      </c>
      <c r="E256" s="56">
        <v>6.4709000000000003</v>
      </c>
      <c r="F256" s="41">
        <f>+E256</f>
        <v>6.4709000000000003</v>
      </c>
      <c r="G256" s="50">
        <f t="shared" ref="G256" si="44">ROUND(D256*(E256),2)</f>
        <v>938.28</v>
      </c>
      <c r="H256" s="296"/>
      <c r="I256" s="298"/>
      <c r="J256" s="298"/>
      <c r="K256" s="637"/>
      <c r="L256" s="614"/>
      <c r="M256" s="935"/>
      <c r="N256" s="615"/>
      <c r="O256" s="615"/>
      <c r="P256" s="615"/>
      <c r="Q256" s="615"/>
    </row>
    <row r="257" spans="1:17">
      <c r="A257" s="376">
        <v>201</v>
      </c>
      <c r="B257" s="602" t="s">
        <v>107</v>
      </c>
      <c r="C257" s="618" t="s">
        <v>73</v>
      </c>
      <c r="D257" s="619">
        <v>4</v>
      </c>
      <c r="E257" s="21">
        <v>36.214199999999998</v>
      </c>
      <c r="F257" s="21">
        <v>42.4328</v>
      </c>
      <c r="G257" s="185">
        <f>ROUND(D257*(E257+F257),2)</f>
        <v>314.58999999999997</v>
      </c>
      <c r="H257" s="620"/>
      <c r="I257" s="620"/>
      <c r="J257" s="620"/>
      <c r="K257" s="620"/>
      <c r="L257" s="603">
        <f>SUM(G257:G261,J257:J261)</f>
        <v>4680.91</v>
      </c>
      <c r="M257" s="187">
        <v>4680.91</v>
      </c>
      <c r="N257" s="621"/>
      <c r="O257" s="621"/>
      <c r="P257" s="621"/>
      <c r="Q257" s="622"/>
    </row>
    <row r="258" spans="1:17">
      <c r="A258" s="936"/>
      <c r="B258" s="612"/>
      <c r="C258" s="542" t="s">
        <v>96</v>
      </c>
      <c r="D258" s="234"/>
      <c r="E258" s="38"/>
      <c r="F258" s="38"/>
      <c r="G258" s="235">
        <f>ROUND(D258*(E258+F258),2)</f>
        <v>0</v>
      </c>
      <c r="H258" s="298"/>
      <c r="I258" s="298"/>
      <c r="J258" s="298"/>
      <c r="K258" s="298"/>
      <c r="L258" s="606"/>
      <c r="M258" s="935"/>
      <c r="N258" s="615"/>
      <c r="O258" s="615"/>
      <c r="P258" s="615"/>
      <c r="Q258" s="616"/>
    </row>
    <row r="259" spans="1:17">
      <c r="A259" s="936"/>
      <c r="B259" s="612"/>
      <c r="C259" s="48" t="s">
        <v>143</v>
      </c>
      <c r="D259" s="623">
        <f>май18!D248+май18!D249</f>
        <v>770</v>
      </c>
      <c r="E259" s="41">
        <f>6.4709-6.6914</f>
        <v>-0.22049999999999947</v>
      </c>
      <c r="F259" s="41">
        <f>+E259</f>
        <v>-0.22049999999999947</v>
      </c>
      <c r="G259" s="50">
        <f>ROUND(D259*(E259),2)+0.01</f>
        <v>-169.78</v>
      </c>
      <c r="H259" s="298"/>
      <c r="I259" s="298"/>
      <c r="J259" s="298"/>
      <c r="K259" s="298"/>
      <c r="L259" s="614"/>
      <c r="M259" s="935"/>
      <c r="N259" s="615"/>
      <c r="O259" s="615"/>
      <c r="P259" s="615"/>
      <c r="Q259" s="616"/>
    </row>
    <row r="260" spans="1:17">
      <c r="A260" s="936"/>
      <c r="B260" s="612"/>
      <c r="C260" s="48" t="s">
        <v>144</v>
      </c>
      <c r="D260" s="623">
        <v>30</v>
      </c>
      <c r="E260" s="41">
        <v>6.4709000000000003</v>
      </c>
      <c r="F260" s="41">
        <f>+E260</f>
        <v>6.4709000000000003</v>
      </c>
      <c r="G260" s="39">
        <f t="shared" ref="G260:G267" si="45">ROUND(D260*(E260),2)</f>
        <v>194.13</v>
      </c>
      <c r="H260" s="298"/>
      <c r="I260" s="298"/>
      <c r="J260" s="298"/>
      <c r="K260" s="298"/>
      <c r="L260" s="614"/>
      <c r="M260" s="273"/>
      <c r="N260" s="615"/>
      <c r="O260" s="615"/>
      <c r="P260" s="615"/>
      <c r="Q260" s="616"/>
    </row>
    <row r="261" spans="1:17" ht="15.75" thickBot="1">
      <c r="A261" s="937"/>
      <c r="B261" s="526"/>
      <c r="C261" s="99" t="s">
        <v>29</v>
      </c>
      <c r="D261" s="625">
        <v>671</v>
      </c>
      <c r="E261" s="56">
        <v>6.4709000000000003</v>
      </c>
      <c r="F261" s="281">
        <f>+E261</f>
        <v>6.4709000000000003</v>
      </c>
      <c r="G261" s="414">
        <f t="shared" si="45"/>
        <v>4341.97</v>
      </c>
      <c r="H261" s="41"/>
      <c r="I261" s="41"/>
      <c r="J261" s="281"/>
      <c r="K261" s="281"/>
      <c r="L261" s="784"/>
      <c r="M261" s="938"/>
      <c r="N261" s="626"/>
      <c r="O261" s="626"/>
      <c r="P261" s="626"/>
      <c r="Q261" s="627"/>
    </row>
    <row r="262" spans="1:17">
      <c r="A262" s="376">
        <v>301</v>
      </c>
      <c r="B262" s="602" t="s">
        <v>106</v>
      </c>
      <c r="C262" s="48" t="s">
        <v>143</v>
      </c>
      <c r="D262" s="184">
        <f>май18!D251+май18!D252</f>
        <v>900.19</v>
      </c>
      <c r="E262" s="41">
        <f>6.4709-6.6914</f>
        <v>-0.22049999999999947</v>
      </c>
      <c r="F262" s="23">
        <f t="shared" ref="F262:F264" si="46">+E262</f>
        <v>-0.22049999999999947</v>
      </c>
      <c r="G262" s="185">
        <f>ROUND(D262*(E262),2)-0.01</f>
        <v>-198.5</v>
      </c>
      <c r="H262" s="23"/>
      <c r="I262" s="23"/>
      <c r="J262" s="23"/>
      <c r="K262" s="23"/>
      <c r="L262" s="603">
        <f>SUM(G262:G264)</f>
        <v>5362.9800000000005</v>
      </c>
      <c r="M262" s="187">
        <v>5362.98</v>
      </c>
      <c r="N262" s="604"/>
      <c r="O262" s="500"/>
      <c r="P262" s="501"/>
      <c r="Q262" s="605"/>
    </row>
    <row r="263" spans="1:17">
      <c r="A263" s="389"/>
      <c r="B263" s="506"/>
      <c r="C263" s="48" t="s">
        <v>144</v>
      </c>
      <c r="D263" s="49">
        <v>36.46</v>
      </c>
      <c r="E263" s="41">
        <v>6.4709000000000003</v>
      </c>
      <c r="F263" s="41">
        <f t="shared" si="46"/>
        <v>6.4709000000000003</v>
      </c>
      <c r="G263" s="50">
        <f t="shared" si="45"/>
        <v>235.93</v>
      </c>
      <c r="H263" s="41"/>
      <c r="I263" s="41"/>
      <c r="J263" s="41"/>
      <c r="K263" s="41"/>
      <c r="L263" s="606"/>
      <c r="M263" s="935"/>
      <c r="N263" s="607"/>
      <c r="O263" s="608"/>
      <c r="P263" s="609"/>
      <c r="Q263" s="610"/>
    </row>
    <row r="264" spans="1:17" ht="15.75" thickBot="1">
      <c r="A264" s="936"/>
      <c r="B264" s="612"/>
      <c r="C264" s="99" t="s">
        <v>29</v>
      </c>
      <c r="D264" s="613">
        <v>823</v>
      </c>
      <c r="E264" s="56">
        <v>6.4709000000000003</v>
      </c>
      <c r="F264" s="281">
        <f t="shared" si="46"/>
        <v>6.4709000000000003</v>
      </c>
      <c r="G264" s="58">
        <f t="shared" si="45"/>
        <v>5325.55</v>
      </c>
      <c r="H264" s="57"/>
      <c r="I264" s="57"/>
      <c r="J264" s="57"/>
      <c r="K264" s="57"/>
      <c r="L264" s="614"/>
      <c r="M264" s="935"/>
      <c r="N264" s="615"/>
      <c r="O264" s="615"/>
      <c r="P264" s="615"/>
      <c r="Q264" s="616"/>
    </row>
    <row r="265" spans="1:17">
      <c r="A265" s="447" t="s">
        <v>205</v>
      </c>
      <c r="B265" s="602" t="s">
        <v>183</v>
      </c>
      <c r="C265" s="439" t="s">
        <v>143</v>
      </c>
      <c r="D265" s="184">
        <f>май18!D254+май18!D255</f>
        <v>676</v>
      </c>
      <c r="E265" s="41">
        <f>6.4709-6.6914</f>
        <v>-0.22049999999999947</v>
      </c>
      <c r="F265" s="23">
        <f>+E265</f>
        <v>-0.22049999999999947</v>
      </c>
      <c r="G265" s="185">
        <f>ROUND(D265*(E265),2)+0.01</f>
        <v>-149.05000000000001</v>
      </c>
      <c r="H265" s="620"/>
      <c r="I265" s="620"/>
      <c r="J265" s="620"/>
      <c r="K265" s="634"/>
      <c r="L265" s="603">
        <f>SUM(G265:G267)</f>
        <v>3759.37</v>
      </c>
      <c r="M265" s="187">
        <v>3759.37</v>
      </c>
      <c r="N265" s="604"/>
      <c r="O265" s="635"/>
      <c r="P265" s="636"/>
      <c r="Q265" s="605"/>
    </row>
    <row r="266" spans="1:17">
      <c r="A266" s="450" t="s">
        <v>206</v>
      </c>
      <c r="B266" s="506"/>
      <c r="C266" s="48" t="s">
        <v>144</v>
      </c>
      <c r="D266" s="49">
        <f>17+8</f>
        <v>25</v>
      </c>
      <c r="E266" s="41">
        <v>6.4709000000000003</v>
      </c>
      <c r="F266" s="41">
        <f>+E266</f>
        <v>6.4709000000000003</v>
      </c>
      <c r="G266" s="50">
        <f t="shared" si="45"/>
        <v>161.77000000000001</v>
      </c>
      <c r="H266" s="296"/>
      <c r="I266" s="298"/>
      <c r="J266" s="298"/>
      <c r="K266" s="637"/>
      <c r="L266" s="606"/>
      <c r="M266" s="935"/>
      <c r="N266" s="607"/>
      <c r="O266" s="608"/>
      <c r="P266" s="609"/>
      <c r="Q266" s="610"/>
    </row>
    <row r="267" spans="1:17" ht="15.75" thickBot="1">
      <c r="A267" s="451">
        <v>305</v>
      </c>
      <c r="B267" s="506"/>
      <c r="C267" s="54" t="s">
        <v>29</v>
      </c>
      <c r="D267" s="296">
        <f>392+187</f>
        <v>579</v>
      </c>
      <c r="E267" s="56">
        <v>6.4709000000000003</v>
      </c>
      <c r="F267" s="41">
        <f t="shared" ref="F267:F268" si="47">+E267</f>
        <v>6.4709000000000003</v>
      </c>
      <c r="G267" s="50">
        <f t="shared" si="45"/>
        <v>3746.65</v>
      </c>
      <c r="H267" s="296"/>
      <c r="I267" s="298"/>
      <c r="J267" s="298"/>
      <c r="K267" s="637"/>
      <c r="L267" s="614"/>
      <c r="M267" s="935"/>
      <c r="N267" s="615"/>
      <c r="O267" s="615"/>
      <c r="P267" s="615"/>
      <c r="Q267" s="616"/>
    </row>
    <row r="268" spans="1:17" collapsed="1">
      <c r="A268" s="376">
        <v>307</v>
      </c>
      <c r="B268" s="602" t="s">
        <v>163</v>
      </c>
      <c r="C268" s="439" t="s">
        <v>143</v>
      </c>
      <c r="D268" s="184">
        <f>май18!D257+май18!D258</f>
        <v>437</v>
      </c>
      <c r="E268" s="23">
        <f>6.4709-6.6914</f>
        <v>-0.22049999999999947</v>
      </c>
      <c r="F268" s="23">
        <f t="shared" si="47"/>
        <v>-0.22049999999999947</v>
      </c>
      <c r="G268" s="185">
        <f>ROUND(D268*(E268),2)-0.01</f>
        <v>-96.37</v>
      </c>
      <c r="H268" s="669"/>
      <c r="I268" s="620"/>
      <c r="J268" s="620"/>
      <c r="K268" s="634"/>
      <c r="L268" s="603">
        <f>SUM(G268:G270)</f>
        <v>2427.29</v>
      </c>
      <c r="M268" s="187">
        <v>2427.29</v>
      </c>
      <c r="N268" s="604"/>
      <c r="O268" s="635"/>
      <c r="P268" s="636"/>
      <c r="Q268" s="605"/>
    </row>
    <row r="269" spans="1:17">
      <c r="A269" s="934"/>
      <c r="B269" s="506"/>
      <c r="C269" s="48" t="s">
        <v>144</v>
      </c>
      <c r="D269" s="49">
        <v>17</v>
      </c>
      <c r="E269" s="41">
        <v>6.4709000000000003</v>
      </c>
      <c r="F269" s="41">
        <f>+E269</f>
        <v>6.4709000000000003</v>
      </c>
      <c r="G269" s="50">
        <f>ROUND(D269*(E269),2)</f>
        <v>110.01</v>
      </c>
      <c r="H269" s="296"/>
      <c r="I269" s="298"/>
      <c r="J269" s="298"/>
      <c r="K269" s="637"/>
      <c r="L269" s="606"/>
      <c r="M269" s="935"/>
      <c r="N269" s="607"/>
      <c r="O269" s="608"/>
      <c r="P269" s="609"/>
      <c r="Q269" s="610"/>
    </row>
    <row r="270" spans="1:17" ht="15.75" thickBot="1">
      <c r="A270" s="960"/>
      <c r="B270" s="506"/>
      <c r="C270" s="54" t="s">
        <v>29</v>
      </c>
      <c r="D270" s="296">
        <v>373</v>
      </c>
      <c r="E270" s="56">
        <v>6.4709000000000003</v>
      </c>
      <c r="F270" s="41">
        <f t="shared" ref="F270:F274" si="48">+E270</f>
        <v>6.4709000000000003</v>
      </c>
      <c r="G270" s="50">
        <f t="shared" ref="G270" si="49">ROUND(D270*(E270),2)</f>
        <v>2413.65</v>
      </c>
      <c r="H270" s="296"/>
      <c r="I270" s="298"/>
      <c r="J270" s="298"/>
      <c r="K270" s="637"/>
      <c r="L270" s="614"/>
      <c r="M270" s="935"/>
      <c r="N270" s="615"/>
      <c r="O270" s="615"/>
      <c r="P270" s="615"/>
      <c r="Q270" s="616"/>
    </row>
    <row r="271" spans="1:17" collapsed="1">
      <c r="A271" s="376">
        <v>308</v>
      </c>
      <c r="B271" s="602" t="s">
        <v>247</v>
      </c>
      <c r="C271" s="439" t="s">
        <v>143</v>
      </c>
      <c r="D271" s="184">
        <v>0</v>
      </c>
      <c r="E271" s="23">
        <f>6.4709-6.6914</f>
        <v>-0.22049999999999947</v>
      </c>
      <c r="F271" s="23">
        <f t="shared" si="48"/>
        <v>-0.22049999999999947</v>
      </c>
      <c r="G271" s="185">
        <f>ROUND(D271*(E271),2)</f>
        <v>0</v>
      </c>
      <c r="H271" s="669"/>
      <c r="I271" s="620"/>
      <c r="J271" s="620"/>
      <c r="K271" s="634"/>
      <c r="L271" s="603">
        <f>SUM(G271:G273)</f>
        <v>1035.3399999999999</v>
      </c>
      <c r="M271" s="187">
        <v>1035.3399999999999</v>
      </c>
      <c r="N271" s="604"/>
      <c r="O271" s="635"/>
      <c r="P271" s="636"/>
      <c r="Q271" s="605"/>
    </row>
    <row r="272" spans="1:17">
      <c r="A272" s="934"/>
      <c r="B272" s="506"/>
      <c r="C272" s="48" t="s">
        <v>144</v>
      </c>
      <c r="D272" s="49">
        <v>7</v>
      </c>
      <c r="E272" s="41">
        <v>6.4709000000000003</v>
      </c>
      <c r="F272" s="41">
        <f>+E272</f>
        <v>6.4709000000000003</v>
      </c>
      <c r="G272" s="50">
        <f>ROUND(D272*(E272),2)-0.01</f>
        <v>45.29</v>
      </c>
      <c r="H272" s="296"/>
      <c r="I272" s="298"/>
      <c r="J272" s="298"/>
      <c r="K272" s="637"/>
      <c r="L272" s="606"/>
      <c r="M272" s="935"/>
      <c r="N272" s="607"/>
      <c r="O272" s="608"/>
      <c r="P272" s="609"/>
      <c r="Q272" s="610"/>
    </row>
    <row r="273" spans="1:20" ht="15.75" thickBot="1">
      <c r="A273" s="960"/>
      <c r="B273" s="506"/>
      <c r="C273" s="54" t="s">
        <v>29</v>
      </c>
      <c r="D273" s="296">
        <v>153</v>
      </c>
      <c r="E273" s="56">
        <v>6.4709000000000003</v>
      </c>
      <c r="F273" s="41">
        <f t="shared" ref="F273" si="50">+E273</f>
        <v>6.4709000000000003</v>
      </c>
      <c r="G273" s="50">
        <f t="shared" ref="G273" si="51">ROUND(D273*(E273),2)</f>
        <v>990.05</v>
      </c>
      <c r="H273" s="296"/>
      <c r="I273" s="298"/>
      <c r="J273" s="298"/>
      <c r="K273" s="637"/>
      <c r="L273" s="614"/>
      <c r="M273" s="935"/>
      <c r="N273" s="615"/>
      <c r="O273" s="615"/>
      <c r="P273" s="615"/>
      <c r="Q273" s="616"/>
    </row>
    <row r="274" spans="1:20" collapsed="1">
      <c r="A274" s="376">
        <v>310</v>
      </c>
      <c r="B274" s="602" t="s">
        <v>235</v>
      </c>
      <c r="C274" s="439" t="s">
        <v>143</v>
      </c>
      <c r="D274" s="184">
        <f>май18!D260+май18!D261</f>
        <v>210</v>
      </c>
      <c r="E274" s="41">
        <f>6.4709-6.6914</f>
        <v>-0.22049999999999947</v>
      </c>
      <c r="F274" s="23">
        <f t="shared" si="48"/>
        <v>-0.22049999999999947</v>
      </c>
      <c r="G274" s="185">
        <f>ROUND(D274*(E274),2)</f>
        <v>-46.3</v>
      </c>
      <c r="H274" s="620"/>
      <c r="I274" s="620"/>
      <c r="J274" s="620"/>
      <c r="K274" s="634"/>
      <c r="L274" s="603">
        <f>SUM(G274:G276)</f>
        <v>1157.29</v>
      </c>
      <c r="M274" s="187">
        <v>1176.7</v>
      </c>
      <c r="N274" s="615"/>
      <c r="O274" s="615"/>
      <c r="P274" s="615"/>
      <c r="Q274" s="615"/>
    </row>
    <row r="275" spans="1:20">
      <c r="A275" s="934"/>
      <c r="B275" s="506"/>
      <c r="C275" s="48" t="s">
        <v>144</v>
      </c>
      <c r="D275" s="49">
        <v>8</v>
      </c>
      <c r="E275" s="41">
        <v>6.4709000000000003</v>
      </c>
      <c r="F275" s="41">
        <f>+E275</f>
        <v>6.4709000000000003</v>
      </c>
      <c r="G275" s="50">
        <f>ROUND(D275*(E275),2)</f>
        <v>51.77</v>
      </c>
      <c r="H275" s="296"/>
      <c r="I275" s="298"/>
      <c r="J275" s="298"/>
      <c r="K275" s="637"/>
      <c r="L275" s="606"/>
      <c r="M275" s="935"/>
      <c r="N275" s="615"/>
      <c r="O275" s="615"/>
      <c r="P275" s="615"/>
      <c r="Q275" s="615"/>
    </row>
    <row r="276" spans="1:20" ht="15.75" thickBot="1">
      <c r="A276" s="934"/>
      <c r="B276" s="506"/>
      <c r="C276" s="54" t="s">
        <v>29</v>
      </c>
      <c r="D276" s="296">
        <f>178</f>
        <v>178</v>
      </c>
      <c r="E276" s="56">
        <v>6.4709000000000003</v>
      </c>
      <c r="F276" s="41">
        <f t="shared" ref="F276:F279" si="52">+E276</f>
        <v>6.4709000000000003</v>
      </c>
      <c r="G276" s="50">
        <f t="shared" ref="G276" si="53">ROUND(D276*(E276),2)</f>
        <v>1151.82</v>
      </c>
      <c r="H276" s="296"/>
      <c r="I276" s="298"/>
      <c r="J276" s="298"/>
      <c r="K276" s="637"/>
      <c r="L276" s="614"/>
      <c r="M276" s="935"/>
      <c r="N276" s="615"/>
      <c r="O276" s="615"/>
      <c r="P276" s="615"/>
      <c r="Q276" s="615"/>
    </row>
    <row r="277" spans="1:20">
      <c r="A277" s="376">
        <v>311</v>
      </c>
      <c r="B277" s="602" t="s">
        <v>204</v>
      </c>
      <c r="C277" s="439" t="s">
        <v>143</v>
      </c>
      <c r="D277" s="184">
        <f>май18!D263+май18!D264</f>
        <v>0</v>
      </c>
      <c r="E277" s="41">
        <f>6.4709-6.6914</f>
        <v>-0.22049999999999947</v>
      </c>
      <c r="F277" s="23">
        <f t="shared" si="52"/>
        <v>-0.22049999999999947</v>
      </c>
      <c r="G277" s="185">
        <f>ROUND(D277*(E277),2)</f>
        <v>0</v>
      </c>
      <c r="H277" s="620"/>
      <c r="I277" s="620"/>
      <c r="J277" s="620"/>
      <c r="K277" s="634"/>
      <c r="L277" s="603">
        <f>SUM(G277:G280)</f>
        <v>1248.8799999999999</v>
      </c>
      <c r="M277" s="187">
        <v>1244.78</v>
      </c>
      <c r="N277" s="604"/>
      <c r="O277" s="635" t="s">
        <v>236</v>
      </c>
      <c r="P277" s="636"/>
      <c r="Q277" s="605"/>
    </row>
    <row r="278" spans="1:20">
      <c r="A278" s="389"/>
      <c r="B278" s="939"/>
      <c r="C278" s="48" t="s">
        <v>144</v>
      </c>
      <c r="D278" s="49">
        <v>8</v>
      </c>
      <c r="E278" s="41">
        <v>6.4709000000000003</v>
      </c>
      <c r="F278" s="41">
        <f t="shared" si="52"/>
        <v>6.4709000000000003</v>
      </c>
      <c r="G278" s="50">
        <f>ROUND(D278*(E278),2)-0.01</f>
        <v>51.760000000000005</v>
      </c>
      <c r="H278" s="296"/>
      <c r="I278" s="298"/>
      <c r="J278" s="298"/>
      <c r="K278" s="637"/>
      <c r="L278" s="606"/>
      <c r="M278" s="935"/>
      <c r="N278" s="607"/>
      <c r="O278" s="608"/>
      <c r="P278" s="609"/>
      <c r="Q278" s="610"/>
    </row>
    <row r="279" spans="1:20">
      <c r="A279" s="936"/>
      <c r="B279" s="506"/>
      <c r="C279" s="99" t="s">
        <v>29</v>
      </c>
      <c r="D279" s="296">
        <v>185</v>
      </c>
      <c r="E279" s="101">
        <v>6.4709000000000003</v>
      </c>
      <c r="F279" s="41">
        <f t="shared" si="52"/>
        <v>6.4709000000000003</v>
      </c>
      <c r="G279" s="50">
        <f>ROUND(D279*(E279),2)</f>
        <v>1197.1199999999999</v>
      </c>
      <c r="H279" s="296"/>
      <c r="I279" s="298"/>
      <c r="J279" s="298"/>
      <c r="K279" s="940"/>
      <c r="L279" s="614"/>
      <c r="M279" s="935"/>
      <c r="N279" s="615"/>
      <c r="O279" s="615"/>
      <c r="P279" s="615"/>
      <c r="Q279" s="616"/>
    </row>
    <row r="280" spans="1:20" ht="15.75" thickBot="1">
      <c r="A280" s="937"/>
      <c r="B280" s="278"/>
      <c r="C280" s="784"/>
      <c r="D280" s="941"/>
      <c r="E280" s="281"/>
      <c r="F280" s="57"/>
      <c r="G280" s="58">
        <f>ROUND(D280*(E280),2)</f>
        <v>0</v>
      </c>
      <c r="H280" s="613"/>
      <c r="I280" s="57"/>
      <c r="J280" s="57"/>
      <c r="K280" s="666"/>
      <c r="L280" s="784"/>
      <c r="M280" s="938"/>
      <c r="N280" s="626"/>
      <c r="O280" s="626"/>
      <c r="P280" s="626"/>
      <c r="Q280" s="626"/>
    </row>
    <row r="281" spans="1:20">
      <c r="A281" s="376">
        <v>312</v>
      </c>
      <c r="B281" s="602" t="s">
        <v>112</v>
      </c>
      <c r="C281" s="439" t="s">
        <v>143</v>
      </c>
      <c r="D281" s="184">
        <f>май18!D267+май18!D268</f>
        <v>774</v>
      </c>
      <c r="E281" s="23">
        <f>6.4709-6.6914</f>
        <v>-0.22049999999999947</v>
      </c>
      <c r="F281" s="23">
        <f>+E281</f>
        <v>-0.22049999999999947</v>
      </c>
      <c r="G281" s="185">
        <f>ROUND(D281*(E281),2)+0.01</f>
        <v>-170.66</v>
      </c>
      <c r="H281" s="620"/>
      <c r="I281" s="620"/>
      <c r="J281" s="620"/>
      <c r="K281" s="634"/>
      <c r="L281" s="603">
        <f>SUM(G281:G284)</f>
        <v>3893.0600000000004</v>
      </c>
      <c r="M281" s="187">
        <v>3893.06</v>
      </c>
      <c r="N281" s="604"/>
      <c r="O281" s="635"/>
      <c r="P281" s="636"/>
      <c r="Q281" s="605"/>
    </row>
    <row r="282" spans="1:20">
      <c r="A282" s="934"/>
      <c r="B282" s="506"/>
      <c r="C282" s="48" t="s">
        <v>144</v>
      </c>
      <c r="D282" s="49">
        <v>27</v>
      </c>
      <c r="E282" s="41">
        <v>6.4709000000000003</v>
      </c>
      <c r="F282" s="41">
        <f>+E282</f>
        <v>6.4709000000000003</v>
      </c>
      <c r="G282" s="50">
        <f t="shared" ref="G282:G283" si="54">ROUND(D282*(E282),2)</f>
        <v>174.71</v>
      </c>
      <c r="H282" s="296"/>
      <c r="I282" s="298"/>
      <c r="J282" s="298"/>
      <c r="K282" s="637"/>
      <c r="L282" s="606"/>
      <c r="M282" s="935"/>
      <c r="N282" s="607"/>
      <c r="O282" s="608"/>
      <c r="P282" s="609"/>
      <c r="Q282" s="610"/>
    </row>
    <row r="283" spans="1:20">
      <c r="A283" s="934"/>
      <c r="B283" s="506"/>
      <c r="C283" s="99" t="s">
        <v>29</v>
      </c>
      <c r="D283" s="296">
        <v>601</v>
      </c>
      <c r="E283" s="101">
        <v>6.4709000000000003</v>
      </c>
      <c r="F283" s="41">
        <f>+E283</f>
        <v>6.4709000000000003</v>
      </c>
      <c r="G283" s="50">
        <f t="shared" si="54"/>
        <v>3889.01</v>
      </c>
      <c r="H283" s="296"/>
      <c r="I283" s="298"/>
      <c r="J283" s="298"/>
      <c r="K283" s="637"/>
      <c r="L283" s="614"/>
      <c r="M283" s="935"/>
      <c r="N283" s="615"/>
      <c r="O283" s="615"/>
      <c r="P283" s="615"/>
      <c r="Q283" s="616"/>
    </row>
    <row r="284" spans="1:20" ht="15.75" thickBot="1">
      <c r="A284" s="942"/>
      <c r="B284" s="278"/>
      <c r="C284" s="54"/>
      <c r="D284" s="941"/>
      <c r="E284" s="281"/>
      <c r="F284" s="57"/>
      <c r="G284" s="58"/>
      <c r="H284" s="613"/>
      <c r="I284" s="57"/>
      <c r="J284" s="57"/>
      <c r="K284" s="943"/>
      <c r="L284" s="784"/>
      <c r="M284" s="938"/>
      <c r="N284" s="615"/>
      <c r="O284" s="615"/>
      <c r="P284" s="615"/>
      <c r="Q284" s="615"/>
    </row>
    <row r="285" spans="1:20" collapsed="1">
      <c r="A285" s="376">
        <v>314</v>
      </c>
      <c r="B285" s="602" t="s">
        <v>235</v>
      </c>
      <c r="C285" s="439" t="s">
        <v>143</v>
      </c>
      <c r="D285" s="184">
        <v>0</v>
      </c>
      <c r="E285" s="41">
        <f>6.4709-6.6914</f>
        <v>-0.22049999999999947</v>
      </c>
      <c r="F285" s="23">
        <f t="shared" ref="F285" si="55">+E285</f>
        <v>-0.22049999999999947</v>
      </c>
      <c r="G285" s="185">
        <f>ROUND(D285*(E285),2)</f>
        <v>0</v>
      </c>
      <c r="H285" s="620"/>
      <c r="I285" s="620"/>
      <c r="J285" s="620"/>
      <c r="K285" s="634"/>
      <c r="L285" s="603">
        <f>SUM(G285:G287)</f>
        <v>19.41</v>
      </c>
      <c r="M285" s="187">
        <v>0</v>
      </c>
      <c r="N285" s="615"/>
      <c r="O285" s="967" t="s">
        <v>249</v>
      </c>
      <c r="P285" s="615"/>
      <c r="Q285" s="615"/>
    </row>
    <row r="286" spans="1:20">
      <c r="A286" s="934"/>
      <c r="B286" s="516" t="s">
        <v>246</v>
      </c>
      <c r="C286" s="48" t="s">
        <v>144</v>
      </c>
      <c r="D286" s="49">
        <v>0</v>
      </c>
      <c r="E286" s="41">
        <v>6.4709000000000003</v>
      </c>
      <c r="F286" s="41">
        <f>+E286</f>
        <v>6.4709000000000003</v>
      </c>
      <c r="G286" s="50">
        <f>ROUND(D286*(E286),2)</f>
        <v>0</v>
      </c>
      <c r="H286" s="296"/>
      <c r="I286" s="298"/>
      <c r="J286" s="298"/>
      <c r="K286" s="637"/>
      <c r="L286" s="606"/>
      <c r="M286" s="935"/>
      <c r="N286" s="615"/>
      <c r="O286" s="615"/>
      <c r="P286" s="615"/>
      <c r="Q286" s="615"/>
    </row>
    <row r="287" spans="1:20" ht="15.75" thickBot="1">
      <c r="A287" s="942"/>
      <c r="B287" s="982"/>
      <c r="C287" s="54" t="s">
        <v>29</v>
      </c>
      <c r="D287" s="613">
        <v>3</v>
      </c>
      <c r="E287" s="56">
        <v>6.4709000000000003</v>
      </c>
      <c r="F287" s="281">
        <f t="shared" ref="F287" si="56">+E287</f>
        <v>6.4709000000000003</v>
      </c>
      <c r="G287" s="58">
        <f t="shared" ref="G287" si="57">ROUND(D287*(E287),2)</f>
        <v>19.41</v>
      </c>
      <c r="H287" s="613"/>
      <c r="I287" s="57"/>
      <c r="J287" s="57"/>
      <c r="K287" s="943"/>
      <c r="L287" s="783"/>
      <c r="M287" s="938"/>
      <c r="N287" s="615"/>
      <c r="O287" s="615"/>
      <c r="P287" s="615"/>
      <c r="Q287" s="615"/>
    </row>
    <row r="288" spans="1:20" collapsed="1">
      <c r="A288" s="353" t="s">
        <v>203</v>
      </c>
      <c r="B288" s="494" t="s">
        <v>104</v>
      </c>
      <c r="C288" s="71">
        <f>+[1]дек!U66</f>
        <v>0</v>
      </c>
      <c r="D288" s="495">
        <v>31</v>
      </c>
      <c r="E288" s="21">
        <v>36.214199999999998</v>
      </c>
      <c r="F288" s="21">
        <v>42.4328</v>
      </c>
      <c r="G288" s="185">
        <f>ROUND(D288*(E288+F288),2)</f>
        <v>2438.06</v>
      </c>
      <c r="H288" s="496"/>
      <c r="I288" s="73"/>
      <c r="J288" s="73"/>
      <c r="K288" s="497"/>
      <c r="L288" s="439">
        <f>SUM(G288:G295)+SUM(J288:J294)</f>
        <v>16217.789999999999</v>
      </c>
      <c r="M288" s="26">
        <v>16217.79</v>
      </c>
      <c r="N288" s="499"/>
      <c r="O288" s="500"/>
      <c r="P288" s="501" t="s">
        <v>87</v>
      </c>
      <c r="Q288" s="185">
        <f t="shared" ref="Q288" si="58">C288+G288+J288-M288-N288-O288</f>
        <v>-13779.730000000001</v>
      </c>
      <c r="R288" s="502" t="s">
        <v>88</v>
      </c>
      <c r="S288" s="503"/>
      <c r="T288" s="504"/>
    </row>
    <row r="289" spans="1:21" ht="15.75" thickBot="1">
      <c r="A289" s="934">
        <v>417</v>
      </c>
      <c r="B289" s="506"/>
      <c r="C289" s="599" t="s">
        <v>96</v>
      </c>
      <c r="D289" s="234"/>
      <c r="E289" s="38"/>
      <c r="F289" s="38"/>
      <c r="G289" s="235">
        <f>ROUND(D289*(E289+F289),2)</f>
        <v>0</v>
      </c>
      <c r="H289" s="448"/>
      <c r="I289" s="509"/>
      <c r="J289" s="409"/>
      <c r="K289" s="510"/>
      <c r="L289" s="48"/>
      <c r="M289" s="512"/>
      <c r="N289" s="513"/>
      <c r="O289" s="514"/>
      <c r="P289" s="515"/>
      <c r="Q289" s="262"/>
      <c r="R289" s="502"/>
      <c r="S289" s="503"/>
      <c r="T289" s="504"/>
    </row>
    <row r="290" spans="1:21">
      <c r="A290" s="934"/>
      <c r="B290" s="516" t="s">
        <v>89</v>
      </c>
      <c r="C290" s="512" t="s">
        <v>90</v>
      </c>
      <c r="D290" s="508">
        <v>0</v>
      </c>
      <c r="E290" s="101">
        <v>237.98</v>
      </c>
      <c r="F290" s="21">
        <v>42.4328</v>
      </c>
      <c r="G290" s="50">
        <f>ROUND(D290*(E290+F290),2)</f>
        <v>0</v>
      </c>
      <c r="H290" s="270"/>
      <c r="I290" s="41"/>
      <c r="J290" s="409"/>
      <c r="K290" s="510"/>
      <c r="L290" s="600"/>
      <c r="M290" s="99"/>
      <c r="N290" s="518"/>
      <c r="O290" s="519"/>
      <c r="P290" s="515" t="s">
        <v>87</v>
      </c>
      <c r="Q290" s="271">
        <f>+G290+J290-M290-N290-O290</f>
        <v>0</v>
      </c>
      <c r="R290" s="502" t="s">
        <v>88</v>
      </c>
      <c r="S290" s="503"/>
      <c r="T290" s="504"/>
    </row>
    <row r="291" spans="1:21">
      <c r="A291" s="934"/>
      <c r="B291" s="541"/>
      <c r="C291" s="84" t="s">
        <v>97</v>
      </c>
      <c r="D291" s="508">
        <f>май18!D275</f>
        <v>0</v>
      </c>
      <c r="E291" s="41">
        <f>237.98-292.75</f>
        <v>-54.77000000000001</v>
      </c>
      <c r="F291" s="38"/>
      <c r="G291" s="50">
        <f>ROUND(D291*(E291+F291),2)</f>
        <v>0</v>
      </c>
      <c r="H291" s="432"/>
      <c r="I291" s="362"/>
      <c r="J291" s="41"/>
      <c r="K291" s="510"/>
      <c r="L291" s="600"/>
      <c r="M291" s="520"/>
      <c r="N291" s="521"/>
      <c r="O291" s="522"/>
      <c r="P291" s="523"/>
      <c r="Q291" s="362"/>
      <c r="R291" s="502"/>
      <c r="S291" s="503"/>
      <c r="T291" s="504"/>
    </row>
    <row r="292" spans="1:21">
      <c r="A292" s="934"/>
      <c r="B292" s="541"/>
      <c r="C292" s="84" t="s">
        <v>97</v>
      </c>
      <c r="D292" s="508"/>
      <c r="E292" s="41"/>
      <c r="F292" s="41"/>
      <c r="G292" s="50">
        <f>D292*(E292+F292)</f>
        <v>0</v>
      </c>
      <c r="H292" s="432"/>
      <c r="I292" s="362"/>
      <c r="J292" s="41"/>
      <c r="K292" s="510"/>
      <c r="L292" s="600"/>
      <c r="M292" s="520"/>
      <c r="N292" s="521"/>
      <c r="O292" s="522"/>
      <c r="P292" s="523"/>
      <c r="Q292" s="362"/>
      <c r="R292" s="502"/>
      <c r="S292" s="503"/>
      <c r="T292" s="504"/>
    </row>
    <row r="293" spans="1:21">
      <c r="A293" s="934"/>
      <c r="B293" s="506"/>
      <c r="C293" s="48" t="s">
        <v>143</v>
      </c>
      <c r="D293" s="37">
        <f>май18!D279+май18!D280</f>
        <v>2480</v>
      </c>
      <c r="E293" s="41">
        <f>6.4709-6.6914</f>
        <v>-0.22049999999999947</v>
      </c>
      <c r="F293" s="297">
        <f t="shared" ref="F293:F295" si="59">+E293</f>
        <v>-0.22049999999999947</v>
      </c>
      <c r="G293" s="39">
        <f>ROUND(D293*(E293),2)</f>
        <v>-546.84</v>
      </c>
      <c r="H293" s="432"/>
      <c r="I293" s="362"/>
      <c r="J293" s="41"/>
      <c r="K293" s="510"/>
      <c r="L293" s="600"/>
      <c r="M293" s="520"/>
      <c r="N293" s="521"/>
      <c r="O293" s="522"/>
      <c r="P293" s="523"/>
      <c r="Q293" s="362"/>
      <c r="R293" s="502"/>
      <c r="S293" s="503"/>
      <c r="T293" s="504"/>
    </row>
    <row r="294" spans="1:21">
      <c r="A294" s="934"/>
      <c r="B294" s="506"/>
      <c r="C294" s="48" t="s">
        <v>144</v>
      </c>
      <c r="D294" s="37">
        <v>94</v>
      </c>
      <c r="E294" s="41">
        <v>6.4709000000000003</v>
      </c>
      <c r="F294" s="298">
        <f t="shared" si="59"/>
        <v>6.4709000000000003</v>
      </c>
      <c r="G294" s="39">
        <f>ROUND(D294*(E294),2)</f>
        <v>608.26</v>
      </c>
      <c r="H294" s="432"/>
      <c r="I294" s="362"/>
      <c r="J294" s="41"/>
      <c r="K294" s="510"/>
      <c r="L294" s="600"/>
      <c r="M294" s="520"/>
      <c r="N294" s="521"/>
      <c r="O294" s="522"/>
      <c r="P294" s="523"/>
      <c r="Q294" s="362"/>
      <c r="R294" s="502"/>
      <c r="S294" s="503"/>
      <c r="T294" s="504"/>
      <c r="U294" s="33"/>
    </row>
    <row r="295" spans="1:21" ht="15.75" thickBot="1">
      <c r="A295" s="934"/>
      <c r="B295" s="526"/>
      <c r="C295" s="99" t="s">
        <v>29</v>
      </c>
      <c r="D295" s="55">
        <v>2120</v>
      </c>
      <c r="E295" s="56">
        <v>6.4709000000000003</v>
      </c>
      <c r="F295" s="57">
        <f t="shared" si="59"/>
        <v>6.4709000000000003</v>
      </c>
      <c r="G295" s="414">
        <f>ROUND(D295*(E295),2)</f>
        <v>13718.31</v>
      </c>
      <c r="H295" s="248"/>
      <c r="I295" s="203"/>
      <c r="J295" s="60"/>
      <c r="K295" s="61"/>
      <c r="L295" s="204"/>
      <c r="M295" s="54"/>
      <c r="N295" s="527"/>
      <c r="O295" s="528"/>
      <c r="P295" s="529" t="s">
        <v>87</v>
      </c>
      <c r="Q295" s="362">
        <f>+G295+J295-M295-N295-O295</f>
        <v>13718.31</v>
      </c>
      <c r="R295" s="502" t="s">
        <v>88</v>
      </c>
      <c r="S295" s="598">
        <f>SUM(N288:N295)+O288:O295</f>
        <v>0</v>
      </c>
      <c r="T295" s="598">
        <f>SUM(Q288:Q295)</f>
        <v>-61.420000000001892</v>
      </c>
    </row>
    <row r="296" spans="1:21">
      <c r="A296" s="376">
        <v>407</v>
      </c>
      <c r="B296" s="494" t="s">
        <v>108</v>
      </c>
      <c r="C296" s="71">
        <f>+[1]дек!U87</f>
        <v>0</v>
      </c>
      <c r="D296" s="495">
        <v>4</v>
      </c>
      <c r="E296" s="21">
        <v>36.214199999999998</v>
      </c>
      <c r="F296" s="21">
        <v>42.4328</v>
      </c>
      <c r="G296" s="185">
        <f>ROUND(D296*(E296+F296),2)</f>
        <v>314.58999999999997</v>
      </c>
      <c r="H296" s="496"/>
      <c r="I296" s="73"/>
      <c r="J296" s="73"/>
      <c r="K296" s="497"/>
      <c r="L296" s="498">
        <f>SUM(G296:G302)+SUM(J296:J301)</f>
        <v>2379.87</v>
      </c>
      <c r="M296" s="26">
        <v>2379.87</v>
      </c>
      <c r="N296" s="499"/>
      <c r="O296" s="500"/>
      <c r="P296" s="501" t="s">
        <v>87</v>
      </c>
      <c r="Q296" s="304">
        <f t="shared" ref="Q296:Q298" si="60">C296+G296+J296-M296-N296-O296</f>
        <v>-2065.2799999999997</v>
      </c>
    </row>
    <row r="297" spans="1:21">
      <c r="A297" s="389"/>
      <c r="B297" s="506"/>
      <c r="C297" s="542" t="s">
        <v>96</v>
      </c>
      <c r="D297" s="234"/>
      <c r="E297" s="38"/>
      <c r="F297" s="38"/>
      <c r="G297" s="235">
        <f>ROUND(D297*(E297+F297),2)</f>
        <v>0</v>
      </c>
      <c r="H297" s="448"/>
      <c r="I297" s="509"/>
      <c r="J297" s="409"/>
      <c r="K297" s="510"/>
      <c r="L297" s="632"/>
      <c r="M297" s="512"/>
      <c r="N297" s="513"/>
      <c r="O297" s="514"/>
      <c r="P297" s="515"/>
      <c r="Q297" s="262"/>
    </row>
    <row r="298" spans="1:21">
      <c r="A298" s="389"/>
      <c r="B298" s="516" t="s">
        <v>109</v>
      </c>
      <c r="C298" s="633"/>
      <c r="D298" s="508">
        <v>0</v>
      </c>
      <c r="E298" s="101">
        <v>237.98</v>
      </c>
      <c r="F298" s="38">
        <v>42.4328</v>
      </c>
      <c r="G298" s="50">
        <f>D298*(E298+F298)</f>
        <v>0</v>
      </c>
      <c r="H298" s="270"/>
      <c r="I298" s="41"/>
      <c r="J298" s="409"/>
      <c r="K298" s="510"/>
      <c r="L298" s="597"/>
      <c r="M298" s="99"/>
      <c r="N298" s="518"/>
      <c r="O298" s="519"/>
      <c r="P298" s="515" t="s">
        <v>87</v>
      </c>
      <c r="Q298" s="271">
        <f t="shared" si="60"/>
        <v>0</v>
      </c>
    </row>
    <row r="299" spans="1:21">
      <c r="A299" s="389"/>
      <c r="B299" s="541"/>
      <c r="C299" s="84" t="s">
        <v>97</v>
      </c>
      <c r="D299" s="508">
        <f>май18!D283</f>
        <v>0</v>
      </c>
      <c r="E299" s="41">
        <f>237.98-292.75</f>
        <v>-54.77000000000001</v>
      </c>
      <c r="F299" s="41"/>
      <c r="G299" s="50">
        <f>D299*(E299+F299)</f>
        <v>0</v>
      </c>
      <c r="H299" s="432"/>
      <c r="I299" s="362"/>
      <c r="J299" s="207"/>
      <c r="K299" s="510"/>
      <c r="L299" s="597"/>
      <c r="M299" s="520"/>
      <c r="N299" s="521"/>
      <c r="O299" s="522"/>
      <c r="P299" s="523"/>
      <c r="Q299" s="362"/>
    </row>
    <row r="300" spans="1:21">
      <c r="A300" s="389"/>
      <c r="B300" s="506"/>
      <c r="C300" s="48" t="s">
        <v>143</v>
      </c>
      <c r="D300" s="37">
        <f>май18!D286+май18!D287</f>
        <v>406</v>
      </c>
      <c r="E300" s="41">
        <f>6.4709-6.6914</f>
        <v>-0.22049999999999947</v>
      </c>
      <c r="F300" s="41">
        <f>+E300</f>
        <v>-0.22049999999999947</v>
      </c>
      <c r="G300" s="39">
        <f>ROUND(D300*(E300),2)-0.01</f>
        <v>-89.53</v>
      </c>
      <c r="H300" s="432"/>
      <c r="I300" s="362"/>
      <c r="J300" s="207"/>
      <c r="K300" s="510"/>
      <c r="L300" s="597"/>
      <c r="M300" s="520"/>
      <c r="N300" s="521"/>
      <c r="O300" s="522"/>
      <c r="P300" s="523"/>
      <c r="Q300" s="362"/>
    </row>
    <row r="301" spans="1:21">
      <c r="A301" s="389"/>
      <c r="B301" s="506"/>
      <c r="C301" s="48" t="s">
        <v>144</v>
      </c>
      <c r="D301" s="37">
        <v>14</v>
      </c>
      <c r="E301" s="41">
        <v>6.4709000000000003</v>
      </c>
      <c r="F301" s="41">
        <f>+E301</f>
        <v>6.4709000000000003</v>
      </c>
      <c r="G301" s="39">
        <f t="shared" ref="G301:G302" si="61">ROUND(D301*(E301),2)</f>
        <v>90.59</v>
      </c>
      <c r="H301" s="432"/>
      <c r="I301" s="362"/>
      <c r="J301" s="207"/>
      <c r="K301" s="510"/>
      <c r="L301" s="597"/>
      <c r="M301" s="520"/>
      <c r="N301" s="521"/>
      <c r="O301" s="522"/>
      <c r="P301" s="523"/>
      <c r="Q301" s="362"/>
    </row>
    <row r="302" spans="1:21" ht="15.75" thickBot="1">
      <c r="A302" s="411"/>
      <c r="B302" s="526"/>
      <c r="C302" s="54" t="s">
        <v>29</v>
      </c>
      <c r="D302" s="55">
        <v>319</v>
      </c>
      <c r="E302" s="56">
        <v>6.4709000000000003</v>
      </c>
      <c r="F302" s="281">
        <f>+E302</f>
        <v>6.4709000000000003</v>
      </c>
      <c r="G302" s="414">
        <f t="shared" si="61"/>
        <v>2064.2199999999998</v>
      </c>
      <c r="H302" s="248"/>
      <c r="I302" s="203"/>
      <c r="J302" s="60"/>
      <c r="K302" s="61"/>
      <c r="L302" s="249"/>
      <c r="M302" s="54"/>
      <c r="N302" s="527"/>
      <c r="O302" s="528"/>
      <c r="P302" s="529" t="s">
        <v>87</v>
      </c>
      <c r="Q302" s="282">
        <f>+G302+J302-M302-N302-O302</f>
        <v>2064.2199999999998</v>
      </c>
    </row>
    <row r="303" spans="1:21" collapsed="1">
      <c r="A303" s="376">
        <v>411</v>
      </c>
      <c r="B303" s="602" t="s">
        <v>127</v>
      </c>
      <c r="C303" s="439" t="s">
        <v>143</v>
      </c>
      <c r="D303" s="184">
        <f>май18!D289+май18!D290</f>
        <v>484.6</v>
      </c>
      <c r="E303" s="23">
        <f>6.4709-6.6914</f>
        <v>-0.22049999999999947</v>
      </c>
      <c r="F303" s="23">
        <f t="shared" ref="F303" si="62">+E303</f>
        <v>-0.22049999999999947</v>
      </c>
      <c r="G303" s="185">
        <f>ROUND(D303*(E303),2)</f>
        <v>-106.85</v>
      </c>
      <c r="H303" s="669"/>
      <c r="I303" s="620"/>
      <c r="J303" s="620"/>
      <c r="K303" s="634"/>
      <c r="L303" s="603">
        <f>SUM(G303:G306)</f>
        <v>3062.59</v>
      </c>
      <c r="M303" s="187">
        <v>3062.59</v>
      </c>
      <c r="N303" s="604"/>
      <c r="O303" s="635"/>
      <c r="P303" s="636"/>
      <c r="Q303" s="605"/>
    </row>
    <row r="304" spans="1:21">
      <c r="A304" s="934"/>
      <c r="B304" s="506"/>
      <c r="C304" s="48" t="s">
        <v>144</v>
      </c>
      <c r="D304" s="49">
        <v>20.8</v>
      </c>
      <c r="E304" s="41">
        <v>6.4709000000000003</v>
      </c>
      <c r="F304" s="41">
        <f>+E304</f>
        <v>6.4709000000000003</v>
      </c>
      <c r="G304" s="50">
        <f>ROUND(D304*(E304),2)</f>
        <v>134.59</v>
      </c>
      <c r="H304" s="296"/>
      <c r="I304" s="298"/>
      <c r="J304" s="298"/>
      <c r="K304" s="637"/>
      <c r="L304" s="606"/>
      <c r="M304" s="935"/>
      <c r="N304" s="607"/>
      <c r="O304" s="608"/>
      <c r="P304" s="609"/>
      <c r="Q304" s="610"/>
    </row>
    <row r="305" spans="1:21">
      <c r="A305" s="934"/>
      <c r="B305" s="506"/>
      <c r="C305" s="99" t="s">
        <v>29</v>
      </c>
      <c r="D305" s="296">
        <v>469</v>
      </c>
      <c r="E305" s="101">
        <v>6.4709000000000003</v>
      </c>
      <c r="F305" s="41">
        <f t="shared" ref="F305" si="63">+E305</f>
        <v>6.4709000000000003</v>
      </c>
      <c r="G305" s="50">
        <f t="shared" ref="G305" si="64">ROUND(D305*(E305),2)</f>
        <v>3034.85</v>
      </c>
      <c r="H305" s="296"/>
      <c r="I305" s="298"/>
      <c r="J305" s="298"/>
      <c r="K305" s="637"/>
      <c r="L305" s="606"/>
      <c r="M305" s="935"/>
      <c r="N305" s="615"/>
      <c r="O305" s="615"/>
      <c r="P305" s="615"/>
      <c r="Q305" s="616"/>
    </row>
    <row r="306" spans="1:21" ht="15.75" thickBot="1">
      <c r="A306" s="942"/>
      <c r="B306" s="278"/>
      <c r="C306" s="784"/>
      <c r="D306" s="941"/>
      <c r="E306" s="281"/>
      <c r="F306" s="57"/>
      <c r="G306" s="58"/>
      <c r="H306" s="613"/>
      <c r="I306" s="57"/>
      <c r="J306" s="57"/>
      <c r="K306" s="637"/>
      <c r="L306" s="606"/>
      <c r="M306" s="935"/>
      <c r="N306" s="615"/>
      <c r="O306" s="615"/>
      <c r="P306" s="615"/>
      <c r="Q306" s="615"/>
    </row>
    <row r="307" spans="1:21">
      <c r="A307" s="376">
        <v>501</v>
      </c>
      <c r="B307" s="494" t="s">
        <v>202</v>
      </c>
      <c r="C307" s="71"/>
      <c r="D307" s="495">
        <v>30</v>
      </c>
      <c r="E307" s="21">
        <v>36.214199999999998</v>
      </c>
      <c r="F307" s="21">
        <v>42.4328</v>
      </c>
      <c r="G307" s="185">
        <f>ROUND(D307*(E307+F307),2)</f>
        <v>2359.41</v>
      </c>
      <c r="H307" s="496"/>
      <c r="I307" s="73"/>
      <c r="J307" s="73"/>
      <c r="K307" s="497"/>
      <c r="L307" s="498">
        <f>+SUM(G307:G314,C314)+SUM(J307:J314)</f>
        <v>48159.306799999998</v>
      </c>
      <c r="M307" s="26">
        <v>48159.31</v>
      </c>
      <c r="N307" s="499"/>
      <c r="O307" s="500"/>
      <c r="P307" s="501" t="s">
        <v>87</v>
      </c>
      <c r="Q307" s="304">
        <f t="shared" ref="Q307:Q324" si="65">C307+G307+J307-M307-N307-O307</f>
        <v>-45799.899999999994</v>
      </c>
      <c r="R307" s="502" t="s">
        <v>88</v>
      </c>
      <c r="S307" s="503"/>
      <c r="T307" s="504"/>
      <c r="U307" s="33"/>
    </row>
    <row r="308" spans="1:21">
      <c r="A308" s="389"/>
      <c r="B308" s="506"/>
      <c r="C308" s="507"/>
      <c r="D308" s="508"/>
      <c r="E308" s="38"/>
      <c r="F308" s="38"/>
      <c r="G308" s="50">
        <f>ROUND(D308*(E308+F308),2)</f>
        <v>0</v>
      </c>
      <c r="H308" s="448"/>
      <c r="I308" s="509"/>
      <c r="J308" s="409"/>
      <c r="K308" s="510"/>
      <c r="L308" s="511"/>
      <c r="M308" s="512"/>
      <c r="N308" s="513"/>
      <c r="O308" s="514"/>
      <c r="P308" s="515"/>
      <c r="Q308" s="262"/>
      <c r="R308" s="502"/>
      <c r="S308" s="503"/>
      <c r="T308" s="504"/>
      <c r="U308" s="33"/>
    </row>
    <row r="309" spans="1:21">
      <c r="A309" s="389"/>
      <c r="B309" s="516" t="s">
        <v>89</v>
      </c>
      <c r="C309" s="512" t="s">
        <v>90</v>
      </c>
      <c r="D309" s="508">
        <v>6</v>
      </c>
      <c r="E309" s="101">
        <v>237.98</v>
      </c>
      <c r="F309" s="38">
        <v>42.4328</v>
      </c>
      <c r="G309" s="50">
        <f>D309*(E309+F309)</f>
        <v>1682.4767999999999</v>
      </c>
      <c r="H309" s="270"/>
      <c r="I309" s="41"/>
      <c r="J309" s="409"/>
      <c r="K309" s="510"/>
      <c r="L309" s="517"/>
      <c r="M309" s="99"/>
      <c r="N309" s="518"/>
      <c r="O309" s="519"/>
      <c r="P309" s="515" t="s">
        <v>87</v>
      </c>
      <c r="Q309" s="271">
        <f>+G309+J309-M309-N309-O309</f>
        <v>1682.4767999999999</v>
      </c>
      <c r="R309" s="502" t="s">
        <v>88</v>
      </c>
      <c r="S309" s="503"/>
      <c r="T309" s="504"/>
    </row>
    <row r="310" spans="1:21">
      <c r="A310" s="389"/>
      <c r="B310" s="506" t="s">
        <v>91</v>
      </c>
      <c r="C310" s="507"/>
      <c r="D310" s="508">
        <f>май18!D294</f>
        <v>5</v>
      </c>
      <c r="E310" s="41">
        <f>237.98-292.75</f>
        <v>-54.77000000000001</v>
      </c>
      <c r="F310" s="38"/>
      <c r="G310" s="50">
        <f>ROUND(D310*(E310+F310),2)</f>
        <v>-273.85000000000002</v>
      </c>
      <c r="H310" s="432"/>
      <c r="I310" s="362"/>
      <c r="J310" s="409"/>
      <c r="K310" s="510"/>
      <c r="L310" s="517"/>
      <c r="M310" s="520"/>
      <c r="N310" s="521"/>
      <c r="O310" s="522"/>
      <c r="P310" s="523"/>
      <c r="Q310" s="362"/>
      <c r="R310" s="502"/>
      <c r="S310" s="503"/>
      <c r="T310" s="504"/>
    </row>
    <row r="311" spans="1:21">
      <c r="A311" s="389"/>
      <c r="B311" s="506" t="s">
        <v>91</v>
      </c>
      <c r="C311" s="507"/>
      <c r="D311" s="508"/>
      <c r="E311" s="38"/>
      <c r="F311" s="41"/>
      <c r="G311" s="50">
        <f>D311*(E311+F311)</f>
        <v>0</v>
      </c>
      <c r="H311" s="432"/>
      <c r="I311" s="362"/>
      <c r="J311" s="409"/>
      <c r="K311" s="510"/>
      <c r="L311" s="517"/>
      <c r="M311" s="520"/>
      <c r="N311" s="521"/>
      <c r="O311" s="522"/>
      <c r="P311" s="523"/>
      <c r="Q311" s="362"/>
      <c r="R311" s="502"/>
      <c r="S311" s="503"/>
      <c r="T311" s="504"/>
    </row>
    <row r="312" spans="1:21">
      <c r="A312" s="389"/>
      <c r="B312" s="506" t="s">
        <v>92</v>
      </c>
      <c r="C312" s="48" t="s">
        <v>143</v>
      </c>
      <c r="D312" s="508">
        <f>май18!D298+май18!D299</f>
        <v>8301</v>
      </c>
      <c r="E312" s="41">
        <f>6.4709-6.6914</f>
        <v>-0.22049999999999947</v>
      </c>
      <c r="F312" s="41">
        <f>+E312</f>
        <v>-0.22049999999999947</v>
      </c>
      <c r="G312" s="39">
        <f>ROUNDDOWN(D312*E312,2)</f>
        <v>-1830.37</v>
      </c>
      <c r="H312" s="432"/>
      <c r="I312" s="362"/>
      <c r="J312" s="41"/>
      <c r="K312" s="510"/>
      <c r="L312" s="517"/>
      <c r="M312" s="520"/>
      <c r="N312" s="521"/>
      <c r="O312" s="522"/>
      <c r="P312" s="523"/>
      <c r="Q312" s="362"/>
      <c r="R312" s="502"/>
      <c r="S312" s="503"/>
      <c r="T312" s="504"/>
    </row>
    <row r="313" spans="1:21">
      <c r="A313" s="389"/>
      <c r="B313" s="506"/>
      <c r="C313" s="48" t="s">
        <v>144</v>
      </c>
      <c r="D313" s="508">
        <v>303</v>
      </c>
      <c r="E313" s="41">
        <v>6.4709000000000003</v>
      </c>
      <c r="F313" s="41">
        <f>+E313</f>
        <v>6.4709000000000003</v>
      </c>
      <c r="G313" s="39">
        <f>ROUND(D313*E313,2)</f>
        <v>1960.68</v>
      </c>
      <c r="H313" s="432"/>
      <c r="I313" s="362"/>
      <c r="J313" s="207"/>
      <c r="K313" s="524"/>
      <c r="L313" s="517"/>
      <c r="M313" s="520"/>
      <c r="N313" s="521"/>
      <c r="O313" s="522"/>
      <c r="P313" s="523"/>
      <c r="Q313" s="362"/>
      <c r="R313" s="502"/>
      <c r="S313" s="503"/>
      <c r="T313" s="504"/>
    </row>
    <row r="314" spans="1:21" ht="15.75" thickBot="1">
      <c r="A314" s="411"/>
      <c r="B314" s="526"/>
      <c r="C314" s="99" t="s">
        <v>29</v>
      </c>
      <c r="D314" s="55">
        <v>6840</v>
      </c>
      <c r="E314" s="56">
        <v>6.4709000000000003</v>
      </c>
      <c r="F314" s="57">
        <f>+E314</f>
        <v>6.4709000000000003</v>
      </c>
      <c r="G314" s="58">
        <f>ROUND(D314*E314,2)</f>
        <v>44260.959999999999</v>
      </c>
      <c r="H314" s="248"/>
      <c r="I314" s="203"/>
      <c r="J314" s="60"/>
      <c r="K314" s="61"/>
      <c r="L314" s="249"/>
      <c r="M314" s="54"/>
      <c r="N314" s="527"/>
      <c r="O314" s="528"/>
      <c r="P314" s="529" t="s">
        <v>87</v>
      </c>
      <c r="Q314" s="282">
        <f>+G314+J314-M314-N314-O314</f>
        <v>44260.959999999999</v>
      </c>
      <c r="R314" s="530" t="s">
        <v>88</v>
      </c>
      <c r="S314" s="531">
        <f>SUM(N307:N314)+O307:O314</f>
        <v>0</v>
      </c>
      <c r="T314" s="531">
        <f>SUM(Q307:Q314)</f>
        <v>143.53680000000168</v>
      </c>
      <c r="U314" s="33"/>
    </row>
    <row r="315" spans="1:21" ht="15.75" thickTop="1">
      <c r="A315" s="339">
        <v>502</v>
      </c>
      <c r="B315" s="532" t="s">
        <v>192</v>
      </c>
      <c r="C315" s="71">
        <f>+[1]дек!U51</f>
        <v>-6.0000000303261913E-4</v>
      </c>
      <c r="D315" s="213">
        <v>42</v>
      </c>
      <c r="E315" s="21">
        <v>36.214199999999998</v>
      </c>
      <c r="F315" s="21">
        <v>42.4328</v>
      </c>
      <c r="G315" s="214">
        <f>ROUND(D315*(E315+F315),2)</f>
        <v>3303.17</v>
      </c>
      <c r="H315" s="496"/>
      <c r="I315" s="73"/>
      <c r="J315" s="73"/>
      <c r="K315" s="497"/>
      <c r="L315" s="533">
        <f>+SUM(G315:G322,)+SUM(J315:J322)</f>
        <v>38568.47</v>
      </c>
      <c r="M315" s="26">
        <v>38568.47</v>
      </c>
      <c r="N315" s="534"/>
      <c r="O315" s="535"/>
      <c r="P315" s="536" t="s">
        <v>87</v>
      </c>
      <c r="Q315" s="537">
        <f t="shared" si="65"/>
        <v>-35265.300600000002</v>
      </c>
      <c r="R315" s="538" t="s">
        <v>95</v>
      </c>
      <c r="S315" s="539"/>
      <c r="T315" s="540"/>
      <c r="U315" s="33"/>
    </row>
    <row r="316" spans="1:21">
      <c r="A316" s="353"/>
      <c r="B316" s="541"/>
      <c r="C316" s="542" t="s">
        <v>96</v>
      </c>
      <c r="D316" s="234"/>
      <c r="E316" s="38"/>
      <c r="F316" s="38"/>
      <c r="G316" s="235">
        <f>ROUND(D316*(E316+F316),2)</f>
        <v>0</v>
      </c>
      <c r="H316" s="448"/>
      <c r="I316" s="509"/>
      <c r="J316" s="509"/>
      <c r="K316" s="543"/>
      <c r="L316" s="544"/>
      <c r="M316" s="545"/>
      <c r="N316" s="546"/>
      <c r="O316" s="547"/>
      <c r="P316" s="548"/>
      <c r="Q316" s="549"/>
      <c r="R316" s="550"/>
      <c r="S316" s="551"/>
      <c r="T316" s="552"/>
      <c r="U316" s="33"/>
    </row>
    <row r="317" spans="1:21">
      <c r="A317" s="353"/>
      <c r="B317" s="516" t="s">
        <v>32</v>
      </c>
      <c r="C317" s="99" t="s">
        <v>90</v>
      </c>
      <c r="D317" s="234">
        <v>23</v>
      </c>
      <c r="E317" s="101">
        <v>237.98</v>
      </c>
      <c r="F317" s="38">
        <v>42.4328</v>
      </c>
      <c r="G317" s="235">
        <f>ROUND(D317*(E317+F317),2)</f>
        <v>6449.49</v>
      </c>
      <c r="H317" s="270"/>
      <c r="I317" s="41"/>
      <c r="J317" s="41"/>
      <c r="K317" s="510"/>
      <c r="L317" s="553"/>
      <c r="M317" s="554"/>
      <c r="N317" s="555"/>
      <c r="O317" s="556"/>
      <c r="P317" s="557" t="s">
        <v>87</v>
      </c>
      <c r="Q317" s="558">
        <f>+G317+J317-M317-N317-O317</f>
        <v>6449.49</v>
      </c>
      <c r="R317" s="550" t="s">
        <v>95</v>
      </c>
      <c r="S317" s="551"/>
      <c r="T317" s="552"/>
    </row>
    <row r="318" spans="1:21">
      <c r="A318" s="353"/>
      <c r="B318" s="541"/>
      <c r="C318" s="84" t="s">
        <v>97</v>
      </c>
      <c r="D318" s="234">
        <f>май18!D302</f>
        <v>22</v>
      </c>
      <c r="E318" s="41">
        <f>237.98-292.75</f>
        <v>-54.77000000000001</v>
      </c>
      <c r="F318" s="38"/>
      <c r="G318" s="50">
        <f>ROUND(D318*E318,2)</f>
        <v>-1204.94</v>
      </c>
      <c r="H318" s="432"/>
      <c r="I318" s="362"/>
      <c r="J318" s="41"/>
      <c r="K318" s="510"/>
      <c r="L318" s="559"/>
      <c r="M318" s="560"/>
      <c r="N318" s="561"/>
      <c r="O318" s="562"/>
      <c r="P318" s="563"/>
      <c r="Q318" s="564"/>
      <c r="R318" s="550"/>
      <c r="S318" s="551"/>
      <c r="T318" s="552"/>
    </row>
    <row r="319" spans="1:21">
      <c r="A319" s="353"/>
      <c r="B319" s="541"/>
      <c r="C319" s="84" t="s">
        <v>97</v>
      </c>
      <c r="D319" s="234"/>
      <c r="E319" s="38"/>
      <c r="F319" s="240"/>
      <c r="G319" s="50">
        <f>D319*(E319+F319)</f>
        <v>0</v>
      </c>
      <c r="H319" s="432"/>
      <c r="I319" s="362"/>
      <c r="J319" s="41"/>
      <c r="K319" s="510"/>
      <c r="L319" s="559"/>
      <c r="M319" s="560"/>
      <c r="N319" s="561"/>
      <c r="O319" s="562"/>
      <c r="P319" s="563"/>
      <c r="Q319" s="564"/>
      <c r="R319" s="550"/>
      <c r="S319" s="551"/>
      <c r="T319" s="552"/>
    </row>
    <row r="320" spans="1:21">
      <c r="A320" s="353"/>
      <c r="B320" s="541"/>
      <c r="C320" s="48" t="s">
        <v>143</v>
      </c>
      <c r="D320" s="37">
        <f>май18!D306+май18!D307</f>
        <v>5683</v>
      </c>
      <c r="E320" s="41">
        <f>6.4709-6.6914</f>
        <v>-0.22049999999999947</v>
      </c>
      <c r="F320" s="41">
        <f>+E320</f>
        <v>-0.22049999999999947</v>
      </c>
      <c r="G320" s="235">
        <f>ROUND(D320*E320,2)-0.01</f>
        <v>-1253.1099999999999</v>
      </c>
      <c r="H320" s="565"/>
      <c r="I320" s="564"/>
      <c r="J320" s="566"/>
      <c r="K320" s="567"/>
      <c r="L320" s="559"/>
      <c r="M320" s="560"/>
      <c r="N320" s="561"/>
      <c r="O320" s="562"/>
      <c r="P320" s="563"/>
      <c r="Q320" s="564"/>
      <c r="R320" s="550"/>
      <c r="S320" s="551"/>
      <c r="T320" s="552"/>
      <c r="U320" s="352"/>
    </row>
    <row r="321" spans="1:21">
      <c r="A321" s="353"/>
      <c r="B321" s="541"/>
      <c r="C321" s="48" t="s">
        <v>144</v>
      </c>
      <c r="D321" s="37">
        <v>205</v>
      </c>
      <c r="E321" s="41">
        <v>6.4709000000000003</v>
      </c>
      <c r="F321" s="41">
        <f>+E321</f>
        <v>6.4709000000000003</v>
      </c>
      <c r="G321" s="235">
        <f>ROUND(D321*E321,2)</f>
        <v>1326.53</v>
      </c>
      <c r="H321" s="565"/>
      <c r="I321" s="564"/>
      <c r="J321" s="566"/>
      <c r="K321" s="567"/>
      <c r="L321" s="559"/>
      <c r="M321" s="560"/>
      <c r="N321" s="561"/>
      <c r="O321" s="562"/>
      <c r="P321" s="563"/>
      <c r="Q321" s="564"/>
      <c r="R321" s="550"/>
      <c r="S321" s="551"/>
      <c r="T321" s="552"/>
      <c r="U321" s="33"/>
    </row>
    <row r="322" spans="1:21" ht="15.75" thickBot="1">
      <c r="A322" s="369"/>
      <c r="B322" s="568"/>
      <c r="C322" s="99" t="s">
        <v>29</v>
      </c>
      <c r="D322" s="246">
        <v>4628</v>
      </c>
      <c r="E322" s="56">
        <v>6.4709000000000003</v>
      </c>
      <c r="F322" s="57">
        <f>+E322</f>
        <v>6.4709000000000003</v>
      </c>
      <c r="G322" s="247">
        <f>ROUND(D322*E322,2)</f>
        <v>29947.33</v>
      </c>
      <c r="H322" s="248"/>
      <c r="I322" s="203"/>
      <c r="J322" s="60"/>
      <c r="K322" s="61"/>
      <c r="L322" s="204"/>
      <c r="M322" s="560"/>
      <c r="N322" s="561"/>
      <c r="O322" s="528"/>
      <c r="P322" s="529" t="s">
        <v>87</v>
      </c>
      <c r="Q322" s="564">
        <f>+G322+J322-M322-N322-O322</f>
        <v>29947.33</v>
      </c>
      <c r="R322" s="550" t="s">
        <v>95</v>
      </c>
      <c r="S322" s="569">
        <f>SUM(N315:N322)+O315:O322</f>
        <v>0</v>
      </c>
      <c r="T322" s="570">
        <f>SUM(Q317:Q322)</f>
        <v>36396.82</v>
      </c>
    </row>
    <row r="323" spans="1:21" ht="15.75" hidden="1" outlineLevel="1" thickBot="1">
      <c r="A323" s="571"/>
      <c r="B323" s="572" t="s">
        <v>98</v>
      </c>
      <c r="C323" s="573" t="s">
        <v>99</v>
      </c>
      <c r="D323" s="574"/>
      <c r="E323" s="575">
        <f>3.193-2.9732</f>
        <v>0.21980000000000022</v>
      </c>
      <c r="F323" s="575">
        <f>3.193-2.9732</f>
        <v>0.21980000000000022</v>
      </c>
      <c r="G323" s="576">
        <f>D323*E323*70%+D323*F323*30%</f>
        <v>0</v>
      </c>
      <c r="H323" s="577"/>
      <c r="I323" s="578"/>
      <c r="J323" s="579"/>
      <c r="K323" s="579"/>
      <c r="L323" s="580"/>
      <c r="M323" s="581"/>
      <c r="N323" s="582"/>
      <c r="O323" s="535"/>
      <c r="P323" s="536"/>
      <c r="Q323" s="583"/>
      <c r="R323" s="584"/>
      <c r="S323" s="569"/>
      <c r="T323" s="585"/>
    </row>
    <row r="324" spans="1:21" s="81" customFormat="1" ht="16.5" hidden="1" customHeight="1" outlineLevel="1" thickBot="1">
      <c r="A324" s="933" t="s">
        <v>100</v>
      </c>
      <c r="B324" s="587" t="s">
        <v>98</v>
      </c>
      <c r="C324" s="588">
        <f>+[1]авг!C52</f>
        <v>0</v>
      </c>
      <c r="D324" s="589"/>
      <c r="E324" s="575">
        <v>3.1930000000000001</v>
      </c>
      <c r="F324" s="575">
        <f>+E324</f>
        <v>3.1930000000000001</v>
      </c>
      <c r="G324" s="576">
        <f>D324*E324*70%+D324*F324*30%</f>
        <v>0</v>
      </c>
      <c r="H324" s="579"/>
      <c r="I324" s="579"/>
      <c r="J324" s="579"/>
      <c r="K324" s="579"/>
      <c r="L324" s="579">
        <f>+C324+G324+G323</f>
        <v>0</v>
      </c>
      <c r="M324" s="590"/>
      <c r="N324" s="500"/>
      <c r="O324" s="528"/>
      <c r="P324" s="529" t="s">
        <v>87</v>
      </c>
      <c r="Q324" s="591">
        <f t="shared" si="65"/>
        <v>0</v>
      </c>
      <c r="R324" s="592" t="s">
        <v>101</v>
      </c>
      <c r="S324" s="77">
        <f>SUM(N324:N324)+SUM(O324:O324)</f>
        <v>0</v>
      </c>
      <c r="T324" s="593">
        <f>SUM(Q324:Q324)</f>
        <v>0</v>
      </c>
    </row>
    <row r="325" spans="1:21" ht="15.75" hidden="1" outlineLevel="1" thickBot="1">
      <c r="A325" s="944"/>
      <c r="B325" s="945" t="s">
        <v>128</v>
      </c>
      <c r="C325" s="573" t="s">
        <v>115</v>
      </c>
      <c r="D325" s="946"/>
      <c r="E325" s="579">
        <f>6.8021-6.8946</f>
        <v>-9.2499999999999361E-2</v>
      </c>
      <c r="F325" s="579">
        <f t="shared" ref="F325" si="66">+E325</f>
        <v>-9.2499999999999361E-2</v>
      </c>
      <c r="G325" s="947">
        <f>ROUND(D325*(E325),2)</f>
        <v>0</v>
      </c>
      <c r="H325" s="948"/>
      <c r="I325" s="949"/>
      <c r="J325" s="949"/>
      <c r="K325" s="950"/>
      <c r="L325" s="951"/>
      <c r="M325" s="952"/>
      <c r="N325" s="604"/>
      <c r="O325" s="635"/>
      <c r="P325" s="636"/>
      <c r="Q325" s="605"/>
    </row>
    <row r="326" spans="1:21" ht="15.75" hidden="1" outlineLevel="1" thickBot="1">
      <c r="A326" s="953"/>
      <c r="B326" s="954"/>
      <c r="C326" s="573" t="s">
        <v>114</v>
      </c>
      <c r="D326" s="946"/>
      <c r="E326" s="579">
        <v>6.8021000000000003</v>
      </c>
      <c r="F326" s="579">
        <f>+E326</f>
        <v>6.8021000000000003</v>
      </c>
      <c r="G326" s="947">
        <f>ROUND(D326*(E326),2)</f>
        <v>0</v>
      </c>
      <c r="H326" s="948"/>
      <c r="I326" s="949"/>
      <c r="J326" s="949"/>
      <c r="K326" s="950"/>
      <c r="L326" s="955"/>
      <c r="M326" s="956"/>
      <c r="N326" s="607"/>
      <c r="O326" s="608"/>
      <c r="P326" s="609"/>
      <c r="Q326" s="610"/>
    </row>
    <row r="327" spans="1:21" ht="15.75" hidden="1" outlineLevel="1" thickBot="1">
      <c r="A327" s="944"/>
      <c r="B327" s="954"/>
      <c r="C327" s="916" t="s">
        <v>29</v>
      </c>
      <c r="D327" s="948"/>
      <c r="E327" s="917">
        <v>6.8021000000000003</v>
      </c>
      <c r="F327" s="579">
        <f t="shared" ref="F327" si="67">+E327</f>
        <v>6.8021000000000003</v>
      </c>
      <c r="G327" s="947">
        <f t="shared" ref="G327" si="68">ROUND(D327*(E327),2)</f>
        <v>0</v>
      </c>
      <c r="H327" s="948"/>
      <c r="I327" s="949"/>
      <c r="J327" s="949"/>
      <c r="K327" s="950"/>
      <c r="L327" s="951"/>
      <c r="M327" s="956"/>
      <c r="N327" s="615"/>
      <c r="O327" s="615"/>
      <c r="P327" s="615"/>
      <c r="Q327" s="616"/>
    </row>
    <row r="328" spans="1:21" ht="15.75" hidden="1" outlineLevel="1" thickBot="1">
      <c r="A328" s="953"/>
      <c r="B328" s="955"/>
      <c r="C328" s="575"/>
      <c r="D328" s="957"/>
      <c r="E328" s="580"/>
      <c r="F328" s="575"/>
      <c r="G328" s="958"/>
      <c r="H328" s="959"/>
      <c r="I328" s="575"/>
      <c r="J328" s="575"/>
      <c r="K328" s="575"/>
      <c r="L328" s="955"/>
      <c r="M328" s="956"/>
      <c r="N328" s="615"/>
      <c r="O328" s="615"/>
      <c r="P328" s="615"/>
      <c r="Q328" s="615"/>
    </row>
    <row r="329" spans="1:21" collapsed="1">
      <c r="A329" s="963"/>
      <c r="B329" s="621"/>
      <c r="C329" s="621"/>
      <c r="D329" s="964"/>
      <c r="E329" s="905"/>
      <c r="F329" s="621"/>
      <c r="G329" s="905"/>
      <c r="H329" s="621"/>
      <c r="I329" s="621"/>
      <c r="J329" s="621"/>
      <c r="K329" s="621"/>
      <c r="L329" s="621"/>
      <c r="M329" s="965"/>
      <c r="N329" s="615"/>
      <c r="O329" s="615"/>
      <c r="P329" s="615"/>
      <c r="Q329" s="615"/>
    </row>
    <row r="330" spans="1:21" ht="15.75" thickBot="1">
      <c r="A330" s="966"/>
      <c r="B330" s="615"/>
      <c r="C330" s="615"/>
      <c r="D330" s="696"/>
      <c r="E330" s="473"/>
      <c r="F330" s="615"/>
      <c r="G330" s="473"/>
      <c r="H330" s="615"/>
      <c r="I330" s="615"/>
      <c r="J330" s="615"/>
      <c r="K330" s="615"/>
      <c r="L330" s="615"/>
      <c r="M330" s="967"/>
      <c r="N330" s="615"/>
      <c r="O330" s="615"/>
      <c r="P330" s="615"/>
      <c r="Q330" s="615"/>
    </row>
    <row r="331" spans="1:21" s="81" customFormat="1" ht="15" customHeight="1" thickTop="1">
      <c r="A331" s="476"/>
      <c r="B331" s="158"/>
      <c r="C331" s="322"/>
      <c r="D331" s="477"/>
      <c r="E331" s="163"/>
      <c r="F331" s="163"/>
      <c r="G331" s="478"/>
      <c r="H331" s="163"/>
      <c r="I331" s="163"/>
      <c r="J331" s="163"/>
      <c r="K331" s="163"/>
      <c r="L331" s="163"/>
      <c r="M331" s="164"/>
      <c r="N331" s="479"/>
      <c r="O331" s="479"/>
      <c r="P331" s="479"/>
      <c r="Q331" s="479"/>
      <c r="R331" s="422"/>
      <c r="S331"/>
      <c r="T331" s="399"/>
    </row>
    <row r="332" spans="1:21" ht="15.75" thickBot="1">
      <c r="A332" s="968" t="s">
        <v>113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3"/>
      <c r="N332" s="2"/>
      <c r="O332" s="2"/>
      <c r="P332" s="2"/>
      <c r="Q332" s="2"/>
    </row>
    <row r="333" spans="1:21" ht="15.75" customHeight="1" thickTop="1" thickBot="1">
      <c r="A333" s="1559" t="s">
        <v>1</v>
      </c>
      <c r="B333" s="1543" t="s">
        <v>2</v>
      </c>
      <c r="C333" s="1545" t="s">
        <v>3</v>
      </c>
      <c r="D333" s="1546" t="s">
        <v>4</v>
      </c>
      <c r="E333" s="1546"/>
      <c r="F333" s="1546"/>
      <c r="G333" s="1546"/>
      <c r="H333" s="1547"/>
      <c r="I333" s="1548"/>
      <c r="J333" s="1548"/>
      <c r="K333" s="1549"/>
      <c r="L333" s="1524" t="s">
        <v>6</v>
      </c>
      <c r="M333" s="1511" t="s">
        <v>7</v>
      </c>
      <c r="N333" s="1551" t="s">
        <v>8</v>
      </c>
      <c r="O333" s="1551"/>
      <c r="P333" s="1551"/>
      <c r="Q333" s="1552"/>
      <c r="R333" s="481"/>
      <c r="S333" s="482" t="s">
        <v>20</v>
      </c>
      <c r="T333" s="482" t="s">
        <v>21</v>
      </c>
    </row>
    <row r="334" spans="1:21" ht="26.25" thickBot="1">
      <c r="A334" s="1560"/>
      <c r="B334" s="1557"/>
      <c r="C334" s="1558" t="s">
        <v>10</v>
      </c>
      <c r="D334" s="483" t="s">
        <v>11</v>
      </c>
      <c r="E334" s="649" t="s">
        <v>12</v>
      </c>
      <c r="F334" s="649" t="s">
        <v>13</v>
      </c>
      <c r="G334" s="650" t="s">
        <v>14</v>
      </c>
      <c r="H334" s="651" t="s">
        <v>11</v>
      </c>
      <c r="I334" s="652" t="s">
        <v>15</v>
      </c>
      <c r="J334" s="653"/>
      <c r="K334" s="654" t="s">
        <v>16</v>
      </c>
      <c r="L334" s="1525"/>
      <c r="M334" s="1554"/>
      <c r="N334" s="655"/>
      <c r="O334" s="653"/>
      <c r="P334" s="656" t="s">
        <v>18</v>
      </c>
      <c r="Q334" s="657" t="s">
        <v>19</v>
      </c>
      <c r="R334" s="491"/>
      <c r="S334" s="492"/>
      <c r="T334" s="492"/>
    </row>
    <row r="335" spans="1:21">
      <c r="A335" s="961" t="s">
        <v>212</v>
      </c>
      <c r="B335" s="659" t="s">
        <v>116</v>
      </c>
      <c r="C335" s="668" t="s">
        <v>73</v>
      </c>
      <c r="D335" s="669">
        <v>5</v>
      </c>
      <c r="E335" s="21">
        <v>36.214199999999998</v>
      </c>
      <c r="F335" s="21">
        <v>42.4328</v>
      </c>
      <c r="G335" s="214">
        <f>+D335*(E335+F335)</f>
        <v>393.23499999999996</v>
      </c>
      <c r="H335" s="687">
        <f>мар18!D320</f>
        <v>5</v>
      </c>
      <c r="I335" s="688">
        <v>21.07</v>
      </c>
      <c r="J335" s="670">
        <f>H335*I335</f>
        <v>105.35</v>
      </c>
      <c r="K335" s="689">
        <v>43160</v>
      </c>
      <c r="L335" s="603">
        <f>SUM(G335:G341)+SUM(J335:J339)</f>
        <v>10706.725</v>
      </c>
      <c r="M335" s="187">
        <v>10706.73</v>
      </c>
      <c r="N335" s="670"/>
      <c r="O335" s="670"/>
      <c r="P335" s="670"/>
      <c r="Q335" s="670"/>
    </row>
    <row r="336" spans="1:21">
      <c r="A336" s="970"/>
      <c r="B336" s="672"/>
      <c r="C336" s="48"/>
      <c r="D336" s="673"/>
      <c r="E336" s="41"/>
      <c r="F336" s="298"/>
      <c r="G336" s="235">
        <f>+D336*E336</f>
        <v>0</v>
      </c>
      <c r="H336" s="687"/>
      <c r="I336" s="688"/>
      <c r="J336" s="670"/>
      <c r="K336" s="689"/>
      <c r="L336" s="606"/>
      <c r="M336" s="935"/>
      <c r="N336" s="298"/>
      <c r="O336" s="298"/>
      <c r="P336" s="298"/>
      <c r="Q336" s="298"/>
    </row>
    <row r="337" spans="1:18">
      <c r="A337" s="970"/>
      <c r="B337" s="442"/>
      <c r="C337" s="48"/>
      <c r="D337" s="673"/>
      <c r="E337" s="41"/>
      <c r="F337" s="298"/>
      <c r="G337" s="235">
        <f t="shared" ref="G337:G350" si="69">ROUND(D337*E337,2)</f>
        <v>0</v>
      </c>
      <c r="H337" s="687"/>
      <c r="I337" s="688"/>
      <c r="J337" s="670"/>
      <c r="K337" s="850"/>
      <c r="L337" s="614"/>
      <c r="M337" s="935"/>
      <c r="N337" s="298"/>
      <c r="O337" s="298"/>
      <c r="P337" s="298"/>
      <c r="Q337" s="298"/>
    </row>
    <row r="338" spans="1:18">
      <c r="A338" s="970"/>
      <c r="B338" s="35"/>
      <c r="C338" s="606"/>
      <c r="D338" s="673"/>
      <c r="E338" s="41"/>
      <c r="F338" s="298"/>
      <c r="G338" s="235">
        <f t="shared" si="69"/>
        <v>0</v>
      </c>
      <c r="H338" s="270"/>
      <c r="I338" s="688"/>
      <c r="J338" s="670"/>
      <c r="K338" s="689"/>
      <c r="L338" s="614"/>
      <c r="M338" s="273"/>
      <c r="N338" s="298"/>
      <c r="O338" s="298"/>
      <c r="P338" s="298"/>
      <c r="Q338" s="298"/>
    </row>
    <row r="339" spans="1:18" ht="15.75">
      <c r="A339" s="971"/>
      <c r="B339" s="672"/>
      <c r="C339" s="48" t="s">
        <v>143</v>
      </c>
      <c r="D339" s="269">
        <f>май18!D325+май18!D326</f>
        <v>1645</v>
      </c>
      <c r="E339" s="41">
        <f>6.4709-6.6914</f>
        <v>-0.22049999999999947</v>
      </c>
      <c r="F339" s="298">
        <f t="shared" ref="F339:F340" si="70">+E339</f>
        <v>-0.22049999999999947</v>
      </c>
      <c r="G339" s="235">
        <f>ROUND(D339*E339,2)</f>
        <v>-362.72</v>
      </c>
      <c r="H339" s="270"/>
      <c r="I339" s="41"/>
      <c r="J339" s="670"/>
      <c r="K339" s="689"/>
      <c r="L339" s="606"/>
      <c r="M339" s="935"/>
      <c r="N339" s="663"/>
      <c r="O339" s="237"/>
      <c r="P339" s="275"/>
      <c r="Q339" s="237"/>
    </row>
    <row r="340" spans="1:18" ht="15.75">
      <c r="A340" s="972"/>
      <c r="B340" s="35"/>
      <c r="C340" s="48" t="s">
        <v>144</v>
      </c>
      <c r="D340" s="269">
        <v>54.6</v>
      </c>
      <c r="E340" s="41">
        <v>6.4709000000000003</v>
      </c>
      <c r="F340" s="298">
        <f t="shared" si="70"/>
        <v>6.4709000000000003</v>
      </c>
      <c r="G340" s="235">
        <f t="shared" si="69"/>
        <v>353.31</v>
      </c>
      <c r="H340" s="270"/>
      <c r="I340" s="41"/>
      <c r="J340" s="41"/>
      <c r="K340" s="41"/>
      <c r="L340" s="614"/>
      <c r="M340" s="935"/>
      <c r="N340" s="663"/>
      <c r="O340" s="237"/>
      <c r="P340" s="275"/>
      <c r="Q340" s="237"/>
    </row>
    <row r="341" spans="1:18" ht="15.75" thickBot="1">
      <c r="A341" s="973"/>
      <c r="B341" s="665"/>
      <c r="C341" s="54" t="s">
        <v>29</v>
      </c>
      <c r="D341" s="613">
        <v>1579</v>
      </c>
      <c r="E341" s="56">
        <v>6.4709000000000003</v>
      </c>
      <c r="F341" s="57"/>
      <c r="G341" s="247">
        <f t="shared" si="69"/>
        <v>10217.549999999999</v>
      </c>
      <c r="H341" s="613"/>
      <c r="I341" s="57"/>
      <c r="J341" s="57"/>
      <c r="K341" s="57"/>
      <c r="L341" s="783"/>
      <c r="M341" s="250"/>
      <c r="N341" s="57"/>
      <c r="O341" s="57"/>
      <c r="P341" s="57"/>
      <c r="Q341" s="57"/>
      <c r="R341" s="615"/>
    </row>
    <row r="342" spans="1:18" ht="15.75">
      <c r="A342" s="658">
        <v>212</v>
      </c>
      <c r="B342" s="659" t="s">
        <v>148</v>
      </c>
      <c r="C342" s="786" t="s">
        <v>143</v>
      </c>
      <c r="D342" s="259">
        <f>май18!D328+май18!D329</f>
        <v>221.8</v>
      </c>
      <c r="E342" s="41">
        <f>6.4709-6.6914</f>
        <v>-0.22049999999999947</v>
      </c>
      <c r="F342" s="691">
        <f>+E342</f>
        <v>-0.22049999999999947</v>
      </c>
      <c r="G342" s="214">
        <f>ROUND(D342*E342,2)+0.02</f>
        <v>-48.889999999999993</v>
      </c>
      <c r="H342" s="303"/>
      <c r="I342" s="23"/>
      <c r="J342" s="23"/>
      <c r="K342" s="23"/>
      <c r="L342" s="603">
        <f>SUM(G342:G344)</f>
        <v>1323.58</v>
      </c>
      <c r="M342" s="187">
        <v>1323.58</v>
      </c>
      <c r="N342" s="660"/>
      <c r="O342" s="217"/>
      <c r="P342" s="661"/>
      <c r="Q342" s="219"/>
    </row>
    <row r="343" spans="1:18" ht="15.75">
      <c r="A343" s="662"/>
      <c r="B343" s="35"/>
      <c r="C343" s="48" t="s">
        <v>144</v>
      </c>
      <c r="D343" s="269">
        <v>7.1</v>
      </c>
      <c r="E343" s="41">
        <v>6.4709000000000003</v>
      </c>
      <c r="F343" s="298">
        <f t="shared" ref="F343" si="71">+E343</f>
        <v>6.4709000000000003</v>
      </c>
      <c r="G343" s="235">
        <f t="shared" si="69"/>
        <v>45.94</v>
      </c>
      <c r="H343" s="270"/>
      <c r="I343" s="41"/>
      <c r="J343" s="41"/>
      <c r="K343" s="41"/>
      <c r="L343" s="606"/>
      <c r="M343" s="935"/>
      <c r="N343" s="663"/>
      <c r="O343" s="237"/>
      <c r="P343" s="275"/>
      <c r="Q343" s="238"/>
    </row>
    <row r="344" spans="1:18" ht="15.75" thickBot="1">
      <c r="A344" s="975"/>
      <c r="B344" s="665"/>
      <c r="C344" s="99" t="s">
        <v>29</v>
      </c>
      <c r="D344" s="613">
        <v>205</v>
      </c>
      <c r="E344" s="56">
        <v>6.4709000000000003</v>
      </c>
      <c r="F344" s="57"/>
      <c r="G344" s="247">
        <f t="shared" si="69"/>
        <v>1326.53</v>
      </c>
      <c r="H344" s="613"/>
      <c r="I344" s="57"/>
      <c r="J344" s="57"/>
      <c r="K344" s="57"/>
      <c r="L344" s="614"/>
      <c r="M344" s="606"/>
      <c r="N344" s="57"/>
      <c r="O344" s="57"/>
      <c r="P344" s="57"/>
      <c r="Q344" s="666"/>
    </row>
    <row r="345" spans="1:18" ht="15.75">
      <c r="A345" s="658">
        <v>216</v>
      </c>
      <c r="B345" s="659" t="s">
        <v>240</v>
      </c>
      <c r="C345" s="786" t="s">
        <v>143</v>
      </c>
      <c r="D345" s="259">
        <v>0</v>
      </c>
      <c r="E345" s="41">
        <f>6.4709-6.6914</f>
        <v>-0.22049999999999947</v>
      </c>
      <c r="F345" s="691">
        <f>+E345</f>
        <v>-0.22049999999999947</v>
      </c>
      <c r="G345" s="214">
        <f>ROUND(D345*E345,2)</f>
        <v>0</v>
      </c>
      <c r="H345" s="303"/>
      <c r="I345" s="23"/>
      <c r="J345" s="23"/>
      <c r="K345" s="23"/>
      <c r="L345" s="603">
        <f>SUM(G345:G347)</f>
        <v>1338.8300000000002</v>
      </c>
      <c r="M345" s="187">
        <v>1338.83</v>
      </c>
      <c r="N345" s="660"/>
      <c r="O345" s="217"/>
      <c r="P345" s="661"/>
      <c r="Q345" s="219"/>
    </row>
    <row r="346" spans="1:18" ht="15.75">
      <c r="A346" s="662"/>
      <c r="B346" s="35"/>
      <c r="C346" s="48" t="s">
        <v>144</v>
      </c>
      <c r="D346" s="269">
        <v>6.9</v>
      </c>
      <c r="E346" s="41">
        <v>6.4709000000000003</v>
      </c>
      <c r="F346" s="298">
        <f t="shared" ref="F346" si="72">+E346</f>
        <v>6.4709000000000003</v>
      </c>
      <c r="G346" s="235">
        <f t="shared" ref="G346:G347" si="73">ROUND(D346*E346,2)</f>
        <v>44.65</v>
      </c>
      <c r="H346" s="270"/>
      <c r="I346" s="41"/>
      <c r="J346" s="41"/>
      <c r="K346" s="41"/>
      <c r="L346" s="606"/>
      <c r="M346" s="935"/>
      <c r="N346" s="663"/>
      <c r="O346" s="237"/>
      <c r="P346" s="275"/>
      <c r="Q346" s="238"/>
    </row>
    <row r="347" spans="1:18" ht="15.75" thickBot="1">
      <c r="A347" s="975"/>
      <c r="B347" s="665"/>
      <c r="C347" s="99" t="s">
        <v>29</v>
      </c>
      <c r="D347" s="613">
        <v>200</v>
      </c>
      <c r="E347" s="56">
        <v>6.4709000000000003</v>
      </c>
      <c r="F347" s="57"/>
      <c r="G347" s="247">
        <f t="shared" si="73"/>
        <v>1294.18</v>
      </c>
      <c r="H347" s="613"/>
      <c r="I347" s="57"/>
      <c r="J347" s="57"/>
      <c r="K347" s="57"/>
      <c r="L347" s="614"/>
      <c r="M347" s="606"/>
      <c r="N347" s="57"/>
      <c r="O347" s="57"/>
      <c r="P347" s="57"/>
      <c r="Q347" s="666"/>
    </row>
    <row r="348" spans="1:18" ht="15.75">
      <c r="A348" s="658">
        <v>218</v>
      </c>
      <c r="B348" s="659" t="s">
        <v>117</v>
      </c>
      <c r="C348" s="439" t="s">
        <v>143</v>
      </c>
      <c r="D348" s="259">
        <f>май18!D331+май18!D332</f>
        <v>360.90000000000003</v>
      </c>
      <c r="E348" s="23">
        <f>6.4709-6.6914</f>
        <v>-0.22049999999999947</v>
      </c>
      <c r="F348" s="691">
        <f>+E348</f>
        <v>-0.22049999999999947</v>
      </c>
      <c r="G348" s="214">
        <f>ROUND(D348*E348,2)+0.01</f>
        <v>-79.569999999999993</v>
      </c>
      <c r="H348" s="303"/>
      <c r="I348" s="23"/>
      <c r="J348" s="23"/>
      <c r="K348" s="23"/>
      <c r="L348" s="603">
        <f>SUM(G348:G350)</f>
        <v>1885.64</v>
      </c>
      <c r="M348" s="187">
        <v>1885.64</v>
      </c>
      <c r="N348" s="660"/>
      <c r="O348" s="217"/>
      <c r="P348" s="661"/>
      <c r="Q348" s="219"/>
      <c r="R348" s="615"/>
    </row>
    <row r="349" spans="1:18" ht="15.75">
      <c r="A349" s="662"/>
      <c r="B349" s="506"/>
      <c r="C349" s="48" t="s">
        <v>144</v>
      </c>
      <c r="D349" s="773">
        <v>10.199999999999999</v>
      </c>
      <c r="E349" s="41">
        <v>6.4709000000000003</v>
      </c>
      <c r="F349" s="774">
        <f t="shared" ref="F349" si="74">+E349</f>
        <v>6.4709000000000003</v>
      </c>
      <c r="G349" s="775">
        <f t="shared" si="69"/>
        <v>66</v>
      </c>
      <c r="H349" s="432"/>
      <c r="I349" s="207"/>
      <c r="J349" s="207"/>
      <c r="K349" s="207"/>
      <c r="L349" s="776"/>
      <c r="M349" s="974"/>
      <c r="N349" s="777"/>
      <c r="O349" s="778"/>
      <c r="P349" s="779"/>
      <c r="Q349" s="780"/>
    </row>
    <row r="350" spans="1:18" ht="15.75" thickBot="1">
      <c r="A350" s="975"/>
      <c r="B350" s="278"/>
      <c r="C350" s="54" t="s">
        <v>29</v>
      </c>
      <c r="D350" s="613">
        <v>293.5</v>
      </c>
      <c r="E350" s="56">
        <v>6.4709000000000003</v>
      </c>
      <c r="F350" s="57"/>
      <c r="G350" s="247">
        <f t="shared" si="69"/>
        <v>1899.21</v>
      </c>
      <c r="H350" s="613"/>
      <c r="I350" s="57"/>
      <c r="J350" s="57"/>
      <c r="K350" s="57"/>
      <c r="L350" s="783"/>
      <c r="M350" s="938"/>
      <c r="N350" s="57"/>
      <c r="O350" s="57"/>
      <c r="P350" s="57"/>
      <c r="Q350" s="666"/>
    </row>
    <row r="351" spans="1:18" ht="15.75">
      <c r="A351" s="658">
        <v>311</v>
      </c>
      <c r="B351" s="602" t="s">
        <v>142</v>
      </c>
      <c r="C351" s="786" t="s">
        <v>73</v>
      </c>
      <c r="D351" s="787">
        <v>7</v>
      </c>
      <c r="E351" s="21">
        <v>36.214199999999998</v>
      </c>
      <c r="F351" s="21">
        <v>42.4328</v>
      </c>
      <c r="G351" s="214">
        <f>+D351*(E351+F351)</f>
        <v>550.529</v>
      </c>
      <c r="H351" s="687">
        <f>мар18!D333</f>
        <v>168</v>
      </c>
      <c r="I351" s="688">
        <v>21.07</v>
      </c>
      <c r="J351" s="670">
        <f>ROUND(H351*I351,2)</f>
        <v>3539.76</v>
      </c>
      <c r="K351" s="850">
        <v>43160</v>
      </c>
      <c r="L351" s="603">
        <f>SUM(G351:G354,J351:J354)</f>
        <v>22040.648999999998</v>
      </c>
      <c r="M351" s="187">
        <v>22040.65</v>
      </c>
      <c r="N351" s="788"/>
      <c r="O351" s="789"/>
      <c r="P351" s="790"/>
      <c r="Q351" s="791"/>
    </row>
    <row r="352" spans="1:18" ht="15.75">
      <c r="A352" s="662"/>
      <c r="B352" s="939"/>
      <c r="C352" s="48" t="s">
        <v>143</v>
      </c>
      <c r="D352" s="269">
        <f>май18!D335+май18!D336</f>
        <v>2793.3999999999996</v>
      </c>
      <c r="E352" s="41">
        <f>6.4709-6.6914</f>
        <v>-0.22049999999999947</v>
      </c>
      <c r="F352" s="297">
        <f>+E352</f>
        <v>-0.22049999999999947</v>
      </c>
      <c r="G352" s="235">
        <f>ROUND(D352*E352,2)-0.01</f>
        <v>-615.95000000000005</v>
      </c>
      <c r="H352" s="270"/>
      <c r="I352" s="688"/>
      <c r="J352" s="670"/>
      <c r="K352" s="689"/>
      <c r="L352" s="614"/>
      <c r="M352" s="273"/>
      <c r="N352" s="663"/>
      <c r="O352" s="237"/>
      <c r="P352" s="275"/>
      <c r="Q352" s="238"/>
    </row>
    <row r="353" spans="1:17" ht="15.75">
      <c r="A353" s="662"/>
      <c r="B353" s="506"/>
      <c r="C353" s="48" t="s">
        <v>144</v>
      </c>
      <c r="D353" s="269">
        <v>95.96</v>
      </c>
      <c r="E353" s="41">
        <v>6.4709000000000003</v>
      </c>
      <c r="F353" s="298">
        <f t="shared" ref="F353" si="75">+E353</f>
        <v>6.4709000000000003</v>
      </c>
      <c r="G353" s="235">
        <f t="shared" ref="G353:G354" si="76">ROUND(D353*E353,2)</f>
        <v>620.95000000000005</v>
      </c>
      <c r="H353" s="270"/>
      <c r="I353" s="41"/>
      <c r="J353" s="670"/>
      <c r="K353" s="689"/>
      <c r="L353" s="606"/>
      <c r="M353" s="935"/>
      <c r="N353" s="663"/>
      <c r="O353" s="237"/>
      <c r="P353" s="275"/>
      <c r="Q353" s="238"/>
    </row>
    <row r="354" spans="1:17" ht="15.75" thickBot="1">
      <c r="A354" s="975"/>
      <c r="B354" s="278"/>
      <c r="C354" s="54" t="s">
        <v>29</v>
      </c>
      <c r="D354" s="795">
        <v>2773.24</v>
      </c>
      <c r="E354" s="56">
        <v>6.4709000000000003</v>
      </c>
      <c r="F354" s="797"/>
      <c r="G354" s="798">
        <f t="shared" si="76"/>
        <v>17945.36</v>
      </c>
      <c r="H354" s="795"/>
      <c r="I354" s="797"/>
      <c r="J354" s="797"/>
      <c r="K354" s="797"/>
      <c r="L354" s="799"/>
      <c r="M354" s="976"/>
      <c r="N354" s="797"/>
      <c r="O354" s="797"/>
      <c r="P354" s="797"/>
      <c r="Q354" s="800"/>
    </row>
    <row r="355" spans="1:17" ht="15.75">
      <c r="A355" s="658">
        <v>500</v>
      </c>
      <c r="B355" s="659" t="s">
        <v>55</v>
      </c>
      <c r="C355" s="48" t="s">
        <v>143</v>
      </c>
      <c r="D355" s="259">
        <f>май18!D338+май18!D339</f>
        <v>2645.3</v>
      </c>
      <c r="E355" s="41">
        <f>6.4709-6.6914</f>
        <v>-0.22049999999999947</v>
      </c>
      <c r="F355" s="691">
        <f>+E355</f>
        <v>-0.22049999999999947</v>
      </c>
      <c r="G355" s="214">
        <f>ROUND(D355*E355,2)+0.01</f>
        <v>-583.28</v>
      </c>
      <c r="H355" s="303"/>
      <c r="I355" s="23"/>
      <c r="J355" s="23"/>
      <c r="K355" s="23"/>
      <c r="L355" s="603">
        <f>SUM(G355:G357)</f>
        <v>16567.190000000002</v>
      </c>
      <c r="M355" s="187">
        <v>16567.189999999999</v>
      </c>
      <c r="N355" s="660"/>
      <c r="O355" s="217"/>
      <c r="P355" s="661"/>
      <c r="Q355" s="219"/>
    </row>
    <row r="356" spans="1:17" ht="15.75">
      <c r="A356" s="662" t="s">
        <v>211</v>
      </c>
      <c r="B356" s="35"/>
      <c r="C356" s="48" t="s">
        <v>144</v>
      </c>
      <c r="D356" s="269">
        <v>88.68</v>
      </c>
      <c r="E356" s="41">
        <v>6.4709000000000003</v>
      </c>
      <c r="F356" s="298">
        <f t="shared" ref="F356" si="77">+E356</f>
        <v>6.4709000000000003</v>
      </c>
      <c r="G356" s="235">
        <f>ROUND(D356*E356,2)</f>
        <v>573.84</v>
      </c>
      <c r="H356" s="270"/>
      <c r="I356" s="41"/>
      <c r="J356" s="41"/>
      <c r="K356" s="41"/>
      <c r="L356" s="606"/>
      <c r="M356" s="935"/>
      <c r="N356" s="663"/>
      <c r="O356" s="237"/>
      <c r="P356" s="275"/>
      <c r="Q356" s="238"/>
    </row>
    <row r="357" spans="1:17" ht="15.75" thickBot="1">
      <c r="A357" s="969"/>
      <c r="B357" s="665"/>
      <c r="C357" s="99" t="s">
        <v>29</v>
      </c>
      <c r="D357" s="613">
        <v>2561.7199999999998</v>
      </c>
      <c r="E357" s="56">
        <v>6.4709000000000003</v>
      </c>
      <c r="F357" s="57"/>
      <c r="G357" s="247">
        <f>ROUND(D357*E357,2)</f>
        <v>16576.63</v>
      </c>
      <c r="H357" s="613"/>
      <c r="I357" s="57"/>
      <c r="J357" s="57"/>
      <c r="K357" s="57"/>
      <c r="L357" s="614"/>
      <c r="M357" s="935"/>
      <c r="N357" s="57"/>
      <c r="O357" s="57"/>
      <c r="P357" s="57"/>
      <c r="Q357" s="666"/>
    </row>
    <row r="358" spans="1:17">
      <c r="A358" s="977"/>
    </row>
    <row r="359" spans="1:17">
      <c r="A359" s="977"/>
    </row>
    <row r="360" spans="1:17">
      <c r="A360" s="977"/>
    </row>
  </sheetData>
  <mergeCells count="40">
    <mergeCell ref="M333:M334"/>
    <mergeCell ref="N333:Q333"/>
    <mergeCell ref="A333:A334"/>
    <mergeCell ref="B333:B334"/>
    <mergeCell ref="C333:C334"/>
    <mergeCell ref="D333:G333"/>
    <mergeCell ref="H333:K333"/>
    <mergeCell ref="L333:L334"/>
    <mergeCell ref="M107:M108"/>
    <mergeCell ref="N107:Q107"/>
    <mergeCell ref="A231:A232"/>
    <mergeCell ref="B231:B232"/>
    <mergeCell ref="C231:C232"/>
    <mergeCell ref="D231:G231"/>
    <mergeCell ref="H231:K231"/>
    <mergeCell ref="L231:L232"/>
    <mergeCell ref="M231:M232"/>
    <mergeCell ref="N231:Q231"/>
    <mergeCell ref="A107:A108"/>
    <mergeCell ref="B107:B108"/>
    <mergeCell ref="C107:C108"/>
    <mergeCell ref="D107:G107"/>
    <mergeCell ref="H107:K107"/>
    <mergeCell ref="L107:L108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378"/>
  <sheetViews>
    <sheetView topLeftCell="A37" workbookViewId="0">
      <pane xSplit="3" topLeftCell="D1" activePane="topRight" state="frozen"/>
      <selection pane="topRight" activeCell="M180" sqref="M18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27.6</v>
      </c>
      <c r="E4" s="21">
        <v>40.556600000000003</v>
      </c>
      <c r="F4" s="21">
        <v>47.5304</v>
      </c>
      <c r="G4" s="22">
        <f>ROUND(D4*(E4+F4),2)</f>
        <v>2431.1999999999998</v>
      </c>
      <c r="H4" s="20"/>
      <c r="I4" s="23"/>
      <c r="J4" s="23"/>
      <c r="K4" s="24"/>
      <c r="L4" s="25">
        <f>SUM(G4:G8,J4:J7)</f>
        <v>138882.66</v>
      </c>
      <c r="M4" s="26">
        <v>138882.66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149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136451.46</v>
      </c>
      <c r="S6" s="31"/>
      <c r="T6" s="32"/>
    </row>
    <row r="7" spans="1:22">
      <c r="A7" s="34"/>
      <c r="B7" s="35"/>
      <c r="C7" s="48" t="s">
        <v>150</v>
      </c>
      <c r="D7" s="49">
        <f>459.9+133.1</f>
        <v>593</v>
      </c>
      <c r="E7" s="41">
        <v>6.7023000000000001</v>
      </c>
      <c r="F7" s="41">
        <f>+E7</f>
        <v>6.7023000000000001</v>
      </c>
      <c r="G7" s="50">
        <f>ROUND(D7*E7,2)+0.01</f>
        <v>3974.4700000000003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136451.46</v>
      </c>
    </row>
    <row r="8" spans="1:22" ht="15.75" thickBot="1">
      <c r="A8" s="52"/>
      <c r="B8" s="53"/>
      <c r="C8" s="99" t="s">
        <v>29</v>
      </c>
      <c r="D8" s="55">
        <f>15330+4435.9</f>
        <v>19765.900000000001</v>
      </c>
      <c r="E8" s="56">
        <v>6.7023000000000001</v>
      </c>
      <c r="F8" s="57">
        <f>+E8</f>
        <v>6.7023000000000001</v>
      </c>
      <c r="G8" s="58">
        <f>ROUND(D8*E8,2)</f>
        <v>132476.99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132476.99</v>
      </c>
      <c r="R8" s="66" t="s">
        <v>25</v>
      </c>
      <c r="S8" s="67">
        <f>SUM(O4:O8)</f>
        <v>0</v>
      </c>
      <c r="T8" s="68">
        <f>SUM(Q4:Q8)</f>
        <v>132476.99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117.215</v>
      </c>
      <c r="E13" s="21">
        <v>36.214199999999998</v>
      </c>
      <c r="F13" s="21">
        <v>42.4328</v>
      </c>
      <c r="G13" s="22">
        <f>ROUND(D13*(E13+F13),2)</f>
        <v>9218.61</v>
      </c>
      <c r="H13" s="72"/>
      <c r="I13" s="21"/>
      <c r="J13" s="73"/>
      <c r="K13" s="24"/>
      <c r="L13" s="74">
        <f>SUM(G13:G20,J13:J19)</f>
        <v>58411.82</v>
      </c>
      <c r="M13" s="26">
        <v>58411.82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17.577000000000002</v>
      </c>
      <c r="E15" s="101">
        <v>237.98</v>
      </c>
      <c r="F15" s="38">
        <v>42.4328</v>
      </c>
      <c r="G15" s="39">
        <f>ROUND(D15*(E15+F15),2)</f>
        <v>4928.82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/>
      <c r="E16" s="41"/>
      <c r="F16" s="38"/>
      <c r="G16" s="50">
        <f>+D16*(E16+F16)</f>
        <v>0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149</v>
      </c>
      <c r="D18" s="49">
        <f>июнь18!D19+июнь18!D20</f>
        <v>6319.6</v>
      </c>
      <c r="E18" s="881">
        <f>6.509-6.4709</f>
        <v>3.8100000000000023E-2</v>
      </c>
      <c r="F18" s="41">
        <f>+E18</f>
        <v>3.8100000000000023E-2</v>
      </c>
      <c r="G18" s="50">
        <f>ROUND(D18*E18*70%+D18*F18*30%,2)-0.01</f>
        <v>240.77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150</v>
      </c>
      <c r="D19" s="49">
        <f>18.2+172.9+5.9</f>
        <v>197</v>
      </c>
      <c r="E19" s="41">
        <v>6.5090000000000003</v>
      </c>
      <c r="F19" s="41">
        <f>E19</f>
        <v>6.5090000000000003</v>
      </c>
      <c r="G19" s="50">
        <f>ROUND(D19*E19*70%+D19*F19*30%,2)</f>
        <v>1282.27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606.5+5763+197</f>
        <v>6566.5</v>
      </c>
      <c r="E20" s="56">
        <v>6.5090000000000003</v>
      </c>
      <c r="F20" s="109">
        <f>+E20</f>
        <v>6.5090000000000003</v>
      </c>
      <c r="G20" s="110">
        <f>ROUND(D20*E20*70%+D20*F20*30%,2)</f>
        <v>42741.35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88" t="s">
        <v>241</v>
      </c>
      <c r="B30" s="183" t="s">
        <v>242</v>
      </c>
      <c r="C30" s="439" t="s">
        <v>243</v>
      </c>
      <c r="D30" s="669">
        <v>4.25</v>
      </c>
      <c r="E30" s="23">
        <v>36.214199999999998</v>
      </c>
      <c r="F30" s="23">
        <v>42.4328</v>
      </c>
      <c r="G30" s="214">
        <f>ROUND(D30*(E30+F30),2)</f>
        <v>334.25</v>
      </c>
      <c r="H30" s="303"/>
      <c r="I30" s="23"/>
      <c r="J30" s="23"/>
      <c r="K30" s="304"/>
      <c r="L30" s="343">
        <f>SUM(G30:G31)+J30:J31</f>
        <v>334.25</v>
      </c>
      <c r="M30" s="187">
        <v>334.25</v>
      </c>
      <c r="N30" s="274"/>
      <c r="O30" s="237"/>
      <c r="P30" s="275"/>
      <c r="Q30" s="237"/>
      <c r="R30" s="242"/>
      <c r="S30" s="266"/>
      <c r="T30" s="266"/>
    </row>
    <row r="31" spans="1:21" ht="15.75" thickBot="1">
      <c r="A31" s="986"/>
      <c r="B31" s="202"/>
      <c r="C31" s="987" t="s">
        <v>260</v>
      </c>
      <c r="D31" s="613"/>
      <c r="E31" s="281"/>
      <c r="F31" s="281"/>
      <c r="G31" s="247">
        <f>ROUND(D31*E31,2)</f>
        <v>0</v>
      </c>
      <c r="H31" s="280"/>
      <c r="I31" s="281"/>
      <c r="J31" s="281"/>
      <c r="K31" s="282"/>
      <c r="L31" s="988"/>
      <c r="M31" s="989"/>
      <c r="N31" s="274"/>
      <c r="O31" s="237"/>
      <c r="P31" s="275"/>
      <c r="Q31" s="237"/>
      <c r="R31" s="242"/>
      <c r="S31" s="266"/>
      <c r="T31" s="266"/>
    </row>
    <row r="32" spans="1:21">
      <c r="A32" s="896">
        <v>202</v>
      </c>
      <c r="B32" s="192" t="s">
        <v>159</v>
      </c>
      <c r="C32" s="700" t="s">
        <v>149</v>
      </c>
      <c r="D32" s="985">
        <f>июнь18!D35+июнь18!D36</f>
        <v>67.819999999999993</v>
      </c>
      <c r="E32" s="261">
        <f>6.509-6.4709</f>
        <v>3.8100000000000023E-2</v>
      </c>
      <c r="F32" s="261">
        <f t="shared" ref="F32:F40" si="0">+E32</f>
        <v>3.8100000000000023E-2</v>
      </c>
      <c r="G32" s="195">
        <f>ROUND(D32*E32,2)+0.01</f>
        <v>2.59</v>
      </c>
      <c r="H32" s="260"/>
      <c r="I32" s="261"/>
      <c r="J32" s="261"/>
      <c r="K32" s="262"/>
      <c r="L32" s="294">
        <f>SUM(G32:G34)</f>
        <v>729.51</v>
      </c>
      <c r="M32" s="227">
        <v>729.51</v>
      </c>
      <c r="N32" s="274"/>
      <c r="O32" s="237"/>
      <c r="P32" s="275"/>
      <c r="Q32" s="237"/>
      <c r="R32" s="242"/>
      <c r="S32" s="266"/>
      <c r="T32" s="266"/>
    </row>
    <row r="33" spans="1:21" ht="15.75">
      <c r="A33" s="896"/>
      <c r="B33" s="192"/>
      <c r="C33" s="48" t="s">
        <v>150</v>
      </c>
      <c r="D33" s="269">
        <v>1.18</v>
      </c>
      <c r="E33" s="41">
        <v>6.5090000000000003</v>
      </c>
      <c r="F33" s="41">
        <f t="shared" si="0"/>
        <v>6.5090000000000003</v>
      </c>
      <c r="G33" s="235">
        <f t="shared" ref="G33:G34" si="1">ROUND(D33*E33,2)</f>
        <v>7.68</v>
      </c>
      <c r="H33" s="270"/>
      <c r="I33" s="41"/>
      <c r="J33" s="41"/>
      <c r="K33" s="271"/>
      <c r="L33" s="272"/>
      <c r="M33" s="273"/>
      <c r="N33" s="274"/>
      <c r="O33" s="237"/>
      <c r="P33" s="275"/>
      <c r="Q33" s="237"/>
      <c r="R33" s="242"/>
      <c r="S33" s="266"/>
      <c r="T33" s="266"/>
    </row>
    <row r="34" spans="1:21" ht="16.5" thickBot="1">
      <c r="A34" s="891"/>
      <c r="B34" s="887"/>
      <c r="C34" s="54" t="s">
        <v>29</v>
      </c>
      <c r="D34" s="279">
        <v>110.5</v>
      </c>
      <c r="E34" s="56">
        <v>6.5090000000000003</v>
      </c>
      <c r="F34" s="57">
        <f t="shared" si="0"/>
        <v>6.5090000000000003</v>
      </c>
      <c r="G34" s="247">
        <f t="shared" si="1"/>
        <v>719.24</v>
      </c>
      <c r="H34" s="280"/>
      <c r="I34" s="281"/>
      <c r="J34" s="281"/>
      <c r="K34" s="282"/>
      <c r="L34" s="204"/>
      <c r="M34" s="250"/>
      <c r="N34" s="283"/>
      <c r="O34" s="252"/>
      <c r="P34" s="284"/>
      <c r="Q34" s="252"/>
      <c r="R34" s="242"/>
      <c r="S34" s="266"/>
      <c r="T34" s="266"/>
    </row>
    <row r="35" spans="1:21">
      <c r="A35" s="892">
        <v>204</v>
      </c>
      <c r="B35" s="183" t="s">
        <v>137</v>
      </c>
      <c r="C35" s="439" t="s">
        <v>149</v>
      </c>
      <c r="D35" s="296">
        <f>июнь18!D38+июнь18!D39</f>
        <v>185.56</v>
      </c>
      <c r="E35" s="41">
        <f>6.509-6.4709</f>
        <v>3.8100000000000023E-2</v>
      </c>
      <c r="F35" s="41">
        <f t="shared" si="0"/>
        <v>3.8100000000000023E-2</v>
      </c>
      <c r="G35" s="235">
        <f>ROUND(D35*E35,2)</f>
        <v>7.07</v>
      </c>
      <c r="H35" s="270"/>
      <c r="I35" s="41"/>
      <c r="J35" s="41"/>
      <c r="K35" s="271"/>
      <c r="L35" s="294">
        <f>SUM(G35:G37)</f>
        <v>1306.98</v>
      </c>
      <c r="M35" s="227">
        <v>1306.98</v>
      </c>
      <c r="N35" s="274"/>
      <c r="O35" s="237"/>
      <c r="P35" s="275"/>
      <c r="Q35" s="237"/>
      <c r="R35" s="242"/>
      <c r="S35" s="266"/>
      <c r="T35" s="266"/>
    </row>
    <row r="36" spans="1:21" ht="15.75">
      <c r="A36" s="896"/>
      <c r="B36" s="192"/>
      <c r="C36" s="48" t="s">
        <v>150</v>
      </c>
      <c r="D36" s="269">
        <v>2.11</v>
      </c>
      <c r="E36" s="41">
        <v>6.5090000000000003</v>
      </c>
      <c r="F36" s="41">
        <f t="shared" si="0"/>
        <v>6.5090000000000003</v>
      </c>
      <c r="G36" s="235">
        <f>ROUND(D36*E36,2)</f>
        <v>13.73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1" ht="16.5" thickBot="1">
      <c r="A37" s="891"/>
      <c r="B37" s="887"/>
      <c r="C37" s="54" t="s">
        <v>29</v>
      </c>
      <c r="D37" s="279">
        <v>197.6</v>
      </c>
      <c r="E37" s="56">
        <v>6.5090000000000003</v>
      </c>
      <c r="F37" s="57">
        <f t="shared" si="0"/>
        <v>6.5090000000000003</v>
      </c>
      <c r="G37" s="247">
        <f>ROUND(D37*E37,2)</f>
        <v>1286.18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1">
      <c r="A38" s="892">
        <v>210</v>
      </c>
      <c r="B38" s="183" t="s">
        <v>245</v>
      </c>
      <c r="C38" s="439" t="s">
        <v>149</v>
      </c>
      <c r="D38" s="296">
        <f>июнь18!D41+июнь18!D42</f>
        <v>180.5</v>
      </c>
      <c r="E38" s="41">
        <f>6.509-6.4709</f>
        <v>3.8100000000000023E-2</v>
      </c>
      <c r="F38" s="41">
        <f t="shared" si="0"/>
        <v>3.8100000000000023E-2</v>
      </c>
      <c r="G38" s="235">
        <f>ROUND(D38*E38,2)-0.01</f>
        <v>6.87</v>
      </c>
      <c r="H38" s="270"/>
      <c r="I38" s="41"/>
      <c r="J38" s="41"/>
      <c r="K38" s="271"/>
      <c r="L38" s="294">
        <f>SUM(G38:G40)</f>
        <v>1799.45</v>
      </c>
      <c r="M38" s="227">
        <v>1799.45</v>
      </c>
      <c r="N38" s="274"/>
      <c r="O38" s="237"/>
      <c r="P38" s="275"/>
      <c r="Q38" s="237"/>
      <c r="R38" s="242"/>
      <c r="S38" s="266"/>
      <c r="T38" s="266"/>
    </row>
    <row r="39" spans="1:21" ht="15.75">
      <c r="A39" s="896"/>
      <c r="B39" s="192"/>
      <c r="C39" s="48" t="s">
        <v>150</v>
      </c>
      <c r="D39" s="269">
        <v>2.9</v>
      </c>
      <c r="E39" s="41">
        <v>6.5090000000000003</v>
      </c>
      <c r="F39" s="41">
        <f t="shared" si="0"/>
        <v>6.5090000000000003</v>
      </c>
      <c r="G39" s="235">
        <f>ROUND(D39*E39,2)</f>
        <v>18.88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1" ht="16.5" thickBot="1">
      <c r="A40" s="891"/>
      <c r="B40" s="887"/>
      <c r="C40" s="54" t="s">
        <v>29</v>
      </c>
      <c r="D40" s="279">
        <v>272.5</v>
      </c>
      <c r="E40" s="56">
        <v>6.5090000000000003</v>
      </c>
      <c r="F40" s="57">
        <f t="shared" si="0"/>
        <v>6.5090000000000003</v>
      </c>
      <c r="G40" s="247">
        <f t="shared" ref="G40" si="2">ROUND(D40*E40,2)</f>
        <v>1773.7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1">
      <c r="A41" s="892">
        <v>213</v>
      </c>
      <c r="B41" s="183" t="s">
        <v>262</v>
      </c>
      <c r="C41" s="439" t="s">
        <v>149</v>
      </c>
      <c r="D41" s="296"/>
      <c r="E41" s="41">
        <f>6.509-6.4709</f>
        <v>3.8100000000000023E-2</v>
      </c>
      <c r="F41" s="41">
        <f t="shared" ref="F41:F43" si="3">+E41</f>
        <v>3.8100000000000023E-2</v>
      </c>
      <c r="G41" s="235">
        <f>ROUND(D41*E41,2)</f>
        <v>0</v>
      </c>
      <c r="H41" s="270"/>
      <c r="I41" s="41"/>
      <c r="J41" s="41"/>
      <c r="K41" s="271"/>
      <c r="L41" s="294">
        <f>SUM(G41:G43)</f>
        <v>809.72</v>
      </c>
      <c r="M41" s="227">
        <v>809.72</v>
      </c>
      <c r="N41" s="274"/>
      <c r="O41" s="237"/>
      <c r="P41" s="275"/>
      <c r="Q41" s="237"/>
      <c r="R41" s="242"/>
      <c r="S41" s="266"/>
      <c r="T41" s="266"/>
    </row>
    <row r="42" spans="1:21" ht="15.75">
      <c r="A42" s="896"/>
      <c r="B42" s="192"/>
      <c r="C42" s="48" t="s">
        <v>150</v>
      </c>
      <c r="D42" s="269">
        <v>1.3</v>
      </c>
      <c r="E42" s="41">
        <v>6.5090000000000003</v>
      </c>
      <c r="F42" s="41">
        <f t="shared" si="3"/>
        <v>6.5090000000000003</v>
      </c>
      <c r="G42" s="235">
        <f>ROUND(D42*E42,2)</f>
        <v>8.4600000000000009</v>
      </c>
      <c r="H42" s="270"/>
      <c r="I42" s="41"/>
      <c r="J42" s="41"/>
      <c r="K42" s="271"/>
      <c r="L42" s="272"/>
      <c r="M42" s="273"/>
      <c r="N42" s="274"/>
      <c r="O42" s="237"/>
      <c r="P42" s="275"/>
      <c r="Q42" s="237"/>
      <c r="R42" s="242"/>
      <c r="S42" s="266"/>
      <c r="T42" s="266"/>
    </row>
    <row r="43" spans="1:21" ht="16.5" thickBot="1">
      <c r="A43" s="891"/>
      <c r="B43" s="887"/>
      <c r="C43" s="54" t="s">
        <v>29</v>
      </c>
      <c r="D43" s="279">
        <v>123.1</v>
      </c>
      <c r="E43" s="56">
        <v>6.5090000000000003</v>
      </c>
      <c r="F43" s="57">
        <f t="shared" si="3"/>
        <v>6.5090000000000003</v>
      </c>
      <c r="G43" s="247">
        <f t="shared" ref="G43" si="4">ROUND(D43*E43,2)</f>
        <v>801.26</v>
      </c>
      <c r="H43" s="280"/>
      <c r="I43" s="281"/>
      <c r="J43" s="281"/>
      <c r="K43" s="282"/>
      <c r="L43" s="204"/>
      <c r="M43" s="250"/>
      <c r="N43" s="283"/>
      <c r="O43" s="252"/>
      <c r="P43" s="284"/>
      <c r="Q43" s="252"/>
      <c r="R43" s="242"/>
      <c r="S43" s="266"/>
      <c r="T43" s="266"/>
    </row>
    <row r="44" spans="1:21">
      <c r="A44" s="892">
        <v>215</v>
      </c>
      <c r="B44" s="183" t="s">
        <v>189</v>
      </c>
      <c r="C44" s="71">
        <v>0</v>
      </c>
      <c r="D44" s="213">
        <v>0</v>
      </c>
      <c r="E44" s="21">
        <v>36.214199999999998</v>
      </c>
      <c r="F44" s="21">
        <v>42.4328</v>
      </c>
      <c r="G44" s="214">
        <f>ROUND(D44*(E44+F44),2)</f>
        <v>0</v>
      </c>
      <c r="H44" s="213"/>
      <c r="I44" s="194"/>
      <c r="J44" s="215"/>
      <c r="K44" s="679"/>
      <c r="L44" s="216">
        <f>SUM(G44:G51)+SUM(J44:J51)</f>
        <v>2322.64</v>
      </c>
      <c r="M44" s="187">
        <v>2322.64</v>
      </c>
      <c r="N44" s="188"/>
      <c r="O44" s="217"/>
      <c r="P44" s="218"/>
      <c r="Q44" s="219"/>
      <c r="R44" s="220"/>
      <c r="S44" s="221"/>
      <c r="T44" s="222"/>
      <c r="U44" s="33"/>
    </row>
    <row r="45" spans="1:21">
      <c r="A45" s="890"/>
      <c r="B45" s="872"/>
      <c r="C45" s="84" t="s">
        <v>26</v>
      </c>
      <c r="D45" s="37"/>
      <c r="E45" s="38"/>
      <c r="F45" s="38"/>
      <c r="G45" s="39">
        <f>ROUND(D45*(E45+F45),2)</f>
        <v>0</v>
      </c>
      <c r="H45" s="225"/>
      <c r="I45" s="194"/>
      <c r="J45" s="194"/>
      <c r="K45" s="226"/>
      <c r="L45" s="196"/>
      <c r="M45" s="227"/>
      <c r="N45" s="228"/>
      <c r="O45" s="229"/>
      <c r="P45" s="230"/>
      <c r="Q45" s="231"/>
      <c r="R45" s="232"/>
      <c r="S45" s="233"/>
      <c r="T45" s="224"/>
      <c r="U45" s="33"/>
    </row>
    <row r="46" spans="1:21">
      <c r="A46" s="890"/>
      <c r="B46" s="873" t="s">
        <v>32</v>
      </c>
      <c r="C46" s="99" t="s">
        <v>33</v>
      </c>
      <c r="D46" s="234">
        <v>0</v>
      </c>
      <c r="E46" s="101">
        <v>167.13</v>
      </c>
      <c r="F46" s="38">
        <v>42.4328</v>
      </c>
      <c r="G46" s="235">
        <f>ROUND(D46*(E46+F46),2)</f>
        <v>0</v>
      </c>
      <c r="H46" s="234"/>
      <c r="I46" s="194"/>
      <c r="J46" s="194"/>
      <c r="K46" s="195"/>
      <c r="L46" s="196"/>
      <c r="M46" s="227"/>
      <c r="N46" s="236"/>
      <c r="O46" s="237"/>
      <c r="P46" s="230"/>
      <c r="Q46" s="238"/>
      <c r="R46" s="232"/>
      <c r="S46" s="233"/>
      <c r="T46" s="224"/>
    </row>
    <row r="47" spans="1:21">
      <c r="A47" s="890"/>
      <c r="B47" s="872" t="s">
        <v>33</v>
      </c>
      <c r="C47" s="239" t="s">
        <v>26</v>
      </c>
      <c r="D47" s="234"/>
      <c r="E47" s="240"/>
      <c r="F47" s="240">
        <v>0</v>
      </c>
      <c r="G47" s="235">
        <f>+ROUND(D47*E47,2)</f>
        <v>0</v>
      </c>
      <c r="H47" s="241"/>
      <c r="I47" s="194"/>
      <c r="J47" s="194"/>
      <c r="K47" s="195"/>
      <c r="L47" s="196"/>
      <c r="M47" s="227"/>
      <c r="N47" s="236"/>
      <c r="O47" s="237"/>
      <c r="P47" s="230"/>
      <c r="Q47" s="238"/>
      <c r="R47" s="242"/>
      <c r="S47" s="233"/>
      <c r="T47" s="224"/>
    </row>
    <row r="48" spans="1:21">
      <c r="A48" s="890"/>
      <c r="B48" s="872"/>
      <c r="C48" s="239" t="s">
        <v>26</v>
      </c>
      <c r="D48" s="234"/>
      <c r="E48" s="240"/>
      <c r="F48" s="41"/>
      <c r="G48" s="235">
        <f>+ROUND(D48*F48,2)</f>
        <v>0</v>
      </c>
      <c r="H48" s="241"/>
      <c r="I48" s="194"/>
      <c r="J48" s="194"/>
      <c r="K48" s="195"/>
      <c r="L48" s="196"/>
      <c r="M48" s="227"/>
      <c r="N48" s="236"/>
      <c r="O48" s="237"/>
      <c r="P48" s="230"/>
      <c r="Q48" s="238"/>
      <c r="R48" s="242"/>
      <c r="S48" s="233"/>
      <c r="T48" s="224"/>
    </row>
    <row r="49" spans="1:21">
      <c r="A49" s="890"/>
      <c r="B49" s="872"/>
      <c r="C49" s="48" t="s">
        <v>149</v>
      </c>
      <c r="D49" s="49">
        <f>июнь18!D49+июнь18!D50</f>
        <v>313.7</v>
      </c>
      <c r="E49" s="41">
        <f>6.509-6.4709</f>
        <v>3.8100000000000023E-2</v>
      </c>
      <c r="F49" s="41">
        <f t="shared" ref="F49:F51" si="5">+E49</f>
        <v>3.8100000000000023E-2</v>
      </c>
      <c r="G49" s="50">
        <f>ROUND(D49*E49,2)</f>
        <v>11.95</v>
      </c>
      <c r="H49" s="241"/>
      <c r="I49" s="194"/>
      <c r="J49" s="194"/>
      <c r="K49" s="195"/>
      <c r="L49" s="196"/>
      <c r="M49" s="227"/>
      <c r="N49" s="236"/>
      <c r="O49" s="237"/>
      <c r="P49" s="230"/>
      <c r="Q49" s="238"/>
      <c r="R49" s="242"/>
      <c r="S49" s="233"/>
      <c r="T49" s="224"/>
    </row>
    <row r="50" spans="1:21">
      <c r="A50" s="890"/>
      <c r="B50" s="872"/>
      <c r="C50" s="48" t="s">
        <v>150</v>
      </c>
      <c r="D50" s="49">
        <v>3.8</v>
      </c>
      <c r="E50" s="41">
        <v>6.5090000000000003</v>
      </c>
      <c r="F50" s="41">
        <f t="shared" si="5"/>
        <v>6.5090000000000003</v>
      </c>
      <c r="G50" s="50">
        <f>ROUND(D50*E50,2)</f>
        <v>24.73</v>
      </c>
      <c r="H50" s="241"/>
      <c r="I50" s="194"/>
      <c r="J50" s="243"/>
      <c r="K50" s="195"/>
      <c r="L50" s="196"/>
      <c r="M50" s="227"/>
      <c r="N50" s="236"/>
      <c r="O50" s="237"/>
      <c r="P50" s="230"/>
      <c r="Q50" s="238"/>
      <c r="R50" s="242"/>
      <c r="S50" s="233"/>
      <c r="T50" s="224"/>
      <c r="U50" s="33"/>
    </row>
    <row r="51" spans="1:21" ht="15.75" thickBot="1">
      <c r="A51" s="897"/>
      <c r="B51" s="875"/>
      <c r="C51" s="99" t="s">
        <v>29</v>
      </c>
      <c r="D51" s="246">
        <v>351.2</v>
      </c>
      <c r="E51" s="56">
        <v>6.5090000000000003</v>
      </c>
      <c r="F51" s="57">
        <f t="shared" si="5"/>
        <v>6.5090000000000003</v>
      </c>
      <c r="G51" s="247">
        <f>ROUND(D51*E51*70%+D51*F51*30%,2)</f>
        <v>2285.96</v>
      </c>
      <c r="H51" s="248"/>
      <c r="I51" s="203"/>
      <c r="J51" s="60"/>
      <c r="K51" s="61"/>
      <c r="L51" s="249"/>
      <c r="M51" s="250"/>
      <c r="N51" s="251"/>
      <c r="O51" s="252"/>
      <c r="P51" s="253"/>
      <c r="Q51" s="254"/>
      <c r="R51" s="255"/>
      <c r="S51" s="256"/>
      <c r="T51" s="256"/>
    </row>
    <row r="52" spans="1:21" ht="16.5" collapsed="1" thickTop="1" thickBot="1">
      <c r="A52" s="891">
        <v>309</v>
      </c>
      <c r="B52" s="887" t="s">
        <v>251</v>
      </c>
      <c r="C52" s="54" t="s">
        <v>149</v>
      </c>
      <c r="D52" s="296">
        <v>0</v>
      </c>
      <c r="E52" s="41">
        <f>6.509-6.4709</f>
        <v>3.8100000000000023E-2</v>
      </c>
      <c r="F52" s="41">
        <f>+E52</f>
        <v>3.8100000000000023E-2</v>
      </c>
      <c r="G52" s="235">
        <f>ROUND(D52*E52,2)</f>
        <v>0</v>
      </c>
      <c r="H52" s="270"/>
      <c r="I52" s="41"/>
      <c r="J52" s="41"/>
      <c r="K52" s="271"/>
      <c r="L52" s="294">
        <f>SUM(G52:G54)</f>
        <v>2601.84</v>
      </c>
      <c r="M52" s="227">
        <v>2601.84</v>
      </c>
      <c r="N52" s="274"/>
      <c r="O52" s="237"/>
      <c r="P52" s="275"/>
      <c r="Q52" s="237"/>
      <c r="R52" s="242"/>
      <c r="S52" s="266"/>
      <c r="T52" s="266"/>
    </row>
    <row r="53" spans="1:21" ht="15.75">
      <c r="A53" s="896"/>
      <c r="B53" s="885" t="s">
        <v>252</v>
      </c>
      <c r="C53" s="48" t="s">
        <v>150</v>
      </c>
      <c r="D53" s="269">
        <v>4.2300000000000004</v>
      </c>
      <c r="E53" s="41">
        <v>6.5090000000000003</v>
      </c>
      <c r="F53" s="41">
        <f>+E53</f>
        <v>6.5090000000000003</v>
      </c>
      <c r="G53" s="235">
        <f t="shared" ref="G53:G54" si="6">ROUND(D53*E53,2)</f>
        <v>27.53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6.5" thickBot="1">
      <c r="A54" s="891"/>
      <c r="B54" s="887"/>
      <c r="C54" s="54" t="s">
        <v>29</v>
      </c>
      <c r="D54" s="279">
        <v>395.5</v>
      </c>
      <c r="E54" s="56">
        <v>6.5090000000000003</v>
      </c>
      <c r="F54" s="57">
        <f>+E54</f>
        <v>6.5090000000000003</v>
      </c>
      <c r="G54" s="247">
        <f t="shared" si="6"/>
        <v>2574.31</v>
      </c>
      <c r="H54" s="280"/>
      <c r="I54" s="281"/>
      <c r="J54" s="281"/>
      <c r="K54" s="282"/>
      <c r="L54" s="204"/>
      <c r="M54" s="250"/>
      <c r="N54" s="283"/>
      <c r="O54" s="252"/>
      <c r="P54" s="284"/>
      <c r="Q54" s="252"/>
      <c r="R54" s="242"/>
      <c r="S54" s="266"/>
      <c r="T54" s="266"/>
    </row>
    <row r="55" spans="1:21">
      <c r="A55" s="888">
        <v>314</v>
      </c>
      <c r="B55" s="889" t="s">
        <v>52</v>
      </c>
      <c r="C55" s="71">
        <v>0</v>
      </c>
      <c r="D55" s="213">
        <v>197.6</v>
      </c>
      <c r="E55" s="21">
        <v>36.214199999999998</v>
      </c>
      <c r="F55" s="21">
        <v>42.4328</v>
      </c>
      <c r="G55" s="214">
        <f>ROUND(D55*(E55+F55),2)</f>
        <v>15540.65</v>
      </c>
      <c r="H55" s="213"/>
      <c r="J55" s="215"/>
      <c r="K55" s="679"/>
      <c r="L55" s="216">
        <f>SUM(G55:G62)+SUM(J55:J62)</f>
        <v>75771.14</v>
      </c>
      <c r="M55" s="187">
        <v>75771.14</v>
      </c>
      <c r="N55" s="188"/>
      <c r="O55" s="217">
        <v>4253.6899999999996</v>
      </c>
      <c r="P55" s="218" t="s">
        <v>47</v>
      </c>
      <c r="Q55" s="219">
        <f t="shared" ref="Q55" si="7">C55+G55+J55-M55-N55-O55</f>
        <v>-64484.18</v>
      </c>
      <c r="R55" s="220" t="s">
        <v>53</v>
      </c>
      <c r="S55" s="221"/>
      <c r="T55" s="222"/>
      <c r="U55" s="33">
        <f>+C55+L55-M55</f>
        <v>0</v>
      </c>
    </row>
    <row r="56" spans="1:21" ht="15.75" thickBot="1">
      <c r="A56" s="890"/>
      <c r="B56" s="872"/>
      <c r="C56" s="84" t="s">
        <v>26</v>
      </c>
      <c r="D56" s="37"/>
      <c r="E56" s="38"/>
      <c r="F56" s="38"/>
      <c r="G56" s="39">
        <f>ROUND(D56*(E56+F56),2)</f>
        <v>0</v>
      </c>
      <c r="H56" s="225"/>
      <c r="I56" s="194"/>
      <c r="J56" s="194"/>
      <c r="K56" s="226"/>
      <c r="L56" s="196"/>
      <c r="M56" s="227"/>
      <c r="N56" s="228"/>
      <c r="O56" s="229"/>
      <c r="P56" s="230"/>
      <c r="Q56" s="231"/>
      <c r="R56" s="232"/>
      <c r="S56" s="233"/>
      <c r="T56" s="224"/>
      <c r="U56" s="33"/>
    </row>
    <row r="57" spans="1:21">
      <c r="A57" s="890"/>
      <c r="B57" s="873" t="s">
        <v>32</v>
      </c>
      <c r="C57" s="99" t="s">
        <v>33</v>
      </c>
      <c r="D57" s="234">
        <v>0</v>
      </c>
      <c r="E57" s="101">
        <v>167.13</v>
      </c>
      <c r="F57" s="21">
        <v>42.4328</v>
      </c>
      <c r="G57" s="235">
        <f>ROUND(D57*(E57+F57),2)</f>
        <v>0</v>
      </c>
      <c r="H57" s="234"/>
      <c r="I57" s="194"/>
      <c r="J57" s="194"/>
      <c r="K57" s="195"/>
      <c r="L57" s="196"/>
      <c r="M57" s="227"/>
      <c r="N57" s="236"/>
      <c r="O57" s="237">
        <v>5456.6</v>
      </c>
      <c r="P57" s="230" t="s">
        <v>47</v>
      </c>
      <c r="Q57" s="238">
        <f>+G57+J57-M57-N57-O57</f>
        <v>-5456.6</v>
      </c>
      <c r="R57" s="232"/>
      <c r="S57" s="233"/>
      <c r="T57" s="224"/>
    </row>
    <row r="58" spans="1:21">
      <c r="A58" s="890"/>
      <c r="B58" s="872" t="s">
        <v>33</v>
      </c>
      <c r="C58" s="239" t="s">
        <v>26</v>
      </c>
      <c r="D58" s="234"/>
      <c r="E58" s="240"/>
      <c r="F58" s="240">
        <v>0</v>
      </c>
      <c r="G58" s="235">
        <f>+ROUND(D58*E58,2)</f>
        <v>0</v>
      </c>
      <c r="H58" s="241"/>
      <c r="I58" s="194"/>
      <c r="J58" s="194"/>
      <c r="K58" s="195"/>
      <c r="L58" s="196"/>
      <c r="M58" s="227"/>
      <c r="N58" s="236"/>
      <c r="O58" s="237"/>
      <c r="P58" s="230"/>
      <c r="Q58" s="238"/>
      <c r="R58" s="242"/>
      <c r="S58" s="233"/>
      <c r="T58" s="224"/>
    </row>
    <row r="59" spans="1:21">
      <c r="A59" s="890"/>
      <c r="B59" s="872"/>
      <c r="C59" s="239" t="s">
        <v>26</v>
      </c>
      <c r="D59" s="234"/>
      <c r="E59" s="240"/>
      <c r="F59" s="41"/>
      <c r="G59" s="235">
        <f>+ROUND(D59*F59,2)</f>
        <v>0</v>
      </c>
      <c r="H59" s="241"/>
      <c r="I59" s="194"/>
      <c r="J59" s="194"/>
      <c r="K59" s="195"/>
      <c r="L59" s="196"/>
      <c r="M59" s="227"/>
      <c r="N59" s="236"/>
      <c r="O59" s="237"/>
      <c r="P59" s="230"/>
      <c r="Q59" s="238"/>
      <c r="R59" s="242"/>
      <c r="S59" s="233"/>
      <c r="T59" s="224"/>
    </row>
    <row r="60" spans="1:21">
      <c r="A60" s="890"/>
      <c r="B60" s="872"/>
      <c r="C60" s="48" t="s">
        <v>149</v>
      </c>
      <c r="D60" s="49">
        <f>июнь18!D60+июнь18!D61</f>
        <v>8920.9</v>
      </c>
      <c r="E60" s="41">
        <f>6.509-6.4709</f>
        <v>3.8100000000000023E-2</v>
      </c>
      <c r="F60" s="41">
        <f t="shared" ref="F60:F97" si="8">+E60</f>
        <v>3.8100000000000023E-2</v>
      </c>
      <c r="G60" s="50">
        <f>ROUND(D60*E60,2)-0.01</f>
        <v>339.88</v>
      </c>
      <c r="H60" s="241"/>
      <c r="I60" s="194"/>
      <c r="J60" s="194"/>
      <c r="K60" s="195"/>
      <c r="L60" s="196"/>
      <c r="M60" s="227"/>
      <c r="N60" s="236"/>
      <c r="O60" s="237"/>
      <c r="P60" s="230"/>
      <c r="Q60" s="238"/>
      <c r="R60" s="242"/>
      <c r="S60" s="233"/>
      <c r="T60" s="224"/>
    </row>
    <row r="61" spans="1:21">
      <c r="A61" s="890"/>
      <c r="B61" s="872"/>
      <c r="C61" s="48" t="s">
        <v>150</v>
      </c>
      <c r="D61" s="49">
        <v>97.4</v>
      </c>
      <c r="E61" s="41">
        <v>6.5090000000000003</v>
      </c>
      <c r="F61" s="41">
        <f t="shared" si="8"/>
        <v>6.5090000000000003</v>
      </c>
      <c r="G61" s="50">
        <f>ROUND(D61*E61,2)</f>
        <v>633.98</v>
      </c>
      <c r="H61" s="241"/>
      <c r="I61" s="194"/>
      <c r="J61" s="243"/>
      <c r="K61" s="195"/>
      <c r="L61" s="196"/>
      <c r="M61" s="227"/>
      <c r="N61" s="236"/>
      <c r="O61" s="237"/>
      <c r="P61" s="230"/>
      <c r="Q61" s="238"/>
      <c r="R61" s="242"/>
      <c r="S61" s="233"/>
      <c r="T61" s="224"/>
      <c r="U61" s="33"/>
    </row>
    <row r="62" spans="1:21" ht="15.75" thickBot="1">
      <c r="A62" s="891"/>
      <c r="B62" s="887"/>
      <c r="C62" s="54" t="s">
        <v>29</v>
      </c>
      <c r="D62" s="246">
        <v>9103.7999999999993</v>
      </c>
      <c r="E62" s="56">
        <v>6.5090000000000003</v>
      </c>
      <c r="F62" s="57">
        <f t="shared" si="8"/>
        <v>6.5090000000000003</v>
      </c>
      <c r="G62" s="247">
        <f>ROUND(D62*E62*70%+D62*F62*30%,2)</f>
        <v>59256.63</v>
      </c>
      <c r="H62" s="248"/>
      <c r="I62" s="203"/>
      <c r="J62" s="60"/>
      <c r="K62" s="61"/>
      <c r="L62" s="249"/>
      <c r="M62" s="250"/>
      <c r="N62" s="251"/>
      <c r="O62" s="252">
        <v>15777.9</v>
      </c>
      <c r="P62" s="253" t="s">
        <v>47</v>
      </c>
      <c r="Q62" s="254">
        <f>+G62+J62-M62-N62-O62</f>
        <v>43478.729999999996</v>
      </c>
      <c r="R62" s="255" t="s">
        <v>54</v>
      </c>
      <c r="S62" s="256">
        <f>SUM(O55:O62)</f>
        <v>25488.190000000002</v>
      </c>
      <c r="T62" s="256">
        <f>SUM(Q55:Q62)</f>
        <v>-26462.050000000003</v>
      </c>
    </row>
    <row r="63" spans="1:21">
      <c r="A63" s="892">
        <v>402</v>
      </c>
      <c r="B63" s="183" t="s">
        <v>178</v>
      </c>
      <c r="C63" s="439" t="s">
        <v>149</v>
      </c>
      <c r="D63" s="296">
        <f>июнь18!D63+июнь18!D64</f>
        <v>155.61000000000001</v>
      </c>
      <c r="E63" s="41">
        <f>6.509-6.4709</f>
        <v>3.8100000000000023E-2</v>
      </c>
      <c r="F63" s="41">
        <f t="shared" si="8"/>
        <v>3.8100000000000023E-2</v>
      </c>
      <c r="G63" s="235">
        <f t="shared" ref="G63:G74" si="9">ROUND(D63*E63,2)</f>
        <v>5.93</v>
      </c>
      <c r="H63" s="270"/>
      <c r="I63" s="41"/>
      <c r="J63" s="41"/>
      <c r="K63" s="271"/>
      <c r="L63" s="294">
        <f>SUM(G63:G65)</f>
        <v>1116.3600000000001</v>
      </c>
      <c r="M63" s="227">
        <v>1116.3599999999999</v>
      </c>
      <c r="N63" s="274"/>
      <c r="O63" s="237"/>
      <c r="P63" s="275"/>
      <c r="Q63" s="237"/>
      <c r="R63" s="242"/>
      <c r="S63" s="266"/>
      <c r="T63" s="266"/>
    </row>
    <row r="64" spans="1:21" ht="15.75">
      <c r="A64" s="896"/>
      <c r="B64" s="192"/>
      <c r="C64" s="48" t="s">
        <v>150</v>
      </c>
      <c r="D64" s="269">
        <v>1.81</v>
      </c>
      <c r="E64" s="41">
        <v>6.5090000000000003</v>
      </c>
      <c r="F64" s="41">
        <f t="shared" si="8"/>
        <v>6.5090000000000003</v>
      </c>
      <c r="G64" s="235">
        <f t="shared" si="9"/>
        <v>11.78</v>
      </c>
      <c r="H64" s="270"/>
      <c r="I64" s="41"/>
      <c r="J64" s="41"/>
      <c r="K64" s="271"/>
      <c r="L64" s="272"/>
      <c r="M64" s="273"/>
      <c r="N64" s="274"/>
      <c r="O64" s="237"/>
      <c r="P64" s="275"/>
      <c r="Q64" s="237"/>
      <c r="R64" s="242"/>
      <c r="S64" s="266"/>
      <c r="T64" s="266"/>
    </row>
    <row r="65" spans="1:20" ht="16.5" thickBot="1">
      <c r="A65" s="891"/>
      <c r="B65" s="202"/>
      <c r="C65" s="54" t="s">
        <v>29</v>
      </c>
      <c r="D65" s="279">
        <v>168.79</v>
      </c>
      <c r="E65" s="56">
        <v>6.5090000000000003</v>
      </c>
      <c r="F65" s="57">
        <f t="shared" si="8"/>
        <v>6.5090000000000003</v>
      </c>
      <c r="G65" s="247">
        <f t="shared" si="9"/>
        <v>1098.6500000000001</v>
      </c>
      <c r="H65" s="280"/>
      <c r="I65" s="281"/>
      <c r="J65" s="281"/>
      <c r="K65" s="282"/>
      <c r="L65" s="204"/>
      <c r="M65" s="250"/>
      <c r="N65" s="283"/>
      <c r="O65" s="252"/>
      <c r="P65" s="284"/>
      <c r="Q65" s="252"/>
      <c r="R65" s="242"/>
      <c r="S65" s="266"/>
      <c r="T65" s="266"/>
    </row>
    <row r="66" spans="1:20">
      <c r="A66" s="892">
        <v>409</v>
      </c>
      <c r="B66" s="183" t="s">
        <v>218</v>
      </c>
      <c r="C66" s="439" t="s">
        <v>149</v>
      </c>
      <c r="D66" s="296">
        <f>июнь18!D66+июнь18!D67</f>
        <v>116.94</v>
      </c>
      <c r="E66" s="41">
        <f>6.509-6.4709</f>
        <v>3.8100000000000023E-2</v>
      </c>
      <c r="F66" s="41">
        <f t="shared" si="8"/>
        <v>3.8100000000000023E-2</v>
      </c>
      <c r="G66" s="235">
        <f>ROUND(D66*E66,2)</f>
        <v>4.46</v>
      </c>
      <c r="H66" s="270"/>
      <c r="I66" s="41"/>
      <c r="J66" s="41"/>
      <c r="K66" s="271"/>
      <c r="L66" s="294">
        <f>SUM(G66:G68)</f>
        <v>824.14</v>
      </c>
      <c r="M66" s="227">
        <v>824.14</v>
      </c>
      <c r="N66" s="274"/>
      <c r="O66" s="237"/>
      <c r="P66" s="275"/>
      <c r="Q66" s="237"/>
      <c r="R66" s="242"/>
      <c r="S66" s="266"/>
      <c r="T66" s="266"/>
    </row>
    <row r="67" spans="1:20" ht="15.75">
      <c r="A67" s="896"/>
      <c r="B67" s="192"/>
      <c r="C67" s="48" t="s">
        <v>150</v>
      </c>
      <c r="D67" s="269">
        <v>1.33</v>
      </c>
      <c r="E67" s="41">
        <v>6.5090000000000003</v>
      </c>
      <c r="F67" s="41">
        <f t="shared" si="8"/>
        <v>6.5090000000000003</v>
      </c>
      <c r="G67" s="235">
        <f t="shared" si="9"/>
        <v>8.66</v>
      </c>
      <c r="H67" s="270"/>
      <c r="I67" s="41"/>
      <c r="J67" s="41"/>
      <c r="K67" s="271"/>
      <c r="L67" s="272"/>
      <c r="M67" s="273"/>
      <c r="N67" s="274"/>
      <c r="O67" s="237"/>
      <c r="P67" s="275"/>
      <c r="Q67" s="237"/>
      <c r="R67" s="242"/>
      <c r="S67" s="266"/>
      <c r="T67" s="266"/>
    </row>
    <row r="68" spans="1:20" ht="16.5" thickBot="1">
      <c r="A68" s="891"/>
      <c r="B68" s="887"/>
      <c r="C68" s="54" t="s">
        <v>29</v>
      </c>
      <c r="D68" s="279">
        <v>124.6</v>
      </c>
      <c r="E68" s="56">
        <v>6.5090000000000003</v>
      </c>
      <c r="F68" s="57">
        <f t="shared" si="8"/>
        <v>6.5090000000000003</v>
      </c>
      <c r="G68" s="247">
        <f t="shared" si="9"/>
        <v>811.02</v>
      </c>
      <c r="H68" s="280"/>
      <c r="I68" s="281"/>
      <c r="J68" s="281"/>
      <c r="K68" s="282"/>
      <c r="L68" s="204"/>
      <c r="M68" s="250"/>
      <c r="N68" s="283"/>
      <c r="O68" s="252"/>
      <c r="P68" s="284"/>
      <c r="Q68" s="252"/>
      <c r="R68" s="242"/>
      <c r="S68" s="266"/>
      <c r="T68" s="266"/>
    </row>
    <row r="69" spans="1:20">
      <c r="A69" s="892">
        <v>410</v>
      </c>
      <c r="B69" s="183" t="s">
        <v>138</v>
      </c>
      <c r="C69" s="439" t="s">
        <v>149</v>
      </c>
      <c r="D69" s="296">
        <f>июнь18!D69+июнь18!D70</f>
        <v>243.48000000000002</v>
      </c>
      <c r="E69" s="41">
        <f>6.509-6.4709</f>
        <v>3.8100000000000023E-2</v>
      </c>
      <c r="F69" s="41">
        <f t="shared" si="8"/>
        <v>3.8100000000000023E-2</v>
      </c>
      <c r="G69" s="235">
        <f>ROUND(D69*E69,2)-0.01</f>
        <v>9.27</v>
      </c>
      <c r="H69" s="270"/>
      <c r="I69" s="41"/>
      <c r="J69" s="41"/>
      <c r="K69" s="271"/>
      <c r="L69" s="294">
        <f>SUM(G69:G71)</f>
        <v>1880.87</v>
      </c>
      <c r="M69" s="227">
        <v>1880.87</v>
      </c>
      <c r="N69" s="274"/>
      <c r="O69" s="237"/>
      <c r="P69" s="275"/>
      <c r="Q69" s="237"/>
      <c r="R69" s="242"/>
      <c r="S69" s="266"/>
      <c r="T69" s="266"/>
    </row>
    <row r="70" spans="1:20" ht="15.75">
      <c r="A70" s="896"/>
      <c r="B70" s="192"/>
      <c r="C70" s="48" t="s">
        <v>150</v>
      </c>
      <c r="D70" s="269">
        <v>3.04</v>
      </c>
      <c r="E70" s="41">
        <v>6.5090000000000003</v>
      </c>
      <c r="F70" s="41">
        <f t="shared" si="8"/>
        <v>6.5090000000000003</v>
      </c>
      <c r="G70" s="235">
        <f t="shared" si="9"/>
        <v>19.79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0" ht="16.5" thickBot="1">
      <c r="A71" s="891"/>
      <c r="B71" s="887"/>
      <c r="C71" s="54" t="s">
        <v>29</v>
      </c>
      <c r="D71" s="279">
        <v>284.5</v>
      </c>
      <c r="E71" s="56">
        <v>6.5090000000000003</v>
      </c>
      <c r="F71" s="57">
        <f t="shared" si="8"/>
        <v>6.5090000000000003</v>
      </c>
      <c r="G71" s="247">
        <f t="shared" si="9"/>
        <v>1851.81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0">
      <c r="A72" s="892">
        <v>411</v>
      </c>
      <c r="B72" s="183" t="s">
        <v>229</v>
      </c>
      <c r="C72" s="439" t="s">
        <v>149</v>
      </c>
      <c r="D72" s="296">
        <f>июнь18!D72+июнь18!D73</f>
        <v>8.09</v>
      </c>
      <c r="E72" s="41">
        <f>6.509-6.4709</f>
        <v>3.8100000000000023E-2</v>
      </c>
      <c r="F72" s="41">
        <f t="shared" si="8"/>
        <v>3.8100000000000023E-2</v>
      </c>
      <c r="G72" s="235">
        <f t="shared" si="9"/>
        <v>0.31</v>
      </c>
      <c r="H72" s="270"/>
      <c r="I72" s="41"/>
      <c r="J72" s="41"/>
      <c r="K72" s="271"/>
      <c r="L72" s="294">
        <f>SUM(G72:G74)</f>
        <v>52.97</v>
      </c>
      <c r="M72" s="227">
        <v>52.97</v>
      </c>
      <c r="N72" s="274"/>
      <c r="O72" s="983"/>
      <c r="P72" s="275"/>
      <c r="Q72" s="237"/>
      <c r="R72" s="242"/>
      <c r="S72" s="266"/>
      <c r="T72" s="266"/>
    </row>
    <row r="73" spans="1:20" ht="15.75">
      <c r="A73" s="896"/>
      <c r="B73" s="192"/>
      <c r="C73" s="48" t="s">
        <v>150</v>
      </c>
      <c r="D73" s="269">
        <v>0.09</v>
      </c>
      <c r="E73" s="41">
        <v>6.5090000000000003</v>
      </c>
      <c r="F73" s="41">
        <f t="shared" si="8"/>
        <v>6.5090000000000003</v>
      </c>
      <c r="G73" s="235">
        <f>ROUND(D73*E73,2)</f>
        <v>0.59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0" ht="16.5" thickBot="1">
      <c r="A74" s="891"/>
      <c r="B74" s="887"/>
      <c r="C74" s="54" t="s">
        <v>29</v>
      </c>
      <c r="D74" s="279">
        <v>8</v>
      </c>
      <c r="E74" s="56">
        <v>6.5090000000000003</v>
      </c>
      <c r="F74" s="57">
        <f t="shared" si="8"/>
        <v>6.5090000000000003</v>
      </c>
      <c r="G74" s="247">
        <f t="shared" si="9"/>
        <v>52.07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0" ht="16.5" collapsed="1" thickBot="1">
      <c r="A75" s="891">
        <v>412</v>
      </c>
      <c r="B75" s="887" t="s">
        <v>58</v>
      </c>
      <c r="C75" s="54" t="s">
        <v>59</v>
      </c>
      <c r="D75" s="822">
        <v>0.26</v>
      </c>
      <c r="E75" s="21">
        <v>36.214199999999998</v>
      </c>
      <c r="F75" s="21">
        <v>42.4328</v>
      </c>
      <c r="G75" s="214">
        <f>ROUND(D75*(E75+F75),2)</f>
        <v>20.45</v>
      </c>
      <c r="H75" s="213"/>
      <c r="I75" s="41"/>
      <c r="J75" s="215"/>
      <c r="K75" s="679"/>
      <c r="L75" s="294">
        <f>SUM(G75:G79)</f>
        <v>1165.92</v>
      </c>
      <c r="M75" s="227">
        <v>1165.92</v>
      </c>
      <c r="N75" s="264"/>
      <c r="O75" s="229"/>
      <c r="P75" s="265"/>
      <c r="Q75" s="229"/>
      <c r="R75" s="242"/>
      <c r="S75" s="266"/>
      <c r="T75" s="266"/>
    </row>
    <row r="76" spans="1:20" ht="15.75">
      <c r="A76" s="896"/>
      <c r="B76" s="885"/>
      <c r="C76" s="292"/>
      <c r="D76" s="269"/>
      <c r="E76" s="38"/>
      <c r="F76" s="38"/>
      <c r="G76" s="235">
        <f>ROUND(D76*(E76+F76),2)</f>
        <v>0</v>
      </c>
      <c r="H76" s="225"/>
      <c r="I76" s="41"/>
      <c r="J76" s="194"/>
      <c r="K76" s="295"/>
      <c r="L76" s="294"/>
      <c r="M76" s="227"/>
      <c r="N76" s="264"/>
      <c r="O76" s="229"/>
      <c r="P76" s="265"/>
      <c r="Q76" s="229"/>
      <c r="R76" s="242"/>
      <c r="S76" s="266"/>
      <c r="T76" s="266"/>
    </row>
    <row r="77" spans="1:20">
      <c r="A77" s="896"/>
      <c r="B77" s="885"/>
      <c r="C77" s="48" t="s">
        <v>149</v>
      </c>
      <c r="D77" s="296">
        <f>июнь18!D77+июнь18!D78</f>
        <v>202.1</v>
      </c>
      <c r="E77" s="41">
        <f>6.509-6.4709</f>
        <v>3.8100000000000023E-2</v>
      </c>
      <c r="F77" s="41">
        <f t="shared" ref="F77:F94" si="10">+E77</f>
        <v>3.8100000000000023E-2</v>
      </c>
      <c r="G77" s="235">
        <f>ROUND(D77*E77,2)-0.01</f>
        <v>7.69</v>
      </c>
      <c r="H77" s="270"/>
      <c r="I77" s="41"/>
      <c r="J77" s="41"/>
      <c r="K77" s="271"/>
      <c r="L77" s="272"/>
      <c r="M77" s="273"/>
      <c r="N77" s="274"/>
      <c r="O77" s="237"/>
      <c r="P77" s="275"/>
      <c r="Q77" s="237"/>
      <c r="R77" s="242"/>
      <c r="S77" s="266"/>
      <c r="T77" s="266"/>
    </row>
    <row r="78" spans="1:20" ht="15.75">
      <c r="A78" s="896"/>
      <c r="B78" s="885"/>
      <c r="C78" s="48" t="s">
        <v>150</v>
      </c>
      <c r="D78" s="269">
        <v>1.9</v>
      </c>
      <c r="E78" s="41">
        <v>6.5090000000000003</v>
      </c>
      <c r="F78" s="41">
        <f t="shared" si="10"/>
        <v>6.5090000000000003</v>
      </c>
      <c r="G78" s="235">
        <f t="shared" ref="G78:G79" si="11">ROUND(D78*E78,2)</f>
        <v>12.37</v>
      </c>
      <c r="H78" s="270"/>
      <c r="I78" s="41"/>
      <c r="J78" s="41"/>
      <c r="K78" s="271"/>
      <c r="L78" s="272"/>
      <c r="M78" s="273"/>
      <c r="N78" s="274"/>
      <c r="O78" s="237"/>
      <c r="P78" s="275"/>
      <c r="Q78" s="237"/>
      <c r="R78" s="242"/>
      <c r="S78" s="266"/>
      <c r="T78" s="266"/>
    </row>
    <row r="79" spans="1:20" ht="16.5" thickBot="1">
      <c r="A79" s="891"/>
      <c r="B79" s="887"/>
      <c r="C79" s="54" t="s">
        <v>29</v>
      </c>
      <c r="D79" s="279">
        <v>172.9</v>
      </c>
      <c r="E79" s="56">
        <v>6.5090000000000003</v>
      </c>
      <c r="F79" s="57">
        <f t="shared" si="10"/>
        <v>6.5090000000000003</v>
      </c>
      <c r="G79" s="247">
        <f t="shared" si="11"/>
        <v>1125.4100000000001</v>
      </c>
      <c r="H79" s="280"/>
      <c r="I79" s="281"/>
      <c r="J79" s="281"/>
      <c r="K79" s="282"/>
      <c r="L79" s="204"/>
      <c r="M79" s="250"/>
      <c r="N79" s="283"/>
      <c r="O79" s="252"/>
      <c r="P79" s="284"/>
      <c r="Q79" s="252"/>
      <c r="R79" s="242"/>
      <c r="S79" s="266"/>
      <c r="T79" s="266"/>
    </row>
    <row r="80" spans="1:20" ht="15" customHeight="1">
      <c r="A80" s="892">
        <v>413</v>
      </c>
      <c r="B80" s="883" t="s">
        <v>56</v>
      </c>
      <c r="C80" s="439" t="s">
        <v>149</v>
      </c>
      <c r="D80" s="894">
        <f>июнь18!D80+июнь18!D81</f>
        <v>162.79999999999998</v>
      </c>
      <c r="E80" s="41">
        <f>6.509-6.4709</f>
        <v>3.8100000000000023E-2</v>
      </c>
      <c r="F80" s="41">
        <f t="shared" si="10"/>
        <v>3.8100000000000023E-2</v>
      </c>
      <c r="G80" s="214">
        <f>ROUND(D80*E80,2)+0.01</f>
        <v>6.21</v>
      </c>
      <c r="H80" s="260"/>
      <c r="I80" s="261"/>
      <c r="J80" s="261"/>
      <c r="K80" s="262"/>
      <c r="L80" s="286">
        <f>SUM(G80:G82)</f>
        <v>920.72</v>
      </c>
      <c r="M80" s="227">
        <v>920.72</v>
      </c>
      <c r="N80" s="264"/>
      <c r="O80" s="229"/>
      <c r="P80" s="265"/>
      <c r="Q80" s="229"/>
      <c r="R80" s="287"/>
      <c r="S80" s="288"/>
      <c r="T80" s="288"/>
    </row>
    <row r="81" spans="1:20" ht="15.75">
      <c r="A81" s="893"/>
      <c r="B81" s="885"/>
      <c r="C81" s="48" t="s">
        <v>150</v>
      </c>
      <c r="D81" s="895">
        <v>1.5</v>
      </c>
      <c r="E81" s="41">
        <v>6.5090000000000003</v>
      </c>
      <c r="F81" s="41">
        <f t="shared" si="10"/>
        <v>6.5090000000000003</v>
      </c>
      <c r="G81" s="235">
        <f t="shared" ref="G81:G85" si="12">ROUND(D81*E81,2)</f>
        <v>9.76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87"/>
      <c r="S81" s="288"/>
      <c r="T81" s="288"/>
    </row>
    <row r="82" spans="1:20" ht="16.5" thickBot="1">
      <c r="A82" s="891"/>
      <c r="B82" s="887"/>
      <c r="C82" s="54" t="s">
        <v>29</v>
      </c>
      <c r="D82" s="279">
        <v>139</v>
      </c>
      <c r="E82" s="56">
        <v>6.5090000000000003</v>
      </c>
      <c r="F82" s="57">
        <f t="shared" si="10"/>
        <v>6.5090000000000003</v>
      </c>
      <c r="G82" s="247">
        <f t="shared" si="12"/>
        <v>904.75</v>
      </c>
      <c r="H82" s="280"/>
      <c r="I82" s="281"/>
      <c r="J82" s="281"/>
      <c r="K82" s="682"/>
      <c r="L82" s="204"/>
      <c r="M82" s="250"/>
      <c r="N82" s="283"/>
      <c r="O82" s="252"/>
      <c r="P82" s="284"/>
      <c r="Q82" s="252"/>
      <c r="R82" s="287"/>
      <c r="S82" s="288"/>
      <c r="T82" s="288"/>
    </row>
    <row r="83" spans="1:20">
      <c r="A83" s="892">
        <v>414</v>
      </c>
      <c r="B83" s="183" t="s">
        <v>179</v>
      </c>
      <c r="C83" s="439" t="s">
        <v>149</v>
      </c>
      <c r="D83" s="296">
        <f>июнь18!D83+июнь18!D84</f>
        <v>6.57</v>
      </c>
      <c r="E83" s="41">
        <f>6.509-6.4709</f>
        <v>3.8100000000000023E-2</v>
      </c>
      <c r="F83" s="41">
        <f t="shared" si="10"/>
        <v>3.8100000000000023E-2</v>
      </c>
      <c r="G83" s="235">
        <f>ROUND(D83*E83,2)</f>
        <v>0.25</v>
      </c>
      <c r="H83" s="270"/>
      <c r="I83" s="41"/>
      <c r="J83" s="41"/>
      <c r="K83" s="271"/>
      <c r="L83" s="294">
        <f>SUM(G83:G85)</f>
        <v>14.05</v>
      </c>
      <c r="M83" s="227"/>
      <c r="N83" s="274"/>
      <c r="O83" s="237" t="s">
        <v>261</v>
      </c>
      <c r="P83" s="275"/>
      <c r="Q83" s="237"/>
      <c r="R83" s="242"/>
      <c r="S83" s="266"/>
      <c r="T83" s="266"/>
    </row>
    <row r="84" spans="1:20" ht="15.75">
      <c r="A84" s="896"/>
      <c r="B84" s="192"/>
      <c r="C84" s="48" t="s">
        <v>150</v>
      </c>
      <c r="D84" s="269">
        <v>0.02</v>
      </c>
      <c r="E84" s="41">
        <v>6.5090000000000003</v>
      </c>
      <c r="F84" s="41">
        <f t="shared" si="10"/>
        <v>6.5090000000000003</v>
      </c>
      <c r="G84" s="235">
        <f t="shared" si="12"/>
        <v>0.13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0" ht="16.5" thickBot="1">
      <c r="A85" s="891"/>
      <c r="B85" s="887"/>
      <c r="C85" s="99" t="s">
        <v>29</v>
      </c>
      <c r="D85" s="279">
        <v>2.1</v>
      </c>
      <c r="E85" s="56">
        <v>6.5090000000000003</v>
      </c>
      <c r="F85" s="57">
        <f t="shared" si="10"/>
        <v>6.5090000000000003</v>
      </c>
      <c r="G85" s="247">
        <f t="shared" si="12"/>
        <v>13.67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0" collapsed="1">
      <c r="A86" s="892">
        <v>415</v>
      </c>
      <c r="B86" s="183" t="s">
        <v>166</v>
      </c>
      <c r="C86" s="439" t="s">
        <v>149</v>
      </c>
      <c r="D86" s="296">
        <f>июнь18!D86+июнь18!D87</f>
        <v>177.38</v>
      </c>
      <c r="E86" s="41">
        <f>6.509-6.4709</f>
        <v>3.8100000000000023E-2</v>
      </c>
      <c r="F86" s="41">
        <f t="shared" si="10"/>
        <v>3.8100000000000023E-2</v>
      </c>
      <c r="G86" s="235">
        <f>ROUND(D86*E86,2)</f>
        <v>6.76</v>
      </c>
      <c r="H86" s="270"/>
      <c r="I86" s="41"/>
      <c r="J86" s="41"/>
      <c r="K86" s="271"/>
      <c r="L86" s="294">
        <f>SUM(G86:G88)</f>
        <v>1252.77</v>
      </c>
      <c r="M86" s="227">
        <v>1252.77</v>
      </c>
      <c r="N86" s="274"/>
      <c r="O86" s="237"/>
      <c r="P86" s="275"/>
      <c r="Q86" s="237"/>
      <c r="R86" s="242"/>
      <c r="S86" s="266"/>
      <c r="T86" s="266"/>
    </row>
    <row r="87" spans="1:20" ht="15.75">
      <c r="A87" s="896"/>
      <c r="B87" s="192"/>
      <c r="C87" s="48" t="s">
        <v>150</v>
      </c>
      <c r="D87" s="269">
        <v>2.0299999999999998</v>
      </c>
      <c r="E87" s="41">
        <v>6.5090000000000003</v>
      </c>
      <c r="F87" s="41">
        <f t="shared" si="10"/>
        <v>6.5090000000000003</v>
      </c>
      <c r="G87" s="235">
        <f t="shared" ref="G87:G88" si="13">ROUND(D87*E87,2)</f>
        <v>13.21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0" ht="16.5" thickBot="1">
      <c r="A88" s="891"/>
      <c r="B88" s="887"/>
      <c r="C88" s="54" t="s">
        <v>29</v>
      </c>
      <c r="D88" s="279">
        <v>189.4</v>
      </c>
      <c r="E88" s="56">
        <v>6.5090000000000003</v>
      </c>
      <c r="F88" s="57">
        <f t="shared" si="10"/>
        <v>6.5090000000000003</v>
      </c>
      <c r="G88" s="247">
        <f t="shared" si="13"/>
        <v>1232.8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0">
      <c r="A89" s="892">
        <v>416</v>
      </c>
      <c r="B89" s="183" t="s">
        <v>173</v>
      </c>
      <c r="C89" s="439" t="s">
        <v>149</v>
      </c>
      <c r="D89" s="296">
        <f>июнь18!D89+июнь18!D90</f>
        <v>447.23</v>
      </c>
      <c r="E89" s="41">
        <f>6.509-6.4709</f>
        <v>3.8100000000000023E-2</v>
      </c>
      <c r="F89" s="41">
        <f t="shared" si="10"/>
        <v>3.8100000000000023E-2</v>
      </c>
      <c r="G89" s="235">
        <f>ROUND(D89*E89,2)</f>
        <v>17.04</v>
      </c>
      <c r="H89" s="270"/>
      <c r="I89" s="41"/>
      <c r="J89" s="41"/>
      <c r="K89" s="271"/>
      <c r="L89" s="294">
        <f>SUM(G89:G91)</f>
        <v>2985.9900000000002</v>
      </c>
      <c r="M89" s="227">
        <v>2985.99</v>
      </c>
      <c r="N89" s="274"/>
      <c r="O89" s="237"/>
      <c r="P89" s="275"/>
      <c r="Q89" s="237"/>
      <c r="R89" s="242"/>
      <c r="S89" s="266"/>
      <c r="T89" s="266"/>
    </row>
    <row r="90" spans="1:20" ht="15.75">
      <c r="A90" s="896"/>
      <c r="B90" s="192"/>
      <c r="C90" s="48" t="s">
        <v>150</v>
      </c>
      <c r="D90" s="269">
        <v>4.83</v>
      </c>
      <c r="E90" s="41">
        <v>6.5090000000000003</v>
      </c>
      <c r="F90" s="41">
        <f t="shared" si="10"/>
        <v>6.5090000000000003</v>
      </c>
      <c r="G90" s="235">
        <f>ROUND(D90*E90,2)</f>
        <v>31.44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0" ht="16.5" thickBot="1">
      <c r="A91" s="891"/>
      <c r="B91" s="887"/>
      <c r="C91" s="54" t="s">
        <v>29</v>
      </c>
      <c r="D91" s="279">
        <v>451.3</v>
      </c>
      <c r="E91" s="56">
        <v>6.5090000000000003</v>
      </c>
      <c r="F91" s="57">
        <f t="shared" si="10"/>
        <v>6.5090000000000003</v>
      </c>
      <c r="G91" s="247">
        <f>ROUND(D91*E91,2)</f>
        <v>2937.51</v>
      </c>
      <c r="H91" s="280"/>
      <c r="I91" s="281"/>
      <c r="J91" s="281"/>
      <c r="K91" s="2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0">
      <c r="A92" s="892">
        <v>417</v>
      </c>
      <c r="B92" s="183" t="s">
        <v>174</v>
      </c>
      <c r="C92" s="439" t="s">
        <v>149</v>
      </c>
      <c r="D92" s="296">
        <f>июнь18!D92+июнь18!D93</f>
        <v>158.58000000000001</v>
      </c>
      <c r="E92" s="41">
        <f>6.509-6.4709</f>
        <v>3.8100000000000023E-2</v>
      </c>
      <c r="F92" s="41">
        <f t="shared" si="10"/>
        <v>3.8100000000000023E-2</v>
      </c>
      <c r="G92" s="235">
        <f>ROUND(D92*E92,2)</f>
        <v>6.04</v>
      </c>
      <c r="H92" s="270"/>
      <c r="I92" s="41"/>
      <c r="J92" s="41"/>
      <c r="K92" s="271"/>
      <c r="L92" s="294">
        <f>SUM(G92:G94)</f>
        <v>1479.68</v>
      </c>
      <c r="M92" s="227">
        <v>1479.68</v>
      </c>
      <c r="N92" s="274"/>
      <c r="O92" s="237"/>
      <c r="P92" s="275"/>
      <c r="Q92" s="237"/>
      <c r="R92" s="242"/>
      <c r="S92" s="266"/>
      <c r="T92" s="266"/>
    </row>
    <row r="93" spans="1:20" ht="15.75">
      <c r="A93" s="896"/>
      <c r="B93" s="192"/>
      <c r="C93" s="48" t="s">
        <v>150</v>
      </c>
      <c r="D93" s="269">
        <v>2.4</v>
      </c>
      <c r="E93" s="41">
        <v>6.5090000000000003</v>
      </c>
      <c r="F93" s="41">
        <f t="shared" si="10"/>
        <v>6.5090000000000003</v>
      </c>
      <c r="G93" s="235">
        <f t="shared" ref="G93:G94" si="14">ROUND(D93*E93,2)</f>
        <v>15.62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thickBot="1">
      <c r="A94" s="891"/>
      <c r="B94" s="202"/>
      <c r="C94" s="54" t="s">
        <v>29</v>
      </c>
      <c r="D94" s="279">
        <v>224</v>
      </c>
      <c r="E94" s="56">
        <v>6.5090000000000003</v>
      </c>
      <c r="F94" s="57">
        <f t="shared" si="10"/>
        <v>6.5090000000000003</v>
      </c>
      <c r="G94" s="247">
        <f t="shared" si="14"/>
        <v>1458.02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 ht="15.75">
      <c r="A95" s="892">
        <v>500</v>
      </c>
      <c r="B95" s="883" t="s">
        <v>55</v>
      </c>
      <c r="C95" s="439" t="s">
        <v>149</v>
      </c>
      <c r="D95" s="259">
        <f>июнь18!D95+июнь18!D96</f>
        <v>2527.7600000000002</v>
      </c>
      <c r="E95" s="41">
        <f>6.509-6.4709</f>
        <v>3.8100000000000023E-2</v>
      </c>
      <c r="F95" s="41">
        <f t="shared" si="8"/>
        <v>3.8100000000000023E-2</v>
      </c>
      <c r="G95" s="214">
        <f>ROUND(D95*E95,2)-0.01</f>
        <v>96.3</v>
      </c>
      <c r="H95" s="260"/>
      <c r="I95" s="261"/>
      <c r="J95" s="261"/>
      <c r="K95" s="262"/>
      <c r="L95" s="263">
        <f>SUM(G95:G97)</f>
        <v>19319.14</v>
      </c>
      <c r="M95" s="187">
        <v>19319.14</v>
      </c>
      <c r="N95" s="264"/>
      <c r="O95" s="229"/>
      <c r="P95" s="265"/>
      <c r="Q95" s="229"/>
      <c r="R95" s="242"/>
      <c r="S95" s="266"/>
      <c r="T95" s="266"/>
    </row>
    <row r="96" spans="1:20" ht="15.75">
      <c r="A96" s="893" t="s">
        <v>197</v>
      </c>
      <c r="B96" s="885"/>
      <c r="C96" s="48" t="s">
        <v>150</v>
      </c>
      <c r="D96" s="269">
        <v>31.27</v>
      </c>
      <c r="E96" s="41">
        <v>6.5090000000000003</v>
      </c>
      <c r="F96" s="41">
        <f t="shared" si="8"/>
        <v>6.5090000000000003</v>
      </c>
      <c r="G96" s="235">
        <f>ROUND(D96*E96,2)</f>
        <v>203.54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1" ht="16.5" thickBot="1">
      <c r="A97" s="891"/>
      <c r="B97" s="887"/>
      <c r="C97" s="54" t="s">
        <v>29</v>
      </c>
      <c r="D97" s="279">
        <v>2922</v>
      </c>
      <c r="E97" s="56">
        <v>6.5090000000000003</v>
      </c>
      <c r="F97" s="57">
        <f t="shared" si="8"/>
        <v>6.5090000000000003</v>
      </c>
      <c r="G97" s="247">
        <f t="shared" ref="G97" si="15">ROUND(D97*E97,2)</f>
        <v>19019.3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1" ht="16.5" hidden="1" outlineLevel="1" thickBot="1">
      <c r="A98" s="892"/>
      <c r="B98" s="883" t="s">
        <v>57</v>
      </c>
      <c r="C98" s="439"/>
      <c r="D98" s="259"/>
      <c r="E98" s="21">
        <v>36.214199999999998</v>
      </c>
      <c r="F98" s="21">
        <v>42.4328</v>
      </c>
      <c r="G98" s="214">
        <f>ROUND(D98*(E98+F98),2)</f>
        <v>0</v>
      </c>
      <c r="H98" s="213">
        <v>0</v>
      </c>
      <c r="I98">
        <v>22.478999999999999</v>
      </c>
      <c r="J98" s="215">
        <f t="shared" ref="J98" si="16">H98*I98</f>
        <v>0</v>
      </c>
      <c r="K98" s="679">
        <v>42705</v>
      </c>
      <c r="L98" s="294">
        <f>SUM(G98:G102)+J98+J100</f>
        <v>0</v>
      </c>
      <c r="M98" s="227"/>
      <c r="N98" s="264"/>
      <c r="O98" s="229"/>
      <c r="P98" s="265"/>
      <c r="Q98" s="229"/>
      <c r="R98" s="242"/>
      <c r="S98" s="266"/>
      <c r="T98" s="266"/>
    </row>
    <row r="99" spans="1:21" ht="16.5" hidden="1" outlineLevel="1" thickBot="1">
      <c r="A99" s="891"/>
      <c r="B99" s="887"/>
      <c r="C99" s="54"/>
      <c r="D99" s="269"/>
      <c r="E99" s="38">
        <f>32.332-28.8628</f>
        <v>3.4692000000000007</v>
      </c>
      <c r="F99" s="38">
        <f>37.8898-33.8306</f>
        <v>4.0592000000000041</v>
      </c>
      <c r="G99" s="235">
        <f>ROUND(D99*(E99+F99),2)</f>
        <v>0</v>
      </c>
      <c r="H99" s="225"/>
      <c r="J99" s="194"/>
      <c r="K99" s="683"/>
      <c r="L99" s="294"/>
      <c r="M99" s="227"/>
      <c r="N99" s="264"/>
      <c r="O99" s="229"/>
      <c r="P99" s="265"/>
      <c r="Q99" s="229"/>
      <c r="R99" s="242"/>
      <c r="S99" s="266"/>
      <c r="T99" s="266"/>
    </row>
    <row r="100" spans="1:21" ht="15.75" hidden="1" outlineLevel="1" thickBot="1">
      <c r="A100" s="892"/>
      <c r="B100" s="883"/>
      <c r="C100" s="439" t="s">
        <v>170</v>
      </c>
      <c r="D100" s="296"/>
      <c r="E100" s="41">
        <f>7.0207-6.6426</f>
        <v>0.37809999999999988</v>
      </c>
      <c r="F100" s="41">
        <f>+E100</f>
        <v>0.37809999999999988</v>
      </c>
      <c r="G100" s="235">
        <f>ROUND(D100*E100,2)</f>
        <v>0</v>
      </c>
      <c r="H100" s="270"/>
      <c r="I100" s="41"/>
      <c r="J100" s="41"/>
      <c r="K100" s="684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1" ht="16.5" hidden="1" outlineLevel="1" thickBot="1">
      <c r="A101" s="891"/>
      <c r="B101" s="887"/>
      <c r="C101" s="54" t="s">
        <v>171</v>
      </c>
      <c r="D101" s="269"/>
      <c r="E101" s="41">
        <v>7.0206999999999997</v>
      </c>
      <c r="F101" s="41">
        <f>+E101</f>
        <v>7.0206999999999997</v>
      </c>
      <c r="G101" s="235">
        <f>ROUND(D101*E101,2)</f>
        <v>0</v>
      </c>
      <c r="H101" s="270"/>
      <c r="I101" s="41"/>
      <c r="J101" s="41"/>
      <c r="K101" s="684"/>
      <c r="L101" s="272"/>
      <c r="M101" s="273"/>
      <c r="N101" s="274"/>
      <c r="O101" s="237"/>
      <c r="P101" s="275"/>
      <c r="Q101" s="237"/>
      <c r="R101" s="242"/>
      <c r="S101" s="266"/>
      <c r="T101" s="266"/>
    </row>
    <row r="102" spans="1:21" ht="16.5" hidden="1" outlineLevel="1" thickBot="1">
      <c r="A102" s="892"/>
      <c r="B102" s="883"/>
      <c r="C102" s="439" t="s">
        <v>29</v>
      </c>
      <c r="D102" s="279"/>
      <c r="E102" s="56">
        <v>7.0206999999999997</v>
      </c>
      <c r="F102" s="57">
        <f>+E102</f>
        <v>7.0206999999999997</v>
      </c>
      <c r="G102" s="247">
        <f>ROUND(D102*E102,2)</f>
        <v>0</v>
      </c>
      <c r="H102" s="280"/>
      <c r="I102" s="281"/>
      <c r="J102" s="281"/>
      <c r="K102" s="682"/>
      <c r="L102" s="204"/>
      <c r="M102" s="250"/>
      <c r="N102" s="283"/>
      <c r="O102" s="252"/>
      <c r="P102" s="284"/>
      <c r="Q102" s="252"/>
      <c r="R102" s="242"/>
      <c r="S102" s="266"/>
      <c r="T102" s="266"/>
    </row>
    <row r="103" spans="1:21" ht="15.75" hidden="1" outlineLevel="1" thickBot="1">
      <c r="A103" s="892"/>
      <c r="B103" s="183" t="s">
        <v>145</v>
      </c>
      <c r="C103" s="439" t="s">
        <v>170</v>
      </c>
      <c r="D103" s="296"/>
      <c r="E103" s="41">
        <f>7.0207-6.6426</f>
        <v>0.37809999999999988</v>
      </c>
      <c r="F103" s="41">
        <f t="shared" ref="F103:F105" si="17">+E103</f>
        <v>0.37809999999999988</v>
      </c>
      <c r="G103" s="235">
        <f>ROUND(D103*E103,2)</f>
        <v>0</v>
      </c>
      <c r="H103" s="270"/>
      <c r="I103" s="41"/>
      <c r="J103" s="41"/>
      <c r="K103" s="271"/>
      <c r="L103" s="294">
        <f>SUM(G103:G105)</f>
        <v>0</v>
      </c>
      <c r="M103" s="227"/>
      <c r="N103" s="274"/>
      <c r="O103" s="237"/>
      <c r="P103" s="275"/>
      <c r="Q103" s="237"/>
      <c r="R103" s="242"/>
      <c r="S103" s="266"/>
      <c r="T103" s="266"/>
    </row>
    <row r="104" spans="1:21" ht="16.5" hidden="1" outlineLevel="1" thickBot="1">
      <c r="A104" s="891"/>
      <c r="B104" s="887"/>
      <c r="C104" s="54" t="s">
        <v>171</v>
      </c>
      <c r="D104" s="269"/>
      <c r="E104" s="41">
        <v>7.0206999999999997</v>
      </c>
      <c r="F104" s="41">
        <f t="shared" si="17"/>
        <v>7.0206999999999997</v>
      </c>
      <c r="G104" s="235">
        <f t="shared" ref="G104:G105" si="18">ROUND(D104*E104,2)</f>
        <v>0</v>
      </c>
      <c r="H104" s="270"/>
      <c r="I104" s="41"/>
      <c r="J104" s="41"/>
      <c r="K104" s="271"/>
      <c r="L104" s="272"/>
      <c r="M104" s="273"/>
      <c r="N104" s="274"/>
      <c r="O104" s="237"/>
      <c r="P104" s="275"/>
      <c r="Q104" s="237"/>
      <c r="R104" s="242"/>
      <c r="S104" s="266"/>
      <c r="T104" s="266"/>
    </row>
    <row r="105" spans="1:21" ht="16.5" hidden="1" outlineLevel="1" thickBot="1">
      <c r="A105" s="892"/>
      <c r="B105" s="183"/>
      <c r="C105" s="439" t="s">
        <v>29</v>
      </c>
      <c r="D105" s="279"/>
      <c r="E105" s="56">
        <v>7.0206999999999997</v>
      </c>
      <c r="F105" s="57">
        <f t="shared" si="17"/>
        <v>7.0206999999999997</v>
      </c>
      <c r="G105" s="247">
        <f t="shared" si="18"/>
        <v>0</v>
      </c>
      <c r="H105" s="280"/>
      <c r="I105" s="281"/>
      <c r="J105" s="281"/>
      <c r="K105" s="282"/>
      <c r="L105" s="204"/>
      <c r="M105" s="250"/>
      <c r="N105" s="283"/>
      <c r="O105" s="252"/>
      <c r="P105" s="284"/>
      <c r="Q105" s="252"/>
      <c r="R105" s="242"/>
      <c r="S105" s="266"/>
      <c r="T105" s="266"/>
    </row>
    <row r="106" spans="1:21" ht="16.5" collapsed="1" thickTop="1">
      <c r="A106" s="898"/>
      <c r="B106" s="321"/>
      <c r="C106" s="322"/>
      <c r="D106" s="323"/>
      <c r="E106" s="163"/>
      <c r="F106" s="324"/>
      <c r="G106" s="325"/>
      <c r="H106" s="163"/>
      <c r="I106" s="163"/>
      <c r="J106" s="163"/>
      <c r="K106" s="163"/>
      <c r="L106" s="163"/>
      <c r="M106" s="326"/>
      <c r="N106" s="327"/>
      <c r="O106" s="328"/>
      <c r="P106" s="329"/>
      <c r="Q106" s="328"/>
      <c r="R106" s="330"/>
      <c r="S106" s="331"/>
      <c r="T106" s="266"/>
    </row>
    <row r="107" spans="1:21" ht="21.75" thickBot="1">
      <c r="A107" s="171" t="s">
        <v>60</v>
      </c>
      <c r="B107" s="2"/>
      <c r="C107" s="3"/>
      <c r="D107" s="2"/>
      <c r="E107" s="2"/>
      <c r="F107" s="2"/>
      <c r="G107" s="332"/>
      <c r="H107" s="332"/>
      <c r="I107" s="332"/>
      <c r="J107" s="2"/>
      <c r="K107" s="2"/>
      <c r="L107" s="2"/>
      <c r="M107" s="3"/>
      <c r="N107" s="2"/>
      <c r="O107" s="2"/>
      <c r="P107" s="2"/>
      <c r="Q107" s="2"/>
      <c r="R107" s="2"/>
      <c r="S107" s="2"/>
    </row>
    <row r="108" spans="1:21" ht="15" customHeight="1" thickTop="1">
      <c r="A108" s="1553" t="s">
        <v>1</v>
      </c>
      <c r="B108" s="1516" t="s">
        <v>2</v>
      </c>
      <c r="C108" s="1518" t="s">
        <v>3</v>
      </c>
      <c r="D108" s="1532" t="s">
        <v>4</v>
      </c>
      <c r="E108" s="1532"/>
      <c r="F108" s="1532"/>
      <c r="G108" s="1532"/>
      <c r="H108" s="1533" t="s">
        <v>5</v>
      </c>
      <c r="I108" s="1534"/>
      <c r="J108" s="1534"/>
      <c r="K108" s="1534"/>
      <c r="L108" s="1524" t="s">
        <v>6</v>
      </c>
      <c r="M108" s="1537" t="s">
        <v>7</v>
      </c>
      <c r="N108" s="1538" t="s">
        <v>8</v>
      </c>
      <c r="O108" s="1538"/>
      <c r="P108" s="1538"/>
      <c r="Q108" s="1539"/>
      <c r="R108" s="5"/>
      <c r="S108" s="5"/>
      <c r="T108" s="5" t="s">
        <v>61</v>
      </c>
      <c r="U108" t="s">
        <v>21</v>
      </c>
    </row>
    <row r="109" spans="1:21" ht="27" customHeight="1" thickBot="1">
      <c r="A109" s="1531"/>
      <c r="B109" s="1517"/>
      <c r="C109" s="1519" t="s">
        <v>10</v>
      </c>
      <c r="D109" s="333" t="s">
        <v>11</v>
      </c>
      <c r="E109" s="7" t="s">
        <v>12</v>
      </c>
      <c r="F109" s="7" t="s">
        <v>13</v>
      </c>
      <c r="G109" s="334" t="s">
        <v>14</v>
      </c>
      <c r="H109" s="335" t="s">
        <v>11</v>
      </c>
      <c r="I109" s="333" t="s">
        <v>15</v>
      </c>
      <c r="J109" s="336" t="s">
        <v>14</v>
      </c>
      <c r="K109" s="11" t="s">
        <v>16</v>
      </c>
      <c r="L109" s="1525"/>
      <c r="M109" s="1511"/>
      <c r="N109" s="337" t="s">
        <v>62</v>
      </c>
      <c r="O109" s="338" t="s">
        <v>44</v>
      </c>
      <c r="P109" s="13" t="s">
        <v>18</v>
      </c>
      <c r="Q109" s="14" t="s">
        <v>19</v>
      </c>
    </row>
    <row r="110" spans="1:21" ht="14.25" customHeight="1">
      <c r="A110" s="339" t="s">
        <v>63</v>
      </c>
      <c r="B110" s="18" t="s">
        <v>64</v>
      </c>
      <c r="C110" s="71"/>
      <c r="D110" s="340">
        <v>61</v>
      </c>
      <c r="E110" s="21">
        <v>40.556600000000003</v>
      </c>
      <c r="F110" s="21">
        <v>47.5304</v>
      </c>
      <c r="G110" s="185">
        <f>ROUND(D110*(E110+F110),2)</f>
        <v>5373.31</v>
      </c>
      <c r="H110" s="184"/>
      <c r="I110" s="23"/>
      <c r="J110" s="341"/>
      <c r="K110" s="342"/>
      <c r="L110" s="343">
        <f>SUM(G110:G115,J110:J114)</f>
        <v>321683.27</v>
      </c>
      <c r="M110" s="344">
        <v>321683.27</v>
      </c>
      <c r="N110" s="345"/>
      <c r="O110" s="346">
        <v>7157.88</v>
      </c>
      <c r="P110" s="347" t="s">
        <v>24</v>
      </c>
      <c r="Q110" s="348">
        <f t="shared" ref="Q110:Q182" si="19">C110+G110+J110-M110-N110-O110</f>
        <v>-323467.84000000003</v>
      </c>
      <c r="R110" s="349" t="s">
        <v>65</v>
      </c>
      <c r="S110" s="350" t="s">
        <v>20</v>
      </c>
      <c r="T110" s="351" t="s">
        <v>21</v>
      </c>
      <c r="U110" s="352">
        <f>+L110-M110+C110</f>
        <v>0</v>
      </c>
    </row>
    <row r="111" spans="1:21" ht="14.25" customHeight="1">
      <c r="A111" s="353"/>
      <c r="B111" s="35"/>
      <c r="C111" s="84" t="s">
        <v>26</v>
      </c>
      <c r="D111" s="37"/>
      <c r="E111" s="38"/>
      <c r="F111" s="38"/>
      <c r="G111" s="39">
        <f>ROUND(D111*(E111+F111),2)</f>
        <v>0</v>
      </c>
      <c r="H111" s="49"/>
      <c r="I111" s="271"/>
      <c r="J111" s="101"/>
      <c r="K111" s="354"/>
      <c r="L111" s="355"/>
      <c r="M111" s="356"/>
      <c r="N111" s="357"/>
      <c r="O111" s="358"/>
      <c r="P111" s="359"/>
      <c r="Q111" s="358"/>
      <c r="R111" s="349"/>
      <c r="S111" s="350"/>
      <c r="T111" s="351"/>
      <c r="U111" s="352"/>
    </row>
    <row r="112" spans="1:21">
      <c r="A112" s="353"/>
      <c r="B112" s="35"/>
      <c r="C112" s="48"/>
      <c r="D112" s="49"/>
      <c r="E112" s="41"/>
      <c r="F112" s="41"/>
      <c r="G112" s="50">
        <f>ROUND(D112*E112*70%+D112*F112*30%,2)</f>
        <v>0</v>
      </c>
      <c r="H112" s="49"/>
      <c r="I112" s="271"/>
      <c r="J112" s="41"/>
      <c r="K112" s="354"/>
      <c r="L112" s="355"/>
      <c r="M112" s="356"/>
      <c r="N112" s="357"/>
      <c r="O112" s="358"/>
      <c r="P112" s="359"/>
      <c r="Q112" s="358"/>
      <c r="R112" s="349"/>
      <c r="S112" s="350"/>
      <c r="T112" s="351"/>
      <c r="U112" s="352"/>
    </row>
    <row r="113" spans="1:21">
      <c r="A113" s="353"/>
      <c r="B113" s="35"/>
      <c r="C113" s="48" t="s">
        <v>149</v>
      </c>
      <c r="D113" s="49"/>
      <c r="E113" s="41"/>
      <c r="F113" s="38"/>
      <c r="G113" s="50">
        <f>ROUND(+D113*E113,2)</f>
        <v>0</v>
      </c>
      <c r="H113" s="49"/>
      <c r="I113" s="271"/>
      <c r="J113" s="41"/>
      <c r="K113" s="354"/>
      <c r="L113" s="355"/>
      <c r="M113" s="356"/>
      <c r="N113" s="357"/>
      <c r="O113" s="358"/>
      <c r="P113" s="359"/>
      <c r="Q113" s="358"/>
      <c r="R113" s="349"/>
      <c r="S113" s="350"/>
      <c r="T113" s="351"/>
      <c r="U113" s="352"/>
    </row>
    <row r="114" spans="1:21">
      <c r="A114" s="353"/>
      <c r="B114" s="35"/>
      <c r="C114" s="48" t="s">
        <v>150</v>
      </c>
      <c r="D114" s="49">
        <f>75+24+11</f>
        <v>110</v>
      </c>
      <c r="E114" s="41">
        <v>6.9268999999999998</v>
      </c>
      <c r="F114" s="41">
        <f>+E114</f>
        <v>6.9268999999999998</v>
      </c>
      <c r="G114" s="50">
        <f>ROUND(D114*E114,2)</f>
        <v>761.96</v>
      </c>
      <c r="H114" s="361"/>
      <c r="I114" s="362"/>
      <c r="J114" s="207"/>
      <c r="K114" s="363"/>
      <c r="L114" s="364"/>
      <c r="M114" s="365"/>
      <c r="N114" s="366"/>
      <c r="O114" s="367"/>
      <c r="P114" s="368"/>
      <c r="Q114" s="358"/>
      <c r="R114" s="349"/>
      <c r="S114" s="350"/>
      <c r="T114" s="351"/>
      <c r="U114" s="352"/>
    </row>
    <row r="115" spans="1:21" ht="15.75" thickBot="1">
      <c r="A115" s="369"/>
      <c r="B115" s="53" t="s">
        <v>66</v>
      </c>
      <c r="C115" s="99" t="s">
        <v>29</v>
      </c>
      <c r="D115" s="55">
        <f>31094+9960+4500</f>
        <v>45554</v>
      </c>
      <c r="E115" s="56">
        <v>6.9268999999999998</v>
      </c>
      <c r="F115" s="370">
        <f>+E115</f>
        <v>6.9268999999999998</v>
      </c>
      <c r="G115" s="58">
        <f>ROUND(D115*E115,2)</f>
        <v>315548</v>
      </c>
      <c r="H115" s="248"/>
      <c r="I115" s="203"/>
      <c r="J115" s="60"/>
      <c r="K115" s="203"/>
      <c r="L115" s="204"/>
      <c r="M115" s="371"/>
      <c r="N115" s="372"/>
      <c r="O115" s="373">
        <v>165882.5</v>
      </c>
      <c r="P115" s="374" t="s">
        <v>24</v>
      </c>
      <c r="Q115" s="373">
        <f>G115+J115-M115-N115-O115</f>
        <v>149665.5</v>
      </c>
      <c r="R115" s="349" t="s">
        <v>65</v>
      </c>
      <c r="S115" s="375">
        <f>SUM(O110:O115)</f>
        <v>173040.38</v>
      </c>
      <c r="T115" s="375">
        <f>SUM(Q110:Q115)</f>
        <v>-173802.34000000003</v>
      </c>
    </row>
    <row r="116" spans="1:21" s="81" customFormat="1" ht="15" customHeight="1">
      <c r="A116" s="437">
        <v>101</v>
      </c>
      <c r="B116" s="438" t="s">
        <v>82</v>
      </c>
      <c r="C116" s="377" t="s">
        <v>73</v>
      </c>
      <c r="D116" s="378">
        <v>24</v>
      </c>
      <c r="E116" s="21">
        <v>36.214199999999998</v>
      </c>
      <c r="F116" s="21">
        <v>42.4328</v>
      </c>
      <c r="G116" s="22">
        <f>+D116*(E116+F116)</f>
        <v>1887.5279999999998</v>
      </c>
      <c r="H116" s="303"/>
      <c r="I116" s="381"/>
      <c r="J116" s="381"/>
      <c r="K116" s="342"/>
      <c r="L116" s="263">
        <f>SUM(G116:G120,J116:J120)</f>
        <v>81480.387999999992</v>
      </c>
      <c r="M116" s="26">
        <v>81480.39</v>
      </c>
      <c r="N116" s="421"/>
      <c r="O116" s="77"/>
      <c r="P116" s="77"/>
      <c r="Q116" s="384"/>
      <c r="R116" s="422"/>
      <c r="S116" s="399"/>
      <c r="T116" s="399"/>
    </row>
    <row r="117" spans="1:21" s="81" customFormat="1" ht="15" customHeight="1">
      <c r="A117" s="441"/>
      <c r="B117" s="442"/>
      <c r="C117" s="36" t="s">
        <v>26</v>
      </c>
      <c r="D117" s="37"/>
      <c r="E117" s="38"/>
      <c r="F117" s="38"/>
      <c r="G117" s="39">
        <f>ROUND(D117*(E117+F117),2)</f>
        <v>0</v>
      </c>
      <c r="H117" s="457"/>
      <c r="I117" s="392"/>
      <c r="J117" s="402"/>
      <c r="K117" s="393"/>
      <c r="L117" s="459"/>
      <c r="M117" s="44"/>
      <c r="N117" s="430"/>
      <c r="O117" s="435"/>
      <c r="P117" s="435"/>
      <c r="Q117" s="425"/>
      <c r="R117" s="422"/>
      <c r="S117" s="399"/>
      <c r="T117" s="399"/>
    </row>
    <row r="118" spans="1:21" s="81" customFormat="1" ht="15" customHeight="1">
      <c r="A118" s="441"/>
      <c r="B118" s="442"/>
      <c r="C118" s="48" t="s">
        <v>149</v>
      </c>
      <c r="D118" s="37">
        <f>июнь18!D118+июнь18!D119</f>
        <v>11148</v>
      </c>
      <c r="E118" s="41">
        <f>6.6998-6.7798</f>
        <v>-8.0000000000000071E-2</v>
      </c>
      <c r="F118" s="38"/>
      <c r="G118" s="39">
        <f>ROUND(D118*(E118),2)+0.01</f>
        <v>-891.83</v>
      </c>
      <c r="H118" s="270"/>
      <c r="I118" s="41"/>
      <c r="J118" s="41"/>
      <c r="K118" s="271"/>
      <c r="L118" s="272"/>
      <c r="M118" s="102"/>
      <c r="N118" s="430"/>
      <c r="O118" s="435"/>
      <c r="P118" s="435"/>
      <c r="Q118" s="425"/>
      <c r="R118" s="422"/>
      <c r="S118" s="399"/>
      <c r="T118" s="399"/>
    </row>
    <row r="119" spans="1:21" s="81" customFormat="1" ht="15" customHeight="1">
      <c r="A119" s="441"/>
      <c r="B119" s="442"/>
      <c r="C119" s="48" t="s">
        <v>150</v>
      </c>
      <c r="D119" s="37">
        <v>29</v>
      </c>
      <c r="E119" s="41">
        <v>6.6997999999999998</v>
      </c>
      <c r="F119" s="38"/>
      <c r="G119" s="39">
        <f>ROUND(D119*(E119),2)</f>
        <v>194.29</v>
      </c>
      <c r="H119" s="270"/>
      <c r="I119" s="41"/>
      <c r="J119" s="41"/>
      <c r="K119" s="271"/>
      <c r="L119" s="272"/>
      <c r="M119" s="102"/>
      <c r="N119" s="434"/>
      <c r="O119" s="435"/>
      <c r="P119" s="435"/>
      <c r="Q119" s="425"/>
      <c r="R119" s="422"/>
      <c r="S119" s="399"/>
      <c r="T119" s="399"/>
    </row>
    <row r="120" spans="1:21" s="81" customFormat="1" ht="15" customHeight="1" thickBot="1">
      <c r="A120" s="445"/>
      <c r="B120" s="446"/>
      <c r="C120" s="54" t="s">
        <v>29</v>
      </c>
      <c r="D120" s="413">
        <v>11984</v>
      </c>
      <c r="E120" s="56">
        <v>6.6997999999999998</v>
      </c>
      <c r="F120" s="281"/>
      <c r="G120" s="414">
        <f>ROUND(D120*(E120),2)</f>
        <v>80290.399999999994</v>
      </c>
      <c r="H120" s="280"/>
      <c r="I120" s="281"/>
      <c r="J120" s="281"/>
      <c r="K120" s="282"/>
      <c r="L120" s="204"/>
      <c r="M120" s="371"/>
      <c r="N120" s="426"/>
      <c r="O120" s="416"/>
      <c r="P120" s="416"/>
      <c r="Q120" s="417"/>
      <c r="R120" s="899"/>
      <c r="S120" s="399"/>
      <c r="T120" s="399"/>
    </row>
    <row r="121" spans="1:21" s="81" customFormat="1" ht="15.75" customHeight="1">
      <c r="A121" s="902">
        <v>105</v>
      </c>
      <c r="B121" s="903" t="s">
        <v>256</v>
      </c>
      <c r="C121" s="439" t="s">
        <v>149</v>
      </c>
      <c r="D121" s="904">
        <v>0</v>
      </c>
      <c r="E121" s="23">
        <f>6.6998-6.7798</f>
        <v>-8.0000000000000071E-2</v>
      </c>
      <c r="F121" s="905"/>
      <c r="G121" s="22">
        <f>ROUND(D121*E121,2)</f>
        <v>0</v>
      </c>
      <c r="H121" s="303"/>
      <c r="I121" s="23"/>
      <c r="J121" s="23"/>
      <c r="K121" s="304"/>
      <c r="L121" s="263">
        <f>SUM(G121:G123)</f>
        <v>2458.1600000000003</v>
      </c>
      <c r="M121" s="26">
        <v>2458.16</v>
      </c>
      <c r="N121" s="421"/>
      <c r="O121" s="77"/>
      <c r="P121" s="77"/>
      <c r="Q121" s="384"/>
      <c r="R121" s="422"/>
      <c r="S121" s="399"/>
      <c r="T121" s="399"/>
    </row>
    <row r="122" spans="1:21" s="81" customFormat="1" ht="15.75" customHeight="1">
      <c r="A122" s="468"/>
      <c r="B122" s="469"/>
      <c r="C122" s="48" t="s">
        <v>150</v>
      </c>
      <c r="D122" s="471">
        <v>0.9</v>
      </c>
      <c r="E122" s="41">
        <v>6.6997999999999998</v>
      </c>
      <c r="F122" s="473"/>
      <c r="G122" s="449">
        <f>ROUND(D122*E122,2)</f>
        <v>6.03</v>
      </c>
      <c r="H122" s="260"/>
      <c r="I122" s="261"/>
      <c r="J122" s="261"/>
      <c r="K122" s="262"/>
      <c r="L122" s="286"/>
      <c r="M122" s="90"/>
      <c r="N122" s="423"/>
      <c r="O122" s="406"/>
      <c r="P122" s="406"/>
      <c r="Q122" s="407"/>
      <c r="R122" s="422"/>
      <c r="S122" s="399"/>
      <c r="T122" s="399"/>
    </row>
    <row r="123" spans="1:21" s="81" customFormat="1" ht="15.75" customHeight="1" thickBot="1">
      <c r="A123" s="858"/>
      <c r="B123" s="859"/>
      <c r="C123" s="54" t="s">
        <v>29</v>
      </c>
      <c r="D123" s="860">
        <v>366</v>
      </c>
      <c r="E123" s="56">
        <v>6.6997999999999998</v>
      </c>
      <c r="F123" s="861"/>
      <c r="G123" s="414">
        <f t="shared" ref="G123" si="20">ROUND(D123*E123,2)</f>
        <v>2452.13</v>
      </c>
      <c r="H123" s="280"/>
      <c r="I123" s="281"/>
      <c r="J123" s="281"/>
      <c r="K123" s="282"/>
      <c r="L123" s="204"/>
      <c r="M123" s="371"/>
      <c r="N123" s="426"/>
      <c r="O123" s="416"/>
      <c r="P123" s="416"/>
      <c r="Q123" s="417"/>
      <c r="R123" s="422"/>
      <c r="S123" s="399"/>
      <c r="T123" s="399"/>
    </row>
    <row r="124" spans="1:21" s="81" customFormat="1" ht="15.75" customHeight="1">
      <c r="A124" s="902">
        <v>107</v>
      </c>
      <c r="B124" s="903" t="s">
        <v>239</v>
      </c>
      <c r="C124" s="439" t="s">
        <v>149</v>
      </c>
      <c r="D124" s="904">
        <f>июнь18!D121+июнь18!D122</f>
        <v>475.1</v>
      </c>
      <c r="E124" s="23">
        <f>6.6998-6.7798</f>
        <v>-8.0000000000000071E-2</v>
      </c>
      <c r="F124" s="905"/>
      <c r="G124" s="22">
        <f>ROUND(D124*E124,2)+0.01</f>
        <v>-38</v>
      </c>
      <c r="H124" s="303"/>
      <c r="I124" s="23"/>
      <c r="J124" s="23"/>
      <c r="K124" s="304"/>
      <c r="L124" s="263">
        <f>SUM(G124:G126)</f>
        <v>4253.22</v>
      </c>
      <c r="M124" s="26">
        <v>4253.22</v>
      </c>
      <c r="N124" s="421"/>
      <c r="O124" s="77"/>
      <c r="P124" s="77"/>
      <c r="Q124" s="384"/>
      <c r="R124" s="422"/>
      <c r="S124" s="399"/>
      <c r="T124" s="399"/>
    </row>
    <row r="125" spans="1:21" s="81" customFormat="1" ht="15.75" customHeight="1">
      <c r="A125" s="468"/>
      <c r="B125" s="469"/>
      <c r="C125" s="48" t="s">
        <v>150</v>
      </c>
      <c r="D125" s="471">
        <v>1.5</v>
      </c>
      <c r="E125" s="41">
        <v>6.6997999999999998</v>
      </c>
      <c r="F125" s="473"/>
      <c r="G125" s="449">
        <f>ROUND(D125*E125,2)</f>
        <v>10.050000000000001</v>
      </c>
      <c r="H125" s="260"/>
      <c r="I125" s="261"/>
      <c r="J125" s="261"/>
      <c r="K125" s="262"/>
      <c r="L125" s="286"/>
      <c r="M125" s="90"/>
      <c r="N125" s="423"/>
      <c r="O125" s="406"/>
      <c r="P125" s="406"/>
      <c r="Q125" s="407"/>
      <c r="R125" s="422"/>
      <c r="S125" s="399"/>
      <c r="T125" s="399"/>
    </row>
    <row r="126" spans="1:21" s="81" customFormat="1" ht="15.75" customHeight="1" thickBot="1">
      <c r="A126" s="858"/>
      <c r="B126" s="859"/>
      <c r="C126" s="54" t="s">
        <v>29</v>
      </c>
      <c r="D126" s="860">
        <v>639</v>
      </c>
      <c r="E126" s="56">
        <v>6.6997999999999998</v>
      </c>
      <c r="F126" s="861"/>
      <c r="G126" s="414">
        <f t="shared" ref="G126" si="21">ROUND(D126*E126,2)</f>
        <v>4281.17</v>
      </c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1" s="81" customFormat="1" ht="15.75" customHeight="1">
      <c r="A127" s="902">
        <v>108</v>
      </c>
      <c r="B127" s="903" t="s">
        <v>168</v>
      </c>
      <c r="C127" s="439" t="s">
        <v>149</v>
      </c>
      <c r="D127" s="904">
        <f>июнь18!D124+июнь18!D125</f>
        <v>158.4</v>
      </c>
      <c r="E127" s="23">
        <f>6.6998-6.7798</f>
        <v>-8.0000000000000071E-2</v>
      </c>
      <c r="F127" s="905"/>
      <c r="G127" s="22">
        <f>ROUND(D127*E127,2)+0.01</f>
        <v>-12.66</v>
      </c>
      <c r="H127" s="303"/>
      <c r="I127" s="23"/>
      <c r="J127" s="23"/>
      <c r="K127" s="304"/>
      <c r="L127" s="263">
        <f>SUM(G127:G129)</f>
        <v>1175.8799999999999</v>
      </c>
      <c r="M127" s="26">
        <v>1175.8800000000001</v>
      </c>
      <c r="N127" s="421"/>
      <c r="O127" s="77"/>
      <c r="P127" s="77"/>
      <c r="Q127" s="384"/>
      <c r="R127" s="422"/>
      <c r="S127" s="399"/>
      <c r="T127" s="399"/>
    </row>
    <row r="128" spans="1:21" s="81" customFormat="1" ht="15.75" customHeight="1">
      <c r="A128" s="468"/>
      <c r="B128" s="469"/>
      <c r="C128" s="48" t="s">
        <v>150</v>
      </c>
      <c r="D128" s="471">
        <v>0.4</v>
      </c>
      <c r="E128" s="41">
        <v>6.6997999999999998</v>
      </c>
      <c r="F128" s="473"/>
      <c r="G128" s="449">
        <f>ROUND(D128*E128,2)</f>
        <v>2.68</v>
      </c>
      <c r="H128" s="260"/>
      <c r="I128" s="261"/>
      <c r="J128" s="261"/>
      <c r="K128" s="262"/>
      <c r="L128" s="286"/>
      <c r="M128" s="90"/>
      <c r="N128" s="423"/>
      <c r="O128" s="406"/>
      <c r="P128" s="406"/>
      <c r="Q128" s="407"/>
      <c r="R128" s="422"/>
      <c r="S128" s="399"/>
      <c r="T128" s="399"/>
    </row>
    <row r="129" spans="1:20" s="81" customFormat="1" ht="15.75" customHeight="1" thickBot="1">
      <c r="A129" s="858"/>
      <c r="B129" s="859"/>
      <c r="C129" s="54" t="s">
        <v>29</v>
      </c>
      <c r="D129" s="860">
        <v>177</v>
      </c>
      <c r="E129" s="56">
        <v>6.6997999999999998</v>
      </c>
      <c r="F129" s="861"/>
      <c r="G129" s="414">
        <f t="shared" ref="G129" si="22">ROUND(D129*E129,2)</f>
        <v>1185.8599999999999</v>
      </c>
      <c r="H129" s="280"/>
      <c r="I129" s="281"/>
      <c r="J129" s="281"/>
      <c r="K129" s="282"/>
      <c r="L129" s="204"/>
      <c r="M129" s="371"/>
      <c r="N129" s="426"/>
      <c r="O129" s="416"/>
      <c r="P129" s="416"/>
      <c r="Q129" s="417"/>
      <c r="R129" s="422"/>
      <c r="S129" s="399"/>
      <c r="T129" s="399"/>
    </row>
    <row r="130" spans="1:20" s="81" customFormat="1" ht="15.75" customHeight="1">
      <c r="A130" s="468">
        <v>109</v>
      </c>
      <c r="B130" s="699" t="s">
        <v>175</v>
      </c>
      <c r="C130" s="439" t="s">
        <v>149</v>
      </c>
      <c r="D130" s="918">
        <f>июнь18!D127+июнь18!D128</f>
        <v>608.5</v>
      </c>
      <c r="E130" s="23">
        <f>6.6998-6.7798</f>
        <v>-8.0000000000000071E-2</v>
      </c>
      <c r="F130" s="473"/>
      <c r="G130" s="862">
        <f>ROUND(D130*E130,2)+0.01</f>
        <v>-48.67</v>
      </c>
      <c r="H130" s="261"/>
      <c r="I130" s="261"/>
      <c r="J130" s="261"/>
      <c r="K130" s="185"/>
      <c r="L130" s="263">
        <f>SUM(G130:G133)+SUM(J130:J133)</f>
        <v>4616.6570000000002</v>
      </c>
      <c r="M130" s="26">
        <v>4616.66</v>
      </c>
      <c r="N130" s="443"/>
      <c r="O130" s="94"/>
      <c r="P130" s="94"/>
      <c r="Q130" s="396"/>
      <c r="R130" s="422"/>
      <c r="S130" s="399"/>
      <c r="T130" s="399"/>
    </row>
    <row r="131" spans="1:20" s="81" customFormat="1" ht="15.75" customHeight="1">
      <c r="A131" s="468"/>
      <c r="B131" s="469"/>
      <c r="C131" s="48" t="s">
        <v>150</v>
      </c>
      <c r="D131" s="919">
        <v>1.6</v>
      </c>
      <c r="E131" s="41">
        <v>6.6997999999999998</v>
      </c>
      <c r="F131" s="473"/>
      <c r="G131" s="409">
        <f>ROUND(D131*E131,2)</f>
        <v>10.72</v>
      </c>
      <c r="H131" s="41"/>
      <c r="I131" s="41"/>
      <c r="J131" s="41"/>
      <c r="K131" s="50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>
      <c r="A132" s="468"/>
      <c r="B132" s="920"/>
      <c r="C132" s="99" t="s">
        <v>29</v>
      </c>
      <c r="D132" s="919">
        <v>683</v>
      </c>
      <c r="E132" s="101">
        <v>6.6997999999999998</v>
      </c>
      <c r="F132" s="473"/>
      <c r="G132" s="409">
        <f t="shared" ref="G132" si="23">ROUND(D132*E132,2)</f>
        <v>4575.96</v>
      </c>
      <c r="H132" s="41"/>
      <c r="I132" s="41"/>
      <c r="J132" s="41"/>
      <c r="K132" s="50"/>
      <c r="L132" s="286"/>
      <c r="M132" s="90"/>
      <c r="N132" s="423"/>
      <c r="O132" s="406"/>
      <c r="P132" s="406"/>
      <c r="Q132" s="407"/>
      <c r="R132" s="422"/>
      <c r="S132" s="399"/>
      <c r="T132" s="399"/>
    </row>
    <row r="133" spans="1:20" s="81" customFormat="1" ht="15.75" customHeight="1" thickBot="1">
      <c r="A133" s="858"/>
      <c r="B133" s="921"/>
      <c r="C133" s="54" t="s">
        <v>73</v>
      </c>
      <c r="D133" s="922">
        <v>1</v>
      </c>
      <c r="E133" s="56">
        <v>36.214199999999998</v>
      </c>
      <c r="F133" s="861">
        <v>42.4328</v>
      </c>
      <c r="G133" s="923">
        <f>+D133*(E133+F133)</f>
        <v>78.646999999999991</v>
      </c>
      <c r="H133" s="281"/>
      <c r="I133" s="281"/>
      <c r="J133" s="281"/>
      <c r="K133" s="58"/>
      <c r="L133" s="204"/>
      <c r="M133" s="371"/>
      <c r="N133" s="426"/>
      <c r="O133" s="416"/>
      <c r="P133" s="416"/>
      <c r="Q133" s="417"/>
      <c r="R133" s="422"/>
      <c r="S133" s="399"/>
      <c r="T133" s="399"/>
    </row>
    <row r="134" spans="1:20" s="81" customFormat="1" ht="15.75" customHeight="1">
      <c r="A134" s="376">
        <v>117</v>
      </c>
      <c r="B134" s="420" t="s">
        <v>72</v>
      </c>
      <c r="C134" s="377" t="s">
        <v>73</v>
      </c>
      <c r="D134" s="378">
        <v>120</v>
      </c>
      <c r="E134" s="21">
        <v>36.214199999999998</v>
      </c>
      <c r="F134" s="21">
        <v>42.4328</v>
      </c>
      <c r="G134" s="22">
        <f>+D134*(E134+F134)</f>
        <v>9437.64</v>
      </c>
      <c r="H134" s="303"/>
      <c r="I134" s="381"/>
      <c r="J134" s="381"/>
      <c r="K134" s="342"/>
      <c r="L134" s="263">
        <f>SUM(G134:G138,J134:J138)</f>
        <v>253546.68</v>
      </c>
      <c r="M134" s="26">
        <v>253546.68</v>
      </c>
      <c r="N134" s="421"/>
      <c r="O134" s="77"/>
      <c r="P134" s="77"/>
      <c r="Q134" s="384"/>
      <c r="R134" s="422"/>
      <c r="S134" s="399"/>
      <c r="T134" s="399"/>
    </row>
    <row r="135" spans="1:20" s="81" customFormat="1" ht="15.75" customHeight="1">
      <c r="A135" s="389"/>
      <c r="B135" s="83"/>
      <c r="C135" s="84" t="s">
        <v>26</v>
      </c>
      <c r="D135" s="37"/>
      <c r="E135" s="38"/>
      <c r="F135" s="38"/>
      <c r="G135" s="39">
        <f>ROUND(D135*(E135+F135),2)</f>
        <v>0</v>
      </c>
      <c r="H135" s="270"/>
      <c r="I135" s="392"/>
      <c r="J135" s="402"/>
      <c r="K135" s="393"/>
      <c r="L135" s="272"/>
      <c r="M135" s="102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>
      <c r="A136" s="389"/>
      <c r="B136" s="83"/>
      <c r="C136" s="48" t="s">
        <v>149</v>
      </c>
      <c r="D136" s="37">
        <f>июнь18!D133+июнь18!D134</f>
        <v>31215</v>
      </c>
      <c r="E136" s="41">
        <f>6.6998-6.7798</f>
        <v>-8.0000000000000071E-2</v>
      </c>
      <c r="F136" s="38"/>
      <c r="G136" s="39">
        <f>ROUND(D136*(E136),2)</f>
        <v>-2497.1999999999998</v>
      </c>
      <c r="H136" s="270"/>
      <c r="I136" s="41"/>
      <c r="J136" s="41"/>
      <c r="K136" s="271"/>
      <c r="L136" s="272"/>
      <c r="M136" s="102"/>
      <c r="N136" s="423"/>
      <c r="O136" s="406"/>
      <c r="P136" s="406"/>
      <c r="Q136" s="407"/>
      <c r="R136" s="422"/>
      <c r="S136" s="399"/>
      <c r="T136" s="399"/>
    </row>
    <row r="137" spans="1:20" s="81" customFormat="1" ht="15.75" customHeight="1">
      <c r="A137" s="389"/>
      <c r="B137" s="83"/>
      <c r="C137" s="48" t="s">
        <v>150</v>
      </c>
      <c r="D137" s="37">
        <v>88</v>
      </c>
      <c r="E137" s="41">
        <v>6.6997999999999998</v>
      </c>
      <c r="F137" s="38"/>
      <c r="G137" s="39">
        <f>ROUND(D137*(E137),2)</f>
        <v>589.58000000000004</v>
      </c>
      <c r="H137" s="270"/>
      <c r="I137" s="41"/>
      <c r="J137" s="41"/>
      <c r="K137" s="271"/>
      <c r="L137" s="272"/>
      <c r="M137" s="102"/>
      <c r="N137" s="423"/>
      <c r="O137" s="406"/>
      <c r="P137" s="406"/>
      <c r="Q137" s="425"/>
      <c r="R137" s="422"/>
      <c r="S137" s="399"/>
      <c r="T137" s="399"/>
    </row>
    <row r="138" spans="1:20" s="81" customFormat="1" ht="15.75" customHeight="1" thickBot="1">
      <c r="A138" s="411"/>
      <c r="B138" s="412"/>
      <c r="C138" s="99" t="s">
        <v>29</v>
      </c>
      <c r="D138" s="413">
        <v>36720</v>
      </c>
      <c r="E138" s="56">
        <v>6.6997999999999998</v>
      </c>
      <c r="F138" s="281"/>
      <c r="G138" s="414">
        <f>ROUND(D138*(E138),2)</f>
        <v>246016.66</v>
      </c>
      <c r="H138" s="280"/>
      <c r="I138" s="281"/>
      <c r="J138" s="281"/>
      <c r="K138" s="282"/>
      <c r="L138" s="204"/>
      <c r="M138" s="371"/>
      <c r="N138" s="426"/>
      <c r="O138" s="416"/>
      <c r="P138" s="416"/>
      <c r="Q138" s="417"/>
      <c r="R138" s="422"/>
      <c r="S138" s="399"/>
      <c r="T138" s="399"/>
    </row>
    <row r="139" spans="1:20" s="81" customFormat="1" ht="15.75" customHeight="1">
      <c r="A139" s="376">
        <v>118</v>
      </c>
      <c r="B139" s="924" t="s">
        <v>215</v>
      </c>
      <c r="C139" s="377" t="s">
        <v>73</v>
      </c>
      <c r="D139" s="378">
        <v>82</v>
      </c>
      <c r="E139" s="21">
        <v>36.214199999999998</v>
      </c>
      <c r="F139" s="21">
        <v>42.4328</v>
      </c>
      <c r="G139" s="22">
        <f>+D139*(E139+F139)</f>
        <v>6449.0539999999992</v>
      </c>
      <c r="H139" s="303"/>
      <c r="I139" s="381"/>
      <c r="J139" s="41"/>
      <c r="K139" s="342"/>
      <c r="L139" s="263">
        <f>SUM(G139:G143,J139:J143)</f>
        <v>74434.733999999997</v>
      </c>
      <c r="M139" s="26">
        <v>74434.73</v>
      </c>
      <c r="N139" s="421"/>
      <c r="O139" s="77"/>
      <c r="P139" s="77"/>
      <c r="Q139" s="384"/>
      <c r="R139" s="422"/>
      <c r="S139" s="399"/>
      <c r="T139" s="399"/>
    </row>
    <row r="140" spans="1:20" s="81" customFormat="1" ht="15.75" customHeight="1">
      <c r="A140" s="389"/>
      <c r="B140" s="920"/>
      <c r="C140" s="36" t="s">
        <v>26</v>
      </c>
      <c r="D140" s="37"/>
      <c r="E140" s="38"/>
      <c r="F140" s="38"/>
      <c r="G140" s="39">
        <f>ROUND(D140*(E140+F140),2)</f>
        <v>0</v>
      </c>
      <c r="H140" s="457"/>
      <c r="I140" s="392"/>
      <c r="J140" s="41"/>
      <c r="K140" s="393"/>
      <c r="L140" s="459"/>
      <c r="M140" s="44"/>
      <c r="N140" s="430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920"/>
      <c r="C141" s="48" t="s">
        <v>149</v>
      </c>
      <c r="D141" s="37">
        <f>июнь18!D138+июнь18!D139</f>
        <v>9478.7000000000007</v>
      </c>
      <c r="E141" s="41">
        <f>6.6998-6.7798</f>
        <v>-8.0000000000000071E-2</v>
      </c>
      <c r="F141" s="38"/>
      <c r="G141" s="39">
        <f>ROUND(D141*(E141),2)+0.01</f>
        <v>-758.29</v>
      </c>
      <c r="H141" s="270"/>
      <c r="I141" s="41"/>
      <c r="J141" s="41"/>
      <c r="K141" s="271"/>
      <c r="L141" s="272"/>
      <c r="M141" s="102"/>
      <c r="N141" s="430"/>
      <c r="O141" s="406"/>
      <c r="P141" s="406"/>
      <c r="Q141" s="407"/>
      <c r="R141" s="422"/>
      <c r="S141" s="399"/>
      <c r="T141" s="399"/>
    </row>
    <row r="142" spans="1:20" s="81" customFormat="1" ht="15.75" customHeight="1">
      <c r="A142" s="389"/>
      <c r="B142" s="920"/>
      <c r="C142" s="48" t="s">
        <v>150</v>
      </c>
      <c r="D142" s="37">
        <v>24.6</v>
      </c>
      <c r="E142" s="41">
        <v>6.6997999999999998</v>
      </c>
      <c r="F142" s="38"/>
      <c r="G142" s="39">
        <f>ROUND(D142*(E142),2)</f>
        <v>164.82</v>
      </c>
      <c r="H142" s="270"/>
      <c r="I142" s="41"/>
      <c r="J142" s="41"/>
      <c r="K142" s="271"/>
      <c r="L142" s="272"/>
      <c r="M142" s="102"/>
      <c r="N142" s="434"/>
      <c r="O142" s="435"/>
      <c r="P142" s="435"/>
      <c r="Q142" s="425"/>
      <c r="R142" s="422"/>
      <c r="S142" s="399"/>
      <c r="T142" s="399"/>
    </row>
    <row r="143" spans="1:20" s="81" customFormat="1" ht="15.75" customHeight="1" thickBot="1">
      <c r="A143" s="411"/>
      <c r="B143" s="921"/>
      <c r="C143" s="54" t="s">
        <v>29</v>
      </c>
      <c r="D143" s="413">
        <v>10236</v>
      </c>
      <c r="E143" s="56">
        <v>6.6997999999999998</v>
      </c>
      <c r="F143" s="281"/>
      <c r="G143" s="414">
        <f>ROUND(D143*(E143),2)</f>
        <v>68579.149999999994</v>
      </c>
      <c r="H143" s="432"/>
      <c r="I143" s="207"/>
      <c r="J143" s="207"/>
      <c r="K143" s="362"/>
      <c r="L143" s="433"/>
      <c r="M143" s="63"/>
      <c r="N143" s="434"/>
      <c r="O143" s="435"/>
      <c r="P143" s="435"/>
      <c r="Q143" s="425"/>
      <c r="R143" s="422"/>
      <c r="S143" s="399"/>
      <c r="T143" s="399"/>
    </row>
    <row r="144" spans="1:20" s="81" customFormat="1" ht="15.75" customHeight="1">
      <c r="A144" s="468">
        <v>121</v>
      </c>
      <c r="B144" s="699" t="s">
        <v>154</v>
      </c>
      <c r="C144" s="700" t="s">
        <v>149</v>
      </c>
      <c r="D144" s="471">
        <f>июнь18!D141+июнь18!D142</f>
        <v>304.7</v>
      </c>
      <c r="E144" s="261">
        <f>6.6998-6.7798</f>
        <v>-8.0000000000000071E-2</v>
      </c>
      <c r="F144" s="473"/>
      <c r="G144" s="449">
        <f>ROUND(D144*E144,2)</f>
        <v>-24.38</v>
      </c>
      <c r="H144" s="303"/>
      <c r="I144" s="23"/>
      <c r="J144" s="23"/>
      <c r="K144" s="304"/>
      <c r="L144" s="263">
        <f>SUM(G144:G146)</f>
        <v>2272.31</v>
      </c>
      <c r="M144" s="26">
        <v>2272.31</v>
      </c>
      <c r="N144" s="421"/>
      <c r="O144" s="77"/>
      <c r="P144" s="77"/>
      <c r="Q144" s="384"/>
      <c r="R144" s="422"/>
      <c r="S144" s="399"/>
      <c r="T144" s="399"/>
    </row>
    <row r="145" spans="1:20" s="81" customFormat="1" ht="15.75" customHeight="1">
      <c r="A145" s="468"/>
      <c r="B145" s="469"/>
      <c r="C145" s="48" t="s">
        <v>150</v>
      </c>
      <c r="D145" s="471">
        <v>0.8</v>
      </c>
      <c r="E145" s="41">
        <v>6.6997999999999998</v>
      </c>
      <c r="F145" s="473"/>
      <c r="G145" s="449">
        <f>ROUND(D145*E145,2)</f>
        <v>5.36</v>
      </c>
      <c r="H145" s="260"/>
      <c r="I145" s="261"/>
      <c r="J145" s="261"/>
      <c r="K145" s="262"/>
      <c r="L145" s="286"/>
      <c r="M145" s="90"/>
      <c r="N145" s="423"/>
      <c r="O145" s="406"/>
      <c r="P145" s="406"/>
      <c r="Q145" s="407"/>
      <c r="R145" s="422"/>
      <c r="S145" s="399"/>
      <c r="T145" s="399"/>
    </row>
    <row r="146" spans="1:20" s="81" customFormat="1" ht="15.75" customHeight="1" thickBot="1">
      <c r="A146" s="858"/>
      <c r="B146" s="859"/>
      <c r="C146" s="54" t="s">
        <v>29</v>
      </c>
      <c r="D146" s="860">
        <v>342</v>
      </c>
      <c r="E146" s="56">
        <v>6.6997999999999998</v>
      </c>
      <c r="F146" s="861"/>
      <c r="G146" s="414">
        <f t="shared" ref="G146" si="24">ROUND(D146*E146,2)</f>
        <v>2291.33</v>
      </c>
      <c r="H146" s="280"/>
      <c r="I146" s="281"/>
      <c r="J146" s="281"/>
      <c r="K146" s="282"/>
      <c r="L146" s="204"/>
      <c r="M146" s="371"/>
      <c r="N146" s="426"/>
      <c r="O146" s="416"/>
      <c r="P146" s="416"/>
      <c r="Q146" s="417"/>
      <c r="R146" s="422"/>
      <c r="S146" s="399"/>
      <c r="T146" s="399"/>
    </row>
    <row r="147" spans="1:20" s="81" customFormat="1" ht="15.75" customHeight="1">
      <c r="A147" s="376">
        <v>202</v>
      </c>
      <c r="B147" s="420" t="s">
        <v>74</v>
      </c>
      <c r="C147" s="377" t="s">
        <v>73</v>
      </c>
      <c r="D147" s="378">
        <v>14</v>
      </c>
      <c r="E147" s="21">
        <v>36.214199999999998</v>
      </c>
      <c r="F147" s="21">
        <v>42.4328</v>
      </c>
      <c r="G147" s="22">
        <f>ROUND(D147*(E147+F147),2)</f>
        <v>1101.06</v>
      </c>
      <c r="H147" s="303"/>
      <c r="I147" s="381"/>
      <c r="J147" s="381"/>
      <c r="K147" s="342"/>
      <c r="L147" s="263">
        <f>SUM(G147:G153,J147:J153)</f>
        <v>19696.46</v>
      </c>
      <c r="M147" s="26">
        <v>19696.46</v>
      </c>
      <c r="N147" s="421"/>
      <c r="O147" s="77"/>
      <c r="P147" s="77"/>
      <c r="Q147" s="384"/>
      <c r="R147" s="422"/>
      <c r="S147" s="399"/>
      <c r="T147" s="399"/>
    </row>
    <row r="148" spans="1:20" s="81" customFormat="1" ht="15.75" customHeight="1">
      <c r="A148" s="389"/>
      <c r="B148" s="98"/>
      <c r="C148" s="84" t="s">
        <v>26</v>
      </c>
      <c r="D148" s="37"/>
      <c r="E148" s="38"/>
      <c r="F148" s="38"/>
      <c r="G148" s="39">
        <f>ROUND(D148*(E148+F148),2)</f>
        <v>0</v>
      </c>
      <c r="H148" s="270"/>
      <c r="I148" s="392"/>
      <c r="J148" s="402"/>
      <c r="K148" s="393"/>
      <c r="L148" s="272"/>
      <c r="M148" s="102"/>
      <c r="N148" s="423"/>
      <c r="O148" s="406"/>
      <c r="P148" s="406"/>
      <c r="Q148" s="407"/>
      <c r="R148" s="422"/>
      <c r="S148" s="399"/>
      <c r="T148" s="399"/>
    </row>
    <row r="149" spans="1:20" s="81" customFormat="1" ht="15.75" customHeight="1">
      <c r="A149" s="389"/>
      <c r="B149" s="98" t="s">
        <v>32</v>
      </c>
      <c r="C149" s="99" t="s">
        <v>33</v>
      </c>
      <c r="D149" s="428">
        <v>4</v>
      </c>
      <c r="E149" s="101">
        <v>237.98</v>
      </c>
      <c r="F149" s="38">
        <v>42.43</v>
      </c>
      <c r="G149" s="39">
        <f>ROUND(D149*(E149+F149),2)</f>
        <v>1121.6400000000001</v>
      </c>
      <c r="H149" s="270"/>
      <c r="I149" s="41"/>
      <c r="J149" s="41"/>
      <c r="K149" s="271"/>
      <c r="L149" s="272"/>
      <c r="M149" s="102"/>
      <c r="N149" s="423"/>
      <c r="O149" s="406"/>
      <c r="P149" s="406"/>
      <c r="Q149" s="407"/>
      <c r="R149" s="422"/>
      <c r="S149" s="399"/>
      <c r="T149" s="399"/>
    </row>
    <row r="150" spans="1:20" s="81" customFormat="1" ht="15.75" customHeight="1">
      <c r="A150" s="389"/>
      <c r="B150" s="83"/>
      <c r="C150" s="48" t="s">
        <v>76</v>
      </c>
      <c r="D150" s="37">
        <f>июнь18!D145</f>
        <v>5</v>
      </c>
      <c r="E150" s="41"/>
      <c r="F150" s="38"/>
      <c r="G150" s="39">
        <f>ROUND(D150*(E150+F150),2)+0.01</f>
        <v>0.01</v>
      </c>
      <c r="H150" s="270"/>
      <c r="I150" s="41"/>
      <c r="J150" s="41"/>
      <c r="K150" s="271"/>
      <c r="L150" s="272"/>
      <c r="M150" s="102"/>
      <c r="N150" s="423"/>
      <c r="O150" s="406"/>
      <c r="P150" s="406"/>
      <c r="Q150" s="407"/>
      <c r="R150" s="422"/>
      <c r="S150" s="399"/>
      <c r="T150" s="399"/>
    </row>
    <row r="151" spans="1:20" s="81" customFormat="1" ht="15.75" customHeight="1">
      <c r="A151" s="389"/>
      <c r="B151" s="83"/>
      <c r="C151" s="48" t="s">
        <v>149</v>
      </c>
      <c r="D151" s="37">
        <f>июнь18!D148+июнь18!D149</f>
        <v>2442.89</v>
      </c>
      <c r="E151" s="41">
        <f>6.6998-6.7798</f>
        <v>-8.0000000000000071E-2</v>
      </c>
      <c r="F151" s="38"/>
      <c r="G151" s="39">
        <f>ROUND(D151*(E151+F151),2)</f>
        <v>-195.43</v>
      </c>
      <c r="H151" s="270"/>
      <c r="I151" s="41"/>
      <c r="J151" s="41"/>
      <c r="K151" s="271"/>
      <c r="L151" s="272"/>
      <c r="M151" s="102"/>
      <c r="N151" s="423"/>
      <c r="O151" s="406"/>
      <c r="P151" s="406"/>
      <c r="Q151" s="407"/>
      <c r="R151" s="422"/>
      <c r="S151" s="399"/>
      <c r="T151" s="399"/>
    </row>
    <row r="152" spans="1:20" s="81" customFormat="1" ht="15.75" customHeight="1">
      <c r="A152" s="389"/>
      <c r="B152" s="83"/>
      <c r="C152" s="48" t="s">
        <v>150</v>
      </c>
      <c r="D152" s="37">
        <v>6.27</v>
      </c>
      <c r="E152" s="41">
        <v>6.6997999999999998</v>
      </c>
      <c r="F152" s="38"/>
      <c r="G152" s="39">
        <f>ROUND(D152*E152,2)</f>
        <v>42.01</v>
      </c>
      <c r="H152" s="270"/>
      <c r="I152" s="41"/>
      <c r="J152" s="41"/>
      <c r="K152" s="271"/>
      <c r="L152" s="272"/>
      <c r="M152" s="102"/>
      <c r="N152" s="423"/>
      <c r="O152" s="406"/>
      <c r="P152" s="406"/>
      <c r="Q152" s="425"/>
      <c r="R152" s="422"/>
      <c r="S152" s="399"/>
      <c r="T152" s="399"/>
    </row>
    <row r="153" spans="1:20" s="81" customFormat="1" ht="15" customHeight="1" thickBot="1">
      <c r="A153" s="411"/>
      <c r="B153" s="412"/>
      <c r="C153" s="99" t="s">
        <v>29</v>
      </c>
      <c r="D153" s="413">
        <v>2631</v>
      </c>
      <c r="E153" s="56">
        <v>6.6997999999999998</v>
      </c>
      <c r="F153" s="281"/>
      <c r="G153" s="414">
        <f>ROUND(D153*(E153+F153),2)</f>
        <v>17627.169999999998</v>
      </c>
      <c r="H153" s="280"/>
      <c r="I153" s="281"/>
      <c r="J153" s="281"/>
      <c r="K153" s="282"/>
      <c r="L153" s="204"/>
      <c r="M153" s="371"/>
      <c r="N153" s="426"/>
      <c r="O153" s="416"/>
      <c r="P153" s="416"/>
      <c r="Q153" s="417"/>
      <c r="R153" s="422"/>
      <c r="S153" s="399"/>
      <c r="T153" s="399"/>
    </row>
    <row r="154" spans="1:20" s="81" customFormat="1" ht="15.75" customHeight="1">
      <c r="A154" s="902">
        <v>203</v>
      </c>
      <c r="B154" s="903" t="s">
        <v>230</v>
      </c>
      <c r="C154" s="439" t="s">
        <v>149</v>
      </c>
      <c r="D154" s="904">
        <f>июнь18!D151+июнь18!D152</f>
        <v>70.2</v>
      </c>
      <c r="E154" s="23">
        <f>6.6998-6.7798</f>
        <v>-8.0000000000000071E-2</v>
      </c>
      <c r="F154" s="905"/>
      <c r="G154" s="22">
        <f>ROUND(D154*E154,2)+0.01</f>
        <v>-5.61</v>
      </c>
      <c r="H154" s="303"/>
      <c r="I154" s="23"/>
      <c r="J154" s="23"/>
      <c r="K154" s="304"/>
      <c r="L154" s="263">
        <f>SUM(G154:G156)</f>
        <v>444.62</v>
      </c>
      <c r="M154" s="26">
        <v>444.62</v>
      </c>
      <c r="N154" s="421"/>
      <c r="O154" s="77"/>
      <c r="P154" s="77"/>
      <c r="Q154" s="384"/>
      <c r="R154" s="422"/>
      <c r="S154" s="399"/>
      <c r="T154" s="399"/>
    </row>
    <row r="155" spans="1:20" s="81" customFormat="1" ht="15.75" customHeight="1">
      <c r="A155" s="468"/>
      <c r="B155" s="469"/>
      <c r="C155" s="48" t="s">
        <v>150</v>
      </c>
      <c r="D155" s="471">
        <v>0.2</v>
      </c>
      <c r="E155" s="41">
        <v>6.6997999999999998</v>
      </c>
      <c r="F155" s="473"/>
      <c r="G155" s="449">
        <f>ROUND(D155*E155,2)</f>
        <v>1.34</v>
      </c>
      <c r="H155" s="260"/>
      <c r="I155" s="261"/>
      <c r="J155" s="261"/>
      <c r="K155" s="262"/>
      <c r="L155" s="286"/>
      <c r="M155" s="90"/>
      <c r="N155" s="423"/>
      <c r="O155" s="406"/>
      <c r="P155" s="406"/>
      <c r="Q155" s="407"/>
      <c r="R155" s="422"/>
      <c r="S155" s="399"/>
      <c r="T155" s="399"/>
    </row>
    <row r="156" spans="1:20" s="81" customFormat="1" ht="15.75" customHeight="1" thickBot="1">
      <c r="A156" s="858"/>
      <c r="B156" s="859"/>
      <c r="C156" s="54" t="s">
        <v>29</v>
      </c>
      <c r="D156" s="860">
        <v>67</v>
      </c>
      <c r="E156" s="56">
        <v>6.6997999999999998</v>
      </c>
      <c r="F156" s="861"/>
      <c r="G156" s="414">
        <f t="shared" ref="G156" si="25">ROUND(D156*E156,2)</f>
        <v>448.89</v>
      </c>
      <c r="H156" s="280"/>
      <c r="I156" s="281"/>
      <c r="J156" s="207"/>
      <c r="K156" s="362"/>
      <c r="L156" s="433"/>
      <c r="M156" s="63"/>
      <c r="N156" s="426"/>
      <c r="O156" s="416"/>
      <c r="P156" s="416"/>
      <c r="Q156" s="417"/>
      <c r="R156" s="422"/>
      <c r="S156" s="399"/>
      <c r="T156" s="399"/>
    </row>
    <row r="157" spans="1:20" s="81" customFormat="1" ht="15.75" customHeight="1">
      <c r="A157" s="902">
        <v>204</v>
      </c>
      <c r="B157" s="903" t="s">
        <v>257</v>
      </c>
      <c r="C157" s="439" t="s">
        <v>149</v>
      </c>
      <c r="D157" s="904">
        <v>0</v>
      </c>
      <c r="E157" s="23">
        <f>6.6998-6.7798</f>
        <v>-8.0000000000000071E-2</v>
      </c>
      <c r="F157" s="905"/>
      <c r="G157" s="22">
        <f>ROUND(D157*E157,2)</f>
        <v>0</v>
      </c>
      <c r="H157" s="303"/>
      <c r="I157" s="23"/>
      <c r="J157" s="23"/>
      <c r="K157" s="304"/>
      <c r="L157" s="263">
        <f>SUM(G157:G159)</f>
        <v>241.85999999999999</v>
      </c>
      <c r="M157" s="26">
        <v>241.86</v>
      </c>
      <c r="N157" s="421"/>
      <c r="O157" s="77"/>
      <c r="P157" s="77"/>
      <c r="Q157" s="384"/>
      <c r="R157" s="422"/>
      <c r="S157" s="399"/>
      <c r="T157" s="399"/>
    </row>
    <row r="158" spans="1:20" s="81" customFormat="1" ht="15.75" customHeight="1">
      <c r="A158" s="468"/>
      <c r="B158" s="469"/>
      <c r="C158" s="48" t="s">
        <v>150</v>
      </c>
      <c r="D158" s="471">
        <v>0.1</v>
      </c>
      <c r="E158" s="41">
        <v>6.6997999999999998</v>
      </c>
      <c r="F158" s="473"/>
      <c r="G158" s="449">
        <f>ROUND(D158*E158,2)</f>
        <v>0.67</v>
      </c>
      <c r="H158" s="260"/>
      <c r="I158" s="261"/>
      <c r="J158" s="261"/>
      <c r="K158" s="262"/>
      <c r="L158" s="286"/>
      <c r="M158" s="90"/>
      <c r="N158" s="423"/>
      <c r="O158" s="406"/>
      <c r="P158" s="406"/>
      <c r="Q158" s="407"/>
      <c r="R158" s="422"/>
      <c r="S158" s="399"/>
      <c r="T158" s="399"/>
    </row>
    <row r="159" spans="1:20" s="81" customFormat="1" ht="15.75" customHeight="1" thickBot="1">
      <c r="A159" s="858"/>
      <c r="B159" s="859"/>
      <c r="C159" s="54" t="s">
        <v>29</v>
      </c>
      <c r="D159" s="860">
        <v>36</v>
      </c>
      <c r="E159" s="56">
        <v>6.6997999999999998</v>
      </c>
      <c r="F159" s="861"/>
      <c r="G159" s="414">
        <f t="shared" ref="G159" si="26">ROUND(D159*E159,2)</f>
        <v>241.19</v>
      </c>
      <c r="H159" s="280"/>
      <c r="I159" s="281"/>
      <c r="J159" s="281"/>
      <c r="K159" s="282"/>
      <c r="L159" s="204"/>
      <c r="M159" s="371"/>
      <c r="N159" s="426"/>
      <c r="O159" s="416"/>
      <c r="P159" s="416"/>
      <c r="Q159" s="417"/>
      <c r="R159" s="422"/>
      <c r="S159" s="399"/>
      <c r="T159" s="399"/>
    </row>
    <row r="160" spans="1:20" s="81" customFormat="1" ht="15.75" customHeight="1">
      <c r="A160" s="902">
        <v>207</v>
      </c>
      <c r="B160" s="903" t="s">
        <v>248</v>
      </c>
      <c r="C160" s="439" t="s">
        <v>149</v>
      </c>
      <c r="D160" s="904">
        <f>июнь18!D154+июнь18!D155</f>
        <v>109.3</v>
      </c>
      <c r="E160" s="23">
        <f>6.6998-6.7798</f>
        <v>-8.0000000000000071E-2</v>
      </c>
      <c r="F160" s="905"/>
      <c r="G160" s="22">
        <f>ROUND(D160*E160,2)</f>
        <v>-8.74</v>
      </c>
      <c r="H160" s="303"/>
      <c r="I160" s="23"/>
      <c r="J160" s="23"/>
      <c r="K160" s="304"/>
      <c r="L160" s="263">
        <f>SUM(G160:G162)</f>
        <v>2308.0499999999997</v>
      </c>
      <c r="M160" s="26">
        <v>2308.0500000000002</v>
      </c>
      <c r="N160" s="421"/>
      <c r="O160" s="77"/>
      <c r="P160" s="77"/>
      <c r="Q160" s="384"/>
      <c r="R160" s="422"/>
      <c r="S160" s="399"/>
      <c r="T160" s="399"/>
    </row>
    <row r="161" spans="1:20" s="81" customFormat="1" ht="15.75" customHeight="1">
      <c r="A161" s="468"/>
      <c r="B161" s="469"/>
      <c r="C161" s="48" t="s">
        <v>150</v>
      </c>
      <c r="D161" s="471">
        <v>0.8</v>
      </c>
      <c r="E161" s="41">
        <v>6.6997999999999998</v>
      </c>
      <c r="F161" s="473"/>
      <c r="G161" s="449">
        <f>ROUND(D161*E161,2)</f>
        <v>5.36</v>
      </c>
      <c r="H161" s="260"/>
      <c r="I161" s="261"/>
      <c r="J161" s="261"/>
      <c r="K161" s="262"/>
      <c r="L161" s="286"/>
      <c r="M161" s="90"/>
      <c r="N161" s="423"/>
      <c r="O161" s="406"/>
      <c r="P161" s="406"/>
      <c r="Q161" s="407"/>
      <c r="R161" s="422"/>
      <c r="S161" s="399"/>
      <c r="T161" s="399"/>
    </row>
    <row r="162" spans="1:20" s="81" customFormat="1" ht="15.75" customHeight="1" thickBot="1">
      <c r="A162" s="858"/>
      <c r="B162" s="859"/>
      <c r="C162" s="54" t="s">
        <v>29</v>
      </c>
      <c r="D162" s="860">
        <v>345</v>
      </c>
      <c r="E162" s="56">
        <v>6.6997999999999998</v>
      </c>
      <c r="F162" s="861"/>
      <c r="G162" s="414">
        <f t="shared" ref="G162" si="27">ROUND(D162*E162,2)</f>
        <v>2311.4299999999998</v>
      </c>
      <c r="H162" s="280"/>
      <c r="I162" s="281"/>
      <c r="J162" s="207"/>
      <c r="K162" s="362"/>
      <c r="L162" s="433"/>
      <c r="M162" s="63"/>
      <c r="N162" s="426"/>
      <c r="O162" s="416"/>
      <c r="P162" s="416"/>
      <c r="Q162" s="417"/>
      <c r="R162" s="422"/>
      <c r="S162" s="399"/>
      <c r="T162" s="399"/>
    </row>
    <row r="163" spans="1:20" s="81" customFormat="1" ht="15" customHeight="1">
      <c r="A163" s="376">
        <v>210</v>
      </c>
      <c r="B163" s="420" t="s">
        <v>77</v>
      </c>
      <c r="C163" s="377" t="s">
        <v>73</v>
      </c>
      <c r="D163" s="378">
        <v>2</v>
      </c>
      <c r="E163" s="21">
        <v>36.214199999999998</v>
      </c>
      <c r="F163" s="21">
        <v>42.4328</v>
      </c>
      <c r="G163" s="22">
        <f t="shared" ref="G163:G169" si="28">ROUND(D163*(E163+F163),2)</f>
        <v>157.29</v>
      </c>
      <c r="H163" s="303"/>
      <c r="I163" s="381"/>
      <c r="J163" s="381"/>
      <c r="K163" s="342"/>
      <c r="L163" s="382">
        <f>+SUM(G163:G169,J163:J169)</f>
        <v>4578.66</v>
      </c>
      <c r="M163" s="26">
        <v>4578.66</v>
      </c>
      <c r="N163" s="421"/>
      <c r="O163" s="77"/>
      <c r="P163" s="77"/>
      <c r="Q163" s="384"/>
      <c r="R163" s="422"/>
      <c r="S163" s="399"/>
      <c r="T163" s="399"/>
    </row>
    <row r="164" spans="1:20" s="81" customFormat="1" ht="15" customHeight="1">
      <c r="A164" s="389"/>
      <c r="B164" s="83"/>
      <c r="C164" s="84" t="s">
        <v>26</v>
      </c>
      <c r="D164" s="37"/>
      <c r="E164" s="38"/>
      <c r="F164" s="38"/>
      <c r="G164" s="39">
        <f t="shared" si="28"/>
        <v>0</v>
      </c>
      <c r="H164" s="270"/>
      <c r="I164" s="392"/>
      <c r="J164" s="402"/>
      <c r="K164" s="393"/>
      <c r="L164" s="429"/>
      <c r="M164" s="102"/>
      <c r="N164" s="430"/>
      <c r="O164" s="406"/>
      <c r="P164" s="406"/>
      <c r="Q164" s="407"/>
      <c r="R164" s="422"/>
      <c r="S164" s="399"/>
      <c r="T164" s="399"/>
    </row>
    <row r="165" spans="1:20" s="81" customFormat="1" ht="15" customHeight="1">
      <c r="A165" s="389"/>
      <c r="B165" s="98" t="s">
        <v>32</v>
      </c>
      <c r="C165" s="99" t="s">
        <v>33</v>
      </c>
      <c r="D165" s="37">
        <v>4</v>
      </c>
      <c r="E165" s="101">
        <v>237.98</v>
      </c>
      <c r="F165" s="38">
        <v>42.4328</v>
      </c>
      <c r="G165" s="39">
        <f t="shared" si="28"/>
        <v>1121.6500000000001</v>
      </c>
      <c r="H165" s="270"/>
      <c r="I165" s="41"/>
      <c r="J165" s="41"/>
      <c r="K165" s="271"/>
      <c r="L165" s="272"/>
      <c r="M165" s="102"/>
      <c r="N165" s="430"/>
      <c r="O165" s="406"/>
      <c r="P165" s="406"/>
      <c r="Q165" s="407"/>
      <c r="R165" s="422"/>
      <c r="S165" s="399"/>
      <c r="T165" s="399"/>
    </row>
    <row r="166" spans="1:20" s="81" customFormat="1" ht="15" customHeight="1">
      <c r="A166" s="389"/>
      <c r="B166" s="83"/>
      <c r="C166" s="48" t="s">
        <v>190</v>
      </c>
      <c r="D166" s="37">
        <f>июнь18!D158</f>
        <v>4</v>
      </c>
      <c r="E166" s="41"/>
      <c r="F166" s="38"/>
      <c r="G166" s="39">
        <f>ROUND(D166*(E166+F166),2)</f>
        <v>0</v>
      </c>
      <c r="H166" s="270"/>
      <c r="I166" s="41"/>
      <c r="J166" s="41"/>
      <c r="K166" s="271"/>
      <c r="L166" s="272"/>
      <c r="M166" s="102"/>
      <c r="N166" s="430"/>
      <c r="O166" s="406"/>
      <c r="P166" s="406"/>
      <c r="Q166" s="407"/>
      <c r="R166" s="422"/>
      <c r="S166" s="399"/>
      <c r="T166" s="399"/>
    </row>
    <row r="167" spans="1:20" s="81" customFormat="1" ht="15" customHeight="1">
      <c r="A167" s="389"/>
      <c r="B167" s="83"/>
      <c r="C167" s="48" t="s">
        <v>149</v>
      </c>
      <c r="D167" s="37">
        <f>июнь18!D161+июнь18!D162</f>
        <v>727.7</v>
      </c>
      <c r="E167" s="41">
        <f>6.6998-6.7798</f>
        <v>-8.0000000000000071E-2</v>
      </c>
      <c r="F167" s="38"/>
      <c r="G167" s="39">
        <f>ROUND(D167*(E167+F167),2)</f>
        <v>-58.22</v>
      </c>
      <c r="H167" s="270"/>
      <c r="I167" s="41"/>
      <c r="J167" s="41"/>
      <c r="K167" s="271"/>
      <c r="L167" s="272"/>
      <c r="M167" s="102"/>
      <c r="N167" s="430"/>
      <c r="O167" s="406"/>
      <c r="P167" s="406"/>
      <c r="Q167" s="407"/>
      <c r="R167" s="899"/>
      <c r="S167" s="399"/>
      <c r="T167" s="399"/>
    </row>
    <row r="168" spans="1:20" s="81" customFormat="1" ht="15" customHeight="1">
      <c r="A168" s="389"/>
      <c r="B168" s="83"/>
      <c r="C168" s="48" t="s">
        <v>150</v>
      </c>
      <c r="D168" s="37">
        <v>1.2</v>
      </c>
      <c r="E168" s="41">
        <v>6.6997999999999998</v>
      </c>
      <c r="F168" s="38"/>
      <c r="G168" s="39">
        <f t="shared" si="28"/>
        <v>8.0399999999999991</v>
      </c>
      <c r="H168" s="432"/>
      <c r="I168" s="207"/>
      <c r="J168" s="207"/>
      <c r="K168" s="362"/>
      <c r="L168" s="433"/>
      <c r="M168" s="63"/>
      <c r="N168" s="434"/>
      <c r="O168" s="435"/>
      <c r="P168" s="435"/>
      <c r="Q168" s="425"/>
      <c r="R168" s="899"/>
      <c r="S168" s="399"/>
      <c r="T168" s="399"/>
    </row>
    <row r="169" spans="1:20" s="81" customFormat="1" ht="15" customHeight="1" thickBot="1">
      <c r="A169" s="411"/>
      <c r="B169" s="412"/>
      <c r="C169" s="99" t="s">
        <v>29</v>
      </c>
      <c r="D169" s="413">
        <v>500</v>
      </c>
      <c r="E169" s="56">
        <v>6.6997999999999998</v>
      </c>
      <c r="F169" s="281"/>
      <c r="G169" s="414">
        <f t="shared" si="28"/>
        <v>3349.9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899"/>
      <c r="S169" s="399"/>
      <c r="T169" s="399"/>
    </row>
    <row r="170" spans="1:20" s="81" customFormat="1" ht="15.75" customHeight="1">
      <c r="A170" s="902">
        <v>211</v>
      </c>
      <c r="B170" s="903" t="s">
        <v>231</v>
      </c>
      <c r="C170" s="439" t="s">
        <v>149</v>
      </c>
      <c r="D170" s="904">
        <f>июнь18!D164+июнь18!D165</f>
        <v>252.6</v>
      </c>
      <c r="E170" s="23">
        <f>6.6998-6.7798</f>
        <v>-8.0000000000000071E-2</v>
      </c>
      <c r="F170" s="905"/>
      <c r="G170" s="22">
        <f>ROUND(D170*E170,2)</f>
        <v>-20.21</v>
      </c>
      <c r="H170" s="303"/>
      <c r="I170" s="23"/>
      <c r="J170" s="23"/>
      <c r="K170" s="304"/>
      <c r="L170" s="263">
        <f>SUM(G170:G172)</f>
        <v>1853.72</v>
      </c>
      <c r="M170" s="26">
        <v>1853.72</v>
      </c>
      <c r="N170" s="421"/>
      <c r="O170" s="77"/>
      <c r="P170" s="77"/>
      <c r="Q170" s="384"/>
      <c r="R170" s="422"/>
      <c r="S170" s="399"/>
      <c r="T170" s="399"/>
    </row>
    <row r="171" spans="1:20" s="81" customFormat="1" ht="15.75" customHeight="1">
      <c r="A171" s="468"/>
      <c r="B171" s="469"/>
      <c r="C171" s="48" t="s">
        <v>150</v>
      </c>
      <c r="D171" s="471">
        <v>0.7</v>
      </c>
      <c r="E171" s="41">
        <v>6.6997999999999998</v>
      </c>
      <c r="F171" s="473"/>
      <c r="G171" s="449">
        <f>ROUND(D171*E171,2)</f>
        <v>4.6900000000000004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858"/>
      <c r="B172" s="859"/>
      <c r="C172" s="54" t="s">
        <v>29</v>
      </c>
      <c r="D172" s="860">
        <v>279</v>
      </c>
      <c r="E172" s="56">
        <v>6.6997999999999998</v>
      </c>
      <c r="F172" s="861"/>
      <c r="G172" s="414">
        <f t="shared" ref="G172" si="29">ROUND(D172*E172,2)</f>
        <v>1869.24</v>
      </c>
      <c r="H172" s="280"/>
      <c r="I172" s="281"/>
      <c r="J172" s="207"/>
      <c r="K172" s="362"/>
      <c r="L172" s="433"/>
      <c r="M172" s="63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902">
        <v>212</v>
      </c>
      <c r="B173" s="903" t="s">
        <v>140</v>
      </c>
      <c r="C173" s="439" t="s">
        <v>149</v>
      </c>
      <c r="D173" s="904">
        <f>июнь18!D167+июнь18!D168</f>
        <v>578.4</v>
      </c>
      <c r="E173" s="23">
        <f>6.6998-6.7798</f>
        <v>-8.0000000000000071E-2</v>
      </c>
      <c r="F173" s="905"/>
      <c r="G173" s="22">
        <f>ROUND(D173*E173,2)</f>
        <v>-46.27</v>
      </c>
      <c r="H173" s="303"/>
      <c r="I173" s="23"/>
      <c r="J173" s="23"/>
      <c r="K173" s="304"/>
      <c r="L173" s="263">
        <f>SUM(G173:G175)</f>
        <v>4211.45</v>
      </c>
      <c r="M173" s="26">
        <v>4211.45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468"/>
      <c r="B174" s="469"/>
      <c r="C174" s="48" t="s">
        <v>150</v>
      </c>
      <c r="D174" s="471">
        <v>1.5</v>
      </c>
      <c r="E174" s="41">
        <v>6.6997999999999998</v>
      </c>
      <c r="F174" s="473"/>
      <c r="G174" s="449">
        <f>ROUND(D174*E174,2)</f>
        <v>10.050000000000001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858"/>
      <c r="B175" s="859"/>
      <c r="C175" s="54" t="s">
        <v>29</v>
      </c>
      <c r="D175" s="860">
        <v>634</v>
      </c>
      <c r="E175" s="56">
        <v>6.6997999999999998</v>
      </c>
      <c r="F175" s="861"/>
      <c r="G175" s="414">
        <f t="shared" ref="G175" si="30">ROUND(D175*E175,2)</f>
        <v>4247.67</v>
      </c>
      <c r="H175" s="280"/>
      <c r="I175" s="281"/>
      <c r="J175" s="207"/>
      <c r="K175" s="362"/>
      <c r="L175" s="433"/>
      <c r="M175" s="63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902">
        <v>213</v>
      </c>
      <c r="B176" s="903" t="s">
        <v>134</v>
      </c>
      <c r="C176" s="439" t="s">
        <v>149</v>
      </c>
      <c r="D176" s="904">
        <f>июнь18!D170+июнь18!D171</f>
        <v>629.5</v>
      </c>
      <c r="E176" s="23">
        <f>6.6998-6.7798</f>
        <v>-8.0000000000000071E-2</v>
      </c>
      <c r="F176" s="905"/>
      <c r="G176" s="22">
        <f>ROUND(D176*E176,2)</f>
        <v>-50.36</v>
      </c>
      <c r="H176" s="303"/>
      <c r="I176" s="23"/>
      <c r="J176" s="23"/>
      <c r="K176" s="304"/>
      <c r="L176" s="263">
        <f>SUM(G176:G178)</f>
        <v>4865.95</v>
      </c>
      <c r="M176" s="26">
        <v>4865.95</v>
      </c>
      <c r="N176" s="421"/>
      <c r="O176" s="77"/>
      <c r="P176" s="77"/>
      <c r="Q176" s="384"/>
      <c r="R176" s="422"/>
      <c r="S176" s="399"/>
      <c r="T176" s="399"/>
    </row>
    <row r="177" spans="1:21" s="81" customFormat="1" ht="15.75" customHeight="1">
      <c r="A177" s="468"/>
      <c r="B177" s="469"/>
      <c r="C177" s="48" t="s">
        <v>150</v>
      </c>
      <c r="D177" s="471">
        <v>1.8</v>
      </c>
      <c r="E177" s="41">
        <v>6.6997999999999998</v>
      </c>
      <c r="F177" s="473"/>
      <c r="G177" s="449">
        <f t="shared" ref="G177:G178" si="31">ROUND(D177*E177,2)</f>
        <v>12.06</v>
      </c>
      <c r="H177" s="260"/>
      <c r="I177" s="261"/>
      <c r="J177" s="261"/>
      <c r="K177" s="262"/>
      <c r="L177" s="286"/>
      <c r="M177" s="90"/>
      <c r="N177" s="423"/>
      <c r="O177" s="406"/>
      <c r="P177" s="406"/>
      <c r="Q177" s="407"/>
      <c r="R177" s="422"/>
      <c r="S177" s="399"/>
      <c r="T177" s="399"/>
    </row>
    <row r="178" spans="1:21" s="81" customFormat="1" ht="15.75" customHeight="1" thickBot="1">
      <c r="A178" s="858"/>
      <c r="B178" s="859"/>
      <c r="C178" s="54" t="s">
        <v>29</v>
      </c>
      <c r="D178" s="860">
        <v>732</v>
      </c>
      <c r="E178" s="56">
        <v>6.6997999999999998</v>
      </c>
      <c r="F178" s="861"/>
      <c r="G178" s="414">
        <f t="shared" si="31"/>
        <v>4904.25</v>
      </c>
      <c r="H178" s="280"/>
      <c r="I178" s="281"/>
      <c r="J178" s="281"/>
      <c r="K178" s="282"/>
      <c r="L178" s="204"/>
      <c r="M178" s="371"/>
      <c r="N178" s="426"/>
      <c r="O178" s="416"/>
      <c r="P178" s="416"/>
      <c r="Q178" s="417"/>
      <c r="R178" s="422"/>
      <c r="S178" s="399"/>
      <c r="T178" s="399"/>
    </row>
    <row r="179" spans="1:21" s="81" customFormat="1" ht="15.75" customHeight="1">
      <c r="A179" s="902">
        <v>215</v>
      </c>
      <c r="B179" s="903" t="s">
        <v>220</v>
      </c>
      <c r="C179" s="439"/>
      <c r="D179" s="904"/>
      <c r="E179" s="23"/>
      <c r="F179" s="905"/>
      <c r="G179" s="22">
        <f>ROUND(D179*E179,2)</f>
        <v>0</v>
      </c>
      <c r="H179" s="303"/>
      <c r="I179" s="23"/>
      <c r="J179" s="23"/>
      <c r="K179" s="304"/>
      <c r="L179" s="263">
        <f>SUM(G179:G181)</f>
        <v>4478.2400000000007</v>
      </c>
      <c r="M179" s="26">
        <v>4478.24</v>
      </c>
      <c r="N179" s="421"/>
      <c r="O179" s="77"/>
      <c r="P179" s="77"/>
      <c r="Q179" s="384"/>
      <c r="R179" s="422"/>
      <c r="S179" s="399"/>
      <c r="T179" s="399"/>
    </row>
    <row r="180" spans="1:21" s="81" customFormat="1" ht="15.75" customHeight="1">
      <c r="A180" s="468"/>
      <c r="B180" s="981" t="s">
        <v>221</v>
      </c>
      <c r="C180" s="48" t="s">
        <v>150</v>
      </c>
      <c r="D180" s="471">
        <v>1.5</v>
      </c>
      <c r="E180" s="41">
        <v>6.9268999999999998</v>
      </c>
      <c r="F180" s="473"/>
      <c r="G180" s="449">
        <f t="shared" ref="G180:G181" si="32">ROUND(D180*E180,2)</f>
        <v>10.39</v>
      </c>
      <c r="H180" s="260"/>
      <c r="I180" s="261"/>
      <c r="J180" s="261"/>
      <c r="K180" s="262"/>
      <c r="L180" s="286"/>
      <c r="M180" s="90"/>
      <c r="N180" s="423"/>
      <c r="O180" s="406"/>
      <c r="P180" s="406"/>
      <c r="Q180" s="407"/>
      <c r="R180" s="422"/>
      <c r="S180" s="399"/>
      <c r="T180" s="399"/>
    </row>
    <row r="181" spans="1:21" s="81" customFormat="1" ht="15.75" customHeight="1" thickBot="1">
      <c r="A181" s="858"/>
      <c r="B181" s="859"/>
      <c r="C181" s="54" t="s">
        <v>29</v>
      </c>
      <c r="D181" s="860">
        <v>645</v>
      </c>
      <c r="E181" s="56">
        <v>6.9268999999999998</v>
      </c>
      <c r="F181" s="861"/>
      <c r="G181" s="414">
        <f t="shared" si="32"/>
        <v>4467.8500000000004</v>
      </c>
      <c r="H181" s="280"/>
      <c r="I181" s="281"/>
      <c r="J181" s="281"/>
      <c r="K181" s="282"/>
      <c r="L181" s="204"/>
      <c r="M181" s="371"/>
      <c r="N181" s="426"/>
      <c r="O181" s="416"/>
      <c r="P181" s="416"/>
      <c r="Q181" s="417"/>
      <c r="R181" s="422"/>
      <c r="S181" s="399"/>
      <c r="T181" s="399"/>
    </row>
    <row r="182" spans="1:21" s="81" customFormat="1" ht="15" customHeight="1">
      <c r="A182" s="376">
        <v>301</v>
      </c>
      <c r="B182" s="70" t="s">
        <v>67</v>
      </c>
      <c r="C182" s="377"/>
      <c r="D182" s="378">
        <v>752</v>
      </c>
      <c r="E182" s="21">
        <v>36.214199999999998</v>
      </c>
      <c r="F182" s="21">
        <v>42.4328</v>
      </c>
      <c r="G182" s="379">
        <f>ROUND(D182*(E182+F182),2)</f>
        <v>59142.54</v>
      </c>
      <c r="H182" s="380"/>
      <c r="I182" s="381"/>
      <c r="J182" s="381"/>
      <c r="K182" s="342"/>
      <c r="L182" s="382">
        <f>+SUM(G182:G191,J182:J190)</f>
        <v>184349.97999999998</v>
      </c>
      <c r="M182" s="26">
        <v>184349.98</v>
      </c>
      <c r="N182" s="383"/>
      <c r="O182" s="77"/>
      <c r="P182" s="77" t="s">
        <v>68</v>
      </c>
      <c r="Q182" s="384">
        <f t="shared" si="19"/>
        <v>-125207.44</v>
      </c>
      <c r="R182" s="385" t="s">
        <v>69</v>
      </c>
      <c r="S182" s="386"/>
      <c r="T182" s="387"/>
      <c r="U182" s="388"/>
    </row>
    <row r="183" spans="1:21" s="81" customFormat="1" ht="12.75">
      <c r="A183" s="389"/>
      <c r="B183" s="83"/>
      <c r="C183" s="390" t="s">
        <v>26</v>
      </c>
      <c r="D183" s="37"/>
      <c r="E183" s="38"/>
      <c r="F183" s="38"/>
      <c r="G183" s="39">
        <f>ROUND(D183*(E183+F183),2)</f>
        <v>0</v>
      </c>
      <c r="H183" s="391"/>
      <c r="I183" s="392"/>
      <c r="J183" s="402"/>
      <c r="K183" s="393"/>
      <c r="L183" s="394"/>
      <c r="M183" s="90"/>
      <c r="N183" s="395"/>
      <c r="O183" s="94"/>
      <c r="P183" s="94"/>
      <c r="Q183" s="396"/>
      <c r="R183" s="397"/>
      <c r="S183" s="398"/>
      <c r="T183" s="399"/>
    </row>
    <row r="184" spans="1:21" s="81" customFormat="1" ht="12.75">
      <c r="A184" s="389"/>
      <c r="B184" s="98" t="s">
        <v>32</v>
      </c>
      <c r="C184" s="99" t="s">
        <v>33</v>
      </c>
      <c r="D184" s="37">
        <v>53</v>
      </c>
      <c r="E184" s="101">
        <v>237.98</v>
      </c>
      <c r="F184" s="38">
        <v>42.4328</v>
      </c>
      <c r="G184" s="400">
        <f>ROUND(D184*(E184+F184),2)</f>
        <v>14861.88</v>
      </c>
      <c r="H184" s="401"/>
      <c r="I184" s="402"/>
      <c r="J184" s="402"/>
      <c r="K184" s="403"/>
      <c r="L184" s="404"/>
      <c r="M184" s="102"/>
      <c r="N184" s="405"/>
      <c r="O184" s="406"/>
      <c r="P184" s="406" t="s">
        <v>68</v>
      </c>
      <c r="Q184" s="407">
        <f>+G184+J184-M184-N184-O184</f>
        <v>14861.88</v>
      </c>
      <c r="R184" s="397" t="s">
        <v>69</v>
      </c>
      <c r="S184" s="398"/>
      <c r="T184" s="399"/>
    </row>
    <row r="185" spans="1:21" s="81" customFormat="1" ht="15" customHeight="1">
      <c r="A185" s="389"/>
      <c r="B185" s="98"/>
      <c r="C185" s="84" t="s">
        <v>26</v>
      </c>
      <c r="D185" s="37">
        <f>июнь18!D177</f>
        <v>71</v>
      </c>
      <c r="E185" s="41"/>
      <c r="F185" s="38"/>
      <c r="G185" s="400">
        <f>+D185*(E185+F185)</f>
        <v>0</v>
      </c>
      <c r="H185" s="401"/>
      <c r="I185" s="402"/>
      <c r="J185" s="402"/>
      <c r="K185" s="408"/>
      <c r="L185" s="404"/>
      <c r="M185" s="102"/>
      <c r="N185" s="405"/>
      <c r="O185" s="406"/>
      <c r="P185" s="406"/>
      <c r="Q185" s="407"/>
      <c r="R185" s="397"/>
      <c r="S185" s="398"/>
      <c r="T185" s="399"/>
    </row>
    <row r="186" spans="1:21" s="81" customFormat="1" ht="15" customHeight="1">
      <c r="A186" s="389"/>
      <c r="B186" s="83"/>
      <c r="C186" s="84"/>
      <c r="D186" s="37"/>
      <c r="E186" s="41"/>
      <c r="F186" s="38"/>
      <c r="G186" s="400"/>
      <c r="H186" s="401"/>
      <c r="I186" s="402"/>
      <c r="J186" s="402"/>
      <c r="K186" s="408"/>
      <c r="L186" s="404"/>
      <c r="M186" s="102"/>
      <c r="N186" s="405"/>
      <c r="O186" s="406"/>
      <c r="P186" s="406"/>
      <c r="Q186" s="407"/>
      <c r="R186" s="397"/>
      <c r="S186" s="398"/>
      <c r="T186" s="399"/>
    </row>
    <row r="187" spans="1:21" s="81" customFormat="1" ht="15" customHeight="1">
      <c r="A187" s="389"/>
      <c r="B187" s="83" t="s">
        <v>70</v>
      </c>
      <c r="C187" s="84"/>
      <c r="D187" s="37"/>
      <c r="E187" s="41"/>
      <c r="F187" s="38"/>
      <c r="G187" s="400"/>
      <c r="H187" s="401"/>
      <c r="I187" s="402"/>
      <c r="J187" s="402"/>
      <c r="K187" s="408"/>
      <c r="L187" s="404"/>
      <c r="M187" s="102"/>
      <c r="N187" s="405"/>
      <c r="O187" s="406"/>
      <c r="P187" s="406"/>
      <c r="Q187" s="407"/>
      <c r="R187" s="397"/>
      <c r="S187" s="398"/>
      <c r="T187" s="399"/>
    </row>
    <row r="188" spans="1:21" s="81" customFormat="1" ht="15" customHeight="1">
      <c r="A188" s="389"/>
      <c r="B188" s="83"/>
      <c r="C188" s="48"/>
      <c r="D188" s="37"/>
      <c r="E188" s="41">
        <f>4.4128-4.4153</f>
        <v>-2.5000000000003908E-3</v>
      </c>
      <c r="F188" s="38"/>
      <c r="G188" s="39">
        <f>ROUND(D188*(E188+F188),2)</f>
        <v>0</v>
      </c>
      <c r="H188" s="37"/>
      <c r="I188" s="409"/>
      <c r="J188" s="409"/>
      <c r="K188" s="408"/>
      <c r="L188" s="404"/>
      <c r="M188" s="102"/>
      <c r="N188" s="405"/>
      <c r="O188" s="406"/>
      <c r="P188" s="406"/>
      <c r="Q188" s="407"/>
      <c r="R188" s="397"/>
      <c r="S188" s="398"/>
      <c r="T188" s="399"/>
    </row>
    <row r="189" spans="1:21" s="81" customFormat="1" ht="15" customHeight="1">
      <c r="A189" s="389"/>
      <c r="B189" s="83"/>
      <c r="C189" s="48" t="s">
        <v>149</v>
      </c>
      <c r="D189" s="37">
        <f>июнь18!D183+июнь18!D184</f>
        <v>12899</v>
      </c>
      <c r="E189" s="41">
        <f>6.6998-6.7798</f>
        <v>-8.0000000000000071E-2</v>
      </c>
      <c r="F189" s="38">
        <f>+E189</f>
        <v>-8.0000000000000071E-2</v>
      </c>
      <c r="G189" s="39">
        <f>ROUND(D189*E189,2)+0.01</f>
        <v>-1031.9100000000001</v>
      </c>
      <c r="H189" s="37"/>
      <c r="I189" s="409"/>
      <c r="J189" s="409"/>
      <c r="K189" s="408"/>
      <c r="L189" s="404"/>
      <c r="M189" s="102"/>
      <c r="N189" s="405"/>
      <c r="O189" s="406"/>
      <c r="P189" s="406"/>
      <c r="Q189" s="407"/>
      <c r="R189" s="397"/>
      <c r="S189" s="398"/>
      <c r="T189" s="399"/>
    </row>
    <row r="190" spans="1:21" s="81" customFormat="1" ht="15" customHeight="1">
      <c r="A190" s="389"/>
      <c r="B190" s="83"/>
      <c r="C190" s="48" t="s">
        <v>150</v>
      </c>
      <c r="D190" s="37">
        <v>40</v>
      </c>
      <c r="E190" s="41">
        <v>6.6997999999999998</v>
      </c>
      <c r="F190" s="41">
        <f>+E190</f>
        <v>6.6997999999999998</v>
      </c>
      <c r="G190" s="39">
        <f>ROUND(D190*E190,2)</f>
        <v>267.99</v>
      </c>
      <c r="H190" s="37"/>
      <c r="I190" s="409"/>
      <c r="J190" s="409"/>
      <c r="K190" s="410"/>
      <c r="L190" s="404"/>
      <c r="M190" s="102"/>
      <c r="N190" s="405"/>
      <c r="O190" s="406"/>
      <c r="P190" s="406"/>
      <c r="Q190" s="407"/>
      <c r="R190" s="397"/>
      <c r="S190" s="398"/>
      <c r="T190" s="399"/>
    </row>
    <row r="191" spans="1:21" s="81" customFormat="1" ht="15.75" customHeight="1" thickBot="1">
      <c r="A191" s="411"/>
      <c r="B191" s="412"/>
      <c r="C191" s="99" t="s">
        <v>29</v>
      </c>
      <c r="D191" s="413">
        <f>704+15880</f>
        <v>16584</v>
      </c>
      <c r="E191" s="56">
        <v>6.6997999999999998</v>
      </c>
      <c r="F191" s="41">
        <f>+E191</f>
        <v>6.6997999999999998</v>
      </c>
      <c r="G191" s="414">
        <f>ROUND(D191*E191,2)</f>
        <v>111109.48</v>
      </c>
      <c r="H191" s="248"/>
      <c r="I191" s="60"/>
      <c r="J191" s="60"/>
      <c r="K191" s="203"/>
      <c r="L191" s="204"/>
      <c r="M191" s="371"/>
      <c r="N191" s="415"/>
      <c r="O191" s="416"/>
      <c r="P191" s="416" t="s">
        <v>68</v>
      </c>
      <c r="Q191" s="417">
        <f>+G191+J191-M191-N191-O191</f>
        <v>111109.48</v>
      </c>
      <c r="R191" s="418" t="s">
        <v>69</v>
      </c>
      <c r="S191" s="419">
        <f>SUM(O182:O191)</f>
        <v>0</v>
      </c>
      <c r="T191" s="419">
        <f>SUM(Q182:Q191)</f>
        <v>763.91999999999825</v>
      </c>
    </row>
    <row r="192" spans="1:21" s="81" customFormat="1" ht="15.75" customHeight="1">
      <c r="A192" s="902">
        <v>303</v>
      </c>
      <c r="B192" s="903" t="s">
        <v>227</v>
      </c>
      <c r="C192" s="439" t="s">
        <v>149</v>
      </c>
      <c r="D192" s="904">
        <f>июнь18!D186+июнь18!D187</f>
        <v>671.6</v>
      </c>
      <c r="E192" s="23">
        <f>6.6998-6.7798</f>
        <v>-8.0000000000000071E-2</v>
      </c>
      <c r="F192" s="905"/>
      <c r="G192" s="22">
        <f>ROUND(D192*E192,2)+0.01</f>
        <v>-53.72</v>
      </c>
      <c r="H192" s="303"/>
      <c r="I192" s="23"/>
      <c r="J192" s="23"/>
      <c r="K192" s="304"/>
      <c r="L192" s="263">
        <f>SUM(G192:G194)</f>
        <v>3559.4799999999996</v>
      </c>
      <c r="M192" s="26">
        <v>3559.48</v>
      </c>
      <c r="N192" s="421"/>
      <c r="O192" s="77"/>
      <c r="P192" s="77"/>
      <c r="Q192" s="384"/>
      <c r="R192" s="422"/>
      <c r="S192" s="399"/>
      <c r="T192" s="399"/>
    </row>
    <row r="193" spans="1:20" s="81" customFormat="1" ht="15.75" customHeight="1">
      <c r="A193" s="468"/>
      <c r="B193" s="469"/>
      <c r="C193" s="48" t="s">
        <v>150</v>
      </c>
      <c r="D193" s="471">
        <v>1.3</v>
      </c>
      <c r="E193" s="41">
        <v>6.6997999999999998</v>
      </c>
      <c r="F193" s="473"/>
      <c r="G193" s="449">
        <f>ROUND(D193*E193,2)</f>
        <v>8.7100000000000009</v>
      </c>
      <c r="H193" s="260"/>
      <c r="I193" s="261"/>
      <c r="J193" s="261"/>
      <c r="K193" s="262"/>
      <c r="L193" s="286"/>
      <c r="M193" s="90"/>
      <c r="N193" s="423"/>
      <c r="O193" s="406"/>
      <c r="P193" s="406"/>
      <c r="Q193" s="407"/>
      <c r="R193" s="422"/>
      <c r="S193" s="399"/>
      <c r="T193" s="399"/>
    </row>
    <row r="194" spans="1:20" s="81" customFormat="1" ht="15.75" customHeight="1" thickBot="1">
      <c r="A194" s="858"/>
      <c r="B194" s="859"/>
      <c r="C194" s="54" t="s">
        <v>29</v>
      </c>
      <c r="D194" s="860">
        <v>538</v>
      </c>
      <c r="E194" s="56">
        <v>6.6997999999999998</v>
      </c>
      <c r="F194" s="861"/>
      <c r="G194" s="414">
        <f t="shared" ref="G194" si="33">ROUND(D194*E194,2)</f>
        <v>3604.49</v>
      </c>
      <c r="H194" s="280"/>
      <c r="I194" s="281"/>
      <c r="J194" s="281"/>
      <c r="K194" s="282"/>
      <c r="L194" s="204"/>
      <c r="M194" s="371"/>
      <c r="N194" s="426"/>
      <c r="O194" s="416"/>
      <c r="P194" s="416"/>
      <c r="Q194" s="417"/>
      <c r="R194" s="422"/>
      <c r="S194" s="399"/>
      <c r="T194" s="399"/>
    </row>
    <row r="195" spans="1:20" s="81" customFormat="1" ht="15" customHeight="1">
      <c r="A195" s="437">
        <v>304</v>
      </c>
      <c r="B195" s="438" t="s">
        <v>83</v>
      </c>
      <c r="C195" s="377" t="s">
        <v>73</v>
      </c>
      <c r="D195" s="378">
        <v>1</v>
      </c>
      <c r="E195" s="21">
        <v>36.214199999999998</v>
      </c>
      <c r="F195" s="21">
        <v>42.4328</v>
      </c>
      <c r="G195" s="22">
        <f>+D195*(E195+F195)</f>
        <v>78.646999999999991</v>
      </c>
      <c r="H195" s="303"/>
      <c r="I195" s="381"/>
      <c r="J195" s="381"/>
      <c r="K195" s="342"/>
      <c r="L195" s="263">
        <f>SUM(G195:G199,J195:J199)</f>
        <v>456.87699999999995</v>
      </c>
      <c r="M195" s="26">
        <v>456.88</v>
      </c>
      <c r="N195" s="421"/>
      <c r="O195" s="77"/>
      <c r="P195" s="77"/>
      <c r="Q195" s="384"/>
      <c r="R195" s="899"/>
      <c r="S195" s="399"/>
      <c r="T195" s="399"/>
    </row>
    <row r="196" spans="1:20" s="81" customFormat="1" ht="15" customHeight="1">
      <c r="A196" s="441"/>
      <c r="B196" s="442"/>
      <c r="C196" s="36" t="s">
        <v>26</v>
      </c>
      <c r="D196" s="37"/>
      <c r="E196" s="38"/>
      <c r="F196" s="38"/>
      <c r="G196" s="39">
        <f>ROUND(D196*(E196+F196),2)</f>
        <v>0</v>
      </c>
      <c r="H196" s="457"/>
      <c r="I196" s="392"/>
      <c r="J196" s="402"/>
      <c r="K196" s="393"/>
      <c r="L196" s="459"/>
      <c r="M196" s="44"/>
      <c r="N196" s="430"/>
      <c r="O196" s="435"/>
      <c r="P196" s="435"/>
      <c r="Q196" s="425"/>
      <c r="R196" s="422"/>
      <c r="S196" s="399"/>
      <c r="T196" s="399"/>
    </row>
    <row r="197" spans="1:20" s="81" customFormat="1" ht="15" customHeight="1">
      <c r="A197" s="441"/>
      <c r="B197" s="442"/>
      <c r="C197" s="48" t="s">
        <v>149</v>
      </c>
      <c r="D197" s="37">
        <f>июнь18!D191+июнь18!D192</f>
        <v>54.1</v>
      </c>
      <c r="E197" s="41">
        <f>6.6998-6.7798</f>
        <v>-8.0000000000000071E-2</v>
      </c>
      <c r="F197" s="38"/>
      <c r="G197" s="39">
        <f>ROUND(D197*(E197),2)</f>
        <v>-4.33</v>
      </c>
      <c r="H197" s="270"/>
      <c r="I197" s="41"/>
      <c r="J197" s="41"/>
      <c r="K197" s="271"/>
      <c r="L197" s="272"/>
      <c r="M197" s="102"/>
      <c r="N197" s="430"/>
      <c r="O197" s="435"/>
      <c r="P197" s="435"/>
      <c r="Q197" s="425"/>
      <c r="R197" s="422"/>
      <c r="S197" s="399"/>
      <c r="T197" s="399"/>
    </row>
    <row r="198" spans="1:20" s="81" customFormat="1" ht="15" customHeight="1">
      <c r="A198" s="441"/>
      <c r="B198" s="442"/>
      <c r="C198" s="48" t="s">
        <v>150</v>
      </c>
      <c r="D198" s="37">
        <v>0.1</v>
      </c>
      <c r="E198" s="41">
        <v>6.6997999999999998</v>
      </c>
      <c r="F198" s="38"/>
      <c r="G198" s="39">
        <f>ROUND(D198*(E198),2)</f>
        <v>0.67</v>
      </c>
      <c r="H198" s="270"/>
      <c r="I198" s="41"/>
      <c r="J198" s="41"/>
      <c r="K198" s="271"/>
      <c r="L198" s="272"/>
      <c r="M198" s="102"/>
      <c r="N198" s="434"/>
      <c r="O198" s="435"/>
      <c r="P198" s="435"/>
      <c r="Q198" s="425"/>
      <c r="R198" s="422"/>
      <c r="S198" s="399"/>
      <c r="T198" s="399"/>
    </row>
    <row r="199" spans="1:20" s="81" customFormat="1" ht="15.75" customHeight="1" thickBot="1">
      <c r="A199" s="445"/>
      <c r="B199" s="446"/>
      <c r="C199" s="54" t="s">
        <v>29</v>
      </c>
      <c r="D199" s="413">
        <v>57</v>
      </c>
      <c r="E199" s="56">
        <v>6.6997999999999998</v>
      </c>
      <c r="F199" s="281"/>
      <c r="G199" s="414">
        <f>ROUND(D199*(E199),2)</f>
        <v>381.89</v>
      </c>
      <c r="H199" s="280"/>
      <c r="I199" s="281"/>
      <c r="J199" s="281"/>
      <c r="K199" s="282"/>
      <c r="L199" s="204"/>
      <c r="M199" s="371"/>
      <c r="N199" s="426"/>
      <c r="O199" s="416"/>
      <c r="P199" s="416"/>
      <c r="Q199" s="417"/>
      <c r="R199" s="422"/>
      <c r="S199" s="399"/>
      <c r="T199" s="399"/>
    </row>
    <row r="200" spans="1:20" s="81" customFormat="1" ht="15" customHeight="1">
      <c r="A200" s="447">
        <v>400</v>
      </c>
      <c r="B200" s="903" t="s">
        <v>238</v>
      </c>
      <c r="C200" s="377" t="s">
        <v>73</v>
      </c>
      <c r="D200" s="378">
        <v>1</v>
      </c>
      <c r="E200" s="21">
        <v>36.214199999999998</v>
      </c>
      <c r="F200" s="21">
        <v>42.4328</v>
      </c>
      <c r="G200" s="22">
        <f>+D200*(E200+F200)</f>
        <v>78.646999999999991</v>
      </c>
      <c r="H200" s="303"/>
      <c r="I200" s="381"/>
      <c r="J200" s="381"/>
      <c r="K200" s="342"/>
      <c r="L200" s="263">
        <f>SUM(G200:G204,J200:J204)</f>
        <v>57907.047000000006</v>
      </c>
      <c r="M200" s="26">
        <v>57907.05</v>
      </c>
      <c r="N200" s="421"/>
      <c r="O200" s="77"/>
      <c r="P200" s="77"/>
      <c r="Q200" s="384"/>
      <c r="R200" s="899"/>
      <c r="S200" s="399"/>
      <c r="T200" s="399"/>
    </row>
    <row r="201" spans="1:20" s="81" customFormat="1" ht="15" customHeight="1" thickBot="1">
      <c r="A201" s="450"/>
      <c r="B201" s="469"/>
      <c r="C201" s="36" t="s">
        <v>26</v>
      </c>
      <c r="D201" s="37"/>
      <c r="E201" s="38"/>
      <c r="F201" s="38"/>
      <c r="G201" s="39">
        <f>ROUND(D201*(E201+F201),2)</f>
        <v>0</v>
      </c>
      <c r="H201" s="457"/>
      <c r="I201" s="392"/>
      <c r="J201" s="402"/>
      <c r="K201" s="393"/>
      <c r="L201" s="459"/>
      <c r="M201" s="44"/>
      <c r="N201" s="430"/>
      <c r="O201" s="435"/>
      <c r="P201" s="435"/>
      <c r="Q201" s="425"/>
      <c r="R201" s="422"/>
      <c r="S201" s="399"/>
      <c r="T201" s="399"/>
    </row>
    <row r="202" spans="1:20" s="81" customFormat="1" ht="15.75" customHeight="1">
      <c r="A202" s="984"/>
      <c r="C202" s="439" t="s">
        <v>149</v>
      </c>
      <c r="D202" s="904">
        <f>июнь18!D196+июнь18!D197</f>
        <v>3964.5</v>
      </c>
      <c r="E202" s="23">
        <f>6.6998-6.7798</f>
        <v>-8.0000000000000071E-2</v>
      </c>
      <c r="F202" s="905"/>
      <c r="G202" s="22">
        <f>ROUND(D202*E202,2)</f>
        <v>-317.16000000000003</v>
      </c>
      <c r="H202" s="303"/>
      <c r="I202" s="23"/>
      <c r="J202" s="23"/>
      <c r="K202" s="304"/>
      <c r="L202" s="263"/>
      <c r="M202" s="26"/>
      <c r="N202" s="421"/>
      <c r="O202" s="77"/>
      <c r="P202" s="77"/>
      <c r="Q202" s="384"/>
      <c r="R202" s="422"/>
      <c r="S202" s="399"/>
      <c r="T202" s="399"/>
    </row>
    <row r="203" spans="1:20" s="81" customFormat="1" ht="15.75" customHeight="1">
      <c r="A203" s="450"/>
      <c r="B203" s="469"/>
      <c r="C203" s="48" t="s">
        <v>150</v>
      </c>
      <c r="D203" s="471">
        <f>11.7+0.5+8.5</f>
        <v>20.7</v>
      </c>
      <c r="E203" s="41">
        <v>6.6997999999999998</v>
      </c>
      <c r="F203" s="473"/>
      <c r="G203" s="449">
        <f>ROUND(D203*E203,2)</f>
        <v>138.69</v>
      </c>
      <c r="H203" s="260"/>
      <c r="I203" s="261"/>
      <c r="J203" s="261"/>
      <c r="K203" s="262"/>
      <c r="L203" s="286"/>
      <c r="M203" s="90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451"/>
      <c r="B204" s="859"/>
      <c r="C204" s="54" t="s">
        <v>29</v>
      </c>
      <c r="D204" s="860">
        <f>4+3549+213+4892</f>
        <v>8658</v>
      </c>
      <c r="E204" s="56">
        <v>6.6997999999999998</v>
      </c>
      <c r="F204" s="861"/>
      <c r="G204" s="414">
        <f t="shared" ref="G204" si="34">ROUND(D204*E204,2)</f>
        <v>58006.87</v>
      </c>
      <c r="H204" s="280"/>
      <c r="I204" s="281"/>
      <c r="J204" s="281"/>
      <c r="K204" s="282"/>
      <c r="L204" s="204"/>
      <c r="M204" s="371"/>
      <c r="N204" s="426"/>
      <c r="O204" s="416"/>
      <c r="P204" s="416"/>
      <c r="Q204" s="417"/>
      <c r="R204" s="422"/>
      <c r="S204" s="399"/>
      <c r="T204" s="399"/>
    </row>
    <row r="205" spans="1:20" s="81" customFormat="1" ht="15" customHeight="1">
      <c r="A205" s="437">
        <v>402</v>
      </c>
      <c r="B205" s="438" t="s">
        <v>122</v>
      </c>
      <c r="C205" s="439"/>
      <c r="D205" s="378"/>
      <c r="E205" s="23"/>
      <c r="F205" s="23"/>
      <c r="G205" s="22"/>
      <c r="H205" s="303"/>
      <c r="I205" s="23"/>
      <c r="J205" s="23"/>
      <c r="K205" s="304"/>
      <c r="L205" s="382">
        <f>+SUM(G205:G208,J205:J208)</f>
        <v>1982.94</v>
      </c>
      <c r="M205" s="26">
        <v>1982.94</v>
      </c>
      <c r="N205" s="421"/>
      <c r="O205" s="77"/>
      <c r="P205" s="77"/>
      <c r="Q205" s="384"/>
      <c r="R205" s="899"/>
      <c r="S205" s="399"/>
      <c r="T205" s="399"/>
    </row>
    <row r="206" spans="1:20" s="81" customFormat="1" ht="15" customHeight="1" thickBot="1">
      <c r="A206" s="441"/>
      <c r="B206" s="442"/>
      <c r="C206" s="48" t="s">
        <v>149</v>
      </c>
      <c r="D206" s="37">
        <f>июнь18!D200+июнь18!D201</f>
        <v>229.55</v>
      </c>
      <c r="E206" s="41">
        <f>6.6998-6.7798</f>
        <v>-8.0000000000000071E-2</v>
      </c>
      <c r="F206" s="41"/>
      <c r="G206" s="414">
        <f>ROUND(D206*E206,2)</f>
        <v>-18.36</v>
      </c>
      <c r="H206" s="260"/>
      <c r="I206" s="261"/>
      <c r="J206" s="261"/>
      <c r="K206" s="262"/>
      <c r="L206" s="394"/>
      <c r="M206" s="90"/>
      <c r="N206" s="443"/>
      <c r="O206" s="94"/>
      <c r="P206" s="94"/>
      <c r="Q206" s="396"/>
      <c r="R206" s="899"/>
      <c r="S206" s="399"/>
      <c r="T206" s="399"/>
    </row>
    <row r="207" spans="1:20" s="81" customFormat="1" ht="15" customHeight="1" thickBot="1">
      <c r="A207" s="441"/>
      <c r="B207" s="444"/>
      <c r="C207" s="48" t="s">
        <v>150</v>
      </c>
      <c r="D207" s="37">
        <f>0.64+0.07</f>
        <v>0.71</v>
      </c>
      <c r="E207" s="41">
        <v>6.6997999999999998</v>
      </c>
      <c r="F207" s="41"/>
      <c r="G207" s="414">
        <f>ROUND(D207*E207,2)</f>
        <v>4.76</v>
      </c>
      <c r="H207" s="432"/>
      <c r="I207" s="207"/>
      <c r="J207" s="207"/>
      <c r="K207" s="362"/>
      <c r="L207" s="433"/>
      <c r="M207" s="63"/>
      <c r="N207" s="423"/>
      <c r="O207" s="406"/>
      <c r="P207" s="406"/>
      <c r="Q207" s="407"/>
      <c r="R207" s="899"/>
      <c r="S207" s="399"/>
      <c r="T207" s="399"/>
    </row>
    <row r="208" spans="1:20" s="81" customFormat="1" ht="15" customHeight="1" thickBot="1">
      <c r="A208" s="445"/>
      <c r="B208" s="446"/>
      <c r="C208" s="99" t="s">
        <v>29</v>
      </c>
      <c r="D208" s="413">
        <f>268+30</f>
        <v>298</v>
      </c>
      <c r="E208" s="56">
        <v>6.6997999999999998</v>
      </c>
      <c r="F208" s="281"/>
      <c r="G208" s="414">
        <f>ROUND(D208*E208,2)</f>
        <v>1996.54</v>
      </c>
      <c r="H208" s="280"/>
      <c r="I208" s="281"/>
      <c r="J208" s="281"/>
      <c r="K208" s="282"/>
      <c r="L208" s="204"/>
      <c r="M208" s="371"/>
      <c r="N208" s="434"/>
      <c r="O208" s="435"/>
      <c r="P208" s="435"/>
      <c r="Q208" s="425"/>
      <c r="R208" s="899"/>
      <c r="S208" s="399"/>
      <c r="T208" s="399"/>
    </row>
    <row r="209" spans="1:20" s="81" customFormat="1" ht="15.75" customHeight="1">
      <c r="A209" s="447">
        <v>403</v>
      </c>
      <c r="B209" s="438" t="s">
        <v>126</v>
      </c>
      <c r="C209" s="439" t="s">
        <v>149</v>
      </c>
      <c r="D209" s="900">
        <f>июнь18!D203+июнь18!D204</f>
        <v>94.2</v>
      </c>
      <c r="E209" s="23">
        <f>6.6998-6.7798</f>
        <v>-8.0000000000000071E-2</v>
      </c>
      <c r="F209" s="23"/>
      <c r="G209" s="22">
        <f>ROUND(D209*E209,2)</f>
        <v>-7.54</v>
      </c>
      <c r="H209" s="303"/>
      <c r="I209" s="23"/>
      <c r="J209" s="23"/>
      <c r="K209" s="304"/>
      <c r="L209" s="263">
        <f>SUM(G209:G211)</f>
        <v>697.95</v>
      </c>
      <c r="M209" s="26">
        <v>697.95</v>
      </c>
      <c r="N209" s="421"/>
      <c r="O209" s="77"/>
      <c r="P209" s="77"/>
      <c r="Q209" s="384"/>
      <c r="R209" s="422"/>
      <c r="S209" s="399"/>
      <c r="T209" s="399"/>
    </row>
    <row r="210" spans="1:20" s="81" customFormat="1" ht="15.75" customHeight="1">
      <c r="A210" s="450"/>
      <c r="B210" s="442"/>
      <c r="C210" s="48" t="s">
        <v>150</v>
      </c>
      <c r="D210" s="448">
        <v>0.3</v>
      </c>
      <c r="E210" s="41">
        <v>6.6997999999999998</v>
      </c>
      <c r="F210" s="261"/>
      <c r="G210" s="449">
        <f t="shared" ref="G210:G211" si="35">ROUND(D210*E210,2)</f>
        <v>2.0099999999999998</v>
      </c>
      <c r="H210" s="260"/>
      <c r="I210" s="261"/>
      <c r="J210" s="261"/>
      <c r="K210" s="262"/>
      <c r="L210" s="286"/>
      <c r="M210" s="90"/>
      <c r="N210" s="423"/>
      <c r="O210" s="406"/>
      <c r="P210" s="406"/>
      <c r="Q210" s="407"/>
      <c r="R210" s="422"/>
      <c r="S210" s="399"/>
      <c r="T210" s="399"/>
    </row>
    <row r="211" spans="1:20" s="81" customFormat="1" ht="15.75" customHeight="1" thickBot="1">
      <c r="A211" s="451"/>
      <c r="B211" s="446"/>
      <c r="C211" s="54" t="s">
        <v>29</v>
      </c>
      <c r="D211" s="901">
        <v>105</v>
      </c>
      <c r="E211" s="56">
        <v>6.6997999999999998</v>
      </c>
      <c r="F211" s="281"/>
      <c r="G211" s="414">
        <f t="shared" si="35"/>
        <v>703.48</v>
      </c>
      <c r="H211" s="280"/>
      <c r="I211" s="281"/>
      <c r="J211" s="281"/>
      <c r="K211" s="282"/>
      <c r="L211" s="204"/>
      <c r="M211" s="371"/>
      <c r="N211" s="426"/>
      <c r="O211" s="416"/>
      <c r="P211" s="416"/>
      <c r="Q211" s="417"/>
      <c r="R211" s="422"/>
      <c r="S211" s="399"/>
      <c r="T211" s="399"/>
    </row>
    <row r="212" spans="1:20" s="81" customFormat="1" ht="15.75" customHeight="1">
      <c r="A212" s="906">
        <v>404</v>
      </c>
      <c r="B212" s="903" t="s">
        <v>191</v>
      </c>
      <c r="C212" s="382" t="s">
        <v>73</v>
      </c>
      <c r="D212" s="904">
        <v>0</v>
      </c>
      <c r="E212" s="907">
        <v>36.214199999999998</v>
      </c>
      <c r="F212" s="905">
        <v>42.4328</v>
      </c>
      <c r="G212" s="908">
        <f>ROUND(D212*E212+D212*F212,2)</f>
        <v>0</v>
      </c>
      <c r="H212" s="303"/>
      <c r="I212" s="23"/>
      <c r="J212" s="23"/>
      <c r="K212" s="304"/>
      <c r="L212" s="263">
        <f>SUM(G212:G216)</f>
        <v>3122.71</v>
      </c>
      <c r="M212" s="877">
        <v>3122.71</v>
      </c>
      <c r="N212" s="430"/>
      <c r="O212" s="77"/>
      <c r="P212" s="77"/>
      <c r="Q212" s="384"/>
      <c r="R212" s="422"/>
      <c r="S212" s="399"/>
      <c r="T212" s="399"/>
    </row>
    <row r="213" spans="1:20" s="81" customFormat="1" ht="15.75" customHeight="1" thickBot="1">
      <c r="A213" s="909"/>
      <c r="B213" s="469"/>
      <c r="C213" s="429" t="s">
        <v>26</v>
      </c>
      <c r="D213" s="471"/>
      <c r="E213" s="876"/>
      <c r="F213" s="473"/>
      <c r="G213" s="862">
        <f>ROUND(D213*E213+D213*F213,2)</f>
        <v>0</v>
      </c>
      <c r="H213" s="270"/>
      <c r="I213" s="41"/>
      <c r="J213" s="41"/>
      <c r="K213" s="271"/>
      <c r="L213" s="272"/>
      <c r="M213" s="878"/>
      <c r="N213" s="430"/>
      <c r="O213" s="406"/>
      <c r="P213" s="406"/>
      <c r="Q213" s="407"/>
      <c r="R213" s="422"/>
      <c r="S213" s="399"/>
      <c r="T213" s="399"/>
    </row>
    <row r="214" spans="1:20" s="81" customFormat="1" ht="15.75" customHeight="1">
      <c r="A214" s="468"/>
      <c r="B214" s="699"/>
      <c r="C214" s="48" t="s">
        <v>149</v>
      </c>
      <c r="D214" s="471">
        <f>июнь18!D208+июнь18!D209</f>
        <v>1516.6</v>
      </c>
      <c r="E214" s="41">
        <f>6.6998-6.7798</f>
        <v>-8.0000000000000071E-2</v>
      </c>
      <c r="F214" s="473"/>
      <c r="G214" s="862">
        <f>ROUND(D214*E214,2)</f>
        <v>-121.33</v>
      </c>
      <c r="H214" s="270"/>
      <c r="I214" s="41"/>
      <c r="J214" s="41"/>
      <c r="K214" s="271"/>
      <c r="L214" s="272"/>
      <c r="M214" s="878"/>
      <c r="N214" s="421"/>
      <c r="O214" s="406"/>
      <c r="P214" s="406"/>
      <c r="Q214" s="407"/>
      <c r="R214" s="422"/>
      <c r="S214" s="399"/>
      <c r="T214" s="399"/>
    </row>
    <row r="215" spans="1:20" s="81" customFormat="1" ht="15.75" customHeight="1">
      <c r="A215" s="468"/>
      <c r="B215" s="469"/>
      <c r="C215" s="48" t="s">
        <v>150</v>
      </c>
      <c r="D215" s="471">
        <v>1.2</v>
      </c>
      <c r="E215" s="41">
        <v>6.6997999999999998</v>
      </c>
      <c r="F215" s="473"/>
      <c r="G215" s="862">
        <f>ROUND(D215*E215,2)</f>
        <v>8.0399999999999991</v>
      </c>
      <c r="H215" s="270"/>
      <c r="I215" s="41"/>
      <c r="J215" s="41"/>
      <c r="K215" s="271"/>
      <c r="L215" s="272"/>
      <c r="M215" s="878"/>
      <c r="N215" s="423"/>
      <c r="O215" s="406"/>
      <c r="P215" s="406"/>
      <c r="Q215" s="407"/>
      <c r="R215" s="422"/>
      <c r="S215" s="399"/>
      <c r="T215" s="399"/>
    </row>
    <row r="216" spans="1:20" s="81" customFormat="1" ht="15.75" customHeight="1" thickBot="1">
      <c r="A216" s="858"/>
      <c r="B216" s="859"/>
      <c r="C216" s="54" t="s">
        <v>29</v>
      </c>
      <c r="D216" s="860">
        <v>483</v>
      </c>
      <c r="E216" s="56">
        <v>6.6997999999999998</v>
      </c>
      <c r="F216" s="861"/>
      <c r="G216" s="866">
        <f t="shared" ref="G216" si="36">ROUND(D216*E216,2)</f>
        <v>3236</v>
      </c>
      <c r="H216" s="280"/>
      <c r="I216" s="281"/>
      <c r="J216" s="281"/>
      <c r="K216" s="282"/>
      <c r="L216" s="204"/>
      <c r="M216" s="880"/>
      <c r="N216" s="426"/>
      <c r="O216" s="416"/>
      <c r="P216" s="416"/>
      <c r="Q216" s="417"/>
      <c r="R216" s="422"/>
      <c r="S216" s="399"/>
      <c r="T216" s="399"/>
    </row>
    <row r="217" spans="1:20" s="81" customFormat="1" ht="15.75" customHeight="1">
      <c r="A217" s="902">
        <v>405</v>
      </c>
      <c r="B217" s="903" t="s">
        <v>147</v>
      </c>
      <c r="C217" s="439" t="s">
        <v>149</v>
      </c>
      <c r="D217" s="904">
        <f>июнь18!D211+июнь18!D212</f>
        <v>121.3</v>
      </c>
      <c r="E217" s="23">
        <f>6.6998-6.7798</f>
        <v>-8.0000000000000071E-2</v>
      </c>
      <c r="F217" s="905"/>
      <c r="G217" s="22">
        <f>ROUND(D217*E217,2)</f>
        <v>-9.6999999999999993</v>
      </c>
      <c r="H217" s="303"/>
      <c r="I217" s="261"/>
      <c r="J217" s="261"/>
      <c r="K217" s="262"/>
      <c r="L217" s="286">
        <f>SUM(G217:G219)</f>
        <v>896.78</v>
      </c>
      <c r="M217" s="90">
        <v>896.78</v>
      </c>
      <c r="N217" s="421"/>
      <c r="O217" s="77"/>
      <c r="P217" s="77"/>
      <c r="Q217" s="384"/>
      <c r="R217" s="422"/>
      <c r="S217" s="399"/>
      <c r="T217" s="399"/>
    </row>
    <row r="218" spans="1:20" s="81" customFormat="1" ht="15.75" customHeight="1">
      <c r="A218" s="468"/>
      <c r="B218" s="469"/>
      <c r="C218" s="48" t="s">
        <v>150</v>
      </c>
      <c r="D218" s="471">
        <v>0.3</v>
      </c>
      <c r="E218" s="41">
        <v>6.6997999999999998</v>
      </c>
      <c r="F218" s="473"/>
      <c r="G218" s="449">
        <f>ROUND(D218*E218,2)</f>
        <v>2.0099999999999998</v>
      </c>
      <c r="H218" s="260"/>
      <c r="I218" s="261"/>
      <c r="J218" s="261"/>
      <c r="K218" s="262"/>
      <c r="L218" s="286"/>
      <c r="M218" s="90"/>
      <c r="N218" s="423"/>
      <c r="O218" s="406"/>
      <c r="P218" s="406"/>
      <c r="Q218" s="407"/>
      <c r="R218" s="422"/>
      <c r="S218" s="399"/>
      <c r="T218" s="399"/>
    </row>
    <row r="219" spans="1:20" s="81" customFormat="1" ht="15.75" customHeight="1" thickBot="1">
      <c r="A219" s="701"/>
      <c r="B219" s="702"/>
      <c r="C219" s="99" t="s">
        <v>29</v>
      </c>
      <c r="D219" s="703">
        <v>135</v>
      </c>
      <c r="E219" s="56">
        <v>6.6997999999999998</v>
      </c>
      <c r="F219" s="704"/>
      <c r="G219" s="39">
        <f t="shared" ref="G219" si="37">ROUND(D219*E219,2)</f>
        <v>904.47</v>
      </c>
      <c r="H219" s="280"/>
      <c r="I219" s="281"/>
      <c r="J219" s="281"/>
      <c r="K219" s="282"/>
      <c r="L219" s="204"/>
      <c r="M219" s="371"/>
      <c r="N219" s="426"/>
      <c r="O219" s="416"/>
      <c r="P219" s="416"/>
      <c r="Q219" s="417"/>
      <c r="R219" s="422"/>
      <c r="S219" s="399"/>
      <c r="T219" s="399"/>
    </row>
    <row r="220" spans="1:20" s="81" customFormat="1" ht="15.75" hidden="1" customHeight="1" outlineLevel="1" thickBot="1">
      <c r="A220" s="910"/>
      <c r="B220" s="911" t="s">
        <v>155</v>
      </c>
      <c r="C220" s="573" t="s">
        <v>115</v>
      </c>
      <c r="D220" s="912"/>
      <c r="E220" s="579">
        <f>7.0379-7.0426</f>
        <v>-4.7000000000005926E-3</v>
      </c>
      <c r="F220" s="580"/>
      <c r="G220" s="913">
        <f>ROUND(D220*E220,2)</f>
        <v>0</v>
      </c>
      <c r="H220" s="914"/>
      <c r="I220" s="23"/>
      <c r="J220" s="23"/>
      <c r="K220" s="304"/>
      <c r="L220" s="263">
        <f>SUM(G220:G222)</f>
        <v>0</v>
      </c>
      <c r="M220" s="26"/>
      <c r="N220" s="421"/>
      <c r="O220" s="77"/>
      <c r="P220" s="77"/>
      <c r="Q220" s="384"/>
      <c r="R220" s="422"/>
      <c r="S220" s="399"/>
      <c r="T220" s="399"/>
    </row>
    <row r="221" spans="1:20" s="81" customFormat="1" ht="15.75" hidden="1" customHeight="1" outlineLevel="1" thickBot="1">
      <c r="A221" s="910"/>
      <c r="B221" s="915"/>
      <c r="C221" s="573" t="s">
        <v>114</v>
      </c>
      <c r="D221" s="912"/>
      <c r="E221" s="579">
        <v>7.0378999999999996</v>
      </c>
      <c r="F221" s="580"/>
      <c r="G221" s="913">
        <f>ROUND(D221*E221,2)</f>
        <v>0</v>
      </c>
      <c r="H221" s="914"/>
      <c r="I221" s="261"/>
      <c r="J221" s="261"/>
      <c r="K221" s="262"/>
      <c r="L221" s="286"/>
      <c r="M221" s="90"/>
      <c r="N221" s="423"/>
      <c r="O221" s="406"/>
      <c r="P221" s="406"/>
      <c r="Q221" s="407"/>
      <c r="R221" s="422"/>
      <c r="S221" s="399"/>
      <c r="T221" s="399"/>
    </row>
    <row r="222" spans="1:20" s="81" customFormat="1" ht="15.75" hidden="1" customHeight="1" outlineLevel="1" thickBot="1">
      <c r="A222" s="910"/>
      <c r="B222" s="915"/>
      <c r="C222" s="916" t="s">
        <v>29</v>
      </c>
      <c r="D222" s="912"/>
      <c r="E222" s="917">
        <v>7.0378999999999996</v>
      </c>
      <c r="F222" s="580"/>
      <c r="G222" s="913">
        <f t="shared" ref="G222" si="38">ROUND(D222*E222,2)</f>
        <v>0</v>
      </c>
      <c r="H222" s="914"/>
      <c r="I222" s="281"/>
      <c r="J222" s="281"/>
      <c r="K222" s="282"/>
      <c r="L222" s="204"/>
      <c r="M222" s="371"/>
      <c r="N222" s="426"/>
      <c r="O222" s="416"/>
      <c r="P222" s="416"/>
      <c r="Q222" s="417"/>
      <c r="R222" s="422"/>
      <c r="S222" s="399"/>
      <c r="T222" s="399"/>
    </row>
    <row r="223" spans="1:20" s="81" customFormat="1" ht="15.75" customHeight="1" collapsed="1">
      <c r="A223" s="902">
        <v>407</v>
      </c>
      <c r="B223" s="903" t="s">
        <v>160</v>
      </c>
      <c r="C223" s="439" t="s">
        <v>149</v>
      </c>
      <c r="D223" s="904">
        <f>июнь18!D217+июнь18!D218</f>
        <v>18.04</v>
      </c>
      <c r="E223" s="23">
        <f>6.6998-6.7798</f>
        <v>-8.0000000000000071E-2</v>
      </c>
      <c r="F223" s="905"/>
      <c r="G223" s="22">
        <f>ROUND(D223*E223,2)-0.01</f>
        <v>-1.45</v>
      </c>
      <c r="H223" s="303"/>
      <c r="I223" s="23"/>
      <c r="J223" s="23"/>
      <c r="K223" s="304"/>
      <c r="L223" s="263">
        <f>SUM(G223:G225)</f>
        <v>92.55</v>
      </c>
      <c r="M223" s="26">
        <v>92.55</v>
      </c>
      <c r="N223" s="421"/>
      <c r="O223" s="77"/>
      <c r="P223" s="77"/>
      <c r="Q223" s="384"/>
      <c r="R223" s="422"/>
      <c r="S223" s="399"/>
      <c r="T223" s="399"/>
    </row>
    <row r="224" spans="1:20" s="81" customFormat="1" ht="15.75" customHeight="1">
      <c r="A224" s="468"/>
      <c r="B224" s="469"/>
      <c r="C224" s="48" t="s">
        <v>150</v>
      </c>
      <c r="D224" s="471">
        <v>0.03</v>
      </c>
      <c r="E224" s="41">
        <v>6.6997999999999998</v>
      </c>
      <c r="F224" s="473"/>
      <c r="G224" s="449">
        <f>ROUND(D224*E224,2)</f>
        <v>0.2</v>
      </c>
      <c r="H224" s="260"/>
      <c r="I224" s="261"/>
      <c r="J224" s="261"/>
      <c r="K224" s="262"/>
      <c r="L224" s="286"/>
      <c r="M224" s="90"/>
      <c r="N224" s="423"/>
      <c r="O224" s="406"/>
      <c r="P224" s="406"/>
      <c r="Q224" s="407"/>
      <c r="R224" s="422"/>
      <c r="S224" s="399"/>
      <c r="T224" s="399"/>
    </row>
    <row r="225" spans="1:20" s="81" customFormat="1" ht="15.75" customHeight="1" thickBot="1">
      <c r="A225" s="858"/>
      <c r="B225" s="859"/>
      <c r="C225" s="54" t="s">
        <v>29</v>
      </c>
      <c r="D225" s="860">
        <v>14</v>
      </c>
      <c r="E225" s="56">
        <v>6.6997999999999998</v>
      </c>
      <c r="F225" s="861"/>
      <c r="G225" s="414">
        <f t="shared" ref="G225" si="39">ROUND(D225*E225,2)</f>
        <v>93.8</v>
      </c>
      <c r="H225" s="280"/>
      <c r="I225" s="281"/>
      <c r="J225" s="281"/>
      <c r="K225" s="282"/>
      <c r="L225" s="204"/>
      <c r="M225" s="371"/>
      <c r="N225" s="426"/>
      <c r="O225" s="416"/>
      <c r="P225" s="416"/>
      <c r="Q225" s="417"/>
      <c r="R225" s="422"/>
      <c r="S225" s="399"/>
      <c r="T225" s="399"/>
    </row>
    <row r="226" spans="1:20" s="81" customFormat="1" ht="15.75" customHeight="1">
      <c r="A226" s="906">
        <v>408</v>
      </c>
      <c r="B226" s="903" t="s">
        <v>253</v>
      </c>
      <c r="C226" s="382" t="s">
        <v>73</v>
      </c>
      <c r="D226" s="904">
        <v>55</v>
      </c>
      <c r="E226" s="907">
        <v>36.214199999999998</v>
      </c>
      <c r="F226" s="905">
        <v>42.4328</v>
      </c>
      <c r="G226" s="908">
        <f>ROUND(D226*E226+D226*F226,2)</f>
        <v>4325.59</v>
      </c>
      <c r="H226" s="303"/>
      <c r="I226" s="23"/>
      <c r="J226" s="23"/>
      <c r="K226" s="304"/>
      <c r="L226" s="263">
        <f>SUM(G226:G230)</f>
        <v>14923.330000000002</v>
      </c>
      <c r="M226" s="877">
        <v>14923.33</v>
      </c>
      <c r="N226" s="430"/>
      <c r="O226" s="77"/>
      <c r="P226" s="77"/>
      <c r="Q226" s="384"/>
      <c r="R226" s="422"/>
      <c r="S226" s="399"/>
      <c r="T226" s="399"/>
    </row>
    <row r="227" spans="1:20" s="81" customFormat="1" ht="15.75" customHeight="1" thickBot="1">
      <c r="A227" s="909"/>
      <c r="B227" s="469"/>
      <c r="C227" s="429" t="s">
        <v>26</v>
      </c>
      <c r="D227" s="471"/>
      <c r="E227" s="876"/>
      <c r="F227" s="473"/>
      <c r="G227" s="862">
        <f>ROUND(D227*E227+D227*F227,2)</f>
        <v>0</v>
      </c>
      <c r="H227" s="270"/>
      <c r="I227" s="41"/>
      <c r="J227" s="41"/>
      <c r="K227" s="271"/>
      <c r="L227" s="272"/>
      <c r="M227" s="878"/>
      <c r="N227" s="430"/>
      <c r="O227" s="406"/>
      <c r="P227" s="406"/>
      <c r="Q227" s="407"/>
      <c r="R227" s="422"/>
      <c r="S227" s="399"/>
      <c r="T227" s="399"/>
    </row>
    <row r="228" spans="1:20" s="81" customFormat="1" ht="15.75" customHeight="1">
      <c r="A228" s="468"/>
      <c r="B228" s="699"/>
      <c r="C228" s="48" t="s">
        <v>149</v>
      </c>
      <c r="D228" s="471">
        <v>0</v>
      </c>
      <c r="E228" s="41">
        <f>6.6998-6.7798</f>
        <v>-8.0000000000000071E-2</v>
      </c>
      <c r="F228" s="473"/>
      <c r="G228" s="862">
        <f>ROUND(D228*E228,2)</f>
        <v>0</v>
      </c>
      <c r="H228" s="270"/>
      <c r="I228" s="41"/>
      <c r="J228" s="41"/>
      <c r="K228" s="271"/>
      <c r="L228" s="272"/>
      <c r="M228" s="878"/>
      <c r="N228" s="421"/>
      <c r="O228" s="406"/>
      <c r="P228" s="406"/>
      <c r="Q228" s="407"/>
      <c r="R228" s="422"/>
      <c r="S228" s="399"/>
      <c r="T228" s="399"/>
    </row>
    <row r="229" spans="1:20" s="81" customFormat="1" ht="15.75" customHeight="1">
      <c r="A229" s="468"/>
      <c r="B229" s="469"/>
      <c r="C229" s="48" t="s">
        <v>150</v>
      </c>
      <c r="D229" s="471">
        <f>3.6+0.2</f>
        <v>3.8000000000000003</v>
      </c>
      <c r="E229" s="41">
        <v>6.6997999999999998</v>
      </c>
      <c r="F229" s="473"/>
      <c r="G229" s="862">
        <f>ROUND(D229*E229,2)</f>
        <v>25.46</v>
      </c>
      <c r="H229" s="270"/>
      <c r="I229" s="41"/>
      <c r="J229" s="41"/>
      <c r="K229" s="271"/>
      <c r="L229" s="272"/>
      <c r="M229" s="878"/>
      <c r="N229" s="423"/>
      <c r="O229" s="406"/>
      <c r="P229" s="406"/>
      <c r="Q229" s="407"/>
      <c r="R229" s="422"/>
      <c r="S229" s="399"/>
      <c r="T229" s="399"/>
    </row>
    <row r="230" spans="1:20" s="81" customFormat="1" ht="15.75" customHeight="1" thickBot="1">
      <c r="A230" s="858"/>
      <c r="B230" s="859"/>
      <c r="C230" s="54" t="s">
        <v>29</v>
      </c>
      <c r="D230" s="860">
        <f>1511+67</f>
        <v>1578</v>
      </c>
      <c r="E230" s="56">
        <v>6.6997999999999998</v>
      </c>
      <c r="F230" s="861"/>
      <c r="G230" s="866">
        <f t="shared" ref="G230" si="40">ROUND(D230*E230,2)</f>
        <v>10572.28</v>
      </c>
      <c r="H230" s="280"/>
      <c r="I230" s="281"/>
      <c r="J230" s="281"/>
      <c r="K230" s="282"/>
      <c r="L230" s="204"/>
      <c r="M230" s="880"/>
      <c r="N230" s="426"/>
      <c r="O230" s="416"/>
      <c r="P230" s="416"/>
      <c r="Q230" s="417"/>
      <c r="R230" s="422"/>
      <c r="S230" s="399"/>
      <c r="T230" s="399"/>
    </row>
    <row r="231" spans="1:20" s="81" customFormat="1" ht="15" hidden="1" customHeight="1">
      <c r="A231" s="437">
        <v>129</v>
      </c>
      <c r="B231" s="438" t="s">
        <v>38</v>
      </c>
      <c r="C231" s="439"/>
      <c r="D231" s="378"/>
      <c r="E231" s="23"/>
      <c r="F231" s="23"/>
      <c r="G231" s="22"/>
      <c r="H231" s="303"/>
      <c r="I231" s="23"/>
      <c r="J231" s="23"/>
      <c r="K231" s="304"/>
      <c r="L231" s="382">
        <f>+SUM(G231:G234,J231:J234)</f>
        <v>0</v>
      </c>
      <c r="M231" s="26"/>
      <c r="N231" s="421"/>
      <c r="O231" s="77"/>
      <c r="P231" s="77"/>
      <c r="Q231" s="384">
        <f>+L231-M231</f>
        <v>0</v>
      </c>
      <c r="R231" s="899"/>
      <c r="S231" s="399"/>
      <c r="T231" s="399"/>
    </row>
    <row r="232" spans="1:20" s="81" customFormat="1" ht="15" hidden="1" customHeight="1">
      <c r="A232" s="441"/>
      <c r="B232" s="442" t="s">
        <v>198</v>
      </c>
      <c r="C232" s="48" t="s">
        <v>118</v>
      </c>
      <c r="D232" s="37"/>
      <c r="E232" s="41">
        <f>6.8416-6.7432</f>
        <v>9.8399999999999821E-2</v>
      </c>
      <c r="F232" s="41"/>
      <c r="G232" s="39">
        <f>ROUND(D232*E232,2)</f>
        <v>0</v>
      </c>
      <c r="H232" s="260"/>
      <c r="I232" s="261"/>
      <c r="J232" s="261"/>
      <c r="K232" s="262"/>
      <c r="L232" s="394"/>
      <c r="M232" s="90"/>
      <c r="N232" s="443"/>
      <c r="O232" s="94"/>
      <c r="P232" s="94"/>
      <c r="Q232" s="396"/>
      <c r="R232" s="899"/>
      <c r="S232" s="399"/>
      <c r="T232" s="399"/>
    </row>
    <row r="233" spans="1:20" s="81" customFormat="1" hidden="1">
      <c r="A233" s="441"/>
      <c r="B233" s="444"/>
      <c r="C233" s="48" t="s">
        <v>119</v>
      </c>
      <c r="D233" s="37"/>
      <c r="E233" s="41">
        <v>6.8415999999999997</v>
      </c>
      <c r="F233" s="41"/>
      <c r="G233" s="39">
        <f t="shared" ref="G233:G234" si="41">ROUND(D233*E233,2)</f>
        <v>0</v>
      </c>
      <c r="H233" s="432"/>
      <c r="I233" s="207"/>
      <c r="J233" s="207"/>
      <c r="K233" s="362"/>
      <c r="L233" s="433"/>
      <c r="M233" s="63"/>
      <c r="N233" s="423"/>
      <c r="O233" s="406"/>
      <c r="P233" s="406"/>
      <c r="Q233" s="407"/>
      <c r="R233" s="899"/>
      <c r="S233" s="399"/>
      <c r="T233" s="399"/>
    </row>
    <row r="234" spans="1:20" s="81" customFormat="1" ht="15" hidden="1" customHeight="1" thickBot="1">
      <c r="A234" s="445"/>
      <c r="B234" s="446"/>
      <c r="C234" s="99" t="s">
        <v>29</v>
      </c>
      <c r="D234" s="413"/>
      <c r="E234" s="56">
        <v>6.8415999999999997</v>
      </c>
      <c r="F234" s="281"/>
      <c r="G234" s="414">
        <f t="shared" si="41"/>
        <v>0</v>
      </c>
      <c r="H234" s="280"/>
      <c r="I234" s="281"/>
      <c r="J234" s="281"/>
      <c r="K234" s="282"/>
      <c r="L234" s="204"/>
      <c r="M234" s="371"/>
      <c r="N234" s="434"/>
      <c r="O234" s="435"/>
      <c r="P234" s="435"/>
      <c r="Q234" s="425"/>
      <c r="R234" s="899"/>
      <c r="S234" s="399"/>
      <c r="T234" s="399"/>
    </row>
    <row r="235" spans="1:20" s="81" customFormat="1" ht="15.75" hidden="1" customHeight="1">
      <c r="A235" s="902">
        <v>118</v>
      </c>
      <c r="B235" s="924" t="s">
        <v>200</v>
      </c>
      <c r="C235" s="390" t="s">
        <v>73</v>
      </c>
      <c r="D235" s="869"/>
      <c r="E235" s="86">
        <v>36.214199999999998</v>
      </c>
      <c r="F235" s="86">
        <v>42.4328</v>
      </c>
      <c r="G235" s="449">
        <f>+D235*(E235+F235)</f>
        <v>0</v>
      </c>
      <c r="H235" s="260"/>
      <c r="I235" s="392"/>
      <c r="J235" s="41"/>
      <c r="K235" s="870"/>
      <c r="L235" s="286">
        <f>SUM(G235:G239,J235:J239)</f>
        <v>0</v>
      </c>
      <c r="M235" s="90"/>
      <c r="N235" s="443"/>
      <c r="O235" s="94"/>
      <c r="P235" s="94"/>
      <c r="Q235" s="396"/>
      <c r="R235" s="422"/>
      <c r="S235" s="399"/>
      <c r="T235" s="399"/>
    </row>
    <row r="236" spans="1:20" s="81" customFormat="1" ht="15.75" hidden="1" customHeight="1">
      <c r="A236" s="468"/>
      <c r="B236" s="920"/>
      <c r="C236" s="36" t="s">
        <v>26</v>
      </c>
      <c r="D236" s="37"/>
      <c r="E236" s="38"/>
      <c r="F236" s="38"/>
      <c r="G236" s="39">
        <f>ROUND(D236*(E236+F236),2)</f>
        <v>0</v>
      </c>
      <c r="H236" s="457"/>
      <c r="I236" s="392"/>
      <c r="J236" s="41"/>
      <c r="K236" s="393"/>
      <c r="L236" s="459"/>
      <c r="M236" s="44"/>
      <c r="N236" s="430"/>
      <c r="O236" s="406"/>
      <c r="P236" s="406"/>
      <c r="Q236" s="407"/>
      <c r="R236" s="422"/>
      <c r="S236" s="399"/>
      <c r="T236" s="399"/>
    </row>
    <row r="237" spans="1:20" s="81" customFormat="1" ht="15.75" hidden="1" customHeight="1">
      <c r="A237" s="468"/>
      <c r="B237" s="920"/>
      <c r="C237" s="48" t="s">
        <v>124</v>
      </c>
      <c r="D237" s="37"/>
      <c r="E237" s="41"/>
      <c r="F237" s="38"/>
      <c r="G237" s="39">
        <f>ROUND(D237*(E237),2)</f>
        <v>0</v>
      </c>
      <c r="H237" s="270"/>
      <c r="I237" s="41"/>
      <c r="J237" s="41"/>
      <c r="K237" s="271"/>
      <c r="L237" s="272"/>
      <c r="M237" s="102"/>
      <c r="N237" s="430"/>
      <c r="O237" s="406"/>
      <c r="P237" s="406"/>
      <c r="Q237" s="407"/>
      <c r="R237" s="422"/>
      <c r="S237" s="399"/>
      <c r="T237" s="399"/>
    </row>
    <row r="238" spans="1:20" s="81" customFormat="1" ht="15.75" hidden="1" customHeight="1">
      <c r="A238" s="468"/>
      <c r="B238" s="920"/>
      <c r="C238" s="48" t="s">
        <v>125</v>
      </c>
      <c r="D238" s="37"/>
      <c r="E238" s="41">
        <v>6.7431999999999999</v>
      </c>
      <c r="F238" s="38"/>
      <c r="G238" s="39">
        <f>ROUND(D238*(E238),2)</f>
        <v>0</v>
      </c>
      <c r="H238" s="270"/>
      <c r="I238" s="41"/>
      <c r="J238" s="41"/>
      <c r="K238" s="271"/>
      <c r="L238" s="272"/>
      <c r="M238" s="102"/>
      <c r="N238" s="434"/>
      <c r="O238" s="435"/>
      <c r="P238" s="435"/>
      <c r="Q238" s="425"/>
      <c r="R238" s="422"/>
      <c r="S238" s="399"/>
      <c r="T238" s="399"/>
    </row>
    <row r="239" spans="1:20" s="81" customFormat="1" ht="15.75" hidden="1" customHeight="1" thickBot="1">
      <c r="A239" s="858"/>
      <c r="B239" s="921"/>
      <c r="C239" s="54" t="s">
        <v>29</v>
      </c>
      <c r="D239" s="413"/>
      <c r="E239" s="56">
        <v>6.7431999999999999</v>
      </c>
      <c r="F239" s="281"/>
      <c r="G239" s="414">
        <f>ROUND(D239*(E239),2)</f>
        <v>0</v>
      </c>
      <c r="H239" s="280"/>
      <c r="I239" s="281"/>
      <c r="J239" s="281"/>
      <c r="K239" s="282"/>
      <c r="L239" s="204"/>
      <c r="M239" s="371"/>
      <c r="N239" s="426"/>
      <c r="O239" s="416"/>
      <c r="P239" s="416"/>
      <c r="Q239" s="417"/>
      <c r="R239" s="422"/>
      <c r="S239" s="399"/>
      <c r="T239" s="399"/>
    </row>
    <row r="240" spans="1:20" s="81" customFormat="1" ht="15.75" customHeight="1">
      <c r="A240" s="902" t="s">
        <v>258</v>
      </c>
      <c r="B240" s="903" t="s">
        <v>259</v>
      </c>
      <c r="C240" s="439" t="s">
        <v>149</v>
      </c>
      <c r="D240" s="904">
        <v>0</v>
      </c>
      <c r="E240" s="23">
        <f>6.6998-6.7798</f>
        <v>-8.0000000000000071E-2</v>
      </c>
      <c r="F240" s="905"/>
      <c r="G240" s="22">
        <f>ROUND(D240*E240,2)</f>
        <v>0</v>
      </c>
      <c r="H240" s="303"/>
      <c r="I240" s="23"/>
      <c r="J240" s="23"/>
      <c r="K240" s="304"/>
      <c r="L240" s="263">
        <f>SUM(G240:G242)</f>
        <v>759.09</v>
      </c>
      <c r="M240" s="26">
        <v>759.09</v>
      </c>
      <c r="N240" s="421"/>
      <c r="O240" s="77"/>
      <c r="P240" s="77"/>
      <c r="Q240" s="384"/>
      <c r="R240" s="422"/>
      <c r="S240" s="399"/>
      <c r="T240" s="399"/>
    </row>
    <row r="241" spans="1:21" s="81" customFormat="1" ht="15.75" customHeight="1">
      <c r="A241" s="468"/>
      <c r="B241" s="469"/>
      <c r="C241" s="48" t="s">
        <v>150</v>
      </c>
      <c r="D241" s="471">
        <v>0.3</v>
      </c>
      <c r="E241" s="41">
        <v>6.6997999999999998</v>
      </c>
      <c r="F241" s="473"/>
      <c r="G241" s="449">
        <f>ROUND(D241*E241,2)</f>
        <v>2.0099999999999998</v>
      </c>
      <c r="H241" s="260"/>
      <c r="I241" s="261"/>
      <c r="J241" s="261"/>
      <c r="K241" s="262"/>
      <c r="L241" s="286"/>
      <c r="M241" s="90"/>
      <c r="N241" s="423"/>
      <c r="O241" s="406"/>
      <c r="P241" s="406"/>
      <c r="Q241" s="407"/>
      <c r="R241" s="422"/>
      <c r="S241" s="399"/>
      <c r="T241" s="399"/>
    </row>
    <row r="242" spans="1:21" s="81" customFormat="1" ht="15.75" customHeight="1" thickBot="1">
      <c r="A242" s="858"/>
      <c r="B242" s="859"/>
      <c r="C242" s="54" t="s">
        <v>29</v>
      </c>
      <c r="D242" s="860">
        <v>113</v>
      </c>
      <c r="E242" s="56">
        <v>6.6997999999999998</v>
      </c>
      <c r="F242" s="861"/>
      <c r="G242" s="414">
        <f t="shared" ref="G242" si="42">ROUND(D242*E242,2)</f>
        <v>757.08</v>
      </c>
      <c r="H242" s="280"/>
      <c r="I242" s="281"/>
      <c r="J242" s="281"/>
      <c r="K242" s="282"/>
      <c r="L242" s="204"/>
      <c r="M242" s="371"/>
      <c r="N242" s="426"/>
      <c r="O242" s="416"/>
      <c r="P242" s="416"/>
      <c r="Q242" s="417"/>
      <c r="R242" s="422"/>
      <c r="S242" s="399"/>
      <c r="T242" s="399"/>
    </row>
    <row r="243" spans="1:21" s="81" customFormat="1" ht="15.75" customHeight="1">
      <c r="A243" s="926"/>
      <c r="B243" s="927"/>
      <c r="C243" s="928"/>
      <c r="D243" s="904"/>
      <c r="E243" s="929"/>
      <c r="F243" s="905"/>
      <c r="G243" s="930"/>
      <c r="H243" s="905"/>
      <c r="I243" s="905"/>
      <c r="J243" s="905"/>
      <c r="K243" s="905"/>
      <c r="L243" s="905"/>
      <c r="M243" s="931"/>
      <c r="N243" s="387"/>
      <c r="O243" s="387"/>
      <c r="P243" s="387"/>
      <c r="Q243" s="387"/>
      <c r="R243" s="422"/>
      <c r="S243" s="399"/>
      <c r="T243" s="399"/>
    </row>
    <row r="244" spans="1:21" s="81" customFormat="1" ht="15" customHeight="1">
      <c r="A244" s="686"/>
      <c r="B244" s="469"/>
      <c r="C244" s="932"/>
      <c r="D244" s="471"/>
      <c r="E244" s="473"/>
      <c r="F244" s="473"/>
      <c r="G244" s="474"/>
      <c r="H244" s="473"/>
      <c r="I244" s="473"/>
      <c r="J244" s="473"/>
      <c r="K244" s="473"/>
      <c r="L244" s="473"/>
      <c r="M244" s="470"/>
      <c r="N244" s="399"/>
      <c r="O244" s="399"/>
      <c r="P244" s="399"/>
      <c r="Q244" s="399"/>
      <c r="R244" s="422"/>
      <c r="S244" s="399"/>
      <c r="T244" s="399"/>
    </row>
    <row r="245" spans="1:21" ht="21.75" thickBot="1">
      <c r="A245" s="171" t="s">
        <v>84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3"/>
      <c r="N245" s="2"/>
      <c r="O245" s="2"/>
      <c r="P245" s="2"/>
      <c r="Q245" s="2"/>
      <c r="R245" s="2"/>
      <c r="S245" s="2"/>
      <c r="T245" s="2"/>
    </row>
    <row r="246" spans="1:21" ht="15.75" customHeight="1" thickTop="1" thickBot="1">
      <c r="A246" s="1540" t="s">
        <v>1</v>
      </c>
      <c r="B246" s="1542" t="s">
        <v>2</v>
      </c>
      <c r="C246" s="1544" t="s">
        <v>3</v>
      </c>
      <c r="D246" s="1546" t="s">
        <v>4</v>
      </c>
      <c r="E246" s="1546"/>
      <c r="F246" s="1546"/>
      <c r="G246" s="1546"/>
      <c r="H246" s="1547" t="s">
        <v>5</v>
      </c>
      <c r="I246" s="1548"/>
      <c r="J246" s="1548"/>
      <c r="K246" s="1549"/>
      <c r="L246" s="1524" t="s">
        <v>6</v>
      </c>
      <c r="M246" s="1511" t="s">
        <v>7</v>
      </c>
      <c r="N246" s="1551" t="s">
        <v>8</v>
      </c>
      <c r="O246" s="1551"/>
      <c r="P246" s="1551"/>
      <c r="Q246" s="1552" t="s">
        <v>18</v>
      </c>
      <c r="R246" s="481" t="s">
        <v>85</v>
      </c>
      <c r="S246" s="482" t="s">
        <v>20</v>
      </c>
      <c r="T246" s="482" t="s">
        <v>21</v>
      </c>
    </row>
    <row r="247" spans="1:21" ht="40.5" customHeight="1" thickTop="1" thickBot="1">
      <c r="A247" s="1541"/>
      <c r="B247" s="1543"/>
      <c r="C247" s="1545" t="s">
        <v>10</v>
      </c>
      <c r="D247" s="483" t="s">
        <v>11</v>
      </c>
      <c r="E247" s="484" t="s">
        <v>12</v>
      </c>
      <c r="F247" s="484" t="s">
        <v>13</v>
      </c>
      <c r="G247" s="485" t="s">
        <v>14</v>
      </c>
      <c r="H247" s="483" t="s">
        <v>11</v>
      </c>
      <c r="I247" s="486" t="s">
        <v>15</v>
      </c>
      <c r="J247" s="485"/>
      <c r="K247" s="487" t="s">
        <v>16</v>
      </c>
      <c r="L247" s="1525"/>
      <c r="M247" s="1550"/>
      <c r="N247" s="488" t="s">
        <v>14</v>
      </c>
      <c r="O247" s="485"/>
      <c r="P247" s="489" t="s">
        <v>18</v>
      </c>
      <c r="Q247" s="490" t="s">
        <v>19</v>
      </c>
      <c r="R247" s="491"/>
      <c r="S247" s="492"/>
      <c r="T247" s="492"/>
    </row>
    <row r="248" spans="1:21">
      <c r="A248" s="961" t="s">
        <v>228</v>
      </c>
      <c r="B248" s="602" t="s">
        <v>186</v>
      </c>
      <c r="C248" s="439" t="s">
        <v>149</v>
      </c>
      <c r="D248" s="184">
        <f>июнь18!D234+июнь18!D235</f>
        <v>156</v>
      </c>
      <c r="E248" s="41">
        <f>6.509-6.4709</f>
        <v>3.8100000000000023E-2</v>
      </c>
      <c r="F248" s="23"/>
      <c r="G248" s="185">
        <f>ROUND(D248*(E248),2)</f>
        <v>5.94</v>
      </c>
      <c r="H248" s="620"/>
      <c r="I248" s="620"/>
      <c r="J248" s="620"/>
      <c r="K248" s="634"/>
      <c r="L248" s="603">
        <f>SUM(G248:G250)</f>
        <v>819.57</v>
      </c>
      <c r="M248" s="187">
        <v>819.57</v>
      </c>
      <c r="N248" s="615"/>
      <c r="O248" s="615"/>
      <c r="P248" s="615"/>
      <c r="Q248" s="615"/>
    </row>
    <row r="249" spans="1:21">
      <c r="A249" s="934"/>
      <c r="B249" s="506"/>
      <c r="C249" s="48" t="s">
        <v>150</v>
      </c>
      <c r="D249" s="49">
        <v>5</v>
      </c>
      <c r="E249" s="41">
        <v>6.5090000000000003</v>
      </c>
      <c r="F249" s="41">
        <f>+E249</f>
        <v>6.5090000000000003</v>
      </c>
      <c r="G249" s="50">
        <f>ROUND(D249*(E249),2)</f>
        <v>32.549999999999997</v>
      </c>
      <c r="H249" s="296"/>
      <c r="I249" s="298"/>
      <c r="J249" s="298"/>
      <c r="K249" s="637"/>
      <c r="L249" s="606"/>
      <c r="M249" s="935"/>
      <c r="N249" s="615"/>
      <c r="O249" s="615"/>
      <c r="P249" s="615"/>
      <c r="Q249" s="615"/>
    </row>
    <row r="250" spans="1:21" ht="15.75" thickBot="1">
      <c r="A250" s="934"/>
      <c r="B250" s="506"/>
      <c r="C250" s="54" t="s">
        <v>29</v>
      </c>
      <c r="D250" s="296">
        <v>120</v>
      </c>
      <c r="E250" s="56">
        <v>6.5090000000000003</v>
      </c>
      <c r="F250" s="41">
        <f>+E250</f>
        <v>6.5090000000000003</v>
      </c>
      <c r="G250" s="50">
        <f t="shared" ref="G250" si="43">ROUND(D250*(E250),2)</f>
        <v>781.08</v>
      </c>
      <c r="H250" s="296"/>
      <c r="I250" s="298"/>
      <c r="J250" s="298"/>
      <c r="K250" s="637"/>
      <c r="L250" s="614"/>
      <c r="M250" s="935"/>
      <c r="N250" s="615"/>
      <c r="O250" s="615"/>
      <c r="P250" s="615"/>
      <c r="Q250" s="615"/>
    </row>
    <row r="251" spans="1:21">
      <c r="A251" s="961" t="s">
        <v>207</v>
      </c>
      <c r="B251" s="602" t="s">
        <v>184</v>
      </c>
      <c r="C251" s="439" t="s">
        <v>149</v>
      </c>
      <c r="D251" s="184">
        <f>июнь18!D237+июнь18!D238</f>
        <v>0</v>
      </c>
      <c r="E251" s="41">
        <f>6.509-6.4709</f>
        <v>3.8100000000000023E-2</v>
      </c>
      <c r="F251" s="23">
        <f>+E251</f>
        <v>3.8100000000000023E-2</v>
      </c>
      <c r="G251" s="185">
        <f>ROUND(D251*(E251),2)</f>
        <v>0</v>
      </c>
      <c r="H251" s="620"/>
      <c r="I251" s="620"/>
      <c r="J251" s="620"/>
      <c r="K251" s="634"/>
      <c r="L251" s="603">
        <f>SUM(G251:G253)</f>
        <v>0</v>
      </c>
      <c r="M251" s="187">
        <v>0</v>
      </c>
      <c r="N251" s="615"/>
      <c r="O251" s="962" t="s">
        <v>224</v>
      </c>
      <c r="P251" s="615"/>
      <c r="Q251" s="615"/>
    </row>
    <row r="252" spans="1:21">
      <c r="A252" s="934"/>
      <c r="B252" s="506"/>
      <c r="C252" s="48" t="s">
        <v>150</v>
      </c>
      <c r="D252" s="49">
        <v>0</v>
      </c>
      <c r="E252" s="41">
        <v>6.5090000000000003</v>
      </c>
      <c r="F252" s="41">
        <f>+E252</f>
        <v>6.5090000000000003</v>
      </c>
      <c r="G252" s="50">
        <f>ROUND(D252*(E252),2)</f>
        <v>0</v>
      </c>
      <c r="H252" s="296"/>
      <c r="I252" s="298"/>
      <c r="J252" s="298"/>
      <c r="K252" s="637"/>
      <c r="L252" s="606"/>
      <c r="M252" s="935"/>
      <c r="N252" s="615"/>
      <c r="O252" s="615"/>
      <c r="P252" s="615"/>
      <c r="Q252" s="615"/>
    </row>
    <row r="253" spans="1:21" ht="15.75" thickBot="1">
      <c r="A253" s="934"/>
      <c r="B253" s="506"/>
      <c r="C253" s="54" t="s">
        <v>29</v>
      </c>
      <c r="D253" s="296">
        <v>0</v>
      </c>
      <c r="E253" s="56">
        <v>6.5090000000000003</v>
      </c>
      <c r="F253" s="41">
        <f>+E253</f>
        <v>6.5090000000000003</v>
      </c>
      <c r="G253" s="50">
        <f t="shared" ref="G253" si="44">ROUND(D253*(E253),2)</f>
        <v>0</v>
      </c>
      <c r="H253" s="296"/>
      <c r="I253" s="298"/>
      <c r="J253" s="298"/>
      <c r="K253" s="637"/>
      <c r="L253" s="614"/>
      <c r="M253" s="935"/>
      <c r="N253" s="615"/>
      <c r="O253" s="615"/>
      <c r="P253" s="615"/>
      <c r="Q253" s="615"/>
    </row>
    <row r="254" spans="1:21" ht="15.75" thickTop="1">
      <c r="A254" s="376">
        <v>100</v>
      </c>
      <c r="B254" s="494" t="s">
        <v>193</v>
      </c>
      <c r="C254" s="71">
        <f>+[1]дек!U72</f>
        <v>0</v>
      </c>
      <c r="D254" s="495">
        <v>7</v>
      </c>
      <c r="E254" s="21">
        <v>40.556600000000003</v>
      </c>
      <c r="F254" s="21">
        <v>47.5304</v>
      </c>
      <c r="G254" s="185">
        <f>ROUND(D254*(E254+F254),2)</f>
        <v>616.61</v>
      </c>
      <c r="H254" s="496"/>
      <c r="I254" s="73"/>
      <c r="J254" s="73"/>
      <c r="K254" s="601"/>
      <c r="L254" s="498">
        <f>SUM(G254:G261)+SUM(J254:J260)</f>
        <v>19005.030000000002</v>
      </c>
      <c r="M254" s="26">
        <v>19005.03</v>
      </c>
      <c r="N254" s="499"/>
      <c r="O254" s="500"/>
      <c r="P254" s="501" t="s">
        <v>87</v>
      </c>
      <c r="Q254" s="595">
        <f t="shared" ref="Q254" si="45">C254+G254+J254-M254-N254-O254</f>
        <v>-18388.419999999998</v>
      </c>
    </row>
    <row r="255" spans="1:21" ht="15.75" thickBot="1">
      <c r="A255" s="389"/>
      <c r="B255" s="506"/>
      <c r="C255" s="507" t="s">
        <v>96</v>
      </c>
      <c r="D255" s="234"/>
      <c r="E255" s="38"/>
      <c r="F255" s="38"/>
      <c r="G255" s="235">
        <f>ROUND(D255*(E255+F255),2)</f>
        <v>0</v>
      </c>
      <c r="H255" s="448"/>
      <c r="I255" s="509"/>
      <c r="J255" s="199"/>
      <c r="K255" s="517"/>
      <c r="L255" s="511"/>
      <c r="M255" s="512"/>
      <c r="N255" s="513"/>
      <c r="O255" s="514"/>
      <c r="P255" s="515"/>
      <c r="Q255" s="262"/>
      <c r="U255" s="33"/>
    </row>
    <row r="256" spans="1:21">
      <c r="A256" s="389"/>
      <c r="B256" s="516" t="s">
        <v>89</v>
      </c>
      <c r="C256" s="512" t="s">
        <v>90</v>
      </c>
      <c r="D256" s="508">
        <v>1</v>
      </c>
      <c r="E256" s="101">
        <v>237.98</v>
      </c>
      <c r="F256" s="21">
        <v>47.5304</v>
      </c>
      <c r="G256" s="50">
        <f>ROUND(D256*(E256+F256),2)</f>
        <v>285.51</v>
      </c>
      <c r="H256" s="270"/>
      <c r="I256" s="41"/>
      <c r="J256" s="207"/>
      <c r="K256" s="517"/>
      <c r="L256" s="517"/>
      <c r="M256" s="99"/>
      <c r="N256" s="518"/>
      <c r="O256" s="519"/>
      <c r="P256" s="515" t="s">
        <v>87</v>
      </c>
      <c r="Q256" s="271">
        <f>+G256+J256-M256-N256-O256</f>
        <v>285.51</v>
      </c>
    </row>
    <row r="257" spans="1:21">
      <c r="A257" s="389"/>
      <c r="B257" s="541"/>
      <c r="C257" s="84" t="s">
        <v>97</v>
      </c>
      <c r="D257" s="508"/>
      <c r="E257" s="41"/>
      <c r="F257" s="38"/>
      <c r="G257" s="50">
        <f>ROUND(D257*(E257+F257),2)</f>
        <v>0</v>
      </c>
      <c r="H257" s="432"/>
      <c r="I257" s="362"/>
      <c r="J257" s="207"/>
      <c r="K257" s="517"/>
      <c r="L257" s="517"/>
      <c r="M257" s="520"/>
      <c r="N257" s="521"/>
      <c r="O257" s="522"/>
      <c r="P257" s="523"/>
      <c r="Q257" s="362"/>
    </row>
    <row r="258" spans="1:21">
      <c r="A258" s="389"/>
      <c r="B258" s="541" t="s">
        <v>194</v>
      </c>
      <c r="C258" s="84"/>
      <c r="D258" s="508"/>
      <c r="E258" s="41"/>
      <c r="F258" s="41"/>
      <c r="G258" s="50"/>
      <c r="H258" s="432"/>
      <c r="I258" s="362"/>
      <c r="J258" s="207"/>
      <c r="K258" s="517"/>
      <c r="L258" s="517"/>
      <c r="M258" s="520"/>
      <c r="N258" s="521"/>
      <c r="O258" s="522"/>
      <c r="P258" s="523"/>
      <c r="Q258" s="362"/>
    </row>
    <row r="259" spans="1:21">
      <c r="A259" s="389"/>
      <c r="B259" s="506"/>
      <c r="C259" s="48" t="s">
        <v>149</v>
      </c>
      <c r="D259" s="37"/>
      <c r="E259" s="41"/>
      <c r="F259" s="41">
        <f>+E259</f>
        <v>0</v>
      </c>
      <c r="G259" s="39">
        <f>ROUND(D259*E259,2)</f>
        <v>0</v>
      </c>
      <c r="H259" s="432"/>
      <c r="I259" s="362"/>
      <c r="J259" s="207"/>
      <c r="K259" s="517"/>
      <c r="L259" s="517"/>
      <c r="M259" s="520"/>
      <c r="N259" s="521"/>
      <c r="O259" s="522"/>
      <c r="P259" s="523"/>
      <c r="Q259" s="362"/>
    </row>
    <row r="260" spans="1:21">
      <c r="A260" s="389"/>
      <c r="B260" s="506"/>
      <c r="C260" s="48" t="s">
        <v>150</v>
      </c>
      <c r="D260" s="37">
        <v>115</v>
      </c>
      <c r="E260" s="41">
        <v>6.7023000000000001</v>
      </c>
      <c r="F260" s="41">
        <f>+E260</f>
        <v>6.7023000000000001</v>
      </c>
      <c r="G260" s="39">
        <f>ROUND(D260*E260,2)</f>
        <v>770.76</v>
      </c>
      <c r="H260" s="432"/>
      <c r="I260" s="362"/>
      <c r="J260" s="207"/>
      <c r="K260" s="517"/>
      <c r="L260" s="517"/>
      <c r="M260" s="520"/>
      <c r="N260" s="521"/>
      <c r="O260" s="522"/>
      <c r="P260" s="523"/>
      <c r="Q260" s="362"/>
      <c r="U260" s="33"/>
    </row>
    <row r="261" spans="1:21" ht="15.75" thickBot="1">
      <c r="A261" s="411"/>
      <c r="B261" s="526"/>
      <c r="C261" s="99" t="s">
        <v>29</v>
      </c>
      <c r="D261" s="55">
        <v>2586</v>
      </c>
      <c r="E261" s="56">
        <v>6.7023000000000001</v>
      </c>
      <c r="F261" s="281">
        <f>+E261</f>
        <v>6.7023000000000001</v>
      </c>
      <c r="G261" s="58">
        <f>ROUND(D261*E261,2)</f>
        <v>17332.150000000001</v>
      </c>
      <c r="H261" s="248"/>
      <c r="I261" s="203"/>
      <c r="J261" s="60"/>
      <c r="K261" s="61"/>
      <c r="L261" s="249"/>
      <c r="M261" s="54"/>
      <c r="N261" s="521"/>
      <c r="O261" s="528"/>
      <c r="P261" s="529" t="s">
        <v>87</v>
      </c>
      <c r="Q261" s="362">
        <f>+G261+J261-M261-N261-O261</f>
        <v>17332.150000000001</v>
      </c>
    </row>
    <row r="262" spans="1:21" ht="15.75" collapsed="1" thickTop="1">
      <c r="A262" s="389">
        <v>113</v>
      </c>
      <c r="B262" s="494" t="s">
        <v>250</v>
      </c>
      <c r="C262" s="71" t="s">
        <v>73</v>
      </c>
      <c r="D262" s="495">
        <v>21</v>
      </c>
      <c r="E262" s="21">
        <v>36.214199999999998</v>
      </c>
      <c r="F262" s="21">
        <v>42.4328</v>
      </c>
      <c r="G262" s="185">
        <f>ROUND(D262*(E262+F262),2)</f>
        <v>1651.59</v>
      </c>
      <c r="H262" s="496"/>
      <c r="I262" s="73"/>
      <c r="J262" s="73"/>
      <c r="K262" s="497"/>
      <c r="L262" s="498">
        <f>SUM(G262:G268)+SUM(J262:J267)</f>
        <v>21891.25</v>
      </c>
      <c r="M262" s="26">
        <v>21891.25</v>
      </c>
      <c r="N262" s="594"/>
      <c r="O262" s="535"/>
      <c r="P262" s="536" t="s">
        <v>87</v>
      </c>
      <c r="Q262" s="595" t="e">
        <f>C262+G262+J262-M262-N262-O262</f>
        <v>#VALUE!</v>
      </c>
      <c r="R262" s="502" t="s">
        <v>88</v>
      </c>
      <c r="S262" s="503"/>
      <c r="T262" s="504"/>
      <c r="U262" s="33">
        <f>+M262-L262</f>
        <v>0</v>
      </c>
    </row>
    <row r="263" spans="1:21">
      <c r="A263" s="389"/>
      <c r="B263" s="506"/>
      <c r="C263" s="542"/>
      <c r="D263" s="508"/>
      <c r="E263" s="38"/>
      <c r="F263" s="38"/>
      <c r="G263" s="50">
        <f>ROUND(D263*(E263+F263),2)</f>
        <v>0</v>
      </c>
      <c r="H263" s="596"/>
      <c r="I263" s="409"/>
      <c r="J263" s="509"/>
      <c r="K263" s="543"/>
      <c r="L263" s="511"/>
      <c r="M263" s="99"/>
      <c r="N263" s="513"/>
      <c r="O263" s="514"/>
      <c r="P263" s="515"/>
      <c r="Q263" s="262"/>
      <c r="R263" s="502"/>
      <c r="S263" s="503"/>
      <c r="T263" s="504"/>
    </row>
    <row r="264" spans="1:21">
      <c r="A264" s="389"/>
      <c r="B264" s="516" t="s">
        <v>103</v>
      </c>
      <c r="C264" s="99" t="s">
        <v>90</v>
      </c>
      <c r="D264" s="508">
        <v>7</v>
      </c>
      <c r="E264" s="101">
        <v>237.98</v>
      </c>
      <c r="F264" s="38">
        <v>42.4328</v>
      </c>
      <c r="G264" s="50">
        <f>ROUND(D264*(E264+F264),2)</f>
        <v>1962.89</v>
      </c>
      <c r="H264" s="270"/>
      <c r="I264" s="41"/>
      <c r="J264" s="409"/>
      <c r="K264" s="510"/>
      <c r="L264" s="597"/>
      <c r="M264" s="99"/>
      <c r="N264" s="518"/>
      <c r="O264" s="519"/>
      <c r="P264" s="515" t="s">
        <v>87</v>
      </c>
      <c r="Q264" s="271">
        <f>+G264+J264-M264-N264-O264</f>
        <v>1962.89</v>
      </c>
      <c r="R264" s="502" t="s">
        <v>88</v>
      </c>
      <c r="S264" s="503"/>
      <c r="T264" s="504"/>
    </row>
    <row r="265" spans="1:21">
      <c r="A265" s="389"/>
      <c r="B265" s="506"/>
      <c r="C265" s="390" t="s">
        <v>97</v>
      </c>
      <c r="D265" s="508">
        <f>июнь18!D249</f>
        <v>7</v>
      </c>
      <c r="E265" s="41"/>
      <c r="F265" s="38"/>
      <c r="G265" s="50">
        <f>D265*(E265+F265)</f>
        <v>0</v>
      </c>
      <c r="H265" s="432"/>
      <c r="I265" s="362"/>
      <c r="J265" s="41"/>
      <c r="K265" s="510"/>
      <c r="L265" s="597"/>
      <c r="M265" s="99"/>
      <c r="N265" s="521"/>
      <c r="O265" s="522"/>
      <c r="P265" s="523"/>
      <c r="Q265" s="362"/>
      <c r="R265" s="502"/>
      <c r="S265" s="503"/>
      <c r="T265" s="504"/>
    </row>
    <row r="266" spans="1:21">
      <c r="A266" s="389"/>
      <c r="B266" s="506"/>
      <c r="C266" s="48" t="s">
        <v>149</v>
      </c>
      <c r="D266" s="37">
        <f>июнь18!D252+июнь18!D253</f>
        <v>3062</v>
      </c>
      <c r="E266" s="41">
        <f>6.509-6.4709</f>
        <v>3.8100000000000023E-2</v>
      </c>
      <c r="F266" s="297">
        <f t="shared" ref="F266:F268" si="46">+E266</f>
        <v>3.8100000000000023E-2</v>
      </c>
      <c r="G266" s="39">
        <f>ROUND(D266*(E266+F266)/2,2)</f>
        <v>116.66</v>
      </c>
      <c r="H266" s="432"/>
      <c r="I266" s="362"/>
      <c r="J266" s="41"/>
      <c r="K266" s="510"/>
      <c r="L266" s="597"/>
      <c r="M266" s="99"/>
      <c r="N266" s="521"/>
      <c r="O266" s="522"/>
      <c r="P266" s="523"/>
      <c r="Q266" s="362"/>
      <c r="R266" s="502"/>
      <c r="S266" s="503"/>
      <c r="T266" s="504"/>
    </row>
    <row r="267" spans="1:21">
      <c r="A267" s="389"/>
      <c r="B267" s="506"/>
      <c r="C267" s="48" t="s">
        <v>150</v>
      </c>
      <c r="D267" s="37">
        <v>118</v>
      </c>
      <c r="E267" s="41">
        <v>6.5090000000000003</v>
      </c>
      <c r="F267" s="298">
        <f t="shared" si="46"/>
        <v>6.5090000000000003</v>
      </c>
      <c r="G267" s="39">
        <f>ROUND(D267*E267,2)</f>
        <v>768.06</v>
      </c>
      <c r="H267" s="432"/>
      <c r="I267" s="362"/>
      <c r="J267" s="41"/>
      <c r="K267" s="510"/>
      <c r="L267" s="597"/>
      <c r="M267" s="99"/>
      <c r="N267" s="521"/>
      <c r="O267" s="522"/>
      <c r="P267" s="523"/>
      <c r="Q267" s="362"/>
      <c r="R267" s="502"/>
      <c r="S267" s="503"/>
      <c r="T267" s="504"/>
    </row>
    <row r="268" spans="1:21" ht="15.75" thickBot="1">
      <c r="A268" s="369"/>
      <c r="B268" s="526"/>
      <c r="C268" s="99" t="s">
        <v>29</v>
      </c>
      <c r="D268" s="55">
        <v>2672</v>
      </c>
      <c r="E268" s="56">
        <v>6.5090000000000003</v>
      </c>
      <c r="F268" s="57">
        <f t="shared" si="46"/>
        <v>6.5090000000000003</v>
      </c>
      <c r="G268" s="414">
        <f>ROUND(D268*E268,2)</f>
        <v>17392.05</v>
      </c>
      <c r="H268" s="248"/>
      <c r="I268" s="203"/>
      <c r="J268" s="60"/>
      <c r="K268" s="61"/>
      <c r="L268" s="249"/>
      <c r="M268" s="54"/>
      <c r="N268" s="527"/>
      <c r="O268" s="528"/>
      <c r="P268" s="529" t="s">
        <v>87</v>
      </c>
      <c r="Q268" s="58">
        <f>+G268+J268-M268-N268-O268</f>
        <v>17392.05</v>
      </c>
      <c r="R268" s="502" t="s">
        <v>88</v>
      </c>
      <c r="S268" s="598">
        <f>SUM(N262:N268)+O262:O268</f>
        <v>0</v>
      </c>
      <c r="T268" s="598" t="e">
        <f>SUM(Q262:Q268)</f>
        <v>#VALUE!</v>
      </c>
    </row>
    <row r="269" spans="1:21">
      <c r="A269" s="376" t="s">
        <v>208</v>
      </c>
      <c r="B269" s="602" t="s">
        <v>213</v>
      </c>
      <c r="C269" s="439" t="s">
        <v>149</v>
      </c>
      <c r="D269" s="184">
        <f>июнь18!D255+июнь18!D256</f>
        <v>151</v>
      </c>
      <c r="E269" s="41">
        <f>6.509-6.4709</f>
        <v>3.8100000000000023E-2</v>
      </c>
      <c r="F269" s="23">
        <f>+E269</f>
        <v>3.8100000000000023E-2</v>
      </c>
      <c r="G269" s="185">
        <f>ROUND(D269*(E269),2)+0.01</f>
        <v>5.76</v>
      </c>
      <c r="H269" s="620"/>
      <c r="I269" s="620"/>
      <c r="J269" s="620"/>
      <c r="K269" s="634"/>
      <c r="L269" s="603">
        <f>SUM(G269:G271)</f>
        <v>943.05</v>
      </c>
      <c r="M269" s="187">
        <v>943.05</v>
      </c>
      <c r="N269" s="615"/>
      <c r="O269" s="615"/>
      <c r="P269" s="615"/>
      <c r="Q269" s="615"/>
    </row>
    <row r="270" spans="1:21">
      <c r="A270" s="934"/>
      <c r="B270" s="506"/>
      <c r="C270" s="48" t="s">
        <v>150</v>
      </c>
      <c r="D270" s="49">
        <v>6</v>
      </c>
      <c r="E270" s="41">
        <v>6.5090000000000003</v>
      </c>
      <c r="F270" s="41">
        <f>+E270</f>
        <v>6.5090000000000003</v>
      </c>
      <c r="G270" s="50">
        <f>ROUND(D270*(E270),2)</f>
        <v>39.049999999999997</v>
      </c>
      <c r="H270" s="296"/>
      <c r="I270" s="298"/>
      <c r="J270" s="298"/>
      <c r="K270" s="637"/>
      <c r="L270" s="606"/>
      <c r="M270" s="935"/>
      <c r="N270" s="615"/>
      <c r="O270" s="615"/>
      <c r="P270" s="615"/>
      <c r="Q270" s="615"/>
    </row>
    <row r="271" spans="1:21" ht="15.75" thickBot="1">
      <c r="A271" s="934"/>
      <c r="B271" s="506"/>
      <c r="C271" s="54" t="s">
        <v>29</v>
      </c>
      <c r="D271" s="296">
        <v>138</v>
      </c>
      <c r="E271" s="56">
        <v>6.5090000000000003</v>
      </c>
      <c r="F271" s="41">
        <f>+E271</f>
        <v>6.5090000000000003</v>
      </c>
      <c r="G271" s="50">
        <f t="shared" ref="G271" si="47">ROUND(D271*(E271),2)</f>
        <v>898.24</v>
      </c>
      <c r="H271" s="296"/>
      <c r="I271" s="298"/>
      <c r="J271" s="298"/>
      <c r="K271" s="637"/>
      <c r="L271" s="614"/>
      <c r="M271" s="935"/>
      <c r="N271" s="615"/>
      <c r="O271" s="615"/>
      <c r="P271" s="615"/>
      <c r="Q271" s="615"/>
    </row>
    <row r="272" spans="1:21">
      <c r="A272" s="376">
        <v>201</v>
      </c>
      <c r="B272" s="602" t="s">
        <v>107</v>
      </c>
      <c r="C272" s="618" t="s">
        <v>73</v>
      </c>
      <c r="D272" s="619">
        <v>1</v>
      </c>
      <c r="E272" s="21">
        <v>36.214199999999998</v>
      </c>
      <c r="F272" s="21">
        <v>42.4328</v>
      </c>
      <c r="G272" s="185">
        <f>ROUND(D272*(E272+F272),2)</f>
        <v>78.650000000000006</v>
      </c>
      <c r="H272" s="620"/>
      <c r="I272" s="620"/>
      <c r="J272" s="620"/>
      <c r="K272" s="620"/>
      <c r="L272" s="603">
        <f>SUM(G272:G276,J272:J276)</f>
        <v>4310.17</v>
      </c>
      <c r="M272" s="187">
        <v>4310.17</v>
      </c>
      <c r="N272" s="621"/>
      <c r="O272" s="621"/>
      <c r="P272" s="621"/>
      <c r="Q272" s="622"/>
    </row>
    <row r="273" spans="1:17">
      <c r="A273" s="936"/>
      <c r="B273" s="612"/>
      <c r="C273" s="542" t="s">
        <v>96</v>
      </c>
      <c r="D273" s="234"/>
      <c r="E273" s="38"/>
      <c r="F273" s="38"/>
      <c r="G273" s="235">
        <f>ROUND(D273*(E273+F273),2)</f>
        <v>0</v>
      </c>
      <c r="H273" s="298"/>
      <c r="I273" s="298"/>
      <c r="J273" s="298"/>
      <c r="K273" s="298"/>
      <c r="L273" s="606"/>
      <c r="M273" s="935"/>
      <c r="N273" s="615"/>
      <c r="O273" s="615"/>
      <c r="P273" s="615"/>
      <c r="Q273" s="616"/>
    </row>
    <row r="274" spans="1:17">
      <c r="A274" s="936"/>
      <c r="B274" s="612"/>
      <c r="C274" s="48" t="s">
        <v>149</v>
      </c>
      <c r="D274" s="623">
        <f>июнь18!D260+июнь18!D261</f>
        <v>701</v>
      </c>
      <c r="E274" s="41">
        <f>6.509-6.4709</f>
        <v>3.8100000000000023E-2</v>
      </c>
      <c r="F274" s="41">
        <f t="shared" ref="F274:F279" si="48">+E274</f>
        <v>3.8100000000000023E-2</v>
      </c>
      <c r="G274" s="50">
        <f>ROUND(D274*(E274),2)</f>
        <v>26.71</v>
      </c>
      <c r="H274" s="298"/>
      <c r="I274" s="298"/>
      <c r="J274" s="298"/>
      <c r="K274" s="298"/>
      <c r="L274" s="614"/>
      <c r="M274" s="935"/>
      <c r="N274" s="615"/>
      <c r="O274" s="615"/>
      <c r="P274" s="615"/>
      <c r="Q274" s="616"/>
    </row>
    <row r="275" spans="1:17">
      <c r="A275" s="936"/>
      <c r="B275" s="612"/>
      <c r="C275" s="48" t="s">
        <v>150</v>
      </c>
      <c r="D275" s="623">
        <v>27</v>
      </c>
      <c r="E275" s="41">
        <v>6.5090000000000003</v>
      </c>
      <c r="F275" s="41">
        <f t="shared" si="48"/>
        <v>6.5090000000000003</v>
      </c>
      <c r="G275" s="39">
        <f t="shared" ref="G275:G285" si="49">ROUND(D275*(E275),2)</f>
        <v>175.74</v>
      </c>
      <c r="H275" s="298"/>
      <c r="I275" s="298"/>
      <c r="J275" s="298"/>
      <c r="K275" s="298"/>
      <c r="L275" s="614"/>
      <c r="M275" s="273"/>
      <c r="N275" s="615"/>
      <c r="O275" s="615"/>
      <c r="P275" s="615"/>
      <c r="Q275" s="616"/>
    </row>
    <row r="276" spans="1:17" ht="15.75" thickBot="1">
      <c r="A276" s="937"/>
      <c r="B276" s="526"/>
      <c r="C276" s="99" t="s">
        <v>29</v>
      </c>
      <c r="D276" s="625">
        <v>619</v>
      </c>
      <c r="E276" s="56">
        <v>6.5090000000000003</v>
      </c>
      <c r="F276" s="281">
        <f t="shared" si="48"/>
        <v>6.5090000000000003</v>
      </c>
      <c r="G276" s="414">
        <f t="shared" si="49"/>
        <v>4029.07</v>
      </c>
      <c r="H276" s="41"/>
      <c r="I276" s="41"/>
      <c r="J276" s="281"/>
      <c r="K276" s="281"/>
      <c r="L276" s="784"/>
      <c r="M276" s="938"/>
      <c r="N276" s="626"/>
      <c r="O276" s="626"/>
      <c r="P276" s="626"/>
      <c r="Q276" s="627"/>
    </row>
    <row r="277" spans="1:17">
      <c r="A277" s="376">
        <v>203</v>
      </c>
      <c r="B277" s="602" t="s">
        <v>255</v>
      </c>
      <c r="C277" s="439" t="s">
        <v>149</v>
      </c>
      <c r="D277" s="184"/>
      <c r="E277" s="41">
        <f>6.509-6.4709</f>
        <v>3.8100000000000023E-2</v>
      </c>
      <c r="F277" s="23">
        <f t="shared" si="48"/>
        <v>3.8100000000000023E-2</v>
      </c>
      <c r="G277" s="185">
        <f>ROUND(D277*(E277),2)</f>
        <v>0</v>
      </c>
      <c r="H277" s="620"/>
      <c r="I277" s="620"/>
      <c r="J277" s="620"/>
      <c r="K277" s="634"/>
      <c r="L277" s="603">
        <f>SUM(G277:G279)</f>
        <v>410.07000000000005</v>
      </c>
      <c r="M277" s="187">
        <v>410.07</v>
      </c>
      <c r="N277" s="615"/>
      <c r="O277" s="615"/>
      <c r="P277" s="615"/>
      <c r="Q277" s="615"/>
    </row>
    <row r="278" spans="1:17">
      <c r="A278" s="934"/>
      <c r="B278" s="506"/>
      <c r="C278" s="48" t="s">
        <v>150</v>
      </c>
      <c r="D278" s="49">
        <v>3</v>
      </c>
      <c r="E278" s="41">
        <v>6.5090000000000003</v>
      </c>
      <c r="F278" s="41">
        <f t="shared" si="48"/>
        <v>6.5090000000000003</v>
      </c>
      <c r="G278" s="50">
        <f>ROUND(D278*(E278),2)</f>
        <v>19.53</v>
      </c>
      <c r="H278" s="296"/>
      <c r="I278" s="298"/>
      <c r="J278" s="298"/>
      <c r="K278" s="637"/>
      <c r="L278" s="606"/>
      <c r="M278" s="935"/>
      <c r="N278" s="615"/>
      <c r="O278" s="615"/>
      <c r="P278" s="615"/>
      <c r="Q278" s="615"/>
    </row>
    <row r="279" spans="1:17" ht="15.75" thickBot="1">
      <c r="A279" s="934"/>
      <c r="B279" s="506"/>
      <c r="C279" s="54" t="s">
        <v>29</v>
      </c>
      <c r="D279" s="296">
        <v>60</v>
      </c>
      <c r="E279" s="56">
        <v>6.5090000000000003</v>
      </c>
      <c r="F279" s="41">
        <f t="shared" si="48"/>
        <v>6.5090000000000003</v>
      </c>
      <c r="G279" s="50">
        <f t="shared" ref="G279" si="50">ROUND(D279*(E279),2)</f>
        <v>390.54</v>
      </c>
      <c r="H279" s="296"/>
      <c r="I279" s="298"/>
      <c r="J279" s="298"/>
      <c r="K279" s="637"/>
      <c r="L279" s="614"/>
      <c r="M279" s="935"/>
      <c r="N279" s="615"/>
      <c r="O279" s="615"/>
      <c r="P279" s="615"/>
      <c r="Q279" s="615"/>
    </row>
    <row r="280" spans="1:17">
      <c r="A280" s="376">
        <v>301</v>
      </c>
      <c r="B280" s="602" t="s">
        <v>106</v>
      </c>
      <c r="C280" s="48" t="s">
        <v>149</v>
      </c>
      <c r="D280" s="184">
        <f>июнь18!D263+июнь18!D264</f>
        <v>859.46</v>
      </c>
      <c r="E280" s="41">
        <f>6.509-6.4709</f>
        <v>3.8100000000000023E-2</v>
      </c>
      <c r="F280" s="23">
        <f t="shared" ref="F280:F282" si="51">+E280</f>
        <v>3.8100000000000023E-2</v>
      </c>
      <c r="G280" s="185">
        <f>ROUND(D280*(E280),2)</f>
        <v>32.75</v>
      </c>
      <c r="H280" s="23"/>
      <c r="I280" s="23"/>
      <c r="J280" s="23"/>
      <c r="K280" s="23"/>
      <c r="L280" s="603">
        <f>SUM(G280:G282)</f>
        <v>5688.16</v>
      </c>
      <c r="M280" s="187">
        <v>5688.16</v>
      </c>
      <c r="N280" s="604"/>
      <c r="O280" s="500"/>
      <c r="P280" s="501"/>
      <c r="Q280" s="605"/>
    </row>
    <row r="281" spans="1:17">
      <c r="A281" s="389"/>
      <c r="B281" s="506"/>
      <c r="C281" s="48" t="s">
        <v>150</v>
      </c>
      <c r="D281" s="49">
        <v>36.86</v>
      </c>
      <c r="E281" s="41">
        <v>6.5090000000000003</v>
      </c>
      <c r="F281" s="41">
        <f t="shared" si="51"/>
        <v>6.5090000000000003</v>
      </c>
      <c r="G281" s="50">
        <f t="shared" si="49"/>
        <v>239.92</v>
      </c>
      <c r="H281" s="41"/>
      <c r="I281" s="41"/>
      <c r="J281" s="41"/>
      <c r="K281" s="41"/>
      <c r="L281" s="606"/>
      <c r="M281" s="935"/>
      <c r="N281" s="607"/>
      <c r="O281" s="608"/>
      <c r="P281" s="609"/>
      <c r="Q281" s="610"/>
    </row>
    <row r="282" spans="1:17" ht="15.75" thickBot="1">
      <c r="A282" s="936"/>
      <c r="B282" s="612"/>
      <c r="C282" s="99" t="s">
        <v>29</v>
      </c>
      <c r="D282" s="613">
        <v>832</v>
      </c>
      <c r="E282" s="56">
        <v>6.5090000000000003</v>
      </c>
      <c r="F282" s="281">
        <f t="shared" si="51"/>
        <v>6.5090000000000003</v>
      </c>
      <c r="G282" s="58">
        <f t="shared" si="49"/>
        <v>5415.49</v>
      </c>
      <c r="H282" s="57"/>
      <c r="I282" s="57"/>
      <c r="J282" s="57"/>
      <c r="K282" s="57"/>
      <c r="L282" s="614"/>
      <c r="M282" s="935"/>
      <c r="N282" s="615"/>
      <c r="O282" s="615"/>
      <c r="P282" s="615"/>
      <c r="Q282" s="616"/>
    </row>
    <row r="283" spans="1:17">
      <c r="A283" s="447" t="s">
        <v>205</v>
      </c>
      <c r="B283" s="602" t="s">
        <v>183</v>
      </c>
      <c r="C283" s="439" t="s">
        <v>149</v>
      </c>
      <c r="D283" s="184">
        <f>июнь18!D266+июнь18!D267</f>
        <v>604</v>
      </c>
      <c r="E283" s="41">
        <f>6.509-6.4709</f>
        <v>3.8100000000000023E-2</v>
      </c>
      <c r="F283" s="23">
        <f>+E283</f>
        <v>3.8100000000000023E-2</v>
      </c>
      <c r="G283" s="185">
        <f>ROUND(D283*(E283),2)</f>
        <v>23.01</v>
      </c>
      <c r="H283" s="620"/>
      <c r="I283" s="620"/>
      <c r="J283" s="620"/>
      <c r="K283" s="634"/>
      <c r="L283" s="603">
        <f>SUM(G283:G285)</f>
        <v>4110.66</v>
      </c>
      <c r="M283" s="187">
        <v>4110.66</v>
      </c>
      <c r="N283" s="604"/>
      <c r="O283" s="635"/>
      <c r="P283" s="636"/>
      <c r="Q283" s="605"/>
    </row>
    <row r="284" spans="1:17">
      <c r="A284" s="450" t="s">
        <v>206</v>
      </c>
      <c r="B284" s="506"/>
      <c r="C284" s="48" t="s">
        <v>150</v>
      </c>
      <c r="D284" s="49">
        <f>19+8</f>
        <v>27</v>
      </c>
      <c r="E284" s="41">
        <v>6.5090000000000003</v>
      </c>
      <c r="F284" s="41">
        <f>+E284</f>
        <v>6.5090000000000003</v>
      </c>
      <c r="G284" s="50">
        <f t="shared" si="49"/>
        <v>175.74</v>
      </c>
      <c r="H284" s="296"/>
      <c r="I284" s="298"/>
      <c r="J284" s="298"/>
      <c r="K284" s="637"/>
      <c r="L284" s="606"/>
      <c r="M284" s="935"/>
      <c r="N284" s="607"/>
      <c r="O284" s="608"/>
      <c r="P284" s="609"/>
      <c r="Q284" s="610"/>
    </row>
    <row r="285" spans="1:17" ht="15.75" thickBot="1">
      <c r="A285" s="451">
        <v>305</v>
      </c>
      <c r="B285" s="506"/>
      <c r="C285" s="54" t="s">
        <v>29</v>
      </c>
      <c r="D285" s="296">
        <f>180+421</f>
        <v>601</v>
      </c>
      <c r="E285" s="56">
        <v>6.5090000000000003</v>
      </c>
      <c r="F285" s="41">
        <f t="shared" ref="F285:F286" si="52">+E285</f>
        <v>6.5090000000000003</v>
      </c>
      <c r="G285" s="50">
        <f t="shared" si="49"/>
        <v>3911.91</v>
      </c>
      <c r="H285" s="296"/>
      <c r="I285" s="298"/>
      <c r="J285" s="298"/>
      <c r="K285" s="637"/>
      <c r="L285" s="614"/>
      <c r="M285" s="935"/>
      <c r="N285" s="615"/>
      <c r="O285" s="615"/>
      <c r="P285" s="615"/>
      <c r="Q285" s="616"/>
    </row>
    <row r="286" spans="1:17" collapsed="1">
      <c r="A286" s="376">
        <v>307</v>
      </c>
      <c r="B286" s="602" t="s">
        <v>251</v>
      </c>
      <c r="C286" s="439" t="s">
        <v>149</v>
      </c>
      <c r="D286" s="184">
        <v>0</v>
      </c>
      <c r="E286" s="23">
        <f>6.509-6.4709</f>
        <v>3.8100000000000023E-2</v>
      </c>
      <c r="F286" s="23">
        <f t="shared" si="52"/>
        <v>3.8100000000000023E-2</v>
      </c>
      <c r="G286" s="185">
        <f>ROUND(D286*(E286),2)</f>
        <v>0</v>
      </c>
      <c r="H286" s="669"/>
      <c r="I286" s="620"/>
      <c r="J286" s="620"/>
      <c r="K286" s="634"/>
      <c r="L286" s="603">
        <f>SUM(G286:G288)</f>
        <v>2414.8399999999997</v>
      </c>
      <c r="M286" s="187">
        <v>2414.84</v>
      </c>
      <c r="N286" s="604"/>
      <c r="O286" s="635"/>
      <c r="P286" s="636"/>
      <c r="Q286" s="605"/>
    </row>
    <row r="287" spans="1:17">
      <c r="A287" s="934"/>
      <c r="B287" s="506" t="s">
        <v>252</v>
      </c>
      <c r="C287" s="48" t="s">
        <v>150</v>
      </c>
      <c r="D287" s="49">
        <v>16</v>
      </c>
      <c r="E287" s="41">
        <v>6.5090000000000003</v>
      </c>
      <c r="F287" s="41">
        <f>+E287</f>
        <v>6.5090000000000003</v>
      </c>
      <c r="G287" s="50">
        <f>ROUND(D287*(E287),2)</f>
        <v>104.14</v>
      </c>
      <c r="H287" s="296"/>
      <c r="I287" s="298"/>
      <c r="J287" s="298"/>
      <c r="K287" s="637"/>
      <c r="L287" s="606"/>
      <c r="M287" s="935"/>
      <c r="N287" s="607"/>
      <c r="O287" s="608"/>
      <c r="P287" s="609"/>
      <c r="Q287" s="610"/>
    </row>
    <row r="288" spans="1:17" ht="15.75" thickBot="1">
      <c r="A288" s="960"/>
      <c r="B288" s="506"/>
      <c r="C288" s="54" t="s">
        <v>29</v>
      </c>
      <c r="D288" s="296">
        <v>355</v>
      </c>
      <c r="E288" s="56">
        <v>6.5090000000000003</v>
      </c>
      <c r="F288" s="41">
        <f t="shared" ref="F288:F292" si="53">+E288</f>
        <v>6.5090000000000003</v>
      </c>
      <c r="G288" s="50">
        <f t="shared" ref="G288" si="54">ROUND(D288*(E288),2)</f>
        <v>2310.6999999999998</v>
      </c>
      <c r="H288" s="296"/>
      <c r="I288" s="298"/>
      <c r="J288" s="298"/>
      <c r="K288" s="637"/>
      <c r="L288" s="614"/>
      <c r="M288" s="935"/>
      <c r="N288" s="615"/>
      <c r="O288" s="615"/>
      <c r="P288" s="615"/>
      <c r="Q288" s="616"/>
    </row>
    <row r="289" spans="1:17" collapsed="1">
      <c r="A289" s="376">
        <v>308</v>
      </c>
      <c r="B289" s="602" t="s">
        <v>247</v>
      </c>
      <c r="C289" s="439" t="s">
        <v>149</v>
      </c>
      <c r="D289" s="184">
        <f>июнь18!D272+июнь18!D273</f>
        <v>160</v>
      </c>
      <c r="E289" s="23">
        <f>6.509-6.4709</f>
        <v>3.8100000000000023E-2</v>
      </c>
      <c r="F289" s="23">
        <f t="shared" si="53"/>
        <v>3.8100000000000023E-2</v>
      </c>
      <c r="G289" s="185">
        <f>ROUND(D289*(E289),2)+0.01</f>
        <v>6.1099999999999994</v>
      </c>
      <c r="H289" s="669"/>
      <c r="I289" s="620"/>
      <c r="J289" s="620"/>
      <c r="K289" s="634"/>
      <c r="L289" s="603">
        <f>SUM(G289:G291)</f>
        <v>1822.1100000000001</v>
      </c>
      <c r="M289" s="187">
        <v>1822.11</v>
      </c>
      <c r="N289" s="604"/>
      <c r="O289" s="635"/>
      <c r="P289" s="636"/>
      <c r="Q289" s="605"/>
    </row>
    <row r="290" spans="1:17">
      <c r="A290" s="934"/>
      <c r="B290" s="506"/>
      <c r="C290" s="48" t="s">
        <v>150</v>
      </c>
      <c r="D290" s="49">
        <v>12</v>
      </c>
      <c r="E290" s="41">
        <v>6.5090000000000003</v>
      </c>
      <c r="F290" s="41">
        <f>+E290</f>
        <v>6.5090000000000003</v>
      </c>
      <c r="G290" s="50">
        <f>ROUND(D290*(E290),2)-0.01</f>
        <v>78.099999999999994</v>
      </c>
      <c r="H290" s="296"/>
      <c r="I290" s="298"/>
      <c r="J290" s="298"/>
      <c r="K290" s="637"/>
      <c r="L290" s="606"/>
      <c r="M290" s="935"/>
      <c r="N290" s="607"/>
      <c r="O290" s="608"/>
      <c r="P290" s="609"/>
      <c r="Q290" s="610"/>
    </row>
    <row r="291" spans="1:17" ht="15.75" thickBot="1">
      <c r="A291" s="960"/>
      <c r="B291" s="506"/>
      <c r="C291" s="54" t="s">
        <v>29</v>
      </c>
      <c r="D291" s="296">
        <v>267</v>
      </c>
      <c r="E291" s="56">
        <v>6.5090000000000003</v>
      </c>
      <c r="F291" s="41">
        <f t="shared" ref="F291" si="55">+E291</f>
        <v>6.5090000000000003</v>
      </c>
      <c r="G291" s="50">
        <f t="shared" ref="G291" si="56">ROUND(D291*(E291),2)</f>
        <v>1737.9</v>
      </c>
      <c r="H291" s="296"/>
      <c r="I291" s="298"/>
      <c r="J291" s="298"/>
      <c r="K291" s="637"/>
      <c r="L291" s="614"/>
      <c r="M291" s="935"/>
      <c r="N291" s="615"/>
      <c r="O291" s="615"/>
      <c r="P291" s="615"/>
      <c r="Q291" s="616"/>
    </row>
    <row r="292" spans="1:17" collapsed="1">
      <c r="A292" s="376" t="s">
        <v>254</v>
      </c>
      <c r="B292" s="602" t="s">
        <v>235</v>
      </c>
      <c r="C292" s="439" t="s">
        <v>149</v>
      </c>
      <c r="D292" s="184">
        <f>июнь18!D275+июнь18!D276+июнь18!D287</f>
        <v>189</v>
      </c>
      <c r="E292" s="41">
        <f>6.509-6.4709</f>
        <v>3.8100000000000023E-2</v>
      </c>
      <c r="F292" s="23">
        <f t="shared" si="53"/>
        <v>3.8100000000000023E-2</v>
      </c>
      <c r="G292" s="185">
        <f>ROUND(D292*(E292),2)</f>
        <v>7.2</v>
      </c>
      <c r="H292" s="620"/>
      <c r="I292" s="620"/>
      <c r="J292" s="620"/>
      <c r="K292" s="634"/>
      <c r="L292" s="603">
        <f>SUM(G292:G294)</f>
        <v>1230.8899999999999</v>
      </c>
      <c r="M292" s="187">
        <v>1230.8900000000001</v>
      </c>
      <c r="N292" s="615"/>
      <c r="O292" s="615"/>
      <c r="P292" s="615"/>
      <c r="Q292" s="615"/>
    </row>
    <row r="293" spans="1:17">
      <c r="A293" s="934">
        <v>314</v>
      </c>
      <c r="B293" s="506"/>
      <c r="C293" s="48" t="s">
        <v>150</v>
      </c>
      <c r="D293" s="49">
        <v>8</v>
      </c>
      <c r="E293" s="41">
        <v>6.5090000000000003</v>
      </c>
      <c r="F293" s="41">
        <f>+E293</f>
        <v>6.5090000000000003</v>
      </c>
      <c r="G293" s="50">
        <f>ROUND(D293*(E293),2)</f>
        <v>52.07</v>
      </c>
      <c r="H293" s="296"/>
      <c r="I293" s="298"/>
      <c r="J293" s="298"/>
      <c r="K293" s="637"/>
      <c r="L293" s="606"/>
      <c r="M293" s="935"/>
      <c r="N293" s="615"/>
      <c r="O293" s="615"/>
      <c r="P293" s="615"/>
      <c r="Q293" s="615"/>
    </row>
    <row r="294" spans="1:17" ht="15.75" thickBot="1">
      <c r="A294" s="934"/>
      <c r="B294" s="506"/>
      <c r="C294" s="54" t="s">
        <v>29</v>
      </c>
      <c r="D294" s="296">
        <v>180</v>
      </c>
      <c r="E294" s="56">
        <v>6.5090000000000003</v>
      </c>
      <c r="F294" s="41">
        <f t="shared" ref="F294:F297" si="57">+E294</f>
        <v>6.5090000000000003</v>
      </c>
      <c r="G294" s="50">
        <f t="shared" ref="G294" si="58">ROUND(D294*(E294),2)</f>
        <v>1171.6199999999999</v>
      </c>
      <c r="H294" s="296"/>
      <c r="I294" s="298"/>
      <c r="J294" s="298"/>
      <c r="K294" s="637"/>
      <c r="L294" s="614"/>
      <c r="M294" s="935"/>
      <c r="N294" s="615"/>
      <c r="O294" s="615"/>
      <c r="P294" s="615"/>
      <c r="Q294" s="615"/>
    </row>
    <row r="295" spans="1:17">
      <c r="A295" s="376">
        <v>311</v>
      </c>
      <c r="B295" s="602" t="s">
        <v>204</v>
      </c>
      <c r="C295" s="439" t="s">
        <v>149</v>
      </c>
      <c r="D295" s="184">
        <f>июнь18!D278+июнь18!D279</f>
        <v>193</v>
      </c>
      <c r="E295" s="41">
        <f>6.509-6.4709</f>
        <v>3.8100000000000023E-2</v>
      </c>
      <c r="F295" s="23">
        <f t="shared" si="57"/>
        <v>3.8100000000000023E-2</v>
      </c>
      <c r="G295" s="185">
        <f>ROUND(D295*(E295),2)+0.01</f>
        <v>7.3599999999999994</v>
      </c>
      <c r="H295" s="620"/>
      <c r="I295" s="620"/>
      <c r="J295" s="620"/>
      <c r="K295" s="634"/>
      <c r="L295" s="603">
        <f>SUM(G295:G298)</f>
        <v>137.54</v>
      </c>
      <c r="M295" s="187">
        <v>137.54</v>
      </c>
      <c r="N295" s="604"/>
      <c r="O295" s="635"/>
      <c r="P295" s="636"/>
      <c r="Q295" s="605"/>
    </row>
    <row r="296" spans="1:17">
      <c r="A296" s="389"/>
      <c r="B296" s="939"/>
      <c r="C296" s="48" t="s">
        <v>150</v>
      </c>
      <c r="D296" s="49">
        <v>1</v>
      </c>
      <c r="E296" s="41">
        <v>6.5090000000000003</v>
      </c>
      <c r="F296" s="41">
        <f t="shared" si="57"/>
        <v>6.5090000000000003</v>
      </c>
      <c r="G296" s="50">
        <f>ROUND(D296*(E296),2)</f>
        <v>6.51</v>
      </c>
      <c r="H296" s="296"/>
      <c r="I296" s="298"/>
      <c r="J296" s="298"/>
      <c r="K296" s="637"/>
      <c r="L296" s="606"/>
      <c r="M296" s="935"/>
      <c r="N296" s="607"/>
      <c r="O296" s="608"/>
      <c r="P296" s="609"/>
      <c r="Q296" s="610"/>
    </row>
    <row r="297" spans="1:17">
      <c r="A297" s="936"/>
      <c r="B297" s="506"/>
      <c r="C297" s="99" t="s">
        <v>29</v>
      </c>
      <c r="D297" s="296">
        <v>19</v>
      </c>
      <c r="E297" s="101">
        <v>6.5090000000000003</v>
      </c>
      <c r="F297" s="41">
        <f t="shared" si="57"/>
        <v>6.5090000000000003</v>
      </c>
      <c r="G297" s="50">
        <f>ROUND(D297*(E297),2)</f>
        <v>123.67</v>
      </c>
      <c r="H297" s="296"/>
      <c r="I297" s="298"/>
      <c r="J297" s="298"/>
      <c r="K297" s="940"/>
      <c r="L297" s="614"/>
      <c r="M297" s="935"/>
      <c r="N297" s="615"/>
      <c r="O297" s="615"/>
      <c r="P297" s="615"/>
      <c r="Q297" s="616"/>
    </row>
    <row r="298" spans="1:17" ht="15.75" thickBot="1">
      <c r="A298" s="937"/>
      <c r="B298" s="278"/>
      <c r="C298" s="784"/>
      <c r="D298" s="941"/>
      <c r="E298" s="281"/>
      <c r="F298" s="57"/>
      <c r="G298" s="58">
        <f>ROUND(D298*(E298),2)</f>
        <v>0</v>
      </c>
      <c r="H298" s="613"/>
      <c r="I298" s="57"/>
      <c r="J298" s="57"/>
      <c r="K298" s="666"/>
      <c r="L298" s="784"/>
      <c r="M298" s="938"/>
      <c r="N298" s="626"/>
      <c r="O298" s="626"/>
      <c r="P298" s="626"/>
      <c r="Q298" s="626"/>
    </row>
    <row r="299" spans="1:17">
      <c r="A299" s="376">
        <v>312</v>
      </c>
      <c r="B299" s="602" t="s">
        <v>112</v>
      </c>
      <c r="C299" s="439" t="s">
        <v>149</v>
      </c>
      <c r="D299" s="184">
        <f>июнь18!D282+июнь18!D283</f>
        <v>628</v>
      </c>
      <c r="E299" s="23">
        <f>6.509-6.4709</f>
        <v>3.8100000000000023E-2</v>
      </c>
      <c r="F299" s="23">
        <f>+E299</f>
        <v>3.8100000000000023E-2</v>
      </c>
      <c r="G299" s="185">
        <f>ROUND(D299*(E299),2)-0.01</f>
        <v>23.919999999999998</v>
      </c>
      <c r="H299" s="620"/>
      <c r="I299" s="620"/>
      <c r="J299" s="620"/>
      <c r="K299" s="634"/>
      <c r="L299" s="603">
        <f>SUM(G299:G302)</f>
        <v>3929.33</v>
      </c>
      <c r="M299" s="187">
        <v>3929.33</v>
      </c>
      <c r="N299" s="604"/>
      <c r="O299" s="635"/>
      <c r="P299" s="636"/>
      <c r="Q299" s="605"/>
    </row>
    <row r="300" spans="1:17">
      <c r="A300" s="934"/>
      <c r="B300" s="506"/>
      <c r="C300" s="48" t="s">
        <v>150</v>
      </c>
      <c r="D300" s="49">
        <v>25</v>
      </c>
      <c r="E300" s="41">
        <v>6.5090000000000003</v>
      </c>
      <c r="F300" s="41">
        <f>+E300</f>
        <v>6.5090000000000003</v>
      </c>
      <c r="G300" s="50">
        <f t="shared" ref="G300:G301" si="59">ROUND(D300*(E300),2)</f>
        <v>162.72999999999999</v>
      </c>
      <c r="H300" s="296"/>
      <c r="I300" s="298"/>
      <c r="J300" s="298"/>
      <c r="K300" s="637"/>
      <c r="L300" s="606"/>
      <c r="M300" s="935"/>
      <c r="N300" s="607"/>
      <c r="O300" s="608"/>
      <c r="P300" s="609"/>
      <c r="Q300" s="610"/>
    </row>
    <row r="301" spans="1:17">
      <c r="A301" s="934"/>
      <c r="B301" s="506"/>
      <c r="C301" s="99" t="s">
        <v>29</v>
      </c>
      <c r="D301" s="296">
        <v>575</v>
      </c>
      <c r="E301" s="101">
        <v>6.5090000000000003</v>
      </c>
      <c r="F301" s="41">
        <f>+E301</f>
        <v>6.5090000000000003</v>
      </c>
      <c r="G301" s="50">
        <f t="shared" si="59"/>
        <v>3742.68</v>
      </c>
      <c r="H301" s="296"/>
      <c r="I301" s="298"/>
      <c r="J301" s="298"/>
      <c r="K301" s="637"/>
      <c r="L301" s="614"/>
      <c r="M301" s="935"/>
      <c r="N301" s="615"/>
      <c r="O301" s="615"/>
      <c r="P301" s="615"/>
      <c r="Q301" s="616"/>
    </row>
    <row r="302" spans="1:17" ht="15.75" thickBot="1">
      <c r="A302" s="942"/>
      <c r="B302" s="278"/>
      <c r="C302" s="54"/>
      <c r="D302" s="941"/>
      <c r="E302" s="281"/>
      <c r="F302" s="57"/>
      <c r="G302" s="58"/>
      <c r="H302" s="613"/>
      <c r="I302" s="57"/>
      <c r="J302" s="57"/>
      <c r="K302" s="943"/>
      <c r="L302" s="784"/>
      <c r="M302" s="938"/>
      <c r="N302" s="615"/>
      <c r="O302" s="615"/>
      <c r="P302" s="615"/>
      <c r="Q302" s="615"/>
    </row>
    <row r="303" spans="1:17" hidden="1" collapsed="1">
      <c r="A303" s="376">
        <v>314</v>
      </c>
      <c r="B303" s="602" t="s">
        <v>235</v>
      </c>
      <c r="C303" s="439" t="s">
        <v>149</v>
      </c>
      <c r="D303" s="184"/>
      <c r="E303" s="41">
        <f>6.509-6.4709</f>
        <v>3.8100000000000023E-2</v>
      </c>
      <c r="F303" s="23">
        <f t="shared" ref="F303" si="60">+E303</f>
        <v>3.8100000000000023E-2</v>
      </c>
      <c r="G303" s="185">
        <f>ROUND(D303*(E303),2)</f>
        <v>0</v>
      </c>
      <c r="H303" s="620"/>
      <c r="I303" s="620"/>
      <c r="J303" s="620"/>
      <c r="K303" s="634"/>
      <c r="L303" s="603">
        <f>SUM(G303:G305)</f>
        <v>0</v>
      </c>
      <c r="M303" s="187"/>
      <c r="N303" s="615"/>
      <c r="O303" s="967" t="s">
        <v>249</v>
      </c>
      <c r="P303" s="615"/>
      <c r="Q303" s="615"/>
    </row>
    <row r="304" spans="1:17" hidden="1">
      <c r="A304" s="934"/>
      <c r="B304" s="516" t="s">
        <v>246</v>
      </c>
      <c r="C304" s="48" t="s">
        <v>150</v>
      </c>
      <c r="D304" s="49"/>
      <c r="E304" s="41">
        <v>6.5090000000000003</v>
      </c>
      <c r="F304" s="41">
        <f>+E304</f>
        <v>6.5090000000000003</v>
      </c>
      <c r="G304" s="50">
        <f>ROUND(D304*(E304),2)</f>
        <v>0</v>
      </c>
      <c r="H304" s="296"/>
      <c r="I304" s="298"/>
      <c r="J304" s="298"/>
      <c r="K304" s="637"/>
      <c r="L304" s="606"/>
      <c r="M304" s="935"/>
      <c r="N304" s="615"/>
      <c r="O304" s="615"/>
      <c r="P304" s="615"/>
      <c r="Q304" s="615"/>
    </row>
    <row r="305" spans="1:21" ht="15.75" hidden="1" thickBot="1">
      <c r="A305" s="942"/>
      <c r="B305" s="982"/>
      <c r="C305" s="54" t="s">
        <v>29</v>
      </c>
      <c r="D305" s="613"/>
      <c r="E305" s="56">
        <v>6.5090000000000003</v>
      </c>
      <c r="F305" s="281">
        <f t="shared" ref="F305" si="61">+E305</f>
        <v>6.5090000000000003</v>
      </c>
      <c r="G305" s="58">
        <f t="shared" ref="G305" si="62">ROUND(D305*(E305),2)</f>
        <v>0</v>
      </c>
      <c r="H305" s="613"/>
      <c r="I305" s="57"/>
      <c r="J305" s="57"/>
      <c r="K305" s="943"/>
      <c r="L305" s="783"/>
      <c r="M305" s="938"/>
      <c r="N305" s="615"/>
      <c r="O305" s="615"/>
      <c r="P305" s="615"/>
      <c r="Q305" s="615"/>
    </row>
    <row r="306" spans="1:21" collapsed="1">
      <c r="A306" s="353" t="s">
        <v>203</v>
      </c>
      <c r="B306" s="494" t="s">
        <v>104</v>
      </c>
      <c r="C306" s="71">
        <f>+[1]дек!U66</f>
        <v>0</v>
      </c>
      <c r="D306" s="495">
        <v>31</v>
      </c>
      <c r="E306" s="21">
        <v>36.214199999999998</v>
      </c>
      <c r="F306" s="21">
        <v>42.4328</v>
      </c>
      <c r="G306" s="185">
        <f>ROUND(D306*(E306+F306),2)</f>
        <v>2438.06</v>
      </c>
      <c r="H306" s="496"/>
      <c r="I306" s="73"/>
      <c r="J306" s="73"/>
      <c r="K306" s="497"/>
      <c r="L306" s="439">
        <f>SUM(G306:G313)+SUM(J306:J312)</f>
        <v>16783.64</v>
      </c>
      <c r="M306" s="26">
        <v>16783.64</v>
      </c>
      <c r="N306" s="499"/>
      <c r="O306" s="500"/>
      <c r="P306" s="501" t="s">
        <v>87</v>
      </c>
      <c r="Q306" s="185">
        <f t="shared" ref="Q306" si="63">C306+G306+J306-M306-N306-O306</f>
        <v>-14345.58</v>
      </c>
      <c r="R306" s="502" t="s">
        <v>88</v>
      </c>
      <c r="S306" s="503"/>
      <c r="T306" s="504"/>
    </row>
    <row r="307" spans="1:21" ht="15.75" thickBot="1">
      <c r="A307" s="934">
        <v>417</v>
      </c>
      <c r="B307" s="506"/>
      <c r="C307" s="599" t="s">
        <v>96</v>
      </c>
      <c r="D307" s="234"/>
      <c r="E307" s="38"/>
      <c r="F307" s="38"/>
      <c r="G307" s="235">
        <f>ROUND(D307*(E307+F307),2)</f>
        <v>0</v>
      </c>
      <c r="H307" s="448"/>
      <c r="I307" s="509"/>
      <c r="J307" s="409"/>
      <c r="K307" s="510"/>
      <c r="L307" s="48"/>
      <c r="M307" s="512"/>
      <c r="N307" s="513"/>
      <c r="O307" s="514"/>
      <c r="P307" s="515"/>
      <c r="Q307" s="262"/>
      <c r="R307" s="502"/>
      <c r="S307" s="503"/>
      <c r="T307" s="504"/>
    </row>
    <row r="308" spans="1:21">
      <c r="A308" s="934"/>
      <c r="B308" s="516" t="s">
        <v>89</v>
      </c>
      <c r="C308" s="512" t="s">
        <v>90</v>
      </c>
      <c r="D308" s="508">
        <v>0</v>
      </c>
      <c r="E308" s="101">
        <v>237.98</v>
      </c>
      <c r="F308" s="21">
        <v>42.4328</v>
      </c>
      <c r="G308" s="50">
        <f>ROUND(D308*(E308+F308),2)</f>
        <v>0</v>
      </c>
      <c r="H308" s="270"/>
      <c r="I308" s="41"/>
      <c r="J308" s="409"/>
      <c r="K308" s="510"/>
      <c r="L308" s="600"/>
      <c r="M308" s="99"/>
      <c r="N308" s="518"/>
      <c r="O308" s="519"/>
      <c r="P308" s="515" t="s">
        <v>87</v>
      </c>
      <c r="Q308" s="271">
        <f>+G308+J308-M308-N308-O308</f>
        <v>0</v>
      </c>
      <c r="R308" s="502" t="s">
        <v>88</v>
      </c>
      <c r="S308" s="503"/>
      <c r="T308" s="504"/>
    </row>
    <row r="309" spans="1:21">
      <c r="A309" s="934"/>
      <c r="B309" s="541"/>
      <c r="C309" s="84" t="s">
        <v>97</v>
      </c>
      <c r="D309" s="508">
        <f>июнь18!D290</f>
        <v>0</v>
      </c>
      <c r="E309" s="41"/>
      <c r="F309" s="38"/>
      <c r="G309" s="50">
        <f>ROUND(D309*(E309+F309),2)</f>
        <v>0</v>
      </c>
      <c r="H309" s="432"/>
      <c r="I309" s="362"/>
      <c r="J309" s="41"/>
      <c r="K309" s="510"/>
      <c r="L309" s="600"/>
      <c r="M309" s="520"/>
      <c r="N309" s="521"/>
      <c r="O309" s="522"/>
      <c r="P309" s="523"/>
      <c r="Q309" s="362"/>
      <c r="R309" s="502"/>
      <c r="S309" s="503"/>
      <c r="T309" s="504"/>
    </row>
    <row r="310" spans="1:21">
      <c r="A310" s="934"/>
      <c r="B310" s="541"/>
      <c r="C310" s="84" t="s">
        <v>97</v>
      </c>
      <c r="D310" s="508"/>
      <c r="E310" s="41"/>
      <c r="F310" s="41"/>
      <c r="G310" s="50">
        <f>D310*(E310+F310)</f>
        <v>0</v>
      </c>
      <c r="H310" s="432"/>
      <c r="I310" s="362"/>
      <c r="J310" s="41"/>
      <c r="K310" s="510"/>
      <c r="L310" s="600"/>
      <c r="M310" s="520"/>
      <c r="N310" s="521"/>
      <c r="O310" s="522"/>
      <c r="P310" s="523"/>
      <c r="Q310" s="362"/>
      <c r="R310" s="502"/>
      <c r="S310" s="503"/>
      <c r="T310" s="504"/>
    </row>
    <row r="311" spans="1:21">
      <c r="A311" s="934"/>
      <c r="B311" s="506"/>
      <c r="C311" s="48" t="s">
        <v>149</v>
      </c>
      <c r="D311" s="37">
        <f>июнь18!D294+июнь18!D295</f>
        <v>2214</v>
      </c>
      <c r="E311" s="41">
        <f>6.509-6.4709</f>
        <v>3.8100000000000023E-2</v>
      </c>
      <c r="F311" s="297">
        <f t="shared" ref="F311:F313" si="64">+E311</f>
        <v>3.8100000000000023E-2</v>
      </c>
      <c r="G311" s="39">
        <f>ROUND(D311*(E311),2)+0.01</f>
        <v>84.36</v>
      </c>
      <c r="H311" s="432"/>
      <c r="I311" s="362"/>
      <c r="J311" s="41"/>
      <c r="K311" s="510"/>
      <c r="L311" s="600"/>
      <c r="M311" s="520"/>
      <c r="N311" s="521"/>
      <c r="O311" s="522"/>
      <c r="P311" s="523"/>
      <c r="Q311" s="362"/>
      <c r="R311" s="502"/>
      <c r="S311" s="503"/>
      <c r="T311" s="504"/>
    </row>
    <row r="312" spans="1:21">
      <c r="A312" s="934"/>
      <c r="B312" s="506"/>
      <c r="C312" s="48" t="s">
        <v>150</v>
      </c>
      <c r="D312" s="37">
        <v>93</v>
      </c>
      <c r="E312" s="41">
        <v>6.5090000000000003</v>
      </c>
      <c r="F312" s="298">
        <f t="shared" si="64"/>
        <v>6.5090000000000003</v>
      </c>
      <c r="G312" s="39">
        <f>ROUND(D312*(E312),2)</f>
        <v>605.34</v>
      </c>
      <c r="H312" s="432"/>
      <c r="I312" s="362"/>
      <c r="J312" s="41"/>
      <c r="K312" s="510"/>
      <c r="L312" s="600"/>
      <c r="M312" s="520"/>
      <c r="N312" s="521"/>
      <c r="O312" s="522"/>
      <c r="P312" s="523"/>
      <c r="Q312" s="362"/>
      <c r="R312" s="502"/>
      <c r="S312" s="503"/>
      <c r="T312" s="504"/>
      <c r="U312" s="33"/>
    </row>
    <row r="313" spans="1:21" ht="15.75" thickBot="1">
      <c r="A313" s="934"/>
      <c r="B313" s="526"/>
      <c r="C313" s="99" t="s">
        <v>29</v>
      </c>
      <c r="D313" s="55">
        <v>2098</v>
      </c>
      <c r="E313" s="56">
        <v>6.5090000000000003</v>
      </c>
      <c r="F313" s="57">
        <f t="shared" si="64"/>
        <v>6.5090000000000003</v>
      </c>
      <c r="G313" s="414">
        <f>ROUND(D313*(E313),2)</f>
        <v>13655.88</v>
      </c>
      <c r="H313" s="248"/>
      <c r="I313" s="203"/>
      <c r="J313" s="60"/>
      <c r="K313" s="61"/>
      <c r="L313" s="204"/>
      <c r="M313" s="54"/>
      <c r="N313" s="527"/>
      <c r="O313" s="528"/>
      <c r="P313" s="529" t="s">
        <v>87</v>
      </c>
      <c r="Q313" s="362">
        <f>+G313+J313-M313-N313-O313</f>
        <v>13655.88</v>
      </c>
      <c r="R313" s="502" t="s">
        <v>88</v>
      </c>
      <c r="S313" s="598">
        <f>SUM(N306:N313)+O306:O313</f>
        <v>0</v>
      </c>
      <c r="T313" s="598">
        <f>SUM(Q306:Q313)</f>
        <v>-689.70000000000073</v>
      </c>
    </row>
    <row r="314" spans="1:21">
      <c r="A314" s="376">
        <v>407</v>
      </c>
      <c r="B314" s="494" t="s">
        <v>108</v>
      </c>
      <c r="C314" s="71">
        <f>+[1]дек!U87</f>
        <v>0</v>
      </c>
      <c r="D314" s="495">
        <v>4</v>
      </c>
      <c r="E314" s="21">
        <v>36.214199999999998</v>
      </c>
      <c r="F314" s="21">
        <v>42.4328</v>
      </c>
      <c r="G314" s="185">
        <f>ROUND(D314*(E314+F314),2)</f>
        <v>314.58999999999997</v>
      </c>
      <c r="H314" s="496"/>
      <c r="I314" s="73"/>
      <c r="J314" s="73"/>
      <c r="K314" s="497"/>
      <c r="L314" s="498">
        <f>SUM(G314:G320)+SUM(J314:J319)</f>
        <v>2501.29</v>
      </c>
      <c r="M314" s="26">
        <v>2501.29</v>
      </c>
      <c r="N314" s="499"/>
      <c r="O314" s="500"/>
      <c r="P314" s="501" t="s">
        <v>87</v>
      </c>
      <c r="Q314" s="304">
        <f t="shared" ref="Q314:Q316" si="65">C314+G314+J314-M314-N314-O314</f>
        <v>-2186.6999999999998</v>
      </c>
    </row>
    <row r="315" spans="1:21">
      <c r="A315" s="389"/>
      <c r="B315" s="506"/>
      <c r="C315" s="542" t="s">
        <v>96</v>
      </c>
      <c r="D315" s="234"/>
      <c r="E315" s="38"/>
      <c r="F315" s="38"/>
      <c r="G315" s="235">
        <f>ROUND(D315*(E315+F315),2)</f>
        <v>0</v>
      </c>
      <c r="H315" s="448"/>
      <c r="I315" s="509"/>
      <c r="J315" s="409"/>
      <c r="K315" s="510"/>
      <c r="L315" s="632"/>
      <c r="M315" s="512"/>
      <c r="N315" s="513"/>
      <c r="O315" s="514"/>
      <c r="P315" s="515"/>
      <c r="Q315" s="262"/>
    </row>
    <row r="316" spans="1:21">
      <c r="A316" s="389"/>
      <c r="B316" s="516" t="s">
        <v>109</v>
      </c>
      <c r="C316" s="633"/>
      <c r="D316" s="508">
        <v>0</v>
      </c>
      <c r="E316" s="101">
        <v>237.98</v>
      </c>
      <c r="F316" s="38">
        <v>42.4328</v>
      </c>
      <c r="G316" s="50">
        <f>D316*(E316+F316)</f>
        <v>0</v>
      </c>
      <c r="H316" s="270"/>
      <c r="I316" s="41"/>
      <c r="J316" s="409"/>
      <c r="K316" s="510"/>
      <c r="L316" s="597"/>
      <c r="M316" s="99"/>
      <c r="N316" s="518"/>
      <c r="O316" s="519"/>
      <c r="P316" s="515" t="s">
        <v>87</v>
      </c>
      <c r="Q316" s="271">
        <f t="shared" si="65"/>
        <v>0</v>
      </c>
    </row>
    <row r="317" spans="1:21">
      <c r="A317" s="389"/>
      <c r="B317" s="541"/>
      <c r="C317" s="84" t="s">
        <v>97</v>
      </c>
      <c r="D317" s="508">
        <v>0</v>
      </c>
      <c r="E317" s="41"/>
      <c r="F317" s="41"/>
      <c r="G317" s="50">
        <f>D317*(E317+F317)</f>
        <v>0</v>
      </c>
      <c r="H317" s="432"/>
      <c r="I317" s="362"/>
      <c r="J317" s="207"/>
      <c r="K317" s="510"/>
      <c r="L317" s="597"/>
      <c r="M317" s="520"/>
      <c r="N317" s="521"/>
      <c r="O317" s="522"/>
      <c r="P317" s="523"/>
      <c r="Q317" s="362"/>
    </row>
    <row r="318" spans="1:21">
      <c r="A318" s="389"/>
      <c r="B318" s="506"/>
      <c r="C318" s="48" t="s">
        <v>149</v>
      </c>
      <c r="D318" s="37">
        <f>июнь18!D301+июнь18!D302</f>
        <v>333</v>
      </c>
      <c r="E318" s="41">
        <f>6.509-6.4709</f>
        <v>3.8100000000000023E-2</v>
      </c>
      <c r="F318" s="41">
        <f>+E318</f>
        <v>3.8100000000000023E-2</v>
      </c>
      <c r="G318" s="39">
        <f>ROUND(D318*(E318),2)</f>
        <v>12.69</v>
      </c>
      <c r="H318" s="432"/>
      <c r="I318" s="362"/>
      <c r="J318" s="207"/>
      <c r="K318" s="510"/>
      <c r="L318" s="597"/>
      <c r="M318" s="520"/>
      <c r="N318" s="521"/>
      <c r="O318" s="522"/>
      <c r="P318" s="523"/>
      <c r="Q318" s="362"/>
    </row>
    <row r="319" spans="1:21">
      <c r="A319" s="389"/>
      <c r="B319" s="506"/>
      <c r="C319" s="48" t="s">
        <v>150</v>
      </c>
      <c r="D319" s="37">
        <v>14</v>
      </c>
      <c r="E319" s="41">
        <v>6.5090000000000003</v>
      </c>
      <c r="F319" s="41">
        <f>+E319</f>
        <v>6.5090000000000003</v>
      </c>
      <c r="G319" s="39">
        <f t="shared" ref="G319:G320" si="66">ROUND(D319*(E319),2)</f>
        <v>91.13</v>
      </c>
      <c r="H319" s="432"/>
      <c r="I319" s="362"/>
      <c r="J319" s="207"/>
      <c r="K319" s="510"/>
      <c r="L319" s="597"/>
      <c r="M319" s="520"/>
      <c r="N319" s="521"/>
      <c r="O319" s="522"/>
      <c r="P319" s="523"/>
      <c r="Q319" s="362"/>
    </row>
    <row r="320" spans="1:21" ht="15.75" thickBot="1">
      <c r="A320" s="411"/>
      <c r="B320" s="526"/>
      <c r="C320" s="54" t="s">
        <v>29</v>
      </c>
      <c r="D320" s="55">
        <v>320</v>
      </c>
      <c r="E320" s="56">
        <v>6.5090000000000003</v>
      </c>
      <c r="F320" s="281">
        <f>+E320</f>
        <v>6.5090000000000003</v>
      </c>
      <c r="G320" s="414">
        <f t="shared" si="66"/>
        <v>2082.88</v>
      </c>
      <c r="H320" s="248"/>
      <c r="I320" s="203"/>
      <c r="J320" s="60"/>
      <c r="K320" s="61"/>
      <c r="L320" s="249"/>
      <c r="M320" s="54"/>
      <c r="N320" s="527"/>
      <c r="O320" s="528"/>
      <c r="P320" s="529" t="s">
        <v>87</v>
      </c>
      <c r="Q320" s="282">
        <f>+G320+J320-M320-N320-O320</f>
        <v>2082.88</v>
      </c>
    </row>
    <row r="321" spans="1:21" collapsed="1">
      <c r="A321" s="376">
        <v>411</v>
      </c>
      <c r="B321" s="602" t="s">
        <v>127</v>
      </c>
      <c r="C321" s="439" t="s">
        <v>149</v>
      </c>
      <c r="D321" s="184">
        <f>июнь18!D304+июнь18!D305</f>
        <v>489.8</v>
      </c>
      <c r="E321" s="23">
        <f>6.509-6.4709</f>
        <v>3.8100000000000023E-2</v>
      </c>
      <c r="F321" s="23">
        <f t="shared" ref="F321" si="67">+E321</f>
        <v>3.8100000000000023E-2</v>
      </c>
      <c r="G321" s="185">
        <f>ROUND(D321*(E321),2)+0.01</f>
        <v>18.670000000000002</v>
      </c>
      <c r="H321" s="669"/>
      <c r="I321" s="620"/>
      <c r="J321" s="620"/>
      <c r="K321" s="634"/>
      <c r="L321" s="603">
        <f>SUM(G321:G324)</f>
        <v>2928.19</v>
      </c>
      <c r="M321" s="187">
        <v>2928.19</v>
      </c>
      <c r="N321" s="604"/>
      <c r="O321" s="635"/>
      <c r="P321" s="636"/>
      <c r="Q321" s="605"/>
    </row>
    <row r="322" spans="1:21">
      <c r="A322" s="934"/>
      <c r="B322" s="506"/>
      <c r="C322" s="48" t="s">
        <v>150</v>
      </c>
      <c r="D322" s="49">
        <v>19</v>
      </c>
      <c r="E322" s="41">
        <v>6.5090000000000003</v>
      </c>
      <c r="F322" s="41">
        <f>+E322</f>
        <v>6.5090000000000003</v>
      </c>
      <c r="G322" s="50">
        <f>ROUND(D322*(E322),2)</f>
        <v>123.67</v>
      </c>
      <c r="H322" s="296"/>
      <c r="I322" s="298"/>
      <c r="J322" s="298"/>
      <c r="K322" s="637"/>
      <c r="L322" s="606"/>
      <c r="M322" s="935"/>
      <c r="N322" s="607"/>
      <c r="O322" s="608"/>
      <c r="P322" s="609"/>
      <c r="Q322" s="610"/>
    </row>
    <row r="323" spans="1:21">
      <c r="A323" s="934"/>
      <c r="B323" s="506"/>
      <c r="C323" s="99" t="s">
        <v>29</v>
      </c>
      <c r="D323" s="296">
        <v>428</v>
      </c>
      <c r="E323" s="101">
        <v>6.5090000000000003</v>
      </c>
      <c r="F323" s="41">
        <f t="shared" ref="F323" si="68">+E323</f>
        <v>6.5090000000000003</v>
      </c>
      <c r="G323" s="50">
        <f t="shared" ref="G323" si="69">ROUND(D323*(E323),2)</f>
        <v>2785.85</v>
      </c>
      <c r="H323" s="296"/>
      <c r="I323" s="298"/>
      <c r="J323" s="298"/>
      <c r="K323" s="637"/>
      <c r="L323" s="606"/>
      <c r="M323" s="935"/>
      <c r="N323" s="615"/>
      <c r="O323" s="615"/>
      <c r="P323" s="615"/>
      <c r="Q323" s="616"/>
    </row>
    <row r="324" spans="1:21" ht="15.75" thickBot="1">
      <c r="A324" s="942"/>
      <c r="B324" s="278"/>
      <c r="C324" s="784"/>
      <c r="D324" s="941"/>
      <c r="E324" s="281"/>
      <c r="F324" s="57"/>
      <c r="G324" s="58"/>
      <c r="H324" s="613"/>
      <c r="I324" s="57"/>
      <c r="J324" s="57"/>
      <c r="K324" s="637"/>
      <c r="L324" s="606"/>
      <c r="M324" s="935"/>
      <c r="N324" s="615"/>
      <c r="O324" s="615"/>
      <c r="P324" s="615"/>
      <c r="Q324" s="615"/>
    </row>
    <row r="325" spans="1:21">
      <c r="A325" s="376">
        <v>501</v>
      </c>
      <c r="B325" s="494" t="s">
        <v>202</v>
      </c>
      <c r="C325" s="71"/>
      <c r="D325" s="495">
        <v>33</v>
      </c>
      <c r="E325" s="21">
        <v>36.214199999999998</v>
      </c>
      <c r="F325" s="21">
        <v>42.4328</v>
      </c>
      <c r="G325" s="185">
        <f>ROUND(D325*(E325+F325),2)</f>
        <v>2595.35</v>
      </c>
      <c r="H325" s="496"/>
      <c r="I325" s="73"/>
      <c r="J325" s="73"/>
      <c r="K325" s="497"/>
      <c r="L325" s="498">
        <f>+SUM(G325:G332,C332)+SUM(J325:J332)</f>
        <v>52014.652399999999</v>
      </c>
      <c r="M325" s="26">
        <v>52014.65</v>
      </c>
      <c r="N325" s="499"/>
      <c r="O325" s="500"/>
      <c r="P325" s="501" t="s">
        <v>87</v>
      </c>
      <c r="Q325" s="304">
        <f t="shared" ref="Q325:Q342" si="70">C325+G325+J325-M325-N325-O325</f>
        <v>-49419.3</v>
      </c>
      <c r="R325" s="502" t="s">
        <v>88</v>
      </c>
      <c r="S325" s="503"/>
      <c r="T325" s="504"/>
      <c r="U325" s="33"/>
    </row>
    <row r="326" spans="1:21">
      <c r="A326" s="389"/>
      <c r="B326" s="506"/>
      <c r="C326" s="507"/>
      <c r="D326" s="508"/>
      <c r="E326" s="38"/>
      <c r="F326" s="38"/>
      <c r="G326" s="50">
        <f>ROUND(D326*(E326+F326),2)</f>
        <v>0</v>
      </c>
      <c r="H326" s="448"/>
      <c r="I326" s="509"/>
      <c r="J326" s="409"/>
      <c r="K326" s="510"/>
      <c r="L326" s="511"/>
      <c r="M326" s="512"/>
      <c r="N326" s="513"/>
      <c r="O326" s="514"/>
      <c r="P326" s="515"/>
      <c r="Q326" s="262"/>
      <c r="R326" s="502"/>
      <c r="S326" s="503"/>
      <c r="T326" s="504"/>
      <c r="U326" s="33"/>
    </row>
    <row r="327" spans="1:21">
      <c r="A327" s="389"/>
      <c r="B327" s="516" t="s">
        <v>89</v>
      </c>
      <c r="C327" s="512" t="s">
        <v>90</v>
      </c>
      <c r="D327" s="508">
        <v>8</v>
      </c>
      <c r="E327" s="101">
        <v>237.98</v>
      </c>
      <c r="F327" s="38">
        <v>42.4328</v>
      </c>
      <c r="G327" s="50">
        <f>D327*(E327+F327)</f>
        <v>2243.3024</v>
      </c>
      <c r="H327" s="270"/>
      <c r="I327" s="41"/>
      <c r="J327" s="409"/>
      <c r="K327" s="510"/>
      <c r="L327" s="517"/>
      <c r="M327" s="99"/>
      <c r="N327" s="518"/>
      <c r="O327" s="519"/>
      <c r="P327" s="515" t="s">
        <v>87</v>
      </c>
      <c r="Q327" s="271">
        <f>+G327+J327-M327-N327-O327</f>
        <v>2243.3024</v>
      </c>
      <c r="R327" s="502" t="s">
        <v>88</v>
      </c>
      <c r="S327" s="503"/>
      <c r="T327" s="504"/>
    </row>
    <row r="328" spans="1:21">
      <c r="A328" s="389"/>
      <c r="B328" s="506" t="s">
        <v>91</v>
      </c>
      <c r="C328" s="507"/>
      <c r="D328" s="508">
        <f>июнь18!D309</f>
        <v>6</v>
      </c>
      <c r="E328" s="41"/>
      <c r="F328" s="38"/>
      <c r="G328" s="50">
        <f>ROUND(D328*(E328+F328),2)</f>
        <v>0</v>
      </c>
      <c r="H328" s="432"/>
      <c r="I328" s="362"/>
      <c r="J328" s="409"/>
      <c r="K328" s="510"/>
      <c r="L328" s="517"/>
      <c r="M328" s="520"/>
      <c r="N328" s="521"/>
      <c r="O328" s="522"/>
      <c r="P328" s="523"/>
      <c r="Q328" s="362"/>
      <c r="R328" s="502"/>
      <c r="S328" s="503"/>
      <c r="T328" s="504"/>
    </row>
    <row r="329" spans="1:21">
      <c r="A329" s="389"/>
      <c r="B329" s="506" t="s">
        <v>91</v>
      </c>
      <c r="C329" s="507"/>
      <c r="D329" s="508"/>
      <c r="E329" s="38"/>
      <c r="F329" s="41"/>
      <c r="G329" s="50">
        <f>D329*(E329+F329)</f>
        <v>0</v>
      </c>
      <c r="H329" s="432"/>
      <c r="I329" s="362"/>
      <c r="J329" s="409"/>
      <c r="K329" s="510"/>
      <c r="L329" s="517"/>
      <c r="M329" s="520"/>
      <c r="N329" s="521"/>
      <c r="O329" s="522"/>
      <c r="P329" s="523"/>
      <c r="Q329" s="362"/>
      <c r="R329" s="502"/>
      <c r="S329" s="503"/>
      <c r="T329" s="504"/>
    </row>
    <row r="330" spans="1:21">
      <c r="A330" s="389"/>
      <c r="B330" s="506" t="s">
        <v>92</v>
      </c>
      <c r="C330" s="48" t="s">
        <v>149</v>
      </c>
      <c r="D330" s="508">
        <f>июнь18!D313+июнь18!D314</f>
        <v>7143</v>
      </c>
      <c r="E330" s="41">
        <f>6.509-6.4709</f>
        <v>3.8100000000000023E-2</v>
      </c>
      <c r="F330" s="41">
        <f>+E330</f>
        <v>3.8100000000000023E-2</v>
      </c>
      <c r="G330" s="39">
        <f>ROUNDDOWN(D330*E330,2)+0.01</f>
        <v>272.14999999999998</v>
      </c>
      <c r="H330" s="432"/>
      <c r="I330" s="362"/>
      <c r="J330" s="41"/>
      <c r="K330" s="510"/>
      <c r="L330" s="517"/>
      <c r="M330" s="520"/>
      <c r="N330" s="521"/>
      <c r="O330" s="522"/>
      <c r="P330" s="523"/>
      <c r="Q330" s="362"/>
      <c r="R330" s="502"/>
      <c r="S330" s="503"/>
      <c r="T330" s="504"/>
    </row>
    <row r="331" spans="1:21">
      <c r="A331" s="389"/>
      <c r="B331" s="506"/>
      <c r="C331" s="48" t="s">
        <v>150</v>
      </c>
      <c r="D331" s="508">
        <v>306</v>
      </c>
      <c r="E331" s="41">
        <v>6.5090000000000003</v>
      </c>
      <c r="F331" s="41">
        <f>+E331</f>
        <v>6.5090000000000003</v>
      </c>
      <c r="G331" s="39">
        <f>ROUND(D331*E331,2)</f>
        <v>1991.75</v>
      </c>
      <c r="H331" s="432"/>
      <c r="I331" s="362"/>
      <c r="J331" s="207"/>
      <c r="K331" s="524"/>
      <c r="L331" s="517"/>
      <c r="M331" s="520"/>
      <c r="N331" s="521"/>
      <c r="O331" s="522"/>
      <c r="P331" s="523"/>
      <c r="Q331" s="362"/>
      <c r="R331" s="502"/>
      <c r="S331" s="503"/>
      <c r="T331" s="504"/>
    </row>
    <row r="332" spans="1:21" ht="15.75" thickBot="1">
      <c r="A332" s="411"/>
      <c r="B332" s="526"/>
      <c r="C332" s="99" t="s">
        <v>29</v>
      </c>
      <c r="D332" s="55">
        <v>6900</v>
      </c>
      <c r="E332" s="56">
        <v>6.5090000000000003</v>
      </c>
      <c r="F332" s="57">
        <f>+E332</f>
        <v>6.5090000000000003</v>
      </c>
      <c r="G332" s="58">
        <f>ROUND(D332*E332,2)</f>
        <v>44912.1</v>
      </c>
      <c r="H332" s="248"/>
      <c r="I332" s="203"/>
      <c r="J332" s="60"/>
      <c r="K332" s="61"/>
      <c r="L332" s="249"/>
      <c r="M332" s="54"/>
      <c r="N332" s="527"/>
      <c r="O332" s="528"/>
      <c r="P332" s="529" t="s">
        <v>87</v>
      </c>
      <c r="Q332" s="282">
        <f>+G332+J332-M332-N332-O332</f>
        <v>44912.1</v>
      </c>
      <c r="R332" s="530" t="s">
        <v>88</v>
      </c>
      <c r="S332" s="531">
        <f>SUM(N325:N332)+O325:O332</f>
        <v>0</v>
      </c>
      <c r="T332" s="531">
        <f>SUM(Q325:Q332)</f>
        <v>-2263.8976000000039</v>
      </c>
      <c r="U332" s="33"/>
    </row>
    <row r="333" spans="1:21" ht="15.75" thickTop="1">
      <c r="A333" s="339">
        <v>502</v>
      </c>
      <c r="B333" s="532" t="s">
        <v>192</v>
      </c>
      <c r="C333" s="71">
        <f>+[1]дек!U51</f>
        <v>-6.0000000303261913E-4</v>
      </c>
      <c r="D333" s="213">
        <v>45</v>
      </c>
      <c r="E333" s="21">
        <v>36.214199999999998</v>
      </c>
      <c r="F333" s="21">
        <v>42.4328</v>
      </c>
      <c r="G333" s="214">
        <f>ROUND(D333*(E333+F333),2)</f>
        <v>3539.12</v>
      </c>
      <c r="H333" s="496"/>
      <c r="I333" s="73"/>
      <c r="J333" s="73"/>
      <c r="K333" s="497"/>
      <c r="L333" s="533">
        <f>+SUM(G333:G340,)+SUM(J333:J340)</f>
        <v>39636.89</v>
      </c>
      <c r="M333" s="26">
        <v>39636.89</v>
      </c>
      <c r="N333" s="534"/>
      <c r="O333" s="535"/>
      <c r="P333" s="536" t="s">
        <v>87</v>
      </c>
      <c r="Q333" s="537">
        <f t="shared" si="70"/>
        <v>-36097.770600000003</v>
      </c>
      <c r="R333" s="538" t="s">
        <v>95</v>
      </c>
      <c r="S333" s="539"/>
      <c r="T333" s="540"/>
      <c r="U333" s="33"/>
    </row>
    <row r="334" spans="1:21">
      <c r="A334" s="353"/>
      <c r="B334" s="541"/>
      <c r="C334" s="542" t="s">
        <v>96</v>
      </c>
      <c r="D334" s="234"/>
      <c r="E334" s="38"/>
      <c r="F334" s="38"/>
      <c r="G334" s="235">
        <f>ROUND(D334*(E334+F334),2)</f>
        <v>0</v>
      </c>
      <c r="H334" s="448"/>
      <c r="I334" s="509"/>
      <c r="J334" s="509"/>
      <c r="K334" s="543"/>
      <c r="L334" s="544"/>
      <c r="M334" s="545"/>
      <c r="N334" s="546"/>
      <c r="O334" s="547"/>
      <c r="P334" s="548"/>
      <c r="Q334" s="549"/>
      <c r="R334" s="550"/>
      <c r="S334" s="551"/>
      <c r="T334" s="552"/>
      <c r="U334" s="33"/>
    </row>
    <row r="335" spans="1:21">
      <c r="A335" s="353"/>
      <c r="B335" s="516" t="s">
        <v>32</v>
      </c>
      <c r="C335" s="99" t="s">
        <v>90</v>
      </c>
      <c r="D335" s="234">
        <v>19</v>
      </c>
      <c r="E335" s="101">
        <v>237.98</v>
      </c>
      <c r="F335" s="38">
        <v>42.4328</v>
      </c>
      <c r="G335" s="235">
        <f>ROUND(D335*(E335+F335),2)</f>
        <v>5327.84</v>
      </c>
      <c r="H335" s="270"/>
      <c r="I335" s="41"/>
      <c r="J335" s="41"/>
      <c r="K335" s="510"/>
      <c r="L335" s="553"/>
      <c r="M335" s="554"/>
      <c r="N335" s="555"/>
      <c r="O335" s="556"/>
      <c r="P335" s="557" t="s">
        <v>87</v>
      </c>
      <c r="Q335" s="558">
        <f>+G335+J335-M335-N335-O335</f>
        <v>5327.84</v>
      </c>
      <c r="R335" s="550" t="s">
        <v>95</v>
      </c>
      <c r="S335" s="551"/>
      <c r="T335" s="552"/>
    </row>
    <row r="336" spans="1:21">
      <c r="A336" s="353"/>
      <c r="B336" s="541"/>
      <c r="C336" s="84" t="s">
        <v>97</v>
      </c>
      <c r="D336" s="234">
        <f>июнь18!D317</f>
        <v>23</v>
      </c>
      <c r="E336" s="41"/>
      <c r="F336" s="38"/>
      <c r="G336" s="50">
        <f>ROUND(D336*E336,2)</f>
        <v>0</v>
      </c>
      <c r="H336" s="432"/>
      <c r="I336" s="362"/>
      <c r="J336" s="41"/>
      <c r="K336" s="510"/>
      <c r="L336" s="559"/>
      <c r="M336" s="560"/>
      <c r="N336" s="561"/>
      <c r="O336" s="562"/>
      <c r="P336" s="563"/>
      <c r="Q336" s="564"/>
      <c r="R336" s="550"/>
      <c r="S336" s="551"/>
      <c r="T336" s="552"/>
    </row>
    <row r="337" spans="1:21">
      <c r="A337" s="353"/>
      <c r="B337" s="541"/>
      <c r="C337" s="84" t="s">
        <v>97</v>
      </c>
      <c r="D337" s="234"/>
      <c r="E337" s="38"/>
      <c r="F337" s="240"/>
      <c r="G337" s="50">
        <f>D337*(E337+F337)</f>
        <v>0</v>
      </c>
      <c r="H337" s="432"/>
      <c r="I337" s="362"/>
      <c r="J337" s="41"/>
      <c r="K337" s="510"/>
      <c r="L337" s="559"/>
      <c r="M337" s="560"/>
      <c r="N337" s="561"/>
      <c r="O337" s="562"/>
      <c r="P337" s="563"/>
      <c r="Q337" s="564"/>
      <c r="R337" s="550"/>
      <c r="S337" s="551"/>
      <c r="T337" s="552"/>
    </row>
    <row r="338" spans="1:21">
      <c r="A338" s="353"/>
      <c r="B338" s="541"/>
      <c r="C338" s="48" t="s">
        <v>149</v>
      </c>
      <c r="D338" s="37">
        <f>июнь18!D321+июнь18!D322</f>
        <v>4833</v>
      </c>
      <c r="E338" s="41">
        <f>6.509-6.4709</f>
        <v>3.8100000000000023E-2</v>
      </c>
      <c r="F338" s="41">
        <f>+E338</f>
        <v>3.8100000000000023E-2</v>
      </c>
      <c r="G338" s="235">
        <f>ROUND(D338*E338,2)</f>
        <v>184.14</v>
      </c>
      <c r="H338" s="565"/>
      <c r="I338" s="564"/>
      <c r="J338" s="566"/>
      <c r="K338" s="567"/>
      <c r="L338" s="559"/>
      <c r="M338" s="560"/>
      <c r="N338" s="561"/>
      <c r="O338" s="562"/>
      <c r="P338" s="563"/>
      <c r="Q338" s="564"/>
      <c r="R338" s="550"/>
      <c r="S338" s="551"/>
      <c r="T338" s="552"/>
      <c r="U338" s="352"/>
    </row>
    <row r="339" spans="1:21">
      <c r="A339" s="353"/>
      <c r="B339" s="541"/>
      <c r="C339" s="48" t="s">
        <v>150</v>
      </c>
      <c r="D339" s="37">
        <v>199</v>
      </c>
      <c r="E339" s="41">
        <v>6.5090000000000003</v>
      </c>
      <c r="F339" s="41">
        <f>+E339</f>
        <v>6.5090000000000003</v>
      </c>
      <c r="G339" s="235">
        <f>ROUND(D339*E339,2)</f>
        <v>1295.29</v>
      </c>
      <c r="H339" s="565"/>
      <c r="I339" s="564"/>
      <c r="J339" s="566"/>
      <c r="K339" s="567"/>
      <c r="L339" s="559"/>
      <c r="M339" s="560"/>
      <c r="N339" s="561"/>
      <c r="O339" s="562"/>
      <c r="P339" s="563"/>
      <c r="Q339" s="564"/>
      <c r="R339" s="550"/>
      <c r="S339" s="551"/>
      <c r="T339" s="552"/>
      <c r="U339" s="33"/>
    </row>
    <row r="340" spans="1:21" ht="15.75" thickBot="1">
      <c r="A340" s="369"/>
      <c r="B340" s="568"/>
      <c r="C340" s="99" t="s">
        <v>29</v>
      </c>
      <c r="D340" s="246">
        <v>4500</v>
      </c>
      <c r="E340" s="56">
        <v>6.5090000000000003</v>
      </c>
      <c r="F340" s="57">
        <f>+E340</f>
        <v>6.5090000000000003</v>
      </c>
      <c r="G340" s="247">
        <f>ROUND(D340*E340,2)</f>
        <v>29290.5</v>
      </c>
      <c r="H340" s="248"/>
      <c r="I340" s="203"/>
      <c r="J340" s="60"/>
      <c r="K340" s="61"/>
      <c r="L340" s="204"/>
      <c r="M340" s="560"/>
      <c r="N340" s="561"/>
      <c r="O340" s="528"/>
      <c r="P340" s="529" t="s">
        <v>87</v>
      </c>
      <c r="Q340" s="564">
        <f>+G340+J340-M340-N340-O340</f>
        <v>29290.5</v>
      </c>
      <c r="R340" s="550" t="s">
        <v>95</v>
      </c>
      <c r="S340" s="569">
        <f>SUM(N333:N340)+O333:O340</f>
        <v>0</v>
      </c>
      <c r="T340" s="570">
        <f>SUM(Q335:Q340)</f>
        <v>34618.339999999997</v>
      </c>
    </row>
    <row r="341" spans="1:21" ht="15.75" hidden="1" outlineLevel="1" thickBot="1">
      <c r="A341" s="571"/>
      <c r="B341" s="572" t="s">
        <v>98</v>
      </c>
      <c r="C341" s="573" t="s">
        <v>99</v>
      </c>
      <c r="D341" s="574"/>
      <c r="E341" s="575">
        <f>3.193-2.9732</f>
        <v>0.21980000000000022</v>
      </c>
      <c r="F341" s="575">
        <f>3.193-2.9732</f>
        <v>0.21980000000000022</v>
      </c>
      <c r="G341" s="576">
        <f>D341*E341*70%+D341*F341*30%</f>
        <v>0</v>
      </c>
      <c r="H341" s="577"/>
      <c r="I341" s="578"/>
      <c r="J341" s="579"/>
      <c r="K341" s="579"/>
      <c r="L341" s="580"/>
      <c r="M341" s="581"/>
      <c r="N341" s="582"/>
      <c r="O341" s="535"/>
      <c r="P341" s="536"/>
      <c r="Q341" s="583"/>
      <c r="R341" s="584"/>
      <c r="S341" s="569"/>
      <c r="T341" s="585"/>
    </row>
    <row r="342" spans="1:21" s="81" customFormat="1" ht="16.5" hidden="1" customHeight="1" outlineLevel="1" thickBot="1">
      <c r="A342" s="933" t="s">
        <v>100</v>
      </c>
      <c r="B342" s="587" t="s">
        <v>98</v>
      </c>
      <c r="C342" s="588">
        <f>+[1]авг!C52</f>
        <v>0</v>
      </c>
      <c r="D342" s="589"/>
      <c r="E342" s="575">
        <v>3.1930000000000001</v>
      </c>
      <c r="F342" s="575">
        <f>+E342</f>
        <v>3.1930000000000001</v>
      </c>
      <c r="G342" s="576">
        <f>D342*E342*70%+D342*F342*30%</f>
        <v>0</v>
      </c>
      <c r="H342" s="579"/>
      <c r="I342" s="579"/>
      <c r="J342" s="579"/>
      <c r="K342" s="579"/>
      <c r="L342" s="579">
        <f>+C342+G342+G341</f>
        <v>0</v>
      </c>
      <c r="M342" s="590"/>
      <c r="N342" s="500"/>
      <c r="O342" s="528"/>
      <c r="P342" s="529" t="s">
        <v>87</v>
      </c>
      <c r="Q342" s="591">
        <f t="shared" si="70"/>
        <v>0</v>
      </c>
      <c r="R342" s="592" t="s">
        <v>101</v>
      </c>
      <c r="S342" s="77">
        <f>SUM(N342:N342)+SUM(O342:O342)</f>
        <v>0</v>
      </c>
      <c r="T342" s="593">
        <f>SUM(Q342:Q342)</f>
        <v>0</v>
      </c>
    </row>
    <row r="343" spans="1:21" ht="15.75" hidden="1" outlineLevel="1" thickBot="1">
      <c r="A343" s="944"/>
      <c r="B343" s="945" t="s">
        <v>128</v>
      </c>
      <c r="C343" s="573" t="s">
        <v>115</v>
      </c>
      <c r="D343" s="946"/>
      <c r="E343" s="579">
        <f>6.8021-6.8946</f>
        <v>-9.2499999999999361E-2</v>
      </c>
      <c r="F343" s="579">
        <f t="shared" ref="F343" si="71">+E343</f>
        <v>-9.2499999999999361E-2</v>
      </c>
      <c r="G343" s="947">
        <f>ROUND(D343*(E343),2)</f>
        <v>0</v>
      </c>
      <c r="H343" s="948"/>
      <c r="I343" s="949"/>
      <c r="J343" s="949"/>
      <c r="K343" s="950"/>
      <c r="L343" s="951"/>
      <c r="M343" s="952"/>
      <c r="N343" s="604"/>
      <c r="O343" s="635"/>
      <c r="P343" s="636"/>
      <c r="Q343" s="605"/>
    </row>
    <row r="344" spans="1:21" ht="15.75" hidden="1" outlineLevel="1" thickBot="1">
      <c r="A344" s="953"/>
      <c r="B344" s="954"/>
      <c r="C344" s="573" t="s">
        <v>114</v>
      </c>
      <c r="D344" s="946"/>
      <c r="E344" s="579">
        <v>6.8021000000000003</v>
      </c>
      <c r="F344" s="579">
        <f>+E344</f>
        <v>6.8021000000000003</v>
      </c>
      <c r="G344" s="947">
        <f>ROUND(D344*(E344),2)</f>
        <v>0</v>
      </c>
      <c r="H344" s="948"/>
      <c r="I344" s="949"/>
      <c r="J344" s="949"/>
      <c r="K344" s="950"/>
      <c r="L344" s="955"/>
      <c r="M344" s="956"/>
      <c r="N344" s="607"/>
      <c r="O344" s="608"/>
      <c r="P344" s="609"/>
      <c r="Q344" s="610"/>
    </row>
    <row r="345" spans="1:21" ht="15.75" hidden="1" outlineLevel="1" thickBot="1">
      <c r="A345" s="944"/>
      <c r="B345" s="954"/>
      <c r="C345" s="916" t="s">
        <v>29</v>
      </c>
      <c r="D345" s="948"/>
      <c r="E345" s="917">
        <v>6.8021000000000003</v>
      </c>
      <c r="F345" s="579">
        <f t="shared" ref="F345" si="72">+E345</f>
        <v>6.8021000000000003</v>
      </c>
      <c r="G345" s="947">
        <f t="shared" ref="G345" si="73">ROUND(D345*(E345),2)</f>
        <v>0</v>
      </c>
      <c r="H345" s="948"/>
      <c r="I345" s="949"/>
      <c r="J345" s="949"/>
      <c r="K345" s="950"/>
      <c r="L345" s="951"/>
      <c r="M345" s="956"/>
      <c r="N345" s="615"/>
      <c r="O345" s="615"/>
      <c r="P345" s="615"/>
      <c r="Q345" s="616"/>
    </row>
    <row r="346" spans="1:21" ht="15.75" hidden="1" outlineLevel="1" thickBot="1">
      <c r="A346" s="953"/>
      <c r="B346" s="955"/>
      <c r="C346" s="575"/>
      <c r="D346" s="957"/>
      <c r="E346" s="580"/>
      <c r="F346" s="575"/>
      <c r="G346" s="958"/>
      <c r="H346" s="959"/>
      <c r="I346" s="575"/>
      <c r="J346" s="575"/>
      <c r="K346" s="575"/>
      <c r="L346" s="955"/>
      <c r="M346" s="956"/>
      <c r="N346" s="615"/>
      <c r="O346" s="615"/>
      <c r="P346" s="615"/>
      <c r="Q346" s="615"/>
    </row>
    <row r="347" spans="1:21" collapsed="1">
      <c r="A347" s="963"/>
      <c r="B347" s="621"/>
      <c r="C347" s="621"/>
      <c r="D347" s="964"/>
      <c r="E347" s="905"/>
      <c r="F347" s="621"/>
      <c r="G347" s="905"/>
      <c r="H347" s="621"/>
      <c r="I347" s="621"/>
      <c r="J347" s="621"/>
      <c r="K347" s="621"/>
      <c r="L347" s="621"/>
      <c r="M347" s="965"/>
      <c r="N347" s="615"/>
      <c r="O347" s="615"/>
      <c r="P347" s="615"/>
      <c r="Q347" s="615"/>
    </row>
    <row r="348" spans="1:21" ht="15.75" thickBot="1">
      <c r="A348" s="966"/>
      <c r="B348" s="615"/>
      <c r="C348" s="615"/>
      <c r="D348" s="696"/>
      <c r="E348" s="473"/>
      <c r="F348" s="615"/>
      <c r="G348" s="473"/>
      <c r="H348" s="615"/>
      <c r="I348" s="615"/>
      <c r="J348" s="615"/>
      <c r="K348" s="615"/>
      <c r="L348" s="615"/>
      <c r="M348" s="967"/>
      <c r="N348" s="615"/>
      <c r="O348" s="615"/>
      <c r="P348" s="615"/>
      <c r="Q348" s="615"/>
    </row>
    <row r="349" spans="1:21" s="81" customFormat="1" ht="15" customHeight="1" thickTop="1">
      <c r="A349" s="476"/>
      <c r="B349" s="158"/>
      <c r="C349" s="322"/>
      <c r="D349" s="477"/>
      <c r="E349" s="163"/>
      <c r="F349" s="163"/>
      <c r="G349" s="478"/>
      <c r="H349" s="163"/>
      <c r="I349" s="163"/>
      <c r="J349" s="163"/>
      <c r="K349" s="163"/>
      <c r="L349" s="163"/>
      <c r="M349" s="164"/>
      <c r="N349" s="479"/>
      <c r="O349" s="479"/>
      <c r="P349" s="479"/>
      <c r="Q349" s="479"/>
      <c r="R349" s="422"/>
      <c r="S349"/>
      <c r="T349" s="399"/>
    </row>
    <row r="350" spans="1:21" ht="15.75" thickBot="1">
      <c r="A350" s="968" t="s">
        <v>113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3"/>
      <c r="N350" s="2"/>
      <c r="O350" s="2"/>
      <c r="P350" s="2"/>
      <c r="Q350" s="2"/>
    </row>
    <row r="351" spans="1:21" ht="15.75" customHeight="1" thickTop="1" thickBot="1">
      <c r="A351" s="1559" t="s">
        <v>1</v>
      </c>
      <c r="B351" s="1543" t="s">
        <v>2</v>
      </c>
      <c r="C351" s="1545" t="s">
        <v>3</v>
      </c>
      <c r="D351" s="1546" t="s">
        <v>4</v>
      </c>
      <c r="E351" s="1546"/>
      <c r="F351" s="1546"/>
      <c r="G351" s="1546"/>
      <c r="H351" s="1547"/>
      <c r="I351" s="1548"/>
      <c r="J351" s="1548"/>
      <c r="K351" s="1549"/>
      <c r="L351" s="1524" t="s">
        <v>6</v>
      </c>
      <c r="M351" s="1511" t="s">
        <v>7</v>
      </c>
      <c r="N351" s="1551" t="s">
        <v>8</v>
      </c>
      <c r="O351" s="1551"/>
      <c r="P351" s="1551"/>
      <c r="Q351" s="1552"/>
      <c r="R351" s="481"/>
      <c r="S351" s="482" t="s">
        <v>20</v>
      </c>
      <c r="T351" s="482" t="s">
        <v>21</v>
      </c>
    </row>
    <row r="352" spans="1:21" ht="26.25" thickBot="1">
      <c r="A352" s="1560"/>
      <c r="B352" s="1557"/>
      <c r="C352" s="1558" t="s">
        <v>10</v>
      </c>
      <c r="D352" s="483" t="s">
        <v>11</v>
      </c>
      <c r="E352" s="649" t="s">
        <v>12</v>
      </c>
      <c r="F352" s="649" t="s">
        <v>13</v>
      </c>
      <c r="G352" s="650" t="s">
        <v>14</v>
      </c>
      <c r="H352" s="651" t="s">
        <v>11</v>
      </c>
      <c r="I352" s="652" t="s">
        <v>15</v>
      </c>
      <c r="J352" s="653"/>
      <c r="K352" s="654" t="s">
        <v>16</v>
      </c>
      <c r="L352" s="1525"/>
      <c r="M352" s="1554"/>
      <c r="N352" s="655"/>
      <c r="O352" s="653"/>
      <c r="P352" s="656" t="s">
        <v>18</v>
      </c>
      <c r="Q352" s="657" t="s">
        <v>19</v>
      </c>
      <c r="R352" s="491"/>
      <c r="S352" s="492"/>
      <c r="T352" s="492"/>
    </row>
    <row r="353" spans="1:18">
      <c r="A353" s="961" t="s">
        <v>212</v>
      </c>
      <c r="B353" s="659" t="s">
        <v>116</v>
      </c>
      <c r="C353" s="668" t="s">
        <v>73</v>
      </c>
      <c r="D353" s="669">
        <v>5.59</v>
      </c>
      <c r="E353" s="21">
        <v>36.214199999999998</v>
      </c>
      <c r="F353" s="21">
        <v>42.4328</v>
      </c>
      <c r="G353" s="214">
        <f>+D353*(E353+F353)</f>
        <v>439.63672999999994</v>
      </c>
      <c r="H353" s="687">
        <f>май18!D320</f>
        <v>6</v>
      </c>
      <c r="I353" s="688">
        <v>6.1832000000000003</v>
      </c>
      <c r="J353" s="670">
        <f>ROUND(H353*I353,2)</f>
        <v>37.1</v>
      </c>
      <c r="K353" s="689">
        <v>43221</v>
      </c>
      <c r="L353" s="603">
        <f>SUM(G353:G359)+SUM(J353:J357)</f>
        <v>11305.506730000001</v>
      </c>
      <c r="M353" s="187">
        <v>11305.51</v>
      </c>
      <c r="N353" s="670"/>
      <c r="O353" s="670"/>
      <c r="P353" s="670"/>
      <c r="Q353" s="670"/>
    </row>
    <row r="354" spans="1:18">
      <c r="A354" s="970"/>
      <c r="B354" s="672"/>
      <c r="C354" s="48"/>
      <c r="D354" s="673"/>
      <c r="E354" s="41"/>
      <c r="F354" s="298"/>
      <c r="G354" s="235">
        <f>+D354*E354</f>
        <v>0</v>
      </c>
      <c r="H354" s="687"/>
      <c r="I354" s="688"/>
      <c r="J354" s="670"/>
      <c r="K354" s="689"/>
      <c r="L354" s="606"/>
      <c r="M354" s="935"/>
      <c r="N354" s="298"/>
      <c r="O354" s="298"/>
      <c r="P354" s="298"/>
      <c r="Q354" s="298"/>
    </row>
    <row r="355" spans="1:18">
      <c r="A355" s="970"/>
      <c r="B355" s="442"/>
      <c r="C355" s="48"/>
      <c r="D355" s="673"/>
      <c r="E355" s="41"/>
      <c r="F355" s="298"/>
      <c r="G355" s="235">
        <f t="shared" ref="G355:G368" si="74">ROUND(D355*E355,2)</f>
        <v>0</v>
      </c>
      <c r="H355" s="687"/>
      <c r="I355" s="688"/>
      <c r="J355" s="670"/>
      <c r="K355" s="850"/>
      <c r="L355" s="614"/>
      <c r="M355" s="935"/>
      <c r="N355" s="298"/>
      <c r="O355" s="298"/>
      <c r="P355" s="298"/>
      <c r="Q355" s="298"/>
    </row>
    <row r="356" spans="1:18">
      <c r="A356" s="970"/>
      <c r="B356" s="35"/>
      <c r="C356" s="606"/>
      <c r="D356" s="673"/>
      <c r="E356" s="41"/>
      <c r="F356" s="298"/>
      <c r="G356" s="235">
        <f t="shared" si="74"/>
        <v>0</v>
      </c>
      <c r="H356" s="270"/>
      <c r="I356" s="688"/>
      <c r="J356" s="670"/>
      <c r="K356" s="689"/>
      <c r="L356" s="614"/>
      <c r="M356" s="273"/>
      <c r="N356" s="298"/>
      <c r="O356" s="298"/>
      <c r="P356" s="298"/>
      <c r="Q356" s="298"/>
    </row>
    <row r="357" spans="1:18" ht="15.75">
      <c r="A357" s="971"/>
      <c r="B357" s="672"/>
      <c r="C357" s="48" t="s">
        <v>149</v>
      </c>
      <c r="D357" s="269">
        <f>июнь18!D340+июнь18!D341</f>
        <v>1633.6</v>
      </c>
      <c r="E357" s="41">
        <f>6.509-6.4709</f>
        <v>3.8100000000000023E-2</v>
      </c>
      <c r="F357" s="298">
        <f t="shared" ref="F357:F358" si="75">+E357</f>
        <v>3.8100000000000023E-2</v>
      </c>
      <c r="G357" s="235">
        <f>ROUND(D357*E357,2)-0.01</f>
        <v>62.230000000000004</v>
      </c>
      <c r="H357" s="270"/>
      <c r="I357" s="41"/>
      <c r="J357" s="670"/>
      <c r="K357" s="689"/>
      <c r="L357" s="606"/>
      <c r="M357" s="935"/>
      <c r="N357" s="663"/>
      <c r="O357" s="237"/>
      <c r="P357" s="275"/>
      <c r="Q357" s="237"/>
    </row>
    <row r="358" spans="1:18" ht="15.75">
      <c r="A358" s="972"/>
      <c r="B358" s="35"/>
      <c r="C358" s="48" t="s">
        <v>150</v>
      </c>
      <c r="D358" s="269">
        <v>55.3</v>
      </c>
      <c r="E358" s="41">
        <v>6.5090000000000003</v>
      </c>
      <c r="F358" s="298">
        <f t="shared" si="75"/>
        <v>6.5090000000000003</v>
      </c>
      <c r="G358" s="235">
        <f t="shared" si="74"/>
        <v>359.95</v>
      </c>
      <c r="H358" s="270"/>
      <c r="I358" s="41"/>
      <c r="J358" s="41"/>
      <c r="K358" s="41"/>
      <c r="L358" s="614"/>
      <c r="M358" s="935"/>
      <c r="N358" s="663"/>
      <c r="O358" s="237"/>
      <c r="P358" s="275"/>
      <c r="Q358" s="237"/>
    </row>
    <row r="359" spans="1:18" ht="15.75" thickBot="1">
      <c r="A359" s="973"/>
      <c r="B359" s="665"/>
      <c r="C359" s="54" t="s">
        <v>29</v>
      </c>
      <c r="D359" s="613">
        <v>1598.8</v>
      </c>
      <c r="E359" s="56">
        <v>6.5090000000000003</v>
      </c>
      <c r="F359" s="57"/>
      <c r="G359" s="247">
        <f t="shared" si="74"/>
        <v>10406.59</v>
      </c>
      <c r="H359" s="613"/>
      <c r="I359" s="57"/>
      <c r="J359" s="57"/>
      <c r="K359" s="57"/>
      <c r="L359" s="783"/>
      <c r="M359" s="250"/>
      <c r="N359" s="57"/>
      <c r="O359" s="57"/>
      <c r="P359" s="57"/>
      <c r="Q359" s="57"/>
      <c r="R359" s="615"/>
    </row>
    <row r="360" spans="1:18" ht="15.75">
      <c r="A360" s="658">
        <v>212</v>
      </c>
      <c r="B360" s="659" t="s">
        <v>148</v>
      </c>
      <c r="C360" s="786" t="s">
        <v>149</v>
      </c>
      <c r="D360" s="259">
        <f>июнь18!D343+июнь18!D344</f>
        <v>212.1</v>
      </c>
      <c r="E360" s="41">
        <f>6.509-6.4709</f>
        <v>3.8100000000000023E-2</v>
      </c>
      <c r="F360" s="691">
        <f>+E360</f>
        <v>3.8100000000000023E-2</v>
      </c>
      <c r="G360" s="214">
        <f>ROUND(D360*E360,2)</f>
        <v>8.08</v>
      </c>
      <c r="H360" s="303"/>
      <c r="I360" s="23"/>
      <c r="J360" s="23"/>
      <c r="K360" s="23"/>
      <c r="L360" s="603">
        <f>SUM(G360:G362)</f>
        <v>1354.79</v>
      </c>
      <c r="M360" s="187">
        <v>1354.79</v>
      </c>
      <c r="N360" s="660"/>
      <c r="O360" s="217"/>
      <c r="P360" s="661"/>
      <c r="Q360" s="219"/>
    </row>
    <row r="361" spans="1:18" ht="15.75">
      <c r="A361" s="662"/>
      <c r="B361" s="35"/>
      <c r="C361" s="48" t="s">
        <v>150</v>
      </c>
      <c r="D361" s="269">
        <v>6.9</v>
      </c>
      <c r="E361" s="41">
        <v>6.5090000000000003</v>
      </c>
      <c r="F361" s="298">
        <f t="shared" ref="F361" si="76">+E361</f>
        <v>6.5090000000000003</v>
      </c>
      <c r="G361" s="235">
        <f t="shared" si="74"/>
        <v>44.91</v>
      </c>
      <c r="H361" s="270"/>
      <c r="I361" s="41"/>
      <c r="J361" s="41"/>
      <c r="K361" s="41"/>
      <c r="L361" s="606"/>
      <c r="M361" s="935"/>
      <c r="N361" s="663"/>
      <c r="O361" s="237"/>
      <c r="P361" s="275"/>
      <c r="Q361" s="238"/>
    </row>
    <row r="362" spans="1:18" ht="15.75" thickBot="1">
      <c r="A362" s="975"/>
      <c r="B362" s="665"/>
      <c r="C362" s="99" t="s">
        <v>29</v>
      </c>
      <c r="D362" s="613">
        <v>200</v>
      </c>
      <c r="E362" s="56">
        <v>6.5090000000000003</v>
      </c>
      <c r="F362" s="57"/>
      <c r="G362" s="247">
        <f t="shared" si="74"/>
        <v>1301.8</v>
      </c>
      <c r="H362" s="613"/>
      <c r="I362" s="57"/>
      <c r="J362" s="57"/>
      <c r="K362" s="57"/>
      <c r="L362" s="614"/>
      <c r="M362" s="606"/>
      <c r="N362" s="57"/>
      <c r="O362" s="57"/>
      <c r="P362" s="57"/>
      <c r="Q362" s="666"/>
    </row>
    <row r="363" spans="1:18" ht="15.75">
      <c r="A363" s="658">
        <v>216</v>
      </c>
      <c r="B363" s="659" t="s">
        <v>240</v>
      </c>
      <c r="C363" s="786" t="s">
        <v>149</v>
      </c>
      <c r="D363" s="259">
        <f>июнь18!D346+июнь18!D347</f>
        <v>206.9</v>
      </c>
      <c r="E363" s="41">
        <f>6.509-6.4709</f>
        <v>3.8100000000000023E-2</v>
      </c>
      <c r="F363" s="691">
        <f>+E363</f>
        <v>3.8100000000000023E-2</v>
      </c>
      <c r="G363" s="214">
        <f>ROUND(D363*E363,2)</f>
        <v>7.88</v>
      </c>
      <c r="H363" s="303"/>
      <c r="I363" s="23"/>
      <c r="J363" s="23"/>
      <c r="K363" s="23"/>
      <c r="L363" s="603">
        <f>SUM(G363:G365)</f>
        <v>1354.59</v>
      </c>
      <c r="M363" s="187">
        <v>1354.59</v>
      </c>
      <c r="N363" s="660"/>
      <c r="O363" s="217"/>
      <c r="P363" s="661"/>
      <c r="Q363" s="219"/>
    </row>
    <row r="364" spans="1:18" ht="15.75">
      <c r="A364" s="662"/>
      <c r="B364" s="35"/>
      <c r="C364" s="48" t="s">
        <v>150</v>
      </c>
      <c r="D364" s="269">
        <v>6.9</v>
      </c>
      <c r="E364" s="41">
        <v>6.5090000000000003</v>
      </c>
      <c r="F364" s="298">
        <f t="shared" ref="F364" si="77">+E364</f>
        <v>6.5090000000000003</v>
      </c>
      <c r="G364" s="235">
        <f t="shared" ref="G364:G365" si="78">ROUND(D364*E364,2)</f>
        <v>44.91</v>
      </c>
      <c r="H364" s="270"/>
      <c r="I364" s="41"/>
      <c r="J364" s="41"/>
      <c r="K364" s="41"/>
      <c r="L364" s="606"/>
      <c r="M364" s="935"/>
      <c r="N364" s="663"/>
      <c r="O364" s="237"/>
      <c r="P364" s="275"/>
      <c r="Q364" s="238"/>
    </row>
    <row r="365" spans="1:18" ht="15.75" thickBot="1">
      <c r="A365" s="975"/>
      <c r="B365" s="665"/>
      <c r="C365" s="99" t="s">
        <v>29</v>
      </c>
      <c r="D365" s="613">
        <v>200</v>
      </c>
      <c r="E365" s="56">
        <v>6.5090000000000003</v>
      </c>
      <c r="F365" s="57"/>
      <c r="G365" s="247">
        <f t="shared" si="78"/>
        <v>1301.8</v>
      </c>
      <c r="H365" s="613"/>
      <c r="I365" s="57"/>
      <c r="J365" s="57"/>
      <c r="K365" s="57"/>
      <c r="L365" s="614"/>
      <c r="M365" s="606"/>
      <c r="N365" s="57"/>
      <c r="O365" s="57"/>
      <c r="P365" s="57"/>
      <c r="Q365" s="666"/>
    </row>
    <row r="366" spans="1:18" ht="15.75">
      <c r="A366" s="658">
        <v>218</v>
      </c>
      <c r="B366" s="659" t="s">
        <v>117</v>
      </c>
      <c r="C366" s="439" t="s">
        <v>149</v>
      </c>
      <c r="D366" s="259">
        <f>июнь18!D349+июнь18!D350</f>
        <v>303.7</v>
      </c>
      <c r="E366" s="23">
        <f>6.509-6.4709</f>
        <v>3.8100000000000023E-2</v>
      </c>
      <c r="F366" s="691">
        <f>+E366</f>
        <v>3.8100000000000023E-2</v>
      </c>
      <c r="G366" s="214">
        <f>ROUND(D366*E366,2)+0.01</f>
        <v>11.58</v>
      </c>
      <c r="H366" s="303"/>
      <c r="I366" s="23"/>
      <c r="J366" s="23"/>
      <c r="K366" s="23"/>
      <c r="L366" s="603">
        <f>SUM(G366:G368)</f>
        <v>2011.79</v>
      </c>
      <c r="M366" s="187">
        <v>2011.79</v>
      </c>
      <c r="N366" s="660"/>
      <c r="O366" s="217"/>
      <c r="P366" s="661"/>
      <c r="Q366" s="219"/>
      <c r="R366" s="615"/>
    </row>
    <row r="367" spans="1:18" ht="15.75">
      <c r="A367" s="662"/>
      <c r="B367" s="506"/>
      <c r="C367" s="48" t="s">
        <v>150</v>
      </c>
      <c r="D367" s="773">
        <v>10.3</v>
      </c>
      <c r="E367" s="41">
        <v>6.5090000000000003</v>
      </c>
      <c r="F367" s="774">
        <f t="shared" ref="F367" si="79">+E367</f>
        <v>6.5090000000000003</v>
      </c>
      <c r="G367" s="775">
        <f t="shared" si="74"/>
        <v>67.040000000000006</v>
      </c>
      <c r="H367" s="432"/>
      <c r="I367" s="207"/>
      <c r="J367" s="207"/>
      <c r="K367" s="207"/>
      <c r="L367" s="776"/>
      <c r="M367" s="974"/>
      <c r="N367" s="777"/>
      <c r="O367" s="778"/>
      <c r="P367" s="779"/>
      <c r="Q367" s="780"/>
    </row>
    <row r="368" spans="1:18" ht="15.75" thickBot="1">
      <c r="A368" s="975"/>
      <c r="B368" s="278"/>
      <c r="C368" s="54" t="s">
        <v>29</v>
      </c>
      <c r="D368" s="613">
        <v>297</v>
      </c>
      <c r="E368" s="56">
        <v>6.5090000000000003</v>
      </c>
      <c r="F368" s="57"/>
      <c r="G368" s="247">
        <f t="shared" si="74"/>
        <v>1933.17</v>
      </c>
      <c r="H368" s="613"/>
      <c r="I368" s="57"/>
      <c r="J368" s="57"/>
      <c r="K368" s="57"/>
      <c r="L368" s="783"/>
      <c r="M368" s="938"/>
      <c r="N368" s="57"/>
      <c r="O368" s="57"/>
      <c r="P368" s="57"/>
      <c r="Q368" s="666"/>
    </row>
    <row r="369" spans="1:17" ht="15.75">
      <c r="A369" s="658">
        <v>311</v>
      </c>
      <c r="B369" s="602" t="s">
        <v>142</v>
      </c>
      <c r="C369" s="786" t="s">
        <v>73</v>
      </c>
      <c r="D369" s="787">
        <v>6.38</v>
      </c>
      <c r="E369" s="21">
        <v>36.214199999999998</v>
      </c>
      <c r="F369" s="21">
        <v>42.4328</v>
      </c>
      <c r="G369" s="214">
        <f>+D369*(E369+F369)</f>
        <v>501.76785999999993</v>
      </c>
      <c r="H369" s="687">
        <f>май18!D333</f>
        <v>6</v>
      </c>
      <c r="I369" s="688">
        <v>6.1832000000000003</v>
      </c>
      <c r="J369" s="670">
        <f>ROUND(H369*I369,2)</f>
        <v>37.1</v>
      </c>
      <c r="K369" s="850">
        <v>43221</v>
      </c>
      <c r="L369" s="603">
        <f>SUM(G369:G372,J369:J372)</f>
        <v>20446.607859999996</v>
      </c>
      <c r="M369" s="187">
        <v>20446.61</v>
      </c>
      <c r="N369" s="788"/>
      <c r="O369" s="789"/>
      <c r="P369" s="790"/>
      <c r="Q369" s="791"/>
    </row>
    <row r="370" spans="1:17" ht="15.75">
      <c r="A370" s="662"/>
      <c r="B370" s="939"/>
      <c r="C370" s="48" t="s">
        <v>149</v>
      </c>
      <c r="D370" s="269">
        <f>июнь18!D353+июнь18!D354</f>
        <v>2869.2</v>
      </c>
      <c r="E370" s="41">
        <f>6.509-6.4709</f>
        <v>3.8100000000000023E-2</v>
      </c>
      <c r="F370" s="297">
        <f>+E370</f>
        <v>3.8100000000000023E-2</v>
      </c>
      <c r="G370" s="235">
        <f>ROUND(D370*E370,2)-0.01</f>
        <v>109.30999999999999</v>
      </c>
      <c r="H370" s="270"/>
      <c r="I370" s="688"/>
      <c r="J370" s="670"/>
      <c r="K370" s="689"/>
      <c r="L370" s="614"/>
      <c r="M370" s="273"/>
      <c r="N370" s="663"/>
      <c r="O370" s="237"/>
      <c r="P370" s="275"/>
      <c r="Q370" s="238"/>
    </row>
    <row r="371" spans="1:17" ht="15.75">
      <c r="A371" s="662"/>
      <c r="B371" s="506"/>
      <c r="C371" s="48" t="s">
        <v>150</v>
      </c>
      <c r="D371" s="269">
        <v>101.7</v>
      </c>
      <c r="E371" s="41">
        <v>6.5090000000000003</v>
      </c>
      <c r="F371" s="298">
        <f t="shared" ref="F371" si="80">+E371</f>
        <v>6.5090000000000003</v>
      </c>
      <c r="G371" s="235">
        <f t="shared" ref="G371:G372" si="81">ROUND(D371*E371,2)</f>
        <v>661.97</v>
      </c>
      <c r="H371" s="270"/>
      <c r="I371" s="41"/>
      <c r="J371" s="670"/>
      <c r="K371" s="689"/>
      <c r="L371" s="606"/>
      <c r="M371" s="935"/>
      <c r="N371" s="663"/>
      <c r="O371" s="237"/>
      <c r="P371" s="275"/>
      <c r="Q371" s="238"/>
    </row>
    <row r="372" spans="1:17" ht="15.75" thickBot="1">
      <c r="A372" s="975"/>
      <c r="B372" s="278"/>
      <c r="C372" s="54" t="s">
        <v>29</v>
      </c>
      <c r="D372" s="795">
        <v>2940</v>
      </c>
      <c r="E372" s="56">
        <v>6.5090000000000003</v>
      </c>
      <c r="F372" s="797"/>
      <c r="G372" s="798">
        <f t="shared" si="81"/>
        <v>19136.46</v>
      </c>
      <c r="H372" s="795"/>
      <c r="I372" s="797"/>
      <c r="J372" s="797"/>
      <c r="K372" s="797"/>
      <c r="L372" s="799"/>
      <c r="M372" s="976"/>
      <c r="N372" s="797"/>
      <c r="O372" s="797"/>
      <c r="P372" s="797"/>
      <c r="Q372" s="800"/>
    </row>
    <row r="373" spans="1:17" ht="15.75">
      <c r="A373" s="658">
        <v>500</v>
      </c>
      <c r="B373" s="659" t="s">
        <v>55</v>
      </c>
      <c r="C373" s="48" t="s">
        <v>149</v>
      </c>
      <c r="D373" s="259">
        <f>июнь18!D356+июнь18!D357</f>
        <v>2650.3999999999996</v>
      </c>
      <c r="E373" s="41">
        <f>6.509-6.4709</f>
        <v>3.8100000000000023E-2</v>
      </c>
      <c r="F373" s="691">
        <f>+E373</f>
        <v>3.8100000000000023E-2</v>
      </c>
      <c r="G373" s="214">
        <f>ROUND(D373*E373,2)</f>
        <v>100.98</v>
      </c>
      <c r="H373" s="303"/>
      <c r="I373" s="23"/>
      <c r="J373" s="23"/>
      <c r="K373" s="23"/>
      <c r="L373" s="603">
        <f>SUM(G373:G375)</f>
        <v>18296.89</v>
      </c>
      <c r="M373" s="187">
        <v>18296.89</v>
      </c>
      <c r="N373" s="660"/>
      <c r="O373" s="217"/>
      <c r="P373" s="661"/>
      <c r="Q373" s="219"/>
    </row>
    <row r="374" spans="1:17" ht="15.75">
      <c r="A374" s="662" t="s">
        <v>211</v>
      </c>
      <c r="B374" s="35"/>
      <c r="C374" s="48" t="s">
        <v>150</v>
      </c>
      <c r="D374" s="269">
        <v>93.5</v>
      </c>
      <c r="E374" s="41">
        <v>6.5090000000000003</v>
      </c>
      <c r="F374" s="298">
        <f t="shared" ref="F374" si="82">+E374</f>
        <v>6.5090000000000003</v>
      </c>
      <c r="G374" s="235">
        <f>ROUND(D374*E374,2)</f>
        <v>608.59</v>
      </c>
      <c r="H374" s="270"/>
      <c r="I374" s="41"/>
      <c r="J374" s="41"/>
      <c r="K374" s="41"/>
      <c r="L374" s="606"/>
      <c r="M374" s="935"/>
      <c r="N374" s="663"/>
      <c r="O374" s="237"/>
      <c r="P374" s="275"/>
      <c r="Q374" s="238"/>
    </row>
    <row r="375" spans="1:17" ht="15.75" thickBot="1">
      <c r="A375" s="969"/>
      <c r="B375" s="665"/>
      <c r="C375" s="99" t="s">
        <v>29</v>
      </c>
      <c r="D375" s="613">
        <v>2702</v>
      </c>
      <c r="E375" s="56">
        <v>6.5090000000000003</v>
      </c>
      <c r="F375" s="57"/>
      <c r="G375" s="247">
        <f>ROUND(D375*E375,2)</f>
        <v>17587.32</v>
      </c>
      <c r="H375" s="613"/>
      <c r="I375" s="57"/>
      <c r="J375" s="57"/>
      <c r="K375" s="57"/>
      <c r="L375" s="614"/>
      <c r="M375" s="935"/>
      <c r="N375" s="57"/>
      <c r="O375" s="57"/>
      <c r="P375" s="57"/>
      <c r="Q375" s="666"/>
    </row>
    <row r="376" spans="1:17">
      <c r="A376" s="977"/>
    </row>
    <row r="377" spans="1:17">
      <c r="A377" s="977"/>
    </row>
    <row r="378" spans="1:17">
      <c r="A378" s="977"/>
    </row>
  </sheetData>
  <mergeCells count="40">
    <mergeCell ref="M351:M352"/>
    <mergeCell ref="N351:Q351"/>
    <mergeCell ref="A351:A352"/>
    <mergeCell ref="B351:B352"/>
    <mergeCell ref="C351:C352"/>
    <mergeCell ref="D351:G351"/>
    <mergeCell ref="H351:K351"/>
    <mergeCell ref="L351:L352"/>
    <mergeCell ref="M108:M109"/>
    <mergeCell ref="N108:Q108"/>
    <mergeCell ref="A246:A247"/>
    <mergeCell ref="B246:B247"/>
    <mergeCell ref="C246:C247"/>
    <mergeCell ref="D246:G246"/>
    <mergeCell ref="H246:K246"/>
    <mergeCell ref="L246:L247"/>
    <mergeCell ref="M246:M247"/>
    <mergeCell ref="N246:Q246"/>
    <mergeCell ref="A108:A109"/>
    <mergeCell ref="B108:B109"/>
    <mergeCell ref="C108:C109"/>
    <mergeCell ref="D108:G108"/>
    <mergeCell ref="H108:K108"/>
    <mergeCell ref="L108:L109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384"/>
  <sheetViews>
    <sheetView topLeftCell="A94" workbookViewId="0">
      <pane xSplit="3" topLeftCell="D1" activePane="topRight" state="frozen"/>
      <selection pane="topRight" activeCell="H4" sqref="H4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34.4</v>
      </c>
      <c r="E4" s="21">
        <v>40.556600000000003</v>
      </c>
      <c r="F4" s="21">
        <v>47.5304</v>
      </c>
      <c r="G4" s="22">
        <f>ROUND(D4*(E4+F4),2)</f>
        <v>3030.19</v>
      </c>
      <c r="H4" s="20"/>
      <c r="I4" s="23"/>
      <c r="J4" s="23"/>
      <c r="K4" s="24"/>
      <c r="L4" s="25">
        <f>SUM(G4:G8,J4:J7)</f>
        <v>123281.46</v>
      </c>
      <c r="M4" s="26">
        <v>123281.46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120251.27</v>
      </c>
      <c r="S6" s="31"/>
      <c r="T6" s="32"/>
    </row>
    <row r="7" spans="1:22">
      <c r="A7" s="34"/>
      <c r="B7" s="35"/>
      <c r="C7" s="48" t="s">
        <v>263</v>
      </c>
      <c r="D7" s="49">
        <f>411.3+115.9</f>
        <v>527.20000000000005</v>
      </c>
      <c r="E7" s="41">
        <v>6.6439000000000004</v>
      </c>
      <c r="F7" s="41">
        <f>+E7</f>
        <v>6.6439000000000004</v>
      </c>
      <c r="G7" s="50">
        <f>ROUND(D7*E7,2)+0.01</f>
        <v>3502.67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120251.27</v>
      </c>
    </row>
    <row r="8" spans="1:22" ht="15.75" thickBot="1">
      <c r="A8" s="52"/>
      <c r="B8" s="53"/>
      <c r="C8" s="99" t="s">
        <v>29</v>
      </c>
      <c r="D8" s="55">
        <f>13710+3862.3</f>
        <v>17572.3</v>
      </c>
      <c r="E8" s="56">
        <v>6.6439000000000004</v>
      </c>
      <c r="F8" s="57">
        <f>+E8</f>
        <v>6.6439000000000004</v>
      </c>
      <c r="G8" s="58">
        <f>ROUND(D8*E8,2)</f>
        <v>116748.6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116748.6</v>
      </c>
      <c r="R8" s="66" t="s">
        <v>25</v>
      </c>
      <c r="S8" s="67">
        <f>SUM(O4:O8)</f>
        <v>0</v>
      </c>
      <c r="T8" s="68">
        <f>SUM(Q4:Q8)</f>
        <v>116748.6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100.785</v>
      </c>
      <c r="E13" s="21">
        <v>40.556600000000003</v>
      </c>
      <c r="F13" s="21">
        <v>47.5304</v>
      </c>
      <c r="G13" s="22">
        <f>ROUND(D13*(E13+F13),2)</f>
        <v>8877.85</v>
      </c>
      <c r="H13" s="72"/>
      <c r="I13" s="21"/>
      <c r="J13" s="73"/>
      <c r="K13" s="24"/>
      <c r="L13" s="74">
        <f>SUM(G13:G20,J13:J19)</f>
        <v>55288.800515200004</v>
      </c>
      <c r="M13" s="26">
        <v>55288.800000000003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5.1520000124583021E-4</v>
      </c>
    </row>
    <row r="14" spans="1:22" s="81" customFormat="1">
      <c r="A14" s="82"/>
      <c r="B14" s="83"/>
      <c r="C14" s="84" t="s">
        <v>26</v>
      </c>
      <c r="D14" s="37">
        <f>июль18!D13</f>
        <v>117.215</v>
      </c>
      <c r="E14" s="38">
        <f>40.5566-36.2142</f>
        <v>4.3424000000000049</v>
      </c>
      <c r="F14" s="38">
        <f>47.5304-42.4328</f>
        <v>5.0975999999999999</v>
      </c>
      <c r="G14" s="39">
        <f>ROUND(D14*(E14+F14),2)</f>
        <v>1106.51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14.423</v>
      </c>
      <c r="E15" s="101">
        <v>237.98</v>
      </c>
      <c r="F15" s="38">
        <f>F13</f>
        <v>47.5304</v>
      </c>
      <c r="G15" s="39">
        <f>ROUND(D15*(E15+F15),2)</f>
        <v>4117.92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июль18!D15</f>
        <v>17.577000000000002</v>
      </c>
      <c r="E16" s="41"/>
      <c r="F16" s="38">
        <f>F14</f>
        <v>5.0975999999999999</v>
      </c>
      <c r="G16" s="50">
        <f>+D16*(E16+F16)</f>
        <v>89.600515200000004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июль18!D19+июль18!D20</f>
        <v>6763.5</v>
      </c>
      <c r="E18" s="881">
        <f>6.7023-6.509</f>
        <v>0.19329999999999981</v>
      </c>
      <c r="F18" s="41">
        <f>+E18</f>
        <v>0.19329999999999981</v>
      </c>
      <c r="G18" s="50">
        <f>ROUND(D18*E18*70%+D18*F18*30%,2)-0.01</f>
        <v>1307.3700000000001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16.6+151.4+4.9</f>
        <v>172.9</v>
      </c>
      <c r="E19" s="41">
        <v>6.7023000000000001</v>
      </c>
      <c r="F19" s="41">
        <f>E19</f>
        <v>6.7023000000000001</v>
      </c>
      <c r="G19" s="50">
        <f>ROUND(D19*E19*70%+D19*F19*30%,2)</f>
        <v>1158.83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551.8+5048+164</f>
        <v>5763.8</v>
      </c>
      <c r="E20" s="56">
        <v>6.7023000000000001</v>
      </c>
      <c r="F20" s="109">
        <f>+E20</f>
        <v>6.7023000000000001</v>
      </c>
      <c r="G20" s="110">
        <f>ROUND(D20*E20*70%+D20*F20*30%,2)</f>
        <v>38630.720000000001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88" t="s">
        <v>241</v>
      </c>
      <c r="B30" s="183" t="s">
        <v>242</v>
      </c>
      <c r="C30" s="439" t="s">
        <v>243</v>
      </c>
      <c r="D30" s="669">
        <v>3.09</v>
      </c>
      <c r="E30" s="23">
        <v>40.556600000000003</v>
      </c>
      <c r="F30" s="23">
        <v>47.5304</v>
      </c>
      <c r="G30" s="214">
        <f>ROUND(D30*(E30+F30),2)</f>
        <v>272.19</v>
      </c>
      <c r="H30" s="303"/>
      <c r="I30" s="23"/>
      <c r="J30" s="23"/>
      <c r="K30" s="304"/>
      <c r="L30" s="343">
        <f>SUM(G30:G31)+J30:J31</f>
        <v>312.31</v>
      </c>
      <c r="M30" s="187">
        <v>312.31</v>
      </c>
      <c r="N30" s="274"/>
      <c r="O30" s="237"/>
      <c r="P30" s="275"/>
      <c r="Q30" s="237"/>
      <c r="R30" s="242"/>
      <c r="S30" s="266"/>
      <c r="T30" s="266"/>
    </row>
    <row r="31" spans="1:21" ht="15.75" thickBot="1">
      <c r="A31" s="986"/>
      <c r="B31" s="202"/>
      <c r="C31" s="987" t="s">
        <v>260</v>
      </c>
      <c r="D31" s="613">
        <f>июль18!D30</f>
        <v>4.25</v>
      </c>
      <c r="E31" s="281">
        <f>40.5566-36.2142</f>
        <v>4.3424000000000049</v>
      </c>
      <c r="F31" s="281">
        <f>47.5304-42.4328</f>
        <v>5.0975999999999999</v>
      </c>
      <c r="G31" s="247">
        <f>ROUND(D31*(E31+F31),2)</f>
        <v>40.119999999999997</v>
      </c>
      <c r="H31" s="280"/>
      <c r="I31" s="281"/>
      <c r="J31" s="281"/>
      <c r="K31" s="282"/>
      <c r="L31" s="988"/>
      <c r="M31" s="989"/>
      <c r="N31" s="274"/>
      <c r="O31" s="237"/>
      <c r="P31" s="275"/>
      <c r="Q31" s="237"/>
      <c r="R31" s="242"/>
      <c r="S31" s="266"/>
      <c r="T31" s="266"/>
    </row>
    <row r="32" spans="1:21">
      <c r="A32" s="896">
        <v>202</v>
      </c>
      <c r="B32" s="192" t="s">
        <v>159</v>
      </c>
      <c r="C32" s="700" t="s">
        <v>260</v>
      </c>
      <c r="D32" s="985">
        <f>июль18!D33+июль18!D34</f>
        <v>111.68</v>
      </c>
      <c r="E32" s="261">
        <f>6.7023-6.509</f>
        <v>0.19329999999999981</v>
      </c>
      <c r="F32" s="261">
        <f t="shared" ref="F32:F43" si="0">+E32</f>
        <v>0.19329999999999981</v>
      </c>
      <c r="G32" s="195">
        <f>ROUND(D32*E32,2)+0.01</f>
        <v>21.6</v>
      </c>
      <c r="H32" s="260"/>
      <c r="I32" s="261"/>
      <c r="J32" s="261"/>
      <c r="K32" s="262"/>
      <c r="L32" s="294">
        <f>SUM(G32:G34)</f>
        <v>825.67</v>
      </c>
      <c r="M32" s="227">
        <v>825.67</v>
      </c>
      <c r="N32" s="274"/>
      <c r="O32" s="237"/>
      <c r="P32" s="275"/>
      <c r="Q32" s="237"/>
      <c r="R32" s="242"/>
      <c r="S32" s="266"/>
      <c r="T32" s="266"/>
    </row>
    <row r="33" spans="1:21" ht="15.75">
      <c r="A33" s="896"/>
      <c r="B33" s="192"/>
      <c r="C33" s="48" t="s">
        <v>263</v>
      </c>
      <c r="D33" s="269">
        <v>1.27</v>
      </c>
      <c r="E33" s="41">
        <v>6.7023000000000001</v>
      </c>
      <c r="F33" s="41">
        <f t="shared" si="0"/>
        <v>6.7023000000000001</v>
      </c>
      <c r="G33" s="235">
        <f t="shared" ref="G33:G34" si="1">ROUND(D33*E33,2)</f>
        <v>8.51</v>
      </c>
      <c r="H33" s="270"/>
      <c r="I33" s="41"/>
      <c r="J33" s="41"/>
      <c r="K33" s="271"/>
      <c r="L33" s="272"/>
      <c r="M33" s="273"/>
      <c r="N33" s="274"/>
      <c r="O33" s="237"/>
      <c r="P33" s="275"/>
      <c r="Q33" s="237"/>
      <c r="R33" s="242"/>
      <c r="S33" s="266"/>
      <c r="T33" s="266"/>
    </row>
    <row r="34" spans="1:21" ht="16.5" thickBot="1">
      <c r="A34" s="891"/>
      <c r="B34" s="887"/>
      <c r="C34" s="54" t="s">
        <v>29</v>
      </c>
      <c r="D34" s="279">
        <v>118.7</v>
      </c>
      <c r="E34" s="56">
        <v>6.7023000000000001</v>
      </c>
      <c r="F34" s="57">
        <f t="shared" si="0"/>
        <v>6.7023000000000001</v>
      </c>
      <c r="G34" s="247">
        <f t="shared" si="1"/>
        <v>795.56</v>
      </c>
      <c r="H34" s="280"/>
      <c r="I34" s="281"/>
      <c r="J34" s="281"/>
      <c r="K34" s="282"/>
      <c r="L34" s="204"/>
      <c r="M34" s="250"/>
      <c r="N34" s="283"/>
      <c r="O34" s="252"/>
      <c r="P34" s="284"/>
      <c r="Q34" s="252"/>
      <c r="R34" s="242"/>
      <c r="S34" s="266"/>
      <c r="T34" s="266"/>
    </row>
    <row r="35" spans="1:21">
      <c r="A35" s="892">
        <v>204</v>
      </c>
      <c r="B35" s="183" t="s">
        <v>137</v>
      </c>
      <c r="C35" s="439" t="s">
        <v>260</v>
      </c>
      <c r="D35" s="296">
        <f>июль18!D36+июль18!D37</f>
        <v>199.71</v>
      </c>
      <c r="E35" s="41">
        <f>6.7023-6.509</f>
        <v>0.19329999999999981</v>
      </c>
      <c r="F35" s="41">
        <f t="shared" si="0"/>
        <v>0.19329999999999981</v>
      </c>
      <c r="G35" s="235">
        <f>ROUND(D35*E35,2)</f>
        <v>38.6</v>
      </c>
      <c r="H35" s="270"/>
      <c r="I35" s="41"/>
      <c r="J35" s="41"/>
      <c r="K35" s="271"/>
      <c r="L35" s="294">
        <f>SUM(G35:G37)</f>
        <v>1272.1600000000001</v>
      </c>
      <c r="M35" s="227">
        <v>1272.1600000000001</v>
      </c>
      <c r="N35" s="274"/>
      <c r="O35" s="237"/>
      <c r="P35" s="275"/>
      <c r="Q35" s="237"/>
      <c r="R35" s="242"/>
      <c r="S35" s="266"/>
      <c r="T35" s="266"/>
    </row>
    <row r="36" spans="1:21" ht="15.75">
      <c r="A36" s="896"/>
      <c r="B36" s="192"/>
      <c r="C36" s="48" t="s">
        <v>263</v>
      </c>
      <c r="D36" s="269">
        <v>1.95</v>
      </c>
      <c r="E36" s="41">
        <v>6.7023000000000001</v>
      </c>
      <c r="F36" s="41">
        <f t="shared" si="0"/>
        <v>6.7023000000000001</v>
      </c>
      <c r="G36" s="235">
        <f>ROUND(D36*E36,2)</f>
        <v>13.07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1" ht="16.5" thickBot="1">
      <c r="A37" s="891"/>
      <c r="B37" s="887"/>
      <c r="C37" s="54" t="s">
        <v>29</v>
      </c>
      <c r="D37" s="279">
        <v>182.1</v>
      </c>
      <c r="E37" s="56">
        <v>6.7023000000000001</v>
      </c>
      <c r="F37" s="57">
        <f t="shared" si="0"/>
        <v>6.7023000000000001</v>
      </c>
      <c r="G37" s="247">
        <f>ROUND(D37*E37,2)</f>
        <v>1220.49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1">
      <c r="A38" s="892">
        <v>210</v>
      </c>
      <c r="B38" s="183" t="s">
        <v>245</v>
      </c>
      <c r="C38" s="439" t="s">
        <v>260</v>
      </c>
      <c r="D38" s="296">
        <f>июль18!D39+июль18!D40</f>
        <v>275.39999999999998</v>
      </c>
      <c r="E38" s="41">
        <f>6.7023-6.509</f>
        <v>0.19329999999999981</v>
      </c>
      <c r="F38" s="41">
        <f t="shared" si="0"/>
        <v>0.19329999999999981</v>
      </c>
      <c r="G38" s="235">
        <f>ROUND(D38*E38,2)</f>
        <v>53.23</v>
      </c>
      <c r="H38" s="270"/>
      <c r="I38" s="41"/>
      <c r="J38" s="41"/>
      <c r="K38" s="271"/>
      <c r="L38" s="294">
        <f>SUM(G38:G40)</f>
        <v>1819.96</v>
      </c>
      <c r="M38" s="227">
        <v>1819.96</v>
      </c>
      <c r="N38" s="274"/>
      <c r="O38" s="237"/>
      <c r="P38" s="275"/>
      <c r="Q38" s="237"/>
      <c r="R38" s="242"/>
      <c r="S38" s="266"/>
      <c r="T38" s="266"/>
    </row>
    <row r="39" spans="1:21" ht="15.75">
      <c r="A39" s="896"/>
      <c r="B39" s="192"/>
      <c r="C39" s="48" t="s">
        <v>263</v>
      </c>
      <c r="D39" s="269">
        <v>2.8</v>
      </c>
      <c r="E39" s="41">
        <v>6.7023000000000001</v>
      </c>
      <c r="F39" s="41">
        <f t="shared" si="0"/>
        <v>6.7023000000000001</v>
      </c>
      <c r="G39" s="235">
        <f>ROUND(D39*E39,2)</f>
        <v>18.77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1" ht="16.5" thickBot="1">
      <c r="A40" s="891"/>
      <c r="B40" s="887"/>
      <c r="C40" s="54" t="s">
        <v>29</v>
      </c>
      <c r="D40" s="279">
        <v>260.8</v>
      </c>
      <c r="E40" s="56">
        <v>6.7023000000000001</v>
      </c>
      <c r="F40" s="57">
        <f t="shared" si="0"/>
        <v>6.7023000000000001</v>
      </c>
      <c r="G40" s="247">
        <f t="shared" ref="G40" si="2">ROUND(D40*E40,2)</f>
        <v>1747.96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1">
      <c r="A41" s="892">
        <v>213</v>
      </c>
      <c r="B41" s="183" t="s">
        <v>262</v>
      </c>
      <c r="C41" s="439" t="s">
        <v>260</v>
      </c>
      <c r="D41" s="296">
        <f>июль18!D42+июль18!D43</f>
        <v>124.39999999999999</v>
      </c>
      <c r="E41" s="41">
        <f>6.7023-6.509</f>
        <v>0.19329999999999981</v>
      </c>
      <c r="F41" s="41">
        <f t="shared" si="0"/>
        <v>0.19329999999999981</v>
      </c>
      <c r="G41" s="235">
        <f>ROUND(D41*E41,2)</f>
        <v>24.05</v>
      </c>
      <c r="H41" s="270"/>
      <c r="I41" s="41"/>
      <c r="J41" s="41"/>
      <c r="K41" s="271"/>
      <c r="L41" s="294">
        <f>SUM(G41:G43)</f>
        <v>936.2299999999999</v>
      </c>
      <c r="M41" s="227">
        <v>936.23</v>
      </c>
      <c r="N41" s="274"/>
      <c r="O41" s="237"/>
      <c r="P41" s="275"/>
      <c r="Q41" s="237"/>
      <c r="R41" s="242"/>
      <c r="S41" s="266"/>
      <c r="T41" s="266"/>
    </row>
    <row r="42" spans="1:21" ht="15.75">
      <c r="A42" s="896"/>
      <c r="B42" s="192"/>
      <c r="C42" s="48" t="s">
        <v>263</v>
      </c>
      <c r="D42" s="269">
        <v>1.4</v>
      </c>
      <c r="E42" s="41">
        <v>6.7023000000000001</v>
      </c>
      <c r="F42" s="41">
        <f t="shared" si="0"/>
        <v>6.7023000000000001</v>
      </c>
      <c r="G42" s="235">
        <f>ROUND(D42*E42,2)</f>
        <v>9.3800000000000008</v>
      </c>
      <c r="H42" s="270"/>
      <c r="I42" s="41"/>
      <c r="J42" s="41"/>
      <c r="K42" s="271"/>
      <c r="L42" s="272"/>
      <c r="M42" s="273"/>
      <c r="N42" s="274"/>
      <c r="O42" s="237"/>
      <c r="P42" s="275"/>
      <c r="Q42" s="237"/>
      <c r="R42" s="242"/>
      <c r="S42" s="266"/>
      <c r="T42" s="266"/>
    </row>
    <row r="43" spans="1:21" ht="16.5" thickBot="1">
      <c r="A43" s="891"/>
      <c r="B43" s="887"/>
      <c r="C43" s="54" t="s">
        <v>29</v>
      </c>
      <c r="D43" s="279">
        <v>134.69999999999999</v>
      </c>
      <c r="E43" s="56">
        <v>6.7023000000000001</v>
      </c>
      <c r="F43" s="57">
        <f t="shared" si="0"/>
        <v>6.7023000000000001</v>
      </c>
      <c r="G43" s="247">
        <f t="shared" ref="G43" si="3">ROUND(D43*E43,2)</f>
        <v>902.8</v>
      </c>
      <c r="H43" s="280"/>
      <c r="I43" s="281"/>
      <c r="J43" s="281"/>
      <c r="K43" s="282"/>
      <c r="L43" s="204"/>
      <c r="M43" s="250"/>
      <c r="N43" s="283"/>
      <c r="O43" s="252"/>
      <c r="P43" s="284"/>
      <c r="Q43" s="252"/>
      <c r="R43" s="242"/>
      <c r="S43" s="266"/>
      <c r="T43" s="266"/>
    </row>
    <row r="44" spans="1:21">
      <c r="A44" s="892">
        <v>215</v>
      </c>
      <c r="B44" s="183" t="s">
        <v>189</v>
      </c>
      <c r="C44" s="71" t="s">
        <v>243</v>
      </c>
      <c r="D44" s="213">
        <v>0</v>
      </c>
      <c r="E44" s="21">
        <v>40.556600000000003</v>
      </c>
      <c r="F44" s="21">
        <v>47.5304</v>
      </c>
      <c r="G44" s="214">
        <f>ROUND(D44*(E44+F44),2)</f>
        <v>0</v>
      </c>
      <c r="H44" s="213"/>
      <c r="I44" s="194"/>
      <c r="J44" s="215"/>
      <c r="K44" s="679"/>
      <c r="L44" s="216">
        <f>SUM(G44:G51)+SUM(J44:J51)</f>
        <v>2421.8000000000002</v>
      </c>
      <c r="M44" s="187">
        <v>2421.8000000000002</v>
      </c>
      <c r="N44" s="188"/>
      <c r="O44" s="217"/>
      <c r="P44" s="218"/>
      <c r="Q44" s="219"/>
      <c r="R44" s="220"/>
      <c r="S44" s="221"/>
      <c r="T44" s="222"/>
      <c r="U44" s="33"/>
    </row>
    <row r="45" spans="1:21">
      <c r="A45" s="890"/>
      <c r="B45" s="872"/>
      <c r="C45" s="84" t="s">
        <v>26</v>
      </c>
      <c r="D45" s="37">
        <f>июль18!D44</f>
        <v>0</v>
      </c>
      <c r="E45" s="38">
        <f>40.5566-36.2142</f>
        <v>4.3424000000000049</v>
      </c>
      <c r="F45" s="38">
        <f>47.5304-42.4328</f>
        <v>5.0975999999999999</v>
      </c>
      <c r="G45" s="39">
        <f>ROUND(D45*(E45+F45),2)</f>
        <v>0</v>
      </c>
      <c r="H45" s="225"/>
      <c r="I45" s="194"/>
      <c r="J45" s="194"/>
      <c r="K45" s="226"/>
      <c r="L45" s="196"/>
      <c r="M45" s="227"/>
      <c r="N45" s="228"/>
      <c r="O45" s="229"/>
      <c r="P45" s="230"/>
      <c r="Q45" s="231"/>
      <c r="R45" s="232"/>
      <c r="S45" s="233"/>
      <c r="T45" s="224"/>
      <c r="U45" s="33"/>
    </row>
    <row r="46" spans="1:21">
      <c r="A46" s="890"/>
      <c r="B46" s="873" t="s">
        <v>32</v>
      </c>
      <c r="C46" s="99" t="s">
        <v>33</v>
      </c>
      <c r="D46" s="234">
        <v>0</v>
      </c>
      <c r="E46" s="101">
        <v>148.66999999999999</v>
      </c>
      <c r="F46" s="38">
        <f>F44</f>
        <v>47.5304</v>
      </c>
      <c r="G46" s="235">
        <f>ROUND(D46*(E46+F46),2)</f>
        <v>0</v>
      </c>
      <c r="H46" s="234"/>
      <c r="I46" s="194"/>
      <c r="J46" s="194"/>
      <c r="K46" s="195"/>
      <c r="L46" s="196"/>
      <c r="M46" s="227"/>
      <c r="N46" s="236"/>
      <c r="O46" s="237"/>
      <c r="P46" s="230"/>
      <c r="Q46" s="238"/>
      <c r="R46" s="232"/>
      <c r="S46" s="233"/>
      <c r="T46" s="224"/>
    </row>
    <row r="47" spans="1:21">
      <c r="A47" s="890"/>
      <c r="B47" s="872" t="s">
        <v>33</v>
      </c>
      <c r="C47" s="239" t="s">
        <v>26</v>
      </c>
      <c r="D47" s="234">
        <f>июль18!D46</f>
        <v>0</v>
      </c>
      <c r="E47" s="240">
        <f>148.67-167.13</f>
        <v>-18.460000000000008</v>
      </c>
      <c r="F47" s="240">
        <f>F45</f>
        <v>5.0975999999999999</v>
      </c>
      <c r="G47" s="235">
        <f>+ROUND(D47*E47,2)</f>
        <v>0</v>
      </c>
      <c r="H47" s="241"/>
      <c r="I47" s="194"/>
      <c r="J47" s="194"/>
      <c r="K47" s="195"/>
      <c r="L47" s="196"/>
      <c r="M47" s="227"/>
      <c r="N47" s="236"/>
      <c r="O47" s="237"/>
      <c r="P47" s="230"/>
      <c r="Q47" s="238"/>
      <c r="R47" s="242"/>
      <c r="S47" s="233"/>
      <c r="T47" s="224"/>
    </row>
    <row r="48" spans="1:21">
      <c r="A48" s="890"/>
      <c r="B48" s="872"/>
      <c r="C48" s="239" t="s">
        <v>26</v>
      </c>
      <c r="D48" s="234"/>
      <c r="E48" s="240"/>
      <c r="F48" s="41"/>
      <c r="G48" s="235">
        <f>+ROUND(D48*F48,2)</f>
        <v>0</v>
      </c>
      <c r="H48" s="241"/>
      <c r="I48" s="194"/>
      <c r="J48" s="194"/>
      <c r="K48" s="195"/>
      <c r="L48" s="196"/>
      <c r="M48" s="227"/>
      <c r="N48" s="236"/>
      <c r="O48" s="237"/>
      <c r="P48" s="230"/>
      <c r="Q48" s="238"/>
      <c r="R48" s="242"/>
      <c r="S48" s="233"/>
      <c r="T48" s="224"/>
    </row>
    <row r="49" spans="1:21">
      <c r="A49" s="890"/>
      <c r="B49" s="872"/>
      <c r="C49" s="48" t="s">
        <v>260</v>
      </c>
      <c r="D49" s="49">
        <f>июль18!D50+июль18!D51</f>
        <v>355</v>
      </c>
      <c r="E49" s="41">
        <f>6.7023-6.509</f>
        <v>0.19329999999999981</v>
      </c>
      <c r="F49" s="41">
        <f t="shared" ref="F49:F54" si="4">+E49</f>
        <v>0.19329999999999981</v>
      </c>
      <c r="G49" s="50">
        <f>ROUND(D49*E49,2)</f>
        <v>68.62</v>
      </c>
      <c r="H49" s="241"/>
      <c r="I49" s="194"/>
      <c r="J49" s="194"/>
      <c r="K49" s="195"/>
      <c r="L49" s="196"/>
      <c r="M49" s="227"/>
      <c r="N49" s="236"/>
      <c r="O49" s="237"/>
      <c r="P49" s="230"/>
      <c r="Q49" s="238"/>
      <c r="R49" s="242"/>
      <c r="S49" s="233"/>
      <c r="T49" s="224"/>
    </row>
    <row r="50" spans="1:21">
      <c r="A50" s="890"/>
      <c r="B50" s="872"/>
      <c r="C50" s="48" t="s">
        <v>263</v>
      </c>
      <c r="D50" s="49">
        <v>3.7</v>
      </c>
      <c r="E50" s="41">
        <v>6.7023000000000001</v>
      </c>
      <c r="F50" s="41">
        <f t="shared" si="4"/>
        <v>6.7023000000000001</v>
      </c>
      <c r="G50" s="50">
        <f>ROUND(D50*E50,2)</f>
        <v>24.8</v>
      </c>
      <c r="H50" s="241"/>
      <c r="I50" s="194"/>
      <c r="J50" s="243"/>
      <c r="K50" s="195"/>
      <c r="L50" s="196"/>
      <c r="M50" s="227"/>
      <c r="N50" s="236"/>
      <c r="O50" s="237"/>
      <c r="P50" s="230"/>
      <c r="Q50" s="238"/>
      <c r="R50" s="242"/>
      <c r="S50" s="233"/>
      <c r="T50" s="224"/>
      <c r="U50" s="33"/>
    </row>
    <row r="51" spans="1:21" ht="15.75" thickBot="1">
      <c r="A51" s="897"/>
      <c r="B51" s="875"/>
      <c r="C51" s="99" t="s">
        <v>29</v>
      </c>
      <c r="D51" s="246">
        <v>347.4</v>
      </c>
      <c r="E51" s="56">
        <v>6.7023000000000001</v>
      </c>
      <c r="F51" s="57">
        <f t="shared" si="4"/>
        <v>6.7023000000000001</v>
      </c>
      <c r="G51" s="247">
        <f>ROUND(D51*E51*70%+D51*F51*30%,2)</f>
        <v>2328.38</v>
      </c>
      <c r="H51" s="248"/>
      <c r="I51" s="203"/>
      <c r="J51" s="60"/>
      <c r="K51" s="61"/>
      <c r="L51" s="249"/>
      <c r="M51" s="250"/>
      <c r="N51" s="251"/>
      <c r="O51" s="252"/>
      <c r="P51" s="253"/>
      <c r="Q51" s="254"/>
      <c r="R51" s="255"/>
      <c r="S51" s="256"/>
      <c r="T51" s="256"/>
    </row>
    <row r="52" spans="1:21" ht="15.75" thickTop="1">
      <c r="A52" s="892">
        <v>217</v>
      </c>
      <c r="B52" s="183" t="s">
        <v>269</v>
      </c>
      <c r="C52" s="439" t="s">
        <v>260</v>
      </c>
      <c r="D52" s="296"/>
      <c r="E52" s="41">
        <f>6.7023-6.509</f>
        <v>0.19329999999999981</v>
      </c>
      <c r="F52" s="41">
        <f t="shared" si="4"/>
        <v>0.19329999999999981</v>
      </c>
      <c r="G52" s="235">
        <f>ROUND(D52*E52,2)</f>
        <v>0</v>
      </c>
      <c r="H52" s="270"/>
      <c r="I52" s="41"/>
      <c r="J52" s="41"/>
      <c r="K52" s="271"/>
      <c r="L52" s="294">
        <f>SUM(G52:G54)</f>
        <v>24.13</v>
      </c>
      <c r="M52" s="227"/>
      <c r="N52" s="274"/>
      <c r="O52" s="237" t="s">
        <v>270</v>
      </c>
      <c r="P52" s="275"/>
      <c r="Q52" s="237"/>
      <c r="R52" s="242"/>
      <c r="S52" s="266"/>
      <c r="T52" s="266"/>
    </row>
    <row r="53" spans="1:21" ht="15.75">
      <c r="A53" s="896"/>
      <c r="B53" s="192"/>
      <c r="C53" s="48" t="s">
        <v>263</v>
      </c>
      <c r="D53" s="269"/>
      <c r="E53" s="41">
        <v>6.7023000000000001</v>
      </c>
      <c r="F53" s="41">
        <f t="shared" si="4"/>
        <v>6.7023000000000001</v>
      </c>
      <c r="G53" s="235">
        <f>ROUND(D53*E53,2)</f>
        <v>0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6.5" thickBot="1">
      <c r="A54" s="891"/>
      <c r="B54" s="887"/>
      <c r="C54" s="54" t="s">
        <v>29</v>
      </c>
      <c r="D54" s="279">
        <v>3.6</v>
      </c>
      <c r="E54" s="56">
        <v>6.7023000000000001</v>
      </c>
      <c r="F54" s="57">
        <f t="shared" si="4"/>
        <v>6.7023000000000001</v>
      </c>
      <c r="G54" s="247">
        <f t="shared" ref="G54" si="5">ROUND(D54*E54,2)</f>
        <v>24.13</v>
      </c>
      <c r="H54" s="280"/>
      <c r="I54" s="281"/>
      <c r="J54" s="281"/>
      <c r="K54" s="282"/>
      <c r="L54" s="204"/>
      <c r="M54" s="250"/>
      <c r="N54" s="283"/>
      <c r="O54" s="252"/>
      <c r="P54" s="284"/>
      <c r="Q54" s="252"/>
      <c r="R54" s="242"/>
      <c r="S54" s="266"/>
      <c r="T54" s="266"/>
    </row>
    <row r="55" spans="1:21" ht="15.75" collapsed="1" thickBot="1">
      <c r="A55" s="891">
        <v>309</v>
      </c>
      <c r="B55" s="887" t="s">
        <v>251</v>
      </c>
      <c r="C55" s="54" t="s">
        <v>260</v>
      </c>
      <c r="D55" s="296">
        <f>июль18!D53+июль18!D54</f>
        <v>399.73</v>
      </c>
      <c r="E55" s="41">
        <f>6.7023-6.509</f>
        <v>0.19329999999999981</v>
      </c>
      <c r="F55" s="41">
        <f>+E55</f>
        <v>0.19329999999999981</v>
      </c>
      <c r="G55" s="235">
        <f>ROUND(D55*E55,2)</f>
        <v>77.27</v>
      </c>
      <c r="H55" s="270"/>
      <c r="I55" s="41"/>
      <c r="J55" s="41"/>
      <c r="K55" s="271"/>
      <c r="L55" s="294">
        <f>SUM(G55:G57)</f>
        <v>2517.2400000000002</v>
      </c>
      <c r="M55" s="227">
        <v>2517.2399999999998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885"/>
      <c r="C56" s="48" t="s">
        <v>263</v>
      </c>
      <c r="D56" s="269">
        <v>3.85</v>
      </c>
      <c r="E56" s="41">
        <v>6.7023000000000001</v>
      </c>
      <c r="F56" s="41">
        <f>+E56</f>
        <v>6.7023000000000001</v>
      </c>
      <c r="G56" s="235">
        <f t="shared" ref="G56:G57" si="6">ROUND(D56*E56,2)</f>
        <v>25.8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887"/>
      <c r="C57" s="54" t="s">
        <v>29</v>
      </c>
      <c r="D57" s="279">
        <v>360.2</v>
      </c>
      <c r="E57" s="56">
        <v>6.7023000000000001</v>
      </c>
      <c r="F57" s="57">
        <f>+E57</f>
        <v>6.7023000000000001</v>
      </c>
      <c r="G57" s="247">
        <f t="shared" si="6"/>
        <v>2414.17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88">
        <v>314</v>
      </c>
      <c r="B58" s="889" t="s">
        <v>52</v>
      </c>
      <c r="C58" s="71">
        <v>0</v>
      </c>
      <c r="D58" s="213">
        <v>191.28</v>
      </c>
      <c r="E58" s="21">
        <v>40.556600000000003</v>
      </c>
      <c r="F58" s="21">
        <v>47.5304</v>
      </c>
      <c r="G58" s="214">
        <f>ROUND(D58*(E58+F58),2)</f>
        <v>16849.28</v>
      </c>
      <c r="H58" s="213"/>
      <c r="J58" s="215"/>
      <c r="K58" s="679"/>
      <c r="L58" s="216">
        <f>SUM(G58:G65)+SUM(J58:J65)</f>
        <v>78598.81</v>
      </c>
      <c r="M58" s="187">
        <v>78598.81</v>
      </c>
      <c r="N58" s="188"/>
      <c r="O58" s="217">
        <v>4253.6899999999996</v>
      </c>
      <c r="P58" s="218" t="s">
        <v>47</v>
      </c>
      <c r="Q58" s="219">
        <f t="shared" ref="Q58" si="7">C58+G58+J58-M58-N58-O58</f>
        <v>-66003.22</v>
      </c>
      <c r="R58" s="220" t="s">
        <v>53</v>
      </c>
      <c r="S58" s="221"/>
      <c r="T58" s="222"/>
      <c r="U58" s="33">
        <f>+C58+L58-M58</f>
        <v>0</v>
      </c>
    </row>
    <row r="59" spans="1:21" ht="15.75" thickBot="1">
      <c r="A59" s="890"/>
      <c r="B59" s="872"/>
      <c r="C59" s="84" t="s">
        <v>26</v>
      </c>
      <c r="D59" s="37">
        <f>июль18!D55</f>
        <v>197.6</v>
      </c>
      <c r="E59" s="38">
        <f>40.5566-36.2142</f>
        <v>4.3424000000000049</v>
      </c>
      <c r="F59" s="38">
        <f>47.5304-42.4328</f>
        <v>5.0975999999999999</v>
      </c>
      <c r="G59" s="39">
        <f>ROUND(D59*(E59+F59),2)</f>
        <v>1865.34</v>
      </c>
      <c r="H59" s="225"/>
      <c r="I59" s="194"/>
      <c r="J59" s="194"/>
      <c r="K59" s="226"/>
      <c r="L59" s="196"/>
      <c r="M59" s="227"/>
      <c r="N59" s="228"/>
      <c r="O59" s="229"/>
      <c r="P59" s="230"/>
      <c r="Q59" s="231"/>
      <c r="R59" s="232"/>
      <c r="S59" s="233"/>
      <c r="T59" s="224"/>
      <c r="U59" s="33"/>
    </row>
    <row r="60" spans="1:21">
      <c r="A60" s="890"/>
      <c r="B60" s="873" t="s">
        <v>32</v>
      </c>
      <c r="C60" s="99" t="s">
        <v>33</v>
      </c>
      <c r="D60" s="234">
        <v>0</v>
      </c>
      <c r="E60" s="101">
        <v>148.66999999999999</v>
      </c>
      <c r="F60" s="21">
        <v>47.5304</v>
      </c>
      <c r="G60" s="235">
        <f>ROUND(D60*(E60+F60),2)</f>
        <v>0</v>
      </c>
      <c r="H60" s="234"/>
      <c r="I60" s="194"/>
      <c r="J60" s="194"/>
      <c r="K60" s="195"/>
      <c r="L60" s="196"/>
      <c r="M60" s="227"/>
      <c r="N60" s="236"/>
      <c r="O60" s="237">
        <v>5456.6</v>
      </c>
      <c r="P60" s="230" t="s">
        <v>47</v>
      </c>
      <c r="Q60" s="238">
        <f>+G60+J60-M60-N60-O60</f>
        <v>-5456.6</v>
      </c>
      <c r="R60" s="232"/>
      <c r="S60" s="233"/>
      <c r="T60" s="224"/>
    </row>
    <row r="61" spans="1:21">
      <c r="A61" s="890"/>
      <c r="B61" s="872" t="s">
        <v>33</v>
      </c>
      <c r="C61" s="239" t="s">
        <v>26</v>
      </c>
      <c r="D61" s="234">
        <f>июль18!D57</f>
        <v>0</v>
      </c>
      <c r="E61" s="240">
        <f>148.67-167.13</f>
        <v>-18.460000000000008</v>
      </c>
      <c r="F61" s="240">
        <f>47.5304-42.4328</f>
        <v>5.0975999999999999</v>
      </c>
      <c r="G61" s="235">
        <f>+ROUND(D61*E61,2)</f>
        <v>0</v>
      </c>
      <c r="H61" s="241"/>
      <c r="I61" s="194"/>
      <c r="J61" s="194"/>
      <c r="K61" s="195"/>
      <c r="L61" s="196"/>
      <c r="M61" s="227"/>
      <c r="N61" s="236"/>
      <c r="O61" s="237"/>
      <c r="P61" s="230"/>
      <c r="Q61" s="238"/>
      <c r="R61" s="242"/>
      <c r="S61" s="233"/>
      <c r="T61" s="224"/>
    </row>
    <row r="62" spans="1:21">
      <c r="A62" s="890"/>
      <c r="B62" s="872"/>
      <c r="C62" s="239" t="s">
        <v>26</v>
      </c>
      <c r="D62" s="234"/>
      <c r="E62" s="240"/>
      <c r="F62" s="41"/>
      <c r="G62" s="235">
        <f>+ROUND(D62*F62,2)</f>
        <v>0</v>
      </c>
      <c r="H62" s="241"/>
      <c r="I62" s="194"/>
      <c r="J62" s="194"/>
      <c r="K62" s="195"/>
      <c r="L62" s="196"/>
      <c r="M62" s="227"/>
      <c r="N62" s="236"/>
      <c r="O62" s="237"/>
      <c r="P62" s="230"/>
      <c r="Q62" s="238"/>
      <c r="R62" s="242"/>
      <c r="S62" s="233"/>
      <c r="T62" s="224"/>
    </row>
    <row r="63" spans="1:21">
      <c r="A63" s="890"/>
      <c r="B63" s="872"/>
      <c r="C63" s="48" t="s">
        <v>260</v>
      </c>
      <c r="D63" s="49">
        <f>июль18!D61+июль18!D62</f>
        <v>9201.1999999999989</v>
      </c>
      <c r="E63" s="41">
        <f>6.7023-6.509</f>
        <v>0.19329999999999981</v>
      </c>
      <c r="F63" s="41">
        <f t="shared" ref="F63:F100" si="8">+E63</f>
        <v>0.19329999999999981</v>
      </c>
      <c r="G63" s="50">
        <f>ROUND(D63*E63,2)+0.01</f>
        <v>1778.6</v>
      </c>
      <c r="H63" s="241"/>
      <c r="I63" s="194"/>
      <c r="J63" s="194"/>
      <c r="K63" s="195"/>
      <c r="L63" s="196"/>
      <c r="M63" s="227"/>
      <c r="N63" s="236"/>
      <c r="O63" s="237"/>
      <c r="P63" s="230"/>
      <c r="Q63" s="238"/>
      <c r="R63" s="242"/>
      <c r="S63" s="233"/>
      <c r="T63" s="224"/>
    </row>
    <row r="64" spans="1:21">
      <c r="A64" s="890"/>
      <c r="B64" s="872"/>
      <c r="C64" s="48" t="s">
        <v>263</v>
      </c>
      <c r="D64" s="49">
        <v>91.8</v>
      </c>
      <c r="E64" s="41">
        <v>6.7023000000000001</v>
      </c>
      <c r="F64" s="41">
        <f t="shared" si="8"/>
        <v>6.7023000000000001</v>
      </c>
      <c r="G64" s="50">
        <f>ROUND(D64*E64,2)</f>
        <v>615.27</v>
      </c>
      <c r="H64" s="241"/>
      <c r="I64" s="194"/>
      <c r="J64" s="243"/>
      <c r="K64" s="195"/>
      <c r="L64" s="196"/>
      <c r="M64" s="227"/>
      <c r="N64" s="236"/>
      <c r="O64" s="237"/>
      <c r="P64" s="230"/>
      <c r="Q64" s="238"/>
      <c r="R64" s="242"/>
      <c r="S64" s="233"/>
      <c r="T64" s="224"/>
      <c r="U64" s="33"/>
    </row>
    <row r="65" spans="1:20" ht="15.75" thickBot="1">
      <c r="A65" s="891"/>
      <c r="B65" s="887"/>
      <c r="C65" s="54" t="s">
        <v>29</v>
      </c>
      <c r="D65" s="246">
        <v>8577.7000000000007</v>
      </c>
      <c r="E65" s="56">
        <v>6.7023000000000001</v>
      </c>
      <c r="F65" s="57">
        <f t="shared" si="8"/>
        <v>6.7023000000000001</v>
      </c>
      <c r="G65" s="247">
        <f>ROUND(D65*E65*70%+D65*F65*30%,2)</f>
        <v>57490.32</v>
      </c>
      <c r="H65" s="248"/>
      <c r="I65" s="203"/>
      <c r="J65" s="60"/>
      <c r="K65" s="61"/>
      <c r="L65" s="249"/>
      <c r="M65" s="250"/>
      <c r="N65" s="251"/>
      <c r="O65" s="252">
        <v>15777.9</v>
      </c>
      <c r="P65" s="253" t="s">
        <v>47</v>
      </c>
      <c r="Q65" s="254">
        <f>+G65+J65-M65-N65-O65</f>
        <v>41712.42</v>
      </c>
      <c r="R65" s="255" t="s">
        <v>54</v>
      </c>
      <c r="S65" s="256">
        <f>SUM(O58:O65)</f>
        <v>25488.190000000002</v>
      </c>
      <c r="T65" s="256">
        <f>SUM(Q58:Q65)</f>
        <v>-29747.400000000009</v>
      </c>
    </row>
    <row r="66" spans="1:20">
      <c r="A66" s="892">
        <v>402</v>
      </c>
      <c r="B66" s="183" t="s">
        <v>178</v>
      </c>
      <c r="C66" s="439" t="s">
        <v>260</v>
      </c>
      <c r="D66" s="296">
        <f>июль18!D64+июль18!D65</f>
        <v>170.6</v>
      </c>
      <c r="E66" s="41">
        <f>6.7023-6.509</f>
        <v>0.19329999999999981</v>
      </c>
      <c r="F66" s="41">
        <f t="shared" si="8"/>
        <v>0.19329999999999981</v>
      </c>
      <c r="G66" s="235">
        <f t="shared" ref="G66:G77" si="9">ROUND(D66*E66,2)</f>
        <v>32.979999999999997</v>
      </c>
      <c r="H66" s="270"/>
      <c r="I66" s="41"/>
      <c r="J66" s="41"/>
      <c r="K66" s="271"/>
      <c r="L66" s="294">
        <f>SUM(G66:G68)</f>
        <v>1124.25</v>
      </c>
      <c r="M66" s="227">
        <v>1124.25</v>
      </c>
      <c r="N66" s="274"/>
      <c r="O66" s="237"/>
      <c r="P66" s="275"/>
      <c r="Q66" s="237"/>
      <c r="R66" s="242"/>
      <c r="S66" s="266"/>
      <c r="T66" s="266"/>
    </row>
    <row r="67" spans="1:20" ht="15.75">
      <c r="A67" s="896"/>
      <c r="B67" s="192"/>
      <c r="C67" s="48" t="s">
        <v>263</v>
      </c>
      <c r="D67" s="269">
        <v>1.72</v>
      </c>
      <c r="E67" s="41">
        <v>6.7023000000000001</v>
      </c>
      <c r="F67" s="41">
        <f t="shared" si="8"/>
        <v>6.7023000000000001</v>
      </c>
      <c r="G67" s="235">
        <f t="shared" si="9"/>
        <v>11.53</v>
      </c>
      <c r="H67" s="270"/>
      <c r="I67" s="41"/>
      <c r="J67" s="41"/>
      <c r="K67" s="271"/>
      <c r="L67" s="272"/>
      <c r="M67" s="273"/>
      <c r="N67" s="274"/>
      <c r="O67" s="237"/>
      <c r="P67" s="275"/>
      <c r="Q67" s="237"/>
      <c r="R67" s="242"/>
      <c r="S67" s="266"/>
      <c r="T67" s="266"/>
    </row>
    <row r="68" spans="1:20" ht="16.5" thickBot="1">
      <c r="A68" s="891"/>
      <c r="B68" s="202"/>
      <c r="C68" s="54" t="s">
        <v>29</v>
      </c>
      <c r="D68" s="279">
        <v>161.1</v>
      </c>
      <c r="E68" s="56">
        <v>6.7023000000000001</v>
      </c>
      <c r="F68" s="57">
        <f t="shared" si="8"/>
        <v>6.7023000000000001</v>
      </c>
      <c r="G68" s="247">
        <f t="shared" si="9"/>
        <v>1079.74</v>
      </c>
      <c r="H68" s="280"/>
      <c r="I68" s="281"/>
      <c r="J68" s="281"/>
      <c r="K68" s="282"/>
      <c r="L68" s="204"/>
      <c r="M68" s="250"/>
      <c r="N68" s="283"/>
      <c r="O68" s="252"/>
      <c r="P68" s="284"/>
      <c r="Q68" s="252"/>
      <c r="R68" s="242"/>
      <c r="S68" s="266"/>
      <c r="T68" s="266"/>
    </row>
    <row r="69" spans="1:20">
      <c r="A69" s="892">
        <v>409</v>
      </c>
      <c r="B69" s="183" t="s">
        <v>218</v>
      </c>
      <c r="C69" s="439" t="s">
        <v>260</v>
      </c>
      <c r="D69" s="296">
        <f>июль18!D67+июль18!D68</f>
        <v>125.92999999999999</v>
      </c>
      <c r="E69" s="41">
        <f>6.7023-6.509</f>
        <v>0.19329999999999981</v>
      </c>
      <c r="F69" s="41">
        <f t="shared" si="8"/>
        <v>0.19329999999999981</v>
      </c>
      <c r="G69" s="235">
        <f>ROUND(D69*E69,2)</f>
        <v>24.34</v>
      </c>
      <c r="H69" s="270"/>
      <c r="I69" s="41"/>
      <c r="J69" s="41"/>
      <c r="K69" s="271"/>
      <c r="L69" s="294">
        <f>SUM(G69:G71)</f>
        <v>933.44</v>
      </c>
      <c r="M69" s="227">
        <v>933.44</v>
      </c>
      <c r="N69" s="274"/>
      <c r="O69" s="237"/>
      <c r="P69" s="275"/>
      <c r="Q69" s="237"/>
      <c r="R69" s="242"/>
      <c r="S69" s="266"/>
      <c r="T69" s="266"/>
    </row>
    <row r="70" spans="1:20" ht="15.75">
      <c r="A70" s="896"/>
      <c r="B70" s="192"/>
      <c r="C70" s="48" t="s">
        <v>263</v>
      </c>
      <c r="D70" s="269">
        <v>1.44</v>
      </c>
      <c r="E70" s="41">
        <v>6.7023000000000001</v>
      </c>
      <c r="F70" s="41">
        <f t="shared" si="8"/>
        <v>6.7023000000000001</v>
      </c>
      <c r="G70" s="235">
        <f t="shared" si="9"/>
        <v>9.65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0" ht="16.5" thickBot="1">
      <c r="A71" s="891"/>
      <c r="B71" s="887"/>
      <c r="C71" s="54" t="s">
        <v>29</v>
      </c>
      <c r="D71" s="279">
        <v>134.19999999999999</v>
      </c>
      <c r="E71" s="56">
        <v>6.7023000000000001</v>
      </c>
      <c r="F71" s="57">
        <f t="shared" si="8"/>
        <v>6.7023000000000001</v>
      </c>
      <c r="G71" s="247">
        <f t="shared" si="9"/>
        <v>899.45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0">
      <c r="A72" s="892">
        <v>410</v>
      </c>
      <c r="B72" s="183" t="s">
        <v>138</v>
      </c>
      <c r="C72" s="439" t="s">
        <v>260</v>
      </c>
      <c r="D72" s="296">
        <f>июль18!D70+июль18!D71</f>
        <v>287.54000000000002</v>
      </c>
      <c r="E72" s="41">
        <f>6.7023-6.509</f>
        <v>0.19329999999999981</v>
      </c>
      <c r="F72" s="41">
        <f t="shared" si="8"/>
        <v>0.19329999999999981</v>
      </c>
      <c r="G72" s="235">
        <f>ROUND(D72*E72,2)</f>
        <v>55.58</v>
      </c>
      <c r="H72" s="270"/>
      <c r="I72" s="41"/>
      <c r="J72" s="41"/>
      <c r="K72" s="271"/>
      <c r="L72" s="294">
        <f>SUM(G72:G74)</f>
        <v>1745.03</v>
      </c>
      <c r="M72" s="227">
        <v>1745.03</v>
      </c>
      <c r="N72" s="274"/>
      <c r="O72" s="237"/>
      <c r="P72" s="275"/>
      <c r="Q72" s="237"/>
      <c r="R72" s="242"/>
      <c r="S72" s="266"/>
      <c r="T72" s="266"/>
    </row>
    <row r="73" spans="1:20" ht="15.75">
      <c r="A73" s="896"/>
      <c r="B73" s="192"/>
      <c r="C73" s="48" t="s">
        <v>263</v>
      </c>
      <c r="D73" s="269">
        <v>2.67</v>
      </c>
      <c r="E73" s="41">
        <v>6.7023000000000001</v>
      </c>
      <c r="F73" s="41">
        <f t="shared" si="8"/>
        <v>6.7023000000000001</v>
      </c>
      <c r="G73" s="235">
        <f t="shared" si="9"/>
        <v>17.899999999999999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0" ht="16.5" thickBot="1">
      <c r="A74" s="891"/>
      <c r="B74" s="887"/>
      <c r="C74" s="54" t="s">
        <v>29</v>
      </c>
      <c r="D74" s="279">
        <v>249.4</v>
      </c>
      <c r="E74" s="56">
        <v>6.7023000000000001</v>
      </c>
      <c r="F74" s="57">
        <f t="shared" si="8"/>
        <v>6.7023000000000001</v>
      </c>
      <c r="G74" s="247">
        <f t="shared" si="9"/>
        <v>1671.55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0">
      <c r="A75" s="892">
        <v>411</v>
      </c>
      <c r="B75" s="183" t="s">
        <v>229</v>
      </c>
      <c r="C75" s="439" t="s">
        <v>260</v>
      </c>
      <c r="D75" s="296">
        <f>июль18!D73+июль18!D74</f>
        <v>8.09</v>
      </c>
      <c r="E75" s="41">
        <f>6.7023-6.509</f>
        <v>0.19329999999999981</v>
      </c>
      <c r="F75" s="41">
        <f t="shared" si="8"/>
        <v>0.19329999999999981</v>
      </c>
      <c r="G75" s="235">
        <f t="shared" si="9"/>
        <v>1.56</v>
      </c>
      <c r="H75" s="270"/>
      <c r="I75" s="41"/>
      <c r="J75" s="41"/>
      <c r="K75" s="271"/>
      <c r="L75" s="294">
        <f>SUM(G75:G77)</f>
        <v>35.409999999999997</v>
      </c>
      <c r="M75" s="227"/>
      <c r="N75" s="274"/>
      <c r="O75" s="983" t="s">
        <v>271</v>
      </c>
      <c r="P75" s="275"/>
      <c r="Q75" s="237"/>
      <c r="R75" s="242"/>
      <c r="S75" s="266"/>
      <c r="T75" s="266"/>
    </row>
    <row r="76" spans="1:20" ht="15.75">
      <c r="A76" s="896"/>
      <c r="B76" s="192"/>
      <c r="C76" s="48" t="s">
        <v>263</v>
      </c>
      <c r="D76" s="269">
        <v>0.05</v>
      </c>
      <c r="E76" s="41">
        <v>6.7023000000000001</v>
      </c>
      <c r="F76" s="41">
        <f t="shared" si="8"/>
        <v>6.7023000000000001</v>
      </c>
      <c r="G76" s="235">
        <f>ROUND(D76*E76,2)</f>
        <v>0.34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6.5" thickBot="1">
      <c r="A77" s="891"/>
      <c r="B77" s="887"/>
      <c r="C77" s="54" t="s">
        <v>29</v>
      </c>
      <c r="D77" s="279">
        <v>5</v>
      </c>
      <c r="E77" s="56">
        <v>6.7023000000000001</v>
      </c>
      <c r="F77" s="57">
        <f t="shared" si="8"/>
        <v>6.7023000000000001</v>
      </c>
      <c r="G77" s="247">
        <f t="shared" si="9"/>
        <v>33.51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0" ht="16.5" collapsed="1" thickBot="1">
      <c r="A78" s="891">
        <v>412</v>
      </c>
      <c r="B78" s="887" t="s">
        <v>58</v>
      </c>
      <c r="C78" s="54" t="s">
        <v>59</v>
      </c>
      <c r="D78" s="822">
        <v>0.42</v>
      </c>
      <c r="E78" s="21">
        <v>40.556600000000003</v>
      </c>
      <c r="F78" s="21">
        <v>47.5304</v>
      </c>
      <c r="G78" s="214">
        <f>ROUND(D78*(E78+F78),2)</f>
        <v>37</v>
      </c>
      <c r="H78" s="213"/>
      <c r="I78" s="41"/>
      <c r="J78" s="215"/>
      <c r="K78" s="679"/>
      <c r="L78" s="294">
        <f>SUM(G78:G82)</f>
        <v>1413.7</v>
      </c>
      <c r="M78" s="227">
        <v>1413.7</v>
      </c>
      <c r="N78" s="264"/>
      <c r="O78" s="229"/>
      <c r="P78" s="265"/>
      <c r="Q78" s="229"/>
      <c r="R78" s="242"/>
      <c r="S78" s="266"/>
      <c r="T78" s="266"/>
    </row>
    <row r="79" spans="1:20" ht="15.75">
      <c r="A79" s="896"/>
      <c r="B79" s="885"/>
      <c r="C79" s="292" t="s">
        <v>264</v>
      </c>
      <c r="D79" s="269">
        <f>июль18!D75</f>
        <v>0.26</v>
      </c>
      <c r="E79" s="38">
        <f>40.5566-36.2142</f>
        <v>4.3424000000000049</v>
      </c>
      <c r="F79" s="38">
        <f>47.5304-42.4328</f>
        <v>5.0975999999999999</v>
      </c>
      <c r="G79" s="235">
        <f>ROUND(D79*(E79+F79),2)</f>
        <v>2.4500000000000002</v>
      </c>
      <c r="H79" s="225"/>
      <c r="I79" s="41"/>
      <c r="J79" s="194"/>
      <c r="K79" s="295"/>
      <c r="L79" s="294"/>
      <c r="M79" s="227"/>
      <c r="N79" s="264"/>
      <c r="O79" s="229"/>
      <c r="P79" s="265"/>
      <c r="Q79" s="229"/>
      <c r="R79" s="242"/>
      <c r="S79" s="266"/>
      <c r="T79" s="266"/>
    </row>
    <row r="80" spans="1:20">
      <c r="A80" s="896"/>
      <c r="B80" s="885"/>
      <c r="C80" s="48" t="s">
        <v>260</v>
      </c>
      <c r="D80" s="296">
        <f>июль18!D78+июль18!D79</f>
        <v>174.8</v>
      </c>
      <c r="E80" s="41">
        <f>6.7023-6.509</f>
        <v>0.19329999999999981</v>
      </c>
      <c r="F80" s="41">
        <f t="shared" ref="F80:F97" si="10">+E80</f>
        <v>0.19329999999999981</v>
      </c>
      <c r="G80" s="235">
        <f>ROUND(D80*E80,2)</f>
        <v>33.79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0" ht="15.75">
      <c r="A81" s="896"/>
      <c r="B81" s="885"/>
      <c r="C81" s="48" t="s">
        <v>263</v>
      </c>
      <c r="D81" s="269">
        <v>2.1</v>
      </c>
      <c r="E81" s="41">
        <v>6.7023000000000001</v>
      </c>
      <c r="F81" s="41">
        <f t="shared" si="10"/>
        <v>6.7023000000000001</v>
      </c>
      <c r="G81" s="235">
        <f t="shared" ref="G81:G82" si="11">ROUND(D81*E81,2)</f>
        <v>14.07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0" ht="16.5" thickBot="1">
      <c r="A82" s="891"/>
      <c r="B82" s="887"/>
      <c r="C82" s="54" t="s">
        <v>29</v>
      </c>
      <c r="D82" s="279">
        <v>197.9</v>
      </c>
      <c r="E82" s="56">
        <v>6.7023000000000001</v>
      </c>
      <c r="F82" s="57">
        <f t="shared" si="10"/>
        <v>6.7023000000000001</v>
      </c>
      <c r="G82" s="247">
        <f t="shared" si="11"/>
        <v>1326.39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0" ht="15" customHeight="1">
      <c r="A83" s="892">
        <v>413</v>
      </c>
      <c r="B83" s="883" t="s">
        <v>56</v>
      </c>
      <c r="C83" s="439" t="s">
        <v>260</v>
      </c>
      <c r="D83" s="894">
        <f>июль18!D81+июль18!D82</f>
        <v>140.5</v>
      </c>
      <c r="E83" s="41">
        <f>6.7023-6.509</f>
        <v>0.19329999999999981</v>
      </c>
      <c r="F83" s="41">
        <f t="shared" si="10"/>
        <v>0.19329999999999981</v>
      </c>
      <c r="G83" s="214">
        <f>ROUND(D83*E83,2)</f>
        <v>27.16</v>
      </c>
      <c r="H83" s="260"/>
      <c r="I83" s="261"/>
      <c r="J83" s="261"/>
      <c r="K83" s="262"/>
      <c r="L83" s="286">
        <f>SUM(G83:G85)</f>
        <v>819.37</v>
      </c>
      <c r="M83" s="227">
        <v>819.37</v>
      </c>
      <c r="N83" s="264"/>
      <c r="O83" s="229"/>
      <c r="P83" s="265"/>
      <c r="Q83" s="229"/>
      <c r="R83" s="287"/>
      <c r="S83" s="288"/>
      <c r="T83" s="288"/>
    </row>
    <row r="84" spans="1:20" ht="15.75">
      <c r="A84" s="893"/>
      <c r="B84" s="885"/>
      <c r="C84" s="48" t="s">
        <v>263</v>
      </c>
      <c r="D84" s="895">
        <v>1.3</v>
      </c>
      <c r="E84" s="41">
        <v>6.7023000000000001</v>
      </c>
      <c r="F84" s="41">
        <f t="shared" si="10"/>
        <v>6.7023000000000001</v>
      </c>
      <c r="G84" s="235">
        <f t="shared" ref="G84:G88" si="12">ROUND(D84*E84,2)</f>
        <v>8.7100000000000009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87"/>
      <c r="S84" s="288"/>
      <c r="T84" s="288"/>
    </row>
    <row r="85" spans="1:20" ht="16.5" thickBot="1">
      <c r="A85" s="891"/>
      <c r="B85" s="887"/>
      <c r="C85" s="54" t="s">
        <v>29</v>
      </c>
      <c r="D85" s="279">
        <v>116.9</v>
      </c>
      <c r="E85" s="56">
        <v>6.7023000000000001</v>
      </c>
      <c r="F85" s="57">
        <f t="shared" si="10"/>
        <v>6.7023000000000001</v>
      </c>
      <c r="G85" s="247">
        <f t="shared" si="12"/>
        <v>783.5</v>
      </c>
      <c r="H85" s="280"/>
      <c r="I85" s="281"/>
      <c r="J85" s="281"/>
      <c r="K85" s="682"/>
      <c r="L85" s="204"/>
      <c r="M85" s="250"/>
      <c r="N85" s="283"/>
      <c r="O85" s="252"/>
      <c r="P85" s="284"/>
      <c r="Q85" s="252"/>
      <c r="R85" s="287"/>
      <c r="S85" s="288"/>
      <c r="T85" s="288"/>
    </row>
    <row r="86" spans="1:20">
      <c r="A86" s="892">
        <v>414</v>
      </c>
      <c r="B86" s="183" t="s">
        <v>179</v>
      </c>
      <c r="C86" s="439" t="s">
        <v>260</v>
      </c>
      <c r="D86" s="296">
        <f>июль18!D84+июль18!D85</f>
        <v>2.12</v>
      </c>
      <c r="E86" s="41">
        <f>6.7023-6.509</f>
        <v>0.19329999999999981</v>
      </c>
      <c r="F86" s="41">
        <f t="shared" si="10"/>
        <v>0.19329999999999981</v>
      </c>
      <c r="G86" s="235">
        <f>ROUND(D86*E86,2)</f>
        <v>0.41</v>
      </c>
      <c r="H86" s="270"/>
      <c r="I86" s="41"/>
      <c r="J86" s="41"/>
      <c r="K86" s="271"/>
      <c r="L86" s="294">
        <f>SUM(G86:G88)</f>
        <v>74.94</v>
      </c>
      <c r="M86" s="227"/>
      <c r="N86" s="274"/>
      <c r="O86" s="237" t="s">
        <v>272</v>
      </c>
      <c r="P86" s="275"/>
      <c r="Q86" s="237"/>
      <c r="R86" s="242"/>
      <c r="S86" s="266"/>
      <c r="T86" s="266"/>
    </row>
    <row r="87" spans="1:20" ht="15.75">
      <c r="A87" s="896"/>
      <c r="B87" s="192"/>
      <c r="C87" s="48" t="s">
        <v>263</v>
      </c>
      <c r="D87" s="269">
        <v>0.12</v>
      </c>
      <c r="E87" s="41">
        <v>6.7023000000000001</v>
      </c>
      <c r="F87" s="41">
        <f t="shared" si="10"/>
        <v>6.7023000000000001</v>
      </c>
      <c r="G87" s="235">
        <f t="shared" si="12"/>
        <v>0.8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0" ht="16.5" thickBot="1">
      <c r="A88" s="891"/>
      <c r="B88" s="887"/>
      <c r="C88" s="99" t="s">
        <v>29</v>
      </c>
      <c r="D88" s="279">
        <v>11</v>
      </c>
      <c r="E88" s="56">
        <v>6.7023000000000001</v>
      </c>
      <c r="F88" s="57">
        <f t="shared" si="10"/>
        <v>6.7023000000000001</v>
      </c>
      <c r="G88" s="247">
        <f t="shared" si="12"/>
        <v>73.73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0" collapsed="1">
      <c r="A89" s="892">
        <v>415</v>
      </c>
      <c r="B89" s="183" t="s">
        <v>166</v>
      </c>
      <c r="C89" s="439" t="s">
        <v>260</v>
      </c>
      <c r="D89" s="296">
        <f>июль18!D87+июль18!D88</f>
        <v>191.43</v>
      </c>
      <c r="E89" s="41">
        <f>6.7023-6.509</f>
        <v>0.19329999999999981</v>
      </c>
      <c r="F89" s="41">
        <f t="shared" si="10"/>
        <v>0.19329999999999981</v>
      </c>
      <c r="G89" s="235">
        <f>ROUND(D89*E89,2)+0.01</f>
        <v>37.01</v>
      </c>
      <c r="H89" s="270"/>
      <c r="I89" s="41"/>
      <c r="J89" s="41"/>
      <c r="K89" s="271"/>
      <c r="L89" s="294">
        <f>SUM(G89:G91)</f>
        <v>1154.75</v>
      </c>
      <c r="M89" s="227">
        <v>1154.75</v>
      </c>
      <c r="N89" s="274"/>
      <c r="O89" s="237"/>
      <c r="P89" s="275"/>
      <c r="Q89" s="237"/>
      <c r="R89" s="242"/>
      <c r="S89" s="266"/>
      <c r="T89" s="266"/>
    </row>
    <row r="90" spans="1:20" ht="15.75">
      <c r="A90" s="896"/>
      <c r="B90" s="192"/>
      <c r="C90" s="48" t="s">
        <v>263</v>
      </c>
      <c r="D90" s="269">
        <v>1.77</v>
      </c>
      <c r="E90" s="41">
        <v>6.7023000000000001</v>
      </c>
      <c r="F90" s="41">
        <f t="shared" si="10"/>
        <v>6.7023000000000001</v>
      </c>
      <c r="G90" s="235">
        <f t="shared" ref="G90:G91" si="13">ROUND(D90*E90,2)</f>
        <v>11.86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0" ht="16.5" thickBot="1">
      <c r="A91" s="891"/>
      <c r="B91" s="887"/>
      <c r="C91" s="54" t="s">
        <v>29</v>
      </c>
      <c r="D91" s="279">
        <v>165</v>
      </c>
      <c r="E91" s="56">
        <v>6.7023000000000001</v>
      </c>
      <c r="F91" s="57">
        <f t="shared" si="10"/>
        <v>6.7023000000000001</v>
      </c>
      <c r="G91" s="247">
        <f t="shared" si="13"/>
        <v>1105.8800000000001</v>
      </c>
      <c r="H91" s="280"/>
      <c r="I91" s="281"/>
      <c r="J91" s="281"/>
      <c r="K91" s="2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0">
      <c r="A92" s="892">
        <v>416</v>
      </c>
      <c r="B92" s="183" t="s">
        <v>173</v>
      </c>
      <c r="C92" s="439" t="s">
        <v>260</v>
      </c>
      <c r="D92" s="296">
        <f>июль18!D90+июль18!D91</f>
        <v>456.13</v>
      </c>
      <c r="E92" s="41">
        <f>6.7023-6.509</f>
        <v>0.19329999999999981</v>
      </c>
      <c r="F92" s="41">
        <f t="shared" si="10"/>
        <v>0.19329999999999981</v>
      </c>
      <c r="G92" s="235">
        <f>ROUND(D92*E92,2)+0.01</f>
        <v>88.18</v>
      </c>
      <c r="H92" s="270"/>
      <c r="I92" s="41"/>
      <c r="J92" s="41"/>
      <c r="K92" s="271"/>
      <c r="L92" s="294">
        <f>SUM(G92:G94)</f>
        <v>2889.2000000000003</v>
      </c>
      <c r="M92" s="227">
        <v>2889.2</v>
      </c>
      <c r="N92" s="274"/>
      <c r="O92" s="237"/>
      <c r="P92" s="275"/>
      <c r="Q92" s="237"/>
      <c r="R92" s="242"/>
      <c r="S92" s="266"/>
      <c r="T92" s="266"/>
    </row>
    <row r="93" spans="1:20" ht="15.75">
      <c r="A93" s="896"/>
      <c r="B93" s="192"/>
      <c r="C93" s="48" t="s">
        <v>263</v>
      </c>
      <c r="D93" s="269">
        <v>4.42</v>
      </c>
      <c r="E93" s="41">
        <v>6.7023000000000001</v>
      </c>
      <c r="F93" s="41">
        <f t="shared" si="10"/>
        <v>6.7023000000000001</v>
      </c>
      <c r="G93" s="235">
        <f>ROUND(D93*E93,2)</f>
        <v>29.62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thickBot="1">
      <c r="A94" s="891"/>
      <c r="B94" s="887"/>
      <c r="C94" s="54" t="s">
        <v>29</v>
      </c>
      <c r="D94" s="279">
        <v>413.5</v>
      </c>
      <c r="E94" s="56">
        <v>6.7023000000000001</v>
      </c>
      <c r="F94" s="57">
        <f t="shared" si="10"/>
        <v>6.7023000000000001</v>
      </c>
      <c r="G94" s="247">
        <f>ROUND(D94*E94,2)</f>
        <v>2771.4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>
      <c r="A95" s="892">
        <v>417</v>
      </c>
      <c r="B95" s="183" t="s">
        <v>174</v>
      </c>
      <c r="C95" s="439" t="s">
        <v>260</v>
      </c>
      <c r="D95" s="296">
        <f>июль18!D93+июль18!D94</f>
        <v>226.4</v>
      </c>
      <c r="E95" s="41">
        <f>6.7023-6.509</f>
        <v>0.19329999999999981</v>
      </c>
      <c r="F95" s="41">
        <f t="shared" si="10"/>
        <v>0.19329999999999981</v>
      </c>
      <c r="G95" s="235">
        <f>ROUND(D95*E95,2)+0.01</f>
        <v>43.769999999999996</v>
      </c>
      <c r="H95" s="270"/>
      <c r="I95" s="41"/>
      <c r="J95" s="41"/>
      <c r="K95" s="271"/>
      <c r="L95" s="294">
        <f>SUM(G95:G97)</f>
        <v>1402.66</v>
      </c>
      <c r="M95" s="227">
        <v>1402.66</v>
      </c>
      <c r="N95" s="274"/>
      <c r="O95" s="237"/>
      <c r="P95" s="275"/>
      <c r="Q95" s="237"/>
      <c r="R95" s="242"/>
      <c r="S95" s="266"/>
      <c r="T95" s="266"/>
    </row>
    <row r="96" spans="1:20" ht="15.75">
      <c r="A96" s="896"/>
      <c r="B96" s="192"/>
      <c r="C96" s="48" t="s">
        <v>263</v>
      </c>
      <c r="D96" s="269">
        <v>2.15</v>
      </c>
      <c r="E96" s="41">
        <v>6.7023000000000001</v>
      </c>
      <c r="F96" s="41">
        <f t="shared" si="10"/>
        <v>6.7023000000000001</v>
      </c>
      <c r="G96" s="235">
        <f t="shared" ref="G96:G97" si="14">ROUND(D96*E96,2)</f>
        <v>14.41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1" ht="16.5" thickBot="1">
      <c r="A97" s="891"/>
      <c r="B97" s="202"/>
      <c r="C97" s="54" t="s">
        <v>29</v>
      </c>
      <c r="D97" s="279">
        <v>200.6</v>
      </c>
      <c r="E97" s="56">
        <v>6.7023000000000001</v>
      </c>
      <c r="F97" s="57">
        <f t="shared" si="10"/>
        <v>6.7023000000000001</v>
      </c>
      <c r="G97" s="247">
        <f t="shared" si="14"/>
        <v>1344.48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1" ht="15.75">
      <c r="A98" s="892">
        <v>500</v>
      </c>
      <c r="B98" s="883" t="s">
        <v>55</v>
      </c>
      <c r="C98" s="439" t="s">
        <v>260</v>
      </c>
      <c r="D98" s="259">
        <f>июль18!D96+июль18!D97</f>
        <v>2953.27</v>
      </c>
      <c r="E98" s="41">
        <f>6.7023-6.509</f>
        <v>0.19329999999999981</v>
      </c>
      <c r="F98" s="41">
        <f t="shared" si="8"/>
        <v>0.19329999999999981</v>
      </c>
      <c r="G98" s="214">
        <f>ROUND(D98*E98,2)</f>
        <v>570.87</v>
      </c>
      <c r="H98" s="260"/>
      <c r="I98" s="261"/>
      <c r="J98" s="261"/>
      <c r="K98" s="262"/>
      <c r="L98" s="263">
        <f>SUM(G98:G100)</f>
        <v>18386.52</v>
      </c>
      <c r="M98" s="187">
        <v>18386.52</v>
      </c>
      <c r="N98" s="264"/>
      <c r="O98" s="229"/>
      <c r="P98" s="265"/>
      <c r="Q98" s="229"/>
      <c r="R98" s="242"/>
      <c r="S98" s="266"/>
      <c r="T98" s="266"/>
    </row>
    <row r="99" spans="1:21" ht="15.75">
      <c r="A99" s="893" t="s">
        <v>197</v>
      </c>
      <c r="B99" s="885"/>
      <c r="C99" s="48" t="s">
        <v>263</v>
      </c>
      <c r="D99" s="269">
        <v>28.14</v>
      </c>
      <c r="E99" s="41">
        <v>6.7023000000000001</v>
      </c>
      <c r="F99" s="41">
        <f t="shared" si="8"/>
        <v>6.7023000000000001</v>
      </c>
      <c r="G99" s="235">
        <f>ROUND(D99*E99,2)</f>
        <v>188.6</v>
      </c>
      <c r="H99" s="270"/>
      <c r="I99" s="41"/>
      <c r="J99" s="41"/>
      <c r="K99" s="271"/>
      <c r="L99" s="272"/>
      <c r="M99" s="273"/>
      <c r="N99" s="274"/>
      <c r="O99" s="237"/>
      <c r="P99" s="275"/>
      <c r="Q99" s="237"/>
      <c r="R99" s="242"/>
      <c r="S99" s="266"/>
      <c r="T99" s="266"/>
    </row>
    <row r="100" spans="1:21" ht="16.5" thickBot="1">
      <c r="A100" s="891"/>
      <c r="B100" s="887"/>
      <c r="C100" s="54" t="s">
        <v>29</v>
      </c>
      <c r="D100" s="279">
        <v>2630</v>
      </c>
      <c r="E100" s="56">
        <v>6.7023000000000001</v>
      </c>
      <c r="F100" s="57">
        <f t="shared" si="8"/>
        <v>6.7023000000000001</v>
      </c>
      <c r="G100" s="247">
        <f t="shared" ref="G100" si="15">ROUND(D100*E100,2)</f>
        <v>17627.05</v>
      </c>
      <c r="H100" s="280"/>
      <c r="I100" s="281"/>
      <c r="J100" s="281"/>
      <c r="K100" s="282"/>
      <c r="L100" s="204"/>
      <c r="M100" s="250"/>
      <c r="N100" s="283"/>
      <c r="O100" s="252"/>
      <c r="P100" s="284"/>
      <c r="Q100" s="252"/>
      <c r="R100" s="242"/>
      <c r="S100" s="266"/>
      <c r="T100" s="266"/>
    </row>
    <row r="101" spans="1:21" ht="16.5" hidden="1" outlineLevel="1" thickBot="1">
      <c r="A101" s="892"/>
      <c r="B101" s="883" t="s">
        <v>57</v>
      </c>
      <c r="C101" s="439"/>
      <c r="D101" s="259"/>
      <c r="E101" s="21">
        <v>36.214199999999998</v>
      </c>
      <c r="F101" s="21">
        <v>42.4328</v>
      </c>
      <c r="G101" s="214">
        <f>ROUND(D101*(E101+F101),2)</f>
        <v>0</v>
      </c>
      <c r="H101" s="213">
        <v>0</v>
      </c>
      <c r="I101">
        <v>22.478999999999999</v>
      </c>
      <c r="J101" s="215">
        <f t="shared" ref="J101" si="16">H101*I101</f>
        <v>0</v>
      </c>
      <c r="K101" s="679">
        <v>42705</v>
      </c>
      <c r="L101" s="294">
        <f>SUM(G101:G105)+J101+J103</f>
        <v>0</v>
      </c>
      <c r="M101" s="227"/>
      <c r="N101" s="264"/>
      <c r="O101" s="229"/>
      <c r="P101" s="265"/>
      <c r="Q101" s="229"/>
      <c r="R101" s="242"/>
      <c r="S101" s="266"/>
      <c r="T101" s="266"/>
    </row>
    <row r="102" spans="1:21" ht="16.5" hidden="1" outlineLevel="1" thickBot="1">
      <c r="A102" s="891"/>
      <c r="B102" s="887"/>
      <c r="C102" s="54"/>
      <c r="D102" s="269"/>
      <c r="E102" s="38">
        <f>32.332-28.8628</f>
        <v>3.4692000000000007</v>
      </c>
      <c r="F102" s="38">
        <f>37.8898-33.8306</f>
        <v>4.0592000000000041</v>
      </c>
      <c r="G102" s="235">
        <f>ROUND(D102*(E102+F102),2)</f>
        <v>0</v>
      </c>
      <c r="H102" s="225"/>
      <c r="J102" s="194"/>
      <c r="K102" s="683"/>
      <c r="L102" s="294"/>
      <c r="M102" s="227"/>
      <c r="N102" s="264"/>
      <c r="O102" s="229"/>
      <c r="P102" s="265"/>
      <c r="Q102" s="229"/>
      <c r="R102" s="242"/>
      <c r="S102" s="266"/>
      <c r="T102" s="266"/>
    </row>
    <row r="103" spans="1:21" ht="15.75" hidden="1" outlineLevel="1" thickBot="1">
      <c r="A103" s="892"/>
      <c r="B103" s="883"/>
      <c r="C103" s="439" t="s">
        <v>170</v>
      </c>
      <c r="D103" s="296"/>
      <c r="E103" s="41">
        <f>7.0207-6.6426</f>
        <v>0.37809999999999988</v>
      </c>
      <c r="F103" s="41">
        <f>+E103</f>
        <v>0.37809999999999988</v>
      </c>
      <c r="G103" s="235">
        <f>ROUND(D103*E103,2)</f>
        <v>0</v>
      </c>
      <c r="H103" s="270"/>
      <c r="I103" s="41"/>
      <c r="J103" s="41"/>
      <c r="K103" s="684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1" ht="16.5" hidden="1" outlineLevel="1" thickBot="1">
      <c r="A104" s="891"/>
      <c r="B104" s="887"/>
      <c r="C104" s="54" t="s">
        <v>171</v>
      </c>
      <c r="D104" s="269"/>
      <c r="E104" s="41">
        <v>7.0206999999999997</v>
      </c>
      <c r="F104" s="41">
        <f>+E104</f>
        <v>7.0206999999999997</v>
      </c>
      <c r="G104" s="235">
        <f>ROUND(D104*E104,2)</f>
        <v>0</v>
      </c>
      <c r="H104" s="270"/>
      <c r="I104" s="41"/>
      <c r="J104" s="41"/>
      <c r="K104" s="684"/>
      <c r="L104" s="272"/>
      <c r="M104" s="273"/>
      <c r="N104" s="274"/>
      <c r="O104" s="237"/>
      <c r="P104" s="275"/>
      <c r="Q104" s="237"/>
      <c r="R104" s="242"/>
      <c r="S104" s="266"/>
      <c r="T104" s="266"/>
    </row>
    <row r="105" spans="1:21" ht="16.5" hidden="1" outlineLevel="1" thickBot="1">
      <c r="A105" s="892"/>
      <c r="B105" s="883"/>
      <c r="C105" s="439" t="s">
        <v>29</v>
      </c>
      <c r="D105" s="279"/>
      <c r="E105" s="56">
        <v>7.0206999999999997</v>
      </c>
      <c r="F105" s="57">
        <f>+E105</f>
        <v>7.0206999999999997</v>
      </c>
      <c r="G105" s="247">
        <f>ROUND(D105*E105,2)</f>
        <v>0</v>
      </c>
      <c r="H105" s="280"/>
      <c r="I105" s="281"/>
      <c r="J105" s="281"/>
      <c r="K105" s="682"/>
      <c r="L105" s="204"/>
      <c r="M105" s="250"/>
      <c r="N105" s="283"/>
      <c r="O105" s="252"/>
      <c r="P105" s="284"/>
      <c r="Q105" s="252"/>
      <c r="R105" s="242"/>
      <c r="S105" s="266"/>
      <c r="T105" s="266"/>
    </row>
    <row r="106" spans="1:21" ht="15.75" hidden="1" outlineLevel="1" thickBot="1">
      <c r="A106" s="892"/>
      <c r="B106" s="183" t="s">
        <v>145</v>
      </c>
      <c r="C106" s="439" t="s">
        <v>170</v>
      </c>
      <c r="D106" s="296"/>
      <c r="E106" s="41">
        <f>7.0207-6.6426</f>
        <v>0.37809999999999988</v>
      </c>
      <c r="F106" s="41">
        <f t="shared" ref="F106:F108" si="17">+E106</f>
        <v>0.37809999999999988</v>
      </c>
      <c r="G106" s="235">
        <f>ROUND(D106*E106,2)</f>
        <v>0</v>
      </c>
      <c r="H106" s="270"/>
      <c r="I106" s="41"/>
      <c r="J106" s="41"/>
      <c r="K106" s="271"/>
      <c r="L106" s="294">
        <f>SUM(G106:G108)</f>
        <v>0</v>
      </c>
      <c r="M106" s="227"/>
      <c r="N106" s="274"/>
      <c r="O106" s="237"/>
      <c r="P106" s="275"/>
      <c r="Q106" s="237"/>
      <c r="R106" s="242"/>
      <c r="S106" s="266"/>
      <c r="T106" s="266"/>
    </row>
    <row r="107" spans="1:21" ht="16.5" hidden="1" outlineLevel="1" thickBot="1">
      <c r="A107" s="891"/>
      <c r="B107" s="887"/>
      <c r="C107" s="54" t="s">
        <v>171</v>
      </c>
      <c r="D107" s="269"/>
      <c r="E107" s="41">
        <v>7.0206999999999997</v>
      </c>
      <c r="F107" s="41">
        <f t="shared" si="17"/>
        <v>7.0206999999999997</v>
      </c>
      <c r="G107" s="235">
        <f t="shared" ref="G107:G108" si="18">ROUND(D107*E107,2)</f>
        <v>0</v>
      </c>
      <c r="H107" s="270"/>
      <c r="I107" s="41"/>
      <c r="J107" s="41"/>
      <c r="K107" s="271"/>
      <c r="L107" s="272"/>
      <c r="M107" s="273"/>
      <c r="N107" s="274"/>
      <c r="O107" s="237"/>
      <c r="P107" s="275"/>
      <c r="Q107" s="237"/>
      <c r="R107" s="242"/>
      <c r="S107" s="266"/>
      <c r="T107" s="266"/>
    </row>
    <row r="108" spans="1:21" ht="16.5" hidden="1" outlineLevel="1" thickBot="1">
      <c r="A108" s="892"/>
      <c r="B108" s="183"/>
      <c r="C108" s="439" t="s">
        <v>29</v>
      </c>
      <c r="D108" s="279"/>
      <c r="E108" s="56">
        <v>7.0206999999999997</v>
      </c>
      <c r="F108" s="57">
        <f t="shared" si="17"/>
        <v>7.0206999999999997</v>
      </c>
      <c r="G108" s="247">
        <f t="shared" si="18"/>
        <v>0</v>
      </c>
      <c r="H108" s="280"/>
      <c r="I108" s="281"/>
      <c r="J108" s="281"/>
      <c r="K108" s="282"/>
      <c r="L108" s="204"/>
      <c r="M108" s="250"/>
      <c r="N108" s="283"/>
      <c r="O108" s="252"/>
      <c r="P108" s="284"/>
      <c r="Q108" s="252"/>
      <c r="R108" s="242"/>
      <c r="S108" s="266"/>
      <c r="T108" s="266"/>
    </row>
    <row r="109" spans="1:21" ht="16.5" collapsed="1" thickTop="1">
      <c r="A109" s="898"/>
      <c r="B109" s="321"/>
      <c r="C109" s="322"/>
      <c r="D109" s="323"/>
      <c r="E109" s="163"/>
      <c r="F109" s="324"/>
      <c r="G109" s="325"/>
      <c r="H109" s="163"/>
      <c r="I109" s="163"/>
      <c r="J109" s="163"/>
      <c r="K109" s="163"/>
      <c r="L109" s="163"/>
      <c r="M109" s="326"/>
      <c r="N109" s="327"/>
      <c r="O109" s="328"/>
      <c r="P109" s="329"/>
      <c r="Q109" s="328"/>
      <c r="R109" s="330"/>
      <c r="S109" s="331"/>
      <c r="T109" s="266"/>
    </row>
    <row r="110" spans="1:21" ht="21.75" thickBot="1">
      <c r="A110" s="171" t="s">
        <v>60</v>
      </c>
      <c r="B110" s="2"/>
      <c r="C110" s="3"/>
      <c r="D110" s="2"/>
      <c r="E110" s="2"/>
      <c r="F110" s="2"/>
      <c r="G110" s="332"/>
      <c r="H110" s="332"/>
      <c r="I110" s="332"/>
      <c r="J110" s="2"/>
      <c r="K110" s="2"/>
      <c r="L110" s="2"/>
      <c r="M110" s="3"/>
      <c r="N110" s="2"/>
      <c r="O110" s="2"/>
      <c r="P110" s="2"/>
      <c r="Q110" s="2"/>
      <c r="R110" s="2"/>
      <c r="S110" s="2"/>
    </row>
    <row r="111" spans="1:21" ht="15" customHeight="1" thickTop="1">
      <c r="A111" s="1553" t="s">
        <v>1</v>
      </c>
      <c r="B111" s="1516" t="s">
        <v>2</v>
      </c>
      <c r="C111" s="1518" t="s">
        <v>3</v>
      </c>
      <c r="D111" s="1532" t="s">
        <v>4</v>
      </c>
      <c r="E111" s="1532"/>
      <c r="F111" s="1532"/>
      <c r="G111" s="1532"/>
      <c r="H111" s="1533" t="s">
        <v>5</v>
      </c>
      <c r="I111" s="1534"/>
      <c r="J111" s="1534"/>
      <c r="K111" s="1534"/>
      <c r="L111" s="1524" t="s">
        <v>6</v>
      </c>
      <c r="M111" s="1537" t="s">
        <v>7</v>
      </c>
      <c r="N111" s="1538" t="s">
        <v>8</v>
      </c>
      <c r="O111" s="1538"/>
      <c r="P111" s="1538"/>
      <c r="Q111" s="1539"/>
      <c r="R111" s="5"/>
      <c r="S111" s="5"/>
      <c r="T111" s="5" t="s">
        <v>61</v>
      </c>
      <c r="U111" t="s">
        <v>21</v>
      </c>
    </row>
    <row r="112" spans="1:21" ht="27" customHeight="1" thickBot="1">
      <c r="A112" s="1531"/>
      <c r="B112" s="1517"/>
      <c r="C112" s="1519" t="s">
        <v>10</v>
      </c>
      <c r="D112" s="333" t="s">
        <v>11</v>
      </c>
      <c r="E112" s="7" t="s">
        <v>12</v>
      </c>
      <c r="F112" s="7" t="s">
        <v>13</v>
      </c>
      <c r="G112" s="334" t="s">
        <v>14</v>
      </c>
      <c r="H112" s="335" t="s">
        <v>11</v>
      </c>
      <c r="I112" s="333" t="s">
        <v>15</v>
      </c>
      <c r="J112" s="336" t="s">
        <v>14</v>
      </c>
      <c r="K112" s="11" t="s">
        <v>16</v>
      </c>
      <c r="L112" s="1525"/>
      <c r="M112" s="1511"/>
      <c r="N112" s="337" t="s">
        <v>62</v>
      </c>
      <c r="O112" s="338" t="s">
        <v>44</v>
      </c>
      <c r="P112" s="13" t="s">
        <v>18</v>
      </c>
      <c r="Q112" s="14" t="s">
        <v>19</v>
      </c>
    </row>
    <row r="113" spans="1:21" ht="14.25" customHeight="1">
      <c r="A113" s="339" t="s">
        <v>63</v>
      </c>
      <c r="B113" s="18" t="s">
        <v>64</v>
      </c>
      <c r="C113" s="71" t="s">
        <v>243</v>
      </c>
      <c r="D113" s="340">
        <v>44</v>
      </c>
      <c r="E113" s="21">
        <v>40.556600000000003</v>
      </c>
      <c r="F113" s="21">
        <v>47.5304</v>
      </c>
      <c r="G113" s="185">
        <f>ROUND(D113*(E113+F113),2)</f>
        <v>3875.83</v>
      </c>
      <c r="H113" s="184"/>
      <c r="I113" s="23"/>
      <c r="J113" s="341"/>
      <c r="K113" s="342"/>
      <c r="L113" s="343">
        <f>SUM(G113:G118,J113:J117)</f>
        <v>298032.08999999997</v>
      </c>
      <c r="M113" s="344">
        <v>289032.09000000003</v>
      </c>
      <c r="N113" s="345"/>
      <c r="O113" s="346">
        <v>7157.88</v>
      </c>
      <c r="P113" s="347" t="s">
        <v>24</v>
      </c>
      <c r="Q113" s="348" t="e">
        <f t="shared" ref="Q113:Q186" si="19">C113+G113+J113-M113-N113-O113</f>
        <v>#VALUE!</v>
      </c>
      <c r="R113" s="349" t="s">
        <v>65</v>
      </c>
      <c r="S113" s="350" t="s">
        <v>20</v>
      </c>
      <c r="T113" s="351" t="s">
        <v>21</v>
      </c>
      <c r="U113" s="352" t="e">
        <f>+L113-M113+C113</f>
        <v>#VALUE!</v>
      </c>
    </row>
    <row r="114" spans="1:21" ht="14.25" customHeight="1">
      <c r="A114" s="353"/>
      <c r="B114" s="35"/>
      <c r="C114" s="84" t="s">
        <v>26</v>
      </c>
      <c r="D114" s="37"/>
      <c r="E114" s="38"/>
      <c r="F114" s="38"/>
      <c r="G114" s="39">
        <f>ROUND(D114*(E114+F114),2)</f>
        <v>0</v>
      </c>
      <c r="H114" s="49"/>
      <c r="I114" s="271"/>
      <c r="J114" s="101"/>
      <c r="K114" s="354"/>
      <c r="L114" s="355"/>
      <c r="M114" s="356"/>
      <c r="N114" s="357"/>
      <c r="O114" s="358"/>
      <c r="P114" s="359"/>
      <c r="Q114" s="358"/>
      <c r="R114" s="349"/>
      <c r="S114" s="350"/>
      <c r="T114" s="351"/>
      <c r="U114" s="352"/>
    </row>
    <row r="115" spans="1:21">
      <c r="A115" s="353"/>
      <c r="B115" s="35"/>
      <c r="C115" s="48"/>
      <c r="D115" s="49"/>
      <c r="E115" s="41"/>
      <c r="F115" s="41"/>
      <c r="G115" s="50">
        <f>ROUND(D115*E115*70%+D115*F115*30%,2)</f>
        <v>0</v>
      </c>
      <c r="H115" s="49"/>
      <c r="I115" s="271"/>
      <c r="J115" s="41"/>
      <c r="K115" s="354"/>
      <c r="L115" s="355"/>
      <c r="M115" s="356"/>
      <c r="N115" s="357"/>
      <c r="O115" s="358"/>
      <c r="P115" s="359"/>
      <c r="Q115" s="358"/>
      <c r="R115" s="349"/>
      <c r="S115" s="350"/>
      <c r="T115" s="351"/>
      <c r="U115" s="352"/>
    </row>
    <row r="116" spans="1:21">
      <c r="A116" s="353"/>
      <c r="B116" s="35"/>
      <c r="C116" s="48" t="s">
        <v>260</v>
      </c>
      <c r="D116" s="49"/>
      <c r="E116" s="41"/>
      <c r="F116" s="38"/>
      <c r="G116" s="50">
        <f>ROUND(+D116*E116,2)</f>
        <v>0</v>
      </c>
      <c r="H116" s="49"/>
      <c r="I116" s="271"/>
      <c r="J116" s="41"/>
      <c r="K116" s="354"/>
      <c r="L116" s="355"/>
      <c r="M116" s="356"/>
      <c r="N116" s="357"/>
      <c r="O116" s="358"/>
      <c r="P116" s="359"/>
      <c r="Q116" s="358"/>
      <c r="R116" s="349"/>
      <c r="S116" s="350"/>
      <c r="T116" s="351"/>
      <c r="U116" s="352"/>
    </row>
    <row r="117" spans="1:21">
      <c r="A117" s="353"/>
      <c r="B117" s="35"/>
      <c r="C117" s="48" t="s">
        <v>263</v>
      </c>
      <c r="D117" s="49">
        <f>72+22+10</f>
        <v>104</v>
      </c>
      <c r="E117" s="41">
        <v>6.7991000000000001</v>
      </c>
      <c r="F117" s="41">
        <f>+E117</f>
        <v>6.7991000000000001</v>
      </c>
      <c r="G117" s="50">
        <f>ROUND(D117*E117,2)-0.01</f>
        <v>707.1</v>
      </c>
      <c r="H117" s="361"/>
      <c r="I117" s="362"/>
      <c r="J117" s="207"/>
      <c r="K117" s="363"/>
      <c r="L117" s="364"/>
      <c r="M117" s="365"/>
      <c r="N117" s="366"/>
      <c r="O117" s="367"/>
      <c r="P117" s="368"/>
      <c r="Q117" s="358"/>
      <c r="R117" s="349"/>
      <c r="S117" s="350"/>
      <c r="T117" s="351"/>
      <c r="U117" s="352"/>
    </row>
    <row r="118" spans="1:21" ht="15.75" thickBot="1">
      <c r="A118" s="369"/>
      <c r="B118" s="53" t="s">
        <v>66</v>
      </c>
      <c r="C118" s="99" t="s">
        <v>29</v>
      </c>
      <c r="D118" s="55">
        <f>29900+9150+4110</f>
        <v>43160</v>
      </c>
      <c r="E118" s="56">
        <v>6.7991000000000001</v>
      </c>
      <c r="F118" s="370">
        <f>+E118</f>
        <v>6.7991000000000001</v>
      </c>
      <c r="G118" s="58">
        <f>ROUND(D118*E118,2)</f>
        <v>293449.15999999997</v>
      </c>
      <c r="H118" s="248"/>
      <c r="I118" s="203"/>
      <c r="J118" s="60"/>
      <c r="K118" s="203"/>
      <c r="L118" s="204"/>
      <c r="M118" s="371"/>
      <c r="N118" s="372"/>
      <c r="O118" s="373">
        <v>165882.5</v>
      </c>
      <c r="P118" s="374" t="s">
        <v>24</v>
      </c>
      <c r="Q118" s="373">
        <f>G118+J118-M118-N118-O118</f>
        <v>127566.65999999997</v>
      </c>
      <c r="R118" s="349" t="s">
        <v>65</v>
      </c>
      <c r="S118" s="375">
        <f>SUM(O113:O118)</f>
        <v>173040.38</v>
      </c>
      <c r="T118" s="375" t="e">
        <f>SUM(Q113:Q118)</f>
        <v>#VALUE!</v>
      </c>
    </row>
    <row r="119" spans="1:21" s="81" customFormat="1" ht="15" customHeight="1">
      <c r="A119" s="437">
        <v>101</v>
      </c>
      <c r="B119" s="438" t="s">
        <v>82</v>
      </c>
      <c r="C119" s="377" t="s">
        <v>73</v>
      </c>
      <c r="D119" s="378">
        <v>22</v>
      </c>
      <c r="E119" s="21">
        <v>40.556600000000003</v>
      </c>
      <c r="F119" s="21">
        <v>47.5304</v>
      </c>
      <c r="G119" s="22">
        <f>+D119*(E119+F119)</f>
        <v>1937.914</v>
      </c>
      <c r="H119" s="303"/>
      <c r="I119" s="381"/>
      <c r="J119" s="381"/>
      <c r="K119" s="342"/>
      <c r="L119" s="263">
        <f>SUM(G119:G123,J119:J123)</f>
        <v>93266.013999999996</v>
      </c>
      <c r="M119" s="26">
        <v>93266.01</v>
      </c>
      <c r="N119" s="421"/>
      <c r="O119" s="77"/>
      <c r="P119" s="77"/>
      <c r="Q119" s="384"/>
      <c r="R119" s="422"/>
      <c r="S119" s="399"/>
      <c r="T119" s="399"/>
    </row>
    <row r="120" spans="1:21" s="81" customFormat="1" ht="15" customHeight="1">
      <c r="A120" s="441"/>
      <c r="B120" s="442"/>
      <c r="C120" s="36" t="s">
        <v>26</v>
      </c>
      <c r="D120" s="37">
        <f>июль18!D116</f>
        <v>24</v>
      </c>
      <c r="E120" s="38">
        <f>40.5566-36.2142</f>
        <v>4.3424000000000049</v>
      </c>
      <c r="F120" s="38">
        <f>47.5304-42.4328</f>
        <v>5.0975999999999999</v>
      </c>
      <c r="G120" s="39">
        <f>ROUND(D120*(E120+F120),2)</f>
        <v>226.56</v>
      </c>
      <c r="H120" s="457"/>
      <c r="I120" s="392"/>
      <c r="J120" s="402"/>
      <c r="K120" s="393"/>
      <c r="L120" s="459"/>
      <c r="M120" s="44"/>
      <c r="N120" s="430"/>
      <c r="O120" s="435"/>
      <c r="P120" s="435"/>
      <c r="Q120" s="425"/>
      <c r="R120" s="422"/>
      <c r="S120" s="399"/>
      <c r="T120" s="399"/>
    </row>
    <row r="121" spans="1:21" s="81" customFormat="1" ht="15" customHeight="1">
      <c r="A121" s="441"/>
      <c r="B121" s="442"/>
      <c r="C121" s="48" t="s">
        <v>260</v>
      </c>
      <c r="D121" s="37">
        <f>июль18!D119+июль18!D120</f>
        <v>12013</v>
      </c>
      <c r="E121" s="41">
        <f>6.9269-6.6998</f>
        <v>0.22710000000000008</v>
      </c>
      <c r="F121" s="38"/>
      <c r="G121" s="39">
        <f>ROUND(D121*(E121),2)</f>
        <v>2728.15</v>
      </c>
      <c r="H121" s="270"/>
      <c r="I121" s="41"/>
      <c r="J121" s="41"/>
      <c r="K121" s="271"/>
      <c r="L121" s="272"/>
      <c r="M121" s="102"/>
      <c r="N121" s="430"/>
      <c r="O121" s="435"/>
      <c r="P121" s="435"/>
      <c r="Q121" s="425"/>
      <c r="R121" s="422"/>
      <c r="S121" s="399"/>
      <c r="T121" s="399"/>
    </row>
    <row r="122" spans="1:21" s="81" customFormat="1" ht="15" customHeight="1">
      <c r="A122" s="441"/>
      <c r="B122" s="442"/>
      <c r="C122" s="48" t="s">
        <v>263</v>
      </c>
      <c r="D122" s="37">
        <v>31</v>
      </c>
      <c r="E122" s="41">
        <v>6.9268999999999998</v>
      </c>
      <c r="F122" s="38"/>
      <c r="G122" s="39">
        <f>ROUND(D122*(E122),2)</f>
        <v>214.73</v>
      </c>
      <c r="H122" s="270"/>
      <c r="I122" s="41"/>
      <c r="J122" s="41"/>
      <c r="K122" s="271"/>
      <c r="L122" s="272"/>
      <c r="M122" s="102"/>
      <c r="N122" s="434"/>
      <c r="O122" s="435"/>
      <c r="P122" s="435"/>
      <c r="Q122" s="425"/>
      <c r="R122" s="422"/>
      <c r="S122" s="399"/>
      <c r="T122" s="399"/>
    </row>
    <row r="123" spans="1:21" s="81" customFormat="1" ht="15" customHeight="1" thickBot="1">
      <c r="A123" s="445"/>
      <c r="B123" s="446"/>
      <c r="C123" s="54" t="s">
        <v>29</v>
      </c>
      <c r="D123" s="413">
        <v>12727</v>
      </c>
      <c r="E123" s="56">
        <v>6.9268999999999998</v>
      </c>
      <c r="F123" s="281"/>
      <c r="G123" s="414">
        <f>ROUND(D123*(E123),2)</f>
        <v>88158.66</v>
      </c>
      <c r="H123" s="280"/>
      <c r="I123" s="281"/>
      <c r="J123" s="281"/>
      <c r="K123" s="282"/>
      <c r="L123" s="204"/>
      <c r="M123" s="371"/>
      <c r="N123" s="426"/>
      <c r="O123" s="416"/>
      <c r="P123" s="416"/>
      <c r="Q123" s="417"/>
      <c r="R123" s="899"/>
      <c r="S123" s="399"/>
      <c r="T123" s="399"/>
    </row>
    <row r="124" spans="1:21" s="81" customFormat="1" ht="15.75" customHeight="1">
      <c r="A124" s="902">
        <v>105</v>
      </c>
      <c r="B124" s="903" t="s">
        <v>256</v>
      </c>
      <c r="C124" s="439" t="s">
        <v>260</v>
      </c>
      <c r="D124" s="904">
        <f>июль18!D122+июль18!D123</f>
        <v>366.9</v>
      </c>
      <c r="E124" s="23">
        <f>6.9269-6.6998</f>
        <v>0.22710000000000008</v>
      </c>
      <c r="F124" s="905"/>
      <c r="G124" s="22">
        <f>ROUND(D124*E124,2)</f>
        <v>83.32</v>
      </c>
      <c r="H124" s="303"/>
      <c r="I124" s="23"/>
      <c r="J124" s="23"/>
      <c r="K124" s="304"/>
      <c r="L124" s="263">
        <f>SUM(G124:G126)</f>
        <v>11074.92</v>
      </c>
      <c r="M124" s="26">
        <v>11074.92</v>
      </c>
      <c r="N124" s="421"/>
      <c r="O124" s="77"/>
      <c r="P124" s="77"/>
      <c r="Q124" s="384"/>
      <c r="R124" s="422"/>
      <c r="S124" s="399"/>
      <c r="T124" s="399"/>
    </row>
    <row r="125" spans="1:21" s="81" customFormat="1" ht="15.75" customHeight="1">
      <c r="A125" s="468"/>
      <c r="B125" s="469"/>
      <c r="C125" s="48" t="s">
        <v>263</v>
      </c>
      <c r="D125" s="471">
        <v>3.8</v>
      </c>
      <c r="E125" s="41">
        <v>6.9268999999999998</v>
      </c>
      <c r="F125" s="473"/>
      <c r="G125" s="449">
        <f>ROUND(D125*E125,2)</f>
        <v>26.32</v>
      </c>
      <c r="H125" s="260"/>
      <c r="I125" s="261"/>
      <c r="J125" s="261"/>
      <c r="K125" s="262"/>
      <c r="L125" s="286"/>
      <c r="M125" s="90"/>
      <c r="N125" s="423"/>
      <c r="O125" s="406"/>
      <c r="P125" s="406"/>
      <c r="Q125" s="407"/>
      <c r="R125" s="422"/>
      <c r="S125" s="399"/>
      <c r="T125" s="399"/>
    </row>
    <row r="126" spans="1:21" s="81" customFormat="1" ht="15.75" customHeight="1" thickBot="1">
      <c r="A126" s="858"/>
      <c r="B126" s="859"/>
      <c r="C126" s="54" t="s">
        <v>29</v>
      </c>
      <c r="D126" s="860">
        <v>1583</v>
      </c>
      <c r="E126" s="56">
        <v>6.9268999999999998</v>
      </c>
      <c r="F126" s="861"/>
      <c r="G126" s="414">
        <f t="shared" ref="G126" si="20">ROUND(D126*E126,2)</f>
        <v>10965.28</v>
      </c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1" s="81" customFormat="1" ht="15.75" customHeight="1">
      <c r="A127" s="902">
        <v>107</v>
      </c>
      <c r="B127" s="903" t="s">
        <v>239</v>
      </c>
      <c r="C127" s="439" t="s">
        <v>260</v>
      </c>
      <c r="D127" s="904">
        <f>июль18!D125+июль18!D126</f>
        <v>640.5</v>
      </c>
      <c r="E127" s="23">
        <f>6.9269-6.6998</f>
        <v>0.22710000000000008</v>
      </c>
      <c r="F127" s="905"/>
      <c r="G127" s="22">
        <f>ROUND(D127*E127,2)-0.01</f>
        <v>145.45000000000002</v>
      </c>
      <c r="H127" s="303"/>
      <c r="I127" s="23"/>
      <c r="J127" s="23"/>
      <c r="K127" s="304"/>
      <c r="L127" s="263">
        <f>SUM(G127:G129)</f>
        <v>4151.97</v>
      </c>
      <c r="M127" s="26">
        <v>4151.97</v>
      </c>
      <c r="N127" s="421"/>
      <c r="O127" s="77"/>
      <c r="P127" s="77"/>
      <c r="Q127" s="384"/>
      <c r="R127" s="422"/>
      <c r="S127" s="399"/>
      <c r="T127" s="399"/>
    </row>
    <row r="128" spans="1:21" s="81" customFormat="1" ht="15.75" customHeight="1">
      <c r="A128" s="468"/>
      <c r="B128" s="469"/>
      <c r="C128" s="48" t="s">
        <v>263</v>
      </c>
      <c r="D128" s="471">
        <v>1.4</v>
      </c>
      <c r="E128" s="41">
        <v>6.9268999999999998</v>
      </c>
      <c r="F128" s="473"/>
      <c r="G128" s="449">
        <f>ROUND(D128*E128,2)</f>
        <v>9.6999999999999993</v>
      </c>
      <c r="H128" s="260"/>
      <c r="I128" s="261"/>
      <c r="J128" s="261"/>
      <c r="K128" s="262"/>
      <c r="L128" s="286"/>
      <c r="M128" s="90"/>
      <c r="N128" s="423"/>
      <c r="O128" s="406"/>
      <c r="P128" s="406"/>
      <c r="Q128" s="407"/>
      <c r="R128" s="422"/>
      <c r="S128" s="399"/>
      <c r="T128" s="399"/>
    </row>
    <row r="129" spans="1:20" s="81" customFormat="1" ht="15.75" customHeight="1" thickBot="1">
      <c r="A129" s="858"/>
      <c r="B129" s="859"/>
      <c r="C129" s="54" t="s">
        <v>29</v>
      </c>
      <c r="D129" s="860">
        <v>577</v>
      </c>
      <c r="E129" s="56">
        <v>6.9268999999999998</v>
      </c>
      <c r="F129" s="861"/>
      <c r="G129" s="414">
        <f t="shared" ref="G129" si="21">ROUND(D129*E129,2)</f>
        <v>3996.82</v>
      </c>
      <c r="H129" s="280"/>
      <c r="I129" s="281"/>
      <c r="J129" s="281"/>
      <c r="K129" s="282"/>
      <c r="L129" s="204"/>
      <c r="M129" s="371"/>
      <c r="N129" s="426"/>
      <c r="O129" s="416"/>
      <c r="P129" s="416"/>
      <c r="Q129" s="417"/>
      <c r="R129" s="422"/>
      <c r="S129" s="399"/>
      <c r="T129" s="399"/>
    </row>
    <row r="130" spans="1:20" s="81" customFormat="1" ht="15.75" customHeight="1">
      <c r="A130" s="902">
        <v>108</v>
      </c>
      <c r="B130" s="903" t="s">
        <v>168</v>
      </c>
      <c r="C130" s="439" t="s">
        <v>260</v>
      </c>
      <c r="D130" s="904">
        <f>июль18!D128+июль18!D129</f>
        <v>177.4</v>
      </c>
      <c r="E130" s="23">
        <f>6.9269-6.6998</f>
        <v>0.22710000000000008</v>
      </c>
      <c r="F130" s="905"/>
      <c r="G130" s="22">
        <f>ROUND(D130*E130,2)</f>
        <v>40.29</v>
      </c>
      <c r="H130" s="303"/>
      <c r="I130" s="23"/>
      <c r="J130" s="23"/>
      <c r="K130" s="304"/>
      <c r="L130" s="263">
        <f>SUM(G130:G132)</f>
        <v>1310.6799999999998</v>
      </c>
      <c r="M130" s="26">
        <v>1310.68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.75" customHeight="1">
      <c r="A131" s="468"/>
      <c r="B131" s="469"/>
      <c r="C131" s="48" t="s">
        <v>263</v>
      </c>
      <c r="D131" s="471">
        <v>0.4</v>
      </c>
      <c r="E131" s="41">
        <v>6.9268999999999998</v>
      </c>
      <c r="F131" s="473"/>
      <c r="G131" s="449">
        <f>ROUND(D131*E131,2)</f>
        <v>2.77</v>
      </c>
      <c r="H131" s="260"/>
      <c r="I131" s="261"/>
      <c r="J131" s="261"/>
      <c r="K131" s="262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 thickBot="1">
      <c r="A132" s="858"/>
      <c r="B132" s="859"/>
      <c r="C132" s="520" t="s">
        <v>29</v>
      </c>
      <c r="D132" s="471">
        <v>183</v>
      </c>
      <c r="E132" s="876">
        <v>6.9268999999999998</v>
      </c>
      <c r="F132" s="473"/>
      <c r="G132" s="453">
        <f t="shared" ref="G132" si="22">ROUND(D132*E132,2)</f>
        <v>1267.6199999999999</v>
      </c>
      <c r="H132" s="432"/>
      <c r="I132" s="207"/>
      <c r="J132" s="207"/>
      <c r="K132" s="362"/>
      <c r="L132" s="433"/>
      <c r="M132" s="371"/>
      <c r="N132" s="426"/>
      <c r="O132" s="416"/>
      <c r="P132" s="416"/>
      <c r="Q132" s="417"/>
      <c r="R132" s="422"/>
      <c r="S132" s="399"/>
      <c r="T132" s="399"/>
    </row>
    <row r="133" spans="1:20" s="81" customFormat="1" ht="15.75" customHeight="1">
      <c r="A133" s="376">
        <v>109</v>
      </c>
      <c r="B133" s="924" t="s">
        <v>175</v>
      </c>
      <c r="C133" s="439" t="s">
        <v>260</v>
      </c>
      <c r="D133" s="378">
        <f>июль18!D131+июль18!D132</f>
        <v>684.6</v>
      </c>
      <c r="E133" s="23">
        <f>6.9269-6.6998</f>
        <v>0.22710000000000008</v>
      </c>
      <c r="F133" s="23"/>
      <c r="G133" s="22">
        <f>ROUND(D133*E133,2)+0.01</f>
        <v>155.47999999999999</v>
      </c>
      <c r="H133" s="303"/>
      <c r="I133" s="23"/>
      <c r="J133" s="23"/>
      <c r="K133" s="185"/>
      <c r="L133" s="263">
        <f>SUM(G133:G137)+SUM(J133:J137)</f>
        <v>4794.277</v>
      </c>
      <c r="M133" s="877">
        <v>4794.28</v>
      </c>
      <c r="N133" s="443"/>
      <c r="O133" s="94"/>
      <c r="P133" s="94"/>
      <c r="Q133" s="396"/>
      <c r="R133" s="422"/>
      <c r="S133" s="399"/>
      <c r="T133" s="399"/>
    </row>
    <row r="134" spans="1:20" s="81" customFormat="1" ht="15.75" customHeight="1">
      <c r="A134" s="389"/>
      <c r="B134" s="920"/>
      <c r="C134" s="48" t="s">
        <v>263</v>
      </c>
      <c r="D134" s="37">
        <v>1.6</v>
      </c>
      <c r="E134" s="41">
        <v>6.9268999999999998</v>
      </c>
      <c r="F134" s="41"/>
      <c r="G134" s="39">
        <f>ROUND(D134*E134,2)</f>
        <v>11.08</v>
      </c>
      <c r="H134" s="270"/>
      <c r="I134" s="41"/>
      <c r="J134" s="41"/>
      <c r="K134" s="50"/>
      <c r="L134" s="272"/>
      <c r="M134" s="990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>
      <c r="A135" s="389"/>
      <c r="B135" s="920"/>
      <c r="C135" s="99" t="s">
        <v>29</v>
      </c>
      <c r="D135" s="37">
        <v>654</v>
      </c>
      <c r="E135" s="101">
        <v>6.9268999999999998</v>
      </c>
      <c r="F135" s="41"/>
      <c r="G135" s="39">
        <f t="shared" ref="G135" si="23">ROUND(D135*E135,2)</f>
        <v>4530.1899999999996</v>
      </c>
      <c r="H135" s="270"/>
      <c r="I135" s="41"/>
      <c r="J135" s="41"/>
      <c r="K135" s="50"/>
      <c r="L135" s="272"/>
      <c r="M135" s="990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 thickBot="1">
      <c r="A136" s="389"/>
      <c r="B136" s="920"/>
      <c r="C136" s="99" t="s">
        <v>73</v>
      </c>
      <c r="D136" s="37">
        <v>1</v>
      </c>
      <c r="E136" s="101">
        <v>40.556600000000003</v>
      </c>
      <c r="F136" s="41">
        <v>47.5304</v>
      </c>
      <c r="G136" s="39">
        <f>+D136*(E136+F136)</f>
        <v>88.087000000000003</v>
      </c>
      <c r="H136" s="270"/>
      <c r="I136" s="41"/>
      <c r="J136" s="41"/>
      <c r="K136" s="50"/>
      <c r="L136" s="272"/>
      <c r="M136" s="880"/>
      <c r="N136" s="426"/>
      <c r="O136" s="416"/>
      <c r="P136" s="416"/>
      <c r="Q136" s="417"/>
      <c r="R136" s="422"/>
      <c r="S136" s="399"/>
      <c r="T136" s="399"/>
    </row>
    <row r="137" spans="1:20" s="81" customFormat="1" ht="15.75" customHeight="1" thickBot="1">
      <c r="A137" s="411"/>
      <c r="B137" s="921"/>
      <c r="C137" s="54" t="s">
        <v>264</v>
      </c>
      <c r="D137" s="413">
        <v>1</v>
      </c>
      <c r="E137" s="56">
        <f>40.5566-36.2142</f>
        <v>4.3424000000000049</v>
      </c>
      <c r="F137" s="281">
        <f>47.5304-42.4328</f>
        <v>5.0975999999999999</v>
      </c>
      <c r="G137" s="414">
        <f>+D137*(E137+F137)</f>
        <v>9.4400000000000048</v>
      </c>
      <c r="H137" s="280"/>
      <c r="I137" s="281"/>
      <c r="J137" s="281"/>
      <c r="K137" s="58"/>
      <c r="L137" s="204"/>
      <c r="M137" s="880"/>
      <c r="N137" s="426"/>
      <c r="O137" s="416"/>
      <c r="P137" s="416"/>
      <c r="Q137" s="417"/>
      <c r="R137" s="422"/>
      <c r="S137" s="399"/>
      <c r="T137" s="399"/>
    </row>
    <row r="138" spans="1:20" s="81" customFormat="1" ht="15.75" customHeight="1">
      <c r="A138" s="376">
        <v>117</v>
      </c>
      <c r="B138" s="420" t="s">
        <v>72</v>
      </c>
      <c r="C138" s="390" t="s">
        <v>73</v>
      </c>
      <c r="D138" s="869">
        <v>114</v>
      </c>
      <c r="E138" s="86">
        <v>40.556600000000003</v>
      </c>
      <c r="F138" s="86">
        <v>47.5304</v>
      </c>
      <c r="G138" s="449">
        <f>+D138*(E138+F138)</f>
        <v>10041.918</v>
      </c>
      <c r="H138" s="260"/>
      <c r="I138" s="392"/>
      <c r="J138" s="392"/>
      <c r="K138" s="870"/>
      <c r="L138" s="286">
        <f>SUM(G138:G142,J138:J142)</f>
        <v>249499.96799999999</v>
      </c>
      <c r="M138" s="26">
        <v>249499.97</v>
      </c>
      <c r="N138" s="421"/>
      <c r="O138" s="77"/>
      <c r="P138" s="77"/>
      <c r="Q138" s="384"/>
      <c r="R138" s="422"/>
      <c r="S138" s="399"/>
      <c r="T138" s="399"/>
    </row>
    <row r="139" spans="1:20" s="81" customFormat="1" ht="15.75" customHeight="1">
      <c r="A139" s="389"/>
      <c r="B139" s="83"/>
      <c r="C139" s="84" t="s">
        <v>26</v>
      </c>
      <c r="D139" s="37">
        <f>июль18!D134</f>
        <v>120</v>
      </c>
      <c r="E139" s="38">
        <f>40.5566-36.2142</f>
        <v>4.3424000000000049</v>
      </c>
      <c r="F139" s="38">
        <f>47.5304-42.4328</f>
        <v>5.0975999999999999</v>
      </c>
      <c r="G139" s="39">
        <f>ROUND(D139*(E139+F139),2)</f>
        <v>1132.8</v>
      </c>
      <c r="H139" s="270"/>
      <c r="I139" s="392"/>
      <c r="J139" s="402"/>
      <c r="K139" s="393"/>
      <c r="L139" s="272"/>
      <c r="M139" s="102"/>
      <c r="N139" s="423"/>
      <c r="O139" s="406"/>
      <c r="P139" s="406"/>
      <c r="Q139" s="407"/>
      <c r="R139" s="422"/>
      <c r="S139" s="399"/>
      <c r="T139" s="399"/>
    </row>
    <row r="140" spans="1:20" s="81" customFormat="1" ht="15.75" customHeight="1">
      <c r="A140" s="389"/>
      <c r="B140" s="83"/>
      <c r="C140" s="48" t="s">
        <v>260</v>
      </c>
      <c r="D140" s="37">
        <f>июль18!D137+июль18!D138</f>
        <v>36808</v>
      </c>
      <c r="E140" s="41">
        <f>6.9269-6.6998</f>
        <v>0.22710000000000008</v>
      </c>
      <c r="F140" s="38"/>
      <c r="G140" s="39">
        <f>ROUND(D140*(E140),2)-0.01</f>
        <v>8359.09</v>
      </c>
      <c r="H140" s="270"/>
      <c r="I140" s="41"/>
      <c r="J140" s="41"/>
      <c r="K140" s="271"/>
      <c r="L140" s="272"/>
      <c r="M140" s="102"/>
      <c r="N140" s="423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83"/>
      <c r="C141" s="48" t="s">
        <v>263</v>
      </c>
      <c r="D141" s="37">
        <v>79</v>
      </c>
      <c r="E141" s="41">
        <v>6.9268999999999998</v>
      </c>
      <c r="F141" s="38"/>
      <c r="G141" s="39">
        <f>ROUND(D141*(E141),2)</f>
        <v>547.23</v>
      </c>
      <c r="H141" s="270"/>
      <c r="I141" s="41"/>
      <c r="J141" s="41"/>
      <c r="K141" s="271"/>
      <c r="L141" s="272"/>
      <c r="M141" s="102"/>
      <c r="N141" s="423"/>
      <c r="O141" s="406"/>
      <c r="P141" s="406"/>
      <c r="Q141" s="425"/>
      <c r="R141" s="422"/>
      <c r="S141" s="399"/>
      <c r="T141" s="399"/>
    </row>
    <row r="142" spans="1:20" s="81" customFormat="1" ht="15.75" customHeight="1" thickBot="1">
      <c r="A142" s="411"/>
      <c r="B142" s="412"/>
      <c r="C142" s="99" t="s">
        <v>29</v>
      </c>
      <c r="D142" s="413">
        <v>33120</v>
      </c>
      <c r="E142" s="56">
        <v>6.9268999999999998</v>
      </c>
      <c r="F142" s="281"/>
      <c r="G142" s="414">
        <f>ROUND(D142*(E142),2)</f>
        <v>229418.93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376">
        <v>118</v>
      </c>
      <c r="B143" s="924" t="s">
        <v>215</v>
      </c>
      <c r="C143" s="377" t="s">
        <v>73</v>
      </c>
      <c r="D143" s="378">
        <v>77</v>
      </c>
      <c r="E143" s="21">
        <v>40.556600000000003</v>
      </c>
      <c r="F143" s="21">
        <v>47.5304</v>
      </c>
      <c r="G143" s="22">
        <f>+D143*(E143+F143)</f>
        <v>6782.6990000000005</v>
      </c>
      <c r="H143" s="303"/>
      <c r="I143" s="381"/>
      <c r="J143" s="41"/>
      <c r="K143" s="342"/>
      <c r="L143" s="263">
        <f>SUM(G143:G147,J143:J147)</f>
        <v>78794.369000000006</v>
      </c>
      <c r="M143" s="26">
        <v>78794.37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389"/>
      <c r="B144" s="920"/>
      <c r="C144" s="36" t="s">
        <v>26</v>
      </c>
      <c r="D144" s="37">
        <f>июль18!D139</f>
        <v>82</v>
      </c>
      <c r="E144" s="38">
        <f>40.5566-36.2142</f>
        <v>4.3424000000000049</v>
      </c>
      <c r="F144" s="38">
        <f>47.5304-42.4328</f>
        <v>5.0975999999999999</v>
      </c>
      <c r="G144" s="39">
        <f>ROUND(D144*(E144+F144),2)</f>
        <v>774.08</v>
      </c>
      <c r="H144" s="457"/>
      <c r="I144" s="392"/>
      <c r="J144" s="41"/>
      <c r="K144" s="393"/>
      <c r="L144" s="459"/>
      <c r="M144" s="44"/>
      <c r="N144" s="430"/>
      <c r="O144" s="406"/>
      <c r="P144" s="406"/>
      <c r="Q144" s="407"/>
      <c r="R144" s="422"/>
      <c r="S144" s="399"/>
      <c r="T144" s="399"/>
    </row>
    <row r="145" spans="1:20" s="81" customFormat="1" ht="15.75" customHeight="1">
      <c r="A145" s="389"/>
      <c r="B145" s="920"/>
      <c r="C145" s="48" t="s">
        <v>260</v>
      </c>
      <c r="D145" s="37">
        <f>июль18!D142+июль18!D143</f>
        <v>10260.6</v>
      </c>
      <c r="E145" s="41">
        <f>6.9269-6.6998</f>
        <v>0.22710000000000008</v>
      </c>
      <c r="F145" s="38"/>
      <c r="G145" s="39">
        <f>ROUND(D145*(E145),2)-0.01</f>
        <v>2330.1699999999996</v>
      </c>
      <c r="H145" s="270"/>
      <c r="I145" s="41"/>
      <c r="J145" s="41"/>
      <c r="K145" s="271"/>
      <c r="L145" s="272"/>
      <c r="M145" s="102"/>
      <c r="N145" s="430"/>
      <c r="O145" s="406"/>
      <c r="P145" s="406"/>
      <c r="Q145" s="407"/>
      <c r="R145" s="422"/>
      <c r="S145" s="399"/>
      <c r="T145" s="399"/>
    </row>
    <row r="146" spans="1:20" s="81" customFormat="1" ht="15.75" customHeight="1">
      <c r="A146" s="389"/>
      <c r="B146" s="920"/>
      <c r="C146" s="48" t="s">
        <v>263</v>
      </c>
      <c r="D146" s="37">
        <v>23.8</v>
      </c>
      <c r="E146" s="41">
        <v>6.9268999999999998</v>
      </c>
      <c r="F146" s="38"/>
      <c r="G146" s="39">
        <f>ROUND(D146*(E146),2)</f>
        <v>164.86</v>
      </c>
      <c r="H146" s="270"/>
      <c r="I146" s="41"/>
      <c r="J146" s="41"/>
      <c r="K146" s="271"/>
      <c r="L146" s="272"/>
      <c r="M146" s="102"/>
      <c r="N146" s="434"/>
      <c r="O146" s="435"/>
      <c r="P146" s="435"/>
      <c r="Q146" s="425"/>
      <c r="R146" s="422"/>
      <c r="S146" s="399"/>
      <c r="T146" s="399"/>
    </row>
    <row r="147" spans="1:20" s="81" customFormat="1" ht="15.75" customHeight="1" thickBot="1">
      <c r="A147" s="411"/>
      <c r="B147" s="921"/>
      <c r="C147" s="54" t="s">
        <v>29</v>
      </c>
      <c r="D147" s="413">
        <v>9924</v>
      </c>
      <c r="E147" s="56">
        <v>6.9268999999999998</v>
      </c>
      <c r="F147" s="281"/>
      <c r="G147" s="414">
        <f>ROUND(D147*(E147),2)</f>
        <v>68742.559999999998</v>
      </c>
      <c r="H147" s="432"/>
      <c r="I147" s="207"/>
      <c r="J147" s="207"/>
      <c r="K147" s="362"/>
      <c r="L147" s="433"/>
      <c r="M147" s="63"/>
      <c r="N147" s="434"/>
      <c r="O147" s="435"/>
      <c r="P147" s="435"/>
      <c r="Q147" s="425"/>
      <c r="R147" s="422"/>
      <c r="S147" s="399"/>
      <c r="T147" s="399"/>
    </row>
    <row r="148" spans="1:20" s="81" customFormat="1" ht="15.75" customHeight="1">
      <c r="A148" s="468">
        <v>121</v>
      </c>
      <c r="B148" s="699" t="s">
        <v>154</v>
      </c>
      <c r="C148" s="700" t="s">
        <v>260</v>
      </c>
      <c r="D148" s="471">
        <f>июль18!D145+июль18!D146</f>
        <v>342.8</v>
      </c>
      <c r="E148" s="261">
        <f>6.9269-6.6998</f>
        <v>0.22710000000000008</v>
      </c>
      <c r="F148" s="473"/>
      <c r="G148" s="449">
        <f>ROUND(D148*E148,2)</f>
        <v>77.849999999999994</v>
      </c>
      <c r="H148" s="303"/>
      <c r="I148" s="23"/>
      <c r="J148" s="23"/>
      <c r="K148" s="304"/>
      <c r="L148" s="263">
        <f>SUM(G148:G150)</f>
        <v>2320.7799999999997</v>
      </c>
      <c r="M148" s="26">
        <v>2320.7800000000002</v>
      </c>
      <c r="N148" s="421"/>
      <c r="O148" s="77"/>
      <c r="P148" s="77"/>
      <c r="Q148" s="384"/>
      <c r="R148" s="422"/>
      <c r="S148" s="399"/>
      <c r="T148" s="399"/>
    </row>
    <row r="149" spans="1:20" s="81" customFormat="1" ht="15.75" customHeight="1">
      <c r="A149" s="468"/>
      <c r="B149" s="469"/>
      <c r="C149" s="48" t="s">
        <v>263</v>
      </c>
      <c r="D149" s="471">
        <v>0.8</v>
      </c>
      <c r="E149" s="41">
        <v>6.9268999999999998</v>
      </c>
      <c r="F149" s="473"/>
      <c r="G149" s="449">
        <f>ROUND(D149*E149,2)</f>
        <v>5.54</v>
      </c>
      <c r="H149" s="260"/>
      <c r="I149" s="261"/>
      <c r="J149" s="261"/>
      <c r="K149" s="262"/>
      <c r="L149" s="286"/>
      <c r="M149" s="90"/>
      <c r="N149" s="423"/>
      <c r="O149" s="406"/>
      <c r="P149" s="406"/>
      <c r="Q149" s="407"/>
      <c r="R149" s="422"/>
      <c r="S149" s="399"/>
      <c r="T149" s="399"/>
    </row>
    <row r="150" spans="1:20" s="81" customFormat="1" ht="15.75" customHeight="1" thickBot="1">
      <c r="A150" s="858"/>
      <c r="B150" s="859"/>
      <c r="C150" s="54" t="s">
        <v>29</v>
      </c>
      <c r="D150" s="860">
        <v>323</v>
      </c>
      <c r="E150" s="56">
        <v>6.9268999999999998</v>
      </c>
      <c r="F150" s="861"/>
      <c r="G150" s="414">
        <f t="shared" ref="G150" si="24">ROUND(D150*E150,2)</f>
        <v>2237.39</v>
      </c>
      <c r="H150" s="280"/>
      <c r="I150" s="281"/>
      <c r="J150" s="281"/>
      <c r="K150" s="282"/>
      <c r="L150" s="204"/>
      <c r="M150" s="371"/>
      <c r="N150" s="426"/>
      <c r="O150" s="416"/>
      <c r="P150" s="416"/>
      <c r="Q150" s="417"/>
      <c r="R150" s="422"/>
      <c r="S150" s="399"/>
      <c r="T150" s="399"/>
    </row>
    <row r="151" spans="1:20" s="81" customFormat="1" ht="15.75" customHeight="1">
      <c r="A151" s="376">
        <v>202</v>
      </c>
      <c r="B151" s="420" t="s">
        <v>74</v>
      </c>
      <c r="C151" s="377" t="s">
        <v>73</v>
      </c>
      <c r="D151" s="378">
        <v>13</v>
      </c>
      <c r="E151" s="21">
        <v>40.556600000000003</v>
      </c>
      <c r="F151" s="21">
        <v>47.5304</v>
      </c>
      <c r="G151" s="22">
        <f>ROUND(D151*(E151+F151),2)</f>
        <v>1145.1300000000001</v>
      </c>
      <c r="H151" s="303"/>
      <c r="I151" s="381"/>
      <c r="J151" s="381"/>
      <c r="K151" s="342"/>
      <c r="L151" s="263">
        <f>SUM(G151:G157,J151:J157)</f>
        <v>21522.04</v>
      </c>
      <c r="M151" s="26">
        <v>21522.04</v>
      </c>
      <c r="N151" s="421"/>
      <c r="O151" s="77"/>
      <c r="P151" s="77"/>
      <c r="Q151" s="384"/>
      <c r="R151" s="422"/>
      <c r="S151" s="399"/>
      <c r="T151" s="399"/>
    </row>
    <row r="152" spans="1:20" s="81" customFormat="1" ht="15.75" customHeight="1">
      <c r="A152" s="389"/>
      <c r="B152" s="98"/>
      <c r="C152" s="84" t="s">
        <v>26</v>
      </c>
      <c r="D152" s="37">
        <f>июль18!D147</f>
        <v>14</v>
      </c>
      <c r="E152" s="38">
        <f>40.5566-36.2142</f>
        <v>4.3424000000000049</v>
      </c>
      <c r="F152" s="38">
        <f>47.5304-42.4328</f>
        <v>5.0975999999999999</v>
      </c>
      <c r="G152" s="39">
        <f>ROUND(D152*(E152+F152),2)</f>
        <v>132.16</v>
      </c>
      <c r="H152" s="270"/>
      <c r="I152" s="392"/>
      <c r="J152" s="402"/>
      <c r="K152" s="393"/>
      <c r="L152" s="272"/>
      <c r="M152" s="102"/>
      <c r="N152" s="423"/>
      <c r="O152" s="406"/>
      <c r="P152" s="406"/>
      <c r="Q152" s="407"/>
      <c r="R152" s="422"/>
      <c r="S152" s="399"/>
      <c r="T152" s="399"/>
    </row>
    <row r="153" spans="1:20" s="81" customFormat="1" ht="15.75" customHeight="1">
      <c r="A153" s="389"/>
      <c r="B153" s="98" t="s">
        <v>32</v>
      </c>
      <c r="C153" s="99" t="s">
        <v>33</v>
      </c>
      <c r="D153" s="428">
        <v>4</v>
      </c>
      <c r="E153" s="101">
        <v>237.98</v>
      </c>
      <c r="F153" s="38">
        <f>F151</f>
        <v>47.5304</v>
      </c>
      <c r="G153" s="39">
        <f>ROUND(D153*(E153+F153),2)</f>
        <v>1142.04</v>
      </c>
      <c r="H153" s="270"/>
      <c r="I153" s="41"/>
      <c r="J153" s="41"/>
      <c r="K153" s="271"/>
      <c r="L153" s="272"/>
      <c r="M153" s="102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>
      <c r="A154" s="389"/>
      <c r="B154" s="83"/>
      <c r="C154" s="48" t="s">
        <v>76</v>
      </c>
      <c r="D154" s="37">
        <f>июль18!D149</f>
        <v>4</v>
      </c>
      <c r="E154" s="41"/>
      <c r="F154" s="38">
        <f>F152</f>
        <v>5.0975999999999999</v>
      </c>
      <c r="G154" s="39">
        <f>ROUND(D154*(E154+F154),2)+0.01</f>
        <v>20.400000000000002</v>
      </c>
      <c r="H154" s="270"/>
      <c r="I154" s="41"/>
      <c r="J154" s="41"/>
      <c r="K154" s="271"/>
      <c r="L154" s="272"/>
      <c r="M154" s="102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>
      <c r="A155" s="389"/>
      <c r="B155" s="83"/>
      <c r="C155" s="48" t="s">
        <v>260</v>
      </c>
      <c r="D155" s="37">
        <f>июль18!D152+июль18!D153</f>
        <v>2637.27</v>
      </c>
      <c r="E155" s="41">
        <f>6.9269-6.6998</f>
        <v>0.22710000000000008</v>
      </c>
      <c r="F155" s="38"/>
      <c r="G155" s="39">
        <f>ROUND(D155*(E155+F155),2)-0.01</f>
        <v>598.91</v>
      </c>
      <c r="H155" s="270"/>
      <c r="I155" s="41"/>
      <c r="J155" s="41"/>
      <c r="K155" s="271"/>
      <c r="L155" s="272"/>
      <c r="M155" s="102"/>
      <c r="N155" s="423"/>
      <c r="O155" s="406"/>
      <c r="P155" s="406"/>
      <c r="Q155" s="407"/>
      <c r="R155" s="422"/>
      <c r="S155" s="399"/>
      <c r="T155" s="399"/>
    </row>
    <row r="156" spans="1:20" s="81" customFormat="1" ht="15.75" customHeight="1">
      <c r="A156" s="389"/>
      <c r="B156" s="83"/>
      <c r="C156" s="48" t="s">
        <v>263</v>
      </c>
      <c r="D156" s="37">
        <v>6.35</v>
      </c>
      <c r="E156" s="41">
        <v>6.9268999999999998</v>
      </c>
      <c r="F156" s="38"/>
      <c r="G156" s="39">
        <f>ROUND(D156*E156,2)</f>
        <v>43.99</v>
      </c>
      <c r="H156" s="270"/>
      <c r="I156" s="41"/>
      <c r="J156" s="41"/>
      <c r="K156" s="271"/>
      <c r="L156" s="272"/>
      <c r="M156" s="102"/>
      <c r="N156" s="423"/>
      <c r="O156" s="406"/>
      <c r="P156" s="406"/>
      <c r="Q156" s="425"/>
      <c r="R156" s="422"/>
      <c r="S156" s="399"/>
      <c r="T156" s="399"/>
    </row>
    <row r="157" spans="1:20" s="81" customFormat="1" ht="15" customHeight="1" thickBot="1">
      <c r="A157" s="411"/>
      <c r="B157" s="412"/>
      <c r="C157" s="99" t="s">
        <v>29</v>
      </c>
      <c r="D157" s="413">
        <v>2662</v>
      </c>
      <c r="E157" s="56">
        <v>6.9268999999999998</v>
      </c>
      <c r="F157" s="281"/>
      <c r="G157" s="414">
        <f>ROUND(D157*(E157+F157),2)</f>
        <v>18439.41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902">
        <v>203</v>
      </c>
      <c r="B158" s="903" t="s">
        <v>230</v>
      </c>
      <c r="C158" s="439" t="s">
        <v>260</v>
      </c>
      <c r="D158" s="904">
        <f>июль18!D155+июль18!D156</f>
        <v>67.2</v>
      </c>
      <c r="E158" s="23">
        <f>6.9269-6.6998</f>
        <v>0.22710000000000008</v>
      </c>
      <c r="F158" s="905"/>
      <c r="G158" s="22">
        <f>ROUND(D158*E158,2)</f>
        <v>15.26</v>
      </c>
      <c r="H158" s="303"/>
      <c r="I158" s="23"/>
      <c r="J158" s="23"/>
      <c r="K158" s="304"/>
      <c r="L158" s="263">
        <f>SUM(G158:G160)</f>
        <v>362.3</v>
      </c>
      <c r="M158" s="26">
        <v>362.3</v>
      </c>
      <c r="N158" s="421"/>
      <c r="O158" s="77"/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263</v>
      </c>
      <c r="D159" s="471">
        <v>0.1</v>
      </c>
      <c r="E159" s="41">
        <v>6.9268999999999998</v>
      </c>
      <c r="F159" s="473"/>
      <c r="G159" s="449">
        <f>ROUND(D159*E159,2)</f>
        <v>0.69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858"/>
      <c r="B160" s="859"/>
      <c r="C160" s="54" t="s">
        <v>29</v>
      </c>
      <c r="D160" s="860">
        <v>50</v>
      </c>
      <c r="E160" s="56">
        <v>6.9268999999999998</v>
      </c>
      <c r="F160" s="861"/>
      <c r="G160" s="414">
        <f t="shared" ref="G160" si="25">ROUND(D160*E160,2)</f>
        <v>346.35</v>
      </c>
      <c r="H160" s="280"/>
      <c r="I160" s="281"/>
      <c r="J160" s="207"/>
      <c r="K160" s="362"/>
      <c r="L160" s="433"/>
      <c r="M160" s="63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902">
        <v>204</v>
      </c>
      <c r="B161" s="903" t="s">
        <v>257</v>
      </c>
      <c r="C161" s="439" t="s">
        <v>260</v>
      </c>
      <c r="D161" s="904">
        <f>июль18!D158+июль18!D159</f>
        <v>36.1</v>
      </c>
      <c r="E161" s="23">
        <f>6.9269-6.6998</f>
        <v>0.22710000000000008</v>
      </c>
      <c r="F161" s="905"/>
      <c r="G161" s="22">
        <f>ROUND(D161*E161,2)</f>
        <v>8.1999999999999993</v>
      </c>
      <c r="H161" s="303"/>
      <c r="I161" s="23"/>
      <c r="J161" s="23"/>
      <c r="K161" s="304"/>
      <c r="L161" s="263">
        <f>SUM(G161:G163)</f>
        <v>389.87</v>
      </c>
      <c r="M161" s="26">
        <v>389.87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468"/>
      <c r="B162" s="469"/>
      <c r="C162" s="48" t="s">
        <v>263</v>
      </c>
      <c r="D162" s="471">
        <v>0.1</v>
      </c>
      <c r="E162" s="41">
        <v>6.9268999999999998</v>
      </c>
      <c r="F162" s="473"/>
      <c r="G162" s="449">
        <f>ROUND(D162*E162,2)</f>
        <v>0.69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858"/>
      <c r="B163" s="859"/>
      <c r="C163" s="54" t="s">
        <v>29</v>
      </c>
      <c r="D163" s="860">
        <v>55</v>
      </c>
      <c r="E163" s="56">
        <v>6.9268999999999998</v>
      </c>
      <c r="F163" s="861"/>
      <c r="G163" s="414">
        <f t="shared" ref="G163" si="26">ROUND(D163*E163,2)</f>
        <v>380.98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902">
        <v>207</v>
      </c>
      <c r="B164" s="903" t="s">
        <v>248</v>
      </c>
      <c r="C164" s="439" t="s">
        <v>260</v>
      </c>
      <c r="D164" s="904">
        <f>июль18!D161+июль18!D162</f>
        <v>345.8</v>
      </c>
      <c r="E164" s="23">
        <f>6.9269-6.6998</f>
        <v>0.22710000000000008</v>
      </c>
      <c r="F164" s="905"/>
      <c r="G164" s="22">
        <f>ROUND(D164*E164,2)</f>
        <v>78.53</v>
      </c>
      <c r="H164" s="303"/>
      <c r="I164" s="23"/>
      <c r="J164" s="23"/>
      <c r="K164" s="304"/>
      <c r="L164" s="263">
        <f>SUM(G164:G166)</f>
        <v>2508.4900000000002</v>
      </c>
      <c r="M164" s="26">
        <v>2508.4899999999998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263</v>
      </c>
      <c r="D165" s="471">
        <v>0.8</v>
      </c>
      <c r="E165" s="41">
        <v>6.9268999999999998</v>
      </c>
      <c r="F165" s="473"/>
      <c r="G165" s="449">
        <f>ROUND(D165*E165,2)</f>
        <v>5.54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858"/>
      <c r="B166" s="859"/>
      <c r="C166" s="54" t="s">
        <v>29</v>
      </c>
      <c r="D166" s="860">
        <v>350</v>
      </c>
      <c r="E166" s="56">
        <v>6.9268999999999998</v>
      </c>
      <c r="F166" s="861"/>
      <c r="G166" s="414">
        <f t="shared" ref="G166" si="27">ROUND(D166*E166,2)</f>
        <v>2424.42</v>
      </c>
      <c r="H166" s="280"/>
      <c r="I166" s="281"/>
      <c r="J166" s="207"/>
      <c r="K166" s="362"/>
      <c r="L166" s="433"/>
      <c r="M166" s="63"/>
      <c r="N166" s="426"/>
      <c r="O166" s="416"/>
      <c r="P166" s="416"/>
      <c r="Q166" s="417"/>
      <c r="R166" s="422"/>
      <c r="S166" s="399"/>
      <c r="T166" s="399"/>
    </row>
    <row r="167" spans="1:20" s="81" customFormat="1" ht="15" customHeight="1">
      <c r="A167" s="376">
        <v>210</v>
      </c>
      <c r="B167" s="420" t="s">
        <v>77</v>
      </c>
      <c r="C167" s="377" t="s">
        <v>73</v>
      </c>
      <c r="D167" s="378">
        <v>4</v>
      </c>
      <c r="E167" s="21">
        <v>40.556600000000003</v>
      </c>
      <c r="F167" s="21">
        <v>47.5304</v>
      </c>
      <c r="G167" s="22">
        <f t="shared" ref="G167:G173" si="28">ROUND(D167*(E167+F167),2)</f>
        <v>352.35</v>
      </c>
      <c r="H167" s="303"/>
      <c r="I167" s="381"/>
      <c r="J167" s="381"/>
      <c r="K167" s="342"/>
      <c r="L167" s="382">
        <f>+SUM(G167:G173,J167:J173)</f>
        <v>1701.27</v>
      </c>
      <c r="M167" s="26">
        <v>1701.27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" customHeight="1">
      <c r="A168" s="389"/>
      <c r="B168" s="83"/>
      <c r="C168" s="84" t="s">
        <v>26</v>
      </c>
      <c r="D168" s="37">
        <f>июль18!D163</f>
        <v>2</v>
      </c>
      <c r="E168" s="38">
        <f>40.5566-36.2142</f>
        <v>4.3424000000000049</v>
      </c>
      <c r="F168" s="38">
        <f>47.5304-42.4328</f>
        <v>5.0975999999999999</v>
      </c>
      <c r="G168" s="39">
        <f t="shared" si="28"/>
        <v>18.88</v>
      </c>
      <c r="H168" s="270"/>
      <c r="I168" s="392"/>
      <c r="J168" s="402"/>
      <c r="K168" s="393"/>
      <c r="L168" s="429"/>
      <c r="M168" s="102"/>
      <c r="N168" s="430"/>
      <c r="O168" s="406"/>
      <c r="P168" s="406"/>
      <c r="Q168" s="407"/>
      <c r="R168" s="422"/>
      <c r="S168" s="399"/>
      <c r="T168" s="399"/>
    </row>
    <row r="169" spans="1:20" s="81" customFormat="1" ht="15" customHeight="1">
      <c r="A169" s="389"/>
      <c r="B169" s="98" t="s">
        <v>32</v>
      </c>
      <c r="C169" s="99" t="s">
        <v>33</v>
      </c>
      <c r="D169" s="37">
        <v>2</v>
      </c>
      <c r="E169" s="101">
        <v>237.98</v>
      </c>
      <c r="F169" s="38">
        <f>F167</f>
        <v>47.5304</v>
      </c>
      <c r="G169" s="39">
        <f t="shared" si="28"/>
        <v>571.02</v>
      </c>
      <c r="H169" s="270"/>
      <c r="I169" s="41"/>
      <c r="J169" s="41"/>
      <c r="K169" s="271"/>
      <c r="L169" s="272"/>
      <c r="M169" s="102"/>
      <c r="N169" s="430"/>
      <c r="O169" s="406"/>
      <c r="P169" s="406"/>
      <c r="Q169" s="407"/>
      <c r="R169" s="422"/>
      <c r="S169" s="399"/>
      <c r="T169" s="399"/>
    </row>
    <row r="170" spans="1:20" s="81" customFormat="1" ht="15" customHeight="1">
      <c r="A170" s="389"/>
      <c r="B170" s="83"/>
      <c r="C170" s="48" t="s">
        <v>190</v>
      </c>
      <c r="D170" s="37">
        <f>июль18!D165</f>
        <v>4</v>
      </c>
      <c r="E170" s="41"/>
      <c r="F170" s="38">
        <f>F168</f>
        <v>5.0975999999999999</v>
      </c>
      <c r="G170" s="39">
        <f>ROUND(D170*(E170+F170),2)</f>
        <v>20.39</v>
      </c>
      <c r="H170" s="270"/>
      <c r="I170" s="41"/>
      <c r="J170" s="41"/>
      <c r="K170" s="271"/>
      <c r="L170" s="272"/>
      <c r="M170" s="102"/>
      <c r="N170" s="430"/>
      <c r="O170" s="406"/>
      <c r="P170" s="406"/>
      <c r="Q170" s="407"/>
      <c r="R170" s="422"/>
      <c r="S170" s="399"/>
      <c r="T170" s="399"/>
    </row>
    <row r="171" spans="1:20" s="81" customFormat="1" ht="15" customHeight="1">
      <c r="A171" s="389"/>
      <c r="B171" s="83"/>
      <c r="C171" s="48" t="s">
        <v>260</v>
      </c>
      <c r="D171" s="37">
        <f>июль18!D168+июль18!D169</f>
        <v>501.2</v>
      </c>
      <c r="E171" s="41">
        <f>6.9269-6.6998</f>
        <v>0.22710000000000008</v>
      </c>
      <c r="F171" s="38"/>
      <c r="G171" s="39">
        <f>ROUND(D171*(E171+F171),2)</f>
        <v>113.82</v>
      </c>
      <c r="H171" s="270"/>
      <c r="I171" s="41"/>
      <c r="J171" s="41"/>
      <c r="K171" s="271"/>
      <c r="L171" s="272"/>
      <c r="M171" s="102"/>
      <c r="N171" s="430"/>
      <c r="O171" s="406"/>
      <c r="P171" s="406"/>
      <c r="Q171" s="407"/>
      <c r="R171" s="899"/>
      <c r="S171" s="399"/>
      <c r="T171" s="399"/>
    </row>
    <row r="172" spans="1:20" s="81" customFormat="1" ht="15" customHeight="1">
      <c r="A172" s="389"/>
      <c r="B172" s="83"/>
      <c r="C172" s="48" t="s">
        <v>263</v>
      </c>
      <c r="D172" s="37">
        <v>0.2</v>
      </c>
      <c r="E172" s="41">
        <v>6.9268999999999998</v>
      </c>
      <c r="F172" s="38"/>
      <c r="G172" s="39">
        <f t="shared" si="28"/>
        <v>1.39</v>
      </c>
      <c r="H172" s="432"/>
      <c r="I172" s="207"/>
      <c r="J172" s="207"/>
      <c r="K172" s="362"/>
      <c r="L172" s="433"/>
      <c r="M172" s="63"/>
      <c r="N172" s="434"/>
      <c r="O172" s="435"/>
      <c r="P172" s="435"/>
      <c r="Q172" s="425"/>
      <c r="R172" s="899"/>
      <c r="S172" s="399"/>
      <c r="T172" s="399"/>
    </row>
    <row r="173" spans="1:20" s="81" customFormat="1" ht="15" customHeight="1" thickBot="1">
      <c r="A173" s="411"/>
      <c r="B173" s="412"/>
      <c r="C173" s="99" t="s">
        <v>29</v>
      </c>
      <c r="D173" s="413">
        <v>90</v>
      </c>
      <c r="E173" s="56">
        <v>6.9268999999999998</v>
      </c>
      <c r="F173" s="281"/>
      <c r="G173" s="414">
        <f t="shared" si="28"/>
        <v>623.41999999999996</v>
      </c>
      <c r="H173" s="280"/>
      <c r="I173" s="281"/>
      <c r="J173" s="281"/>
      <c r="K173" s="282"/>
      <c r="L173" s="204"/>
      <c r="M173" s="371"/>
      <c r="N173" s="426"/>
      <c r="O173" s="416"/>
      <c r="P173" s="416"/>
      <c r="Q173" s="417"/>
      <c r="R173" s="899"/>
      <c r="S173" s="399"/>
      <c r="T173" s="399"/>
    </row>
    <row r="174" spans="1:20" s="81" customFormat="1" ht="15.75" customHeight="1">
      <c r="A174" s="902">
        <v>211</v>
      </c>
      <c r="B174" s="903" t="s">
        <v>231</v>
      </c>
      <c r="C174" s="439" t="s">
        <v>260</v>
      </c>
      <c r="D174" s="904">
        <f>июль18!D171+июль18!D172</f>
        <v>279.7</v>
      </c>
      <c r="E174" s="23">
        <f>6.9269-6.6998</f>
        <v>0.22710000000000008</v>
      </c>
      <c r="F174" s="905"/>
      <c r="G174" s="22">
        <f>ROUND(D174*E174,2)</f>
        <v>63.52</v>
      </c>
      <c r="H174" s="303"/>
      <c r="I174" s="23"/>
      <c r="J174" s="23"/>
      <c r="K174" s="304"/>
      <c r="L174" s="263">
        <f>SUM(G174:G176)</f>
        <v>1959.4099999999999</v>
      </c>
      <c r="M174" s="26">
        <v>1959.41</v>
      </c>
      <c r="N174" s="421"/>
      <c r="O174" s="77"/>
      <c r="P174" s="77"/>
      <c r="Q174" s="384"/>
      <c r="R174" s="422"/>
      <c r="S174" s="399"/>
      <c r="T174" s="399"/>
    </row>
    <row r="175" spans="1:20" s="81" customFormat="1" ht="15.75" customHeight="1">
      <c r="A175" s="468"/>
      <c r="B175" s="469"/>
      <c r="C175" s="48" t="s">
        <v>263</v>
      </c>
      <c r="D175" s="471">
        <v>0.7</v>
      </c>
      <c r="E175" s="41">
        <v>6.9268999999999998</v>
      </c>
      <c r="F175" s="473"/>
      <c r="G175" s="449">
        <f>ROUND(D175*E175,2)</f>
        <v>4.8499999999999996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 thickBot="1">
      <c r="A176" s="858"/>
      <c r="B176" s="859"/>
      <c r="C176" s="54" t="s">
        <v>29</v>
      </c>
      <c r="D176" s="860">
        <v>273</v>
      </c>
      <c r="E176" s="56">
        <v>6.9268999999999998</v>
      </c>
      <c r="F176" s="861"/>
      <c r="G176" s="414">
        <f t="shared" ref="G176" si="29">ROUND(D176*E176,2)</f>
        <v>1891.04</v>
      </c>
      <c r="H176" s="280"/>
      <c r="I176" s="281"/>
      <c r="J176" s="207"/>
      <c r="K176" s="362"/>
      <c r="L176" s="433"/>
      <c r="M176" s="63"/>
      <c r="N176" s="426"/>
      <c r="O176" s="416"/>
      <c r="P176" s="416"/>
      <c r="Q176" s="417"/>
      <c r="R176" s="422"/>
      <c r="S176" s="399"/>
      <c r="T176" s="399"/>
    </row>
    <row r="177" spans="1:21" s="81" customFormat="1" ht="15.75" customHeight="1">
      <c r="A177" s="902">
        <v>212</v>
      </c>
      <c r="B177" s="903" t="s">
        <v>140</v>
      </c>
      <c r="C177" s="439" t="s">
        <v>260</v>
      </c>
      <c r="D177" s="904">
        <f>июль18!D174+июль18!D175</f>
        <v>635.5</v>
      </c>
      <c r="E177" s="23">
        <f>6.9269-6.6998</f>
        <v>0.22710000000000008</v>
      </c>
      <c r="F177" s="905"/>
      <c r="G177" s="22">
        <f>ROUND(D177*E177,2)-0.01</f>
        <v>144.31</v>
      </c>
      <c r="H177" s="303"/>
      <c r="I177" s="23"/>
      <c r="J177" s="23"/>
      <c r="K177" s="304"/>
      <c r="L177" s="263">
        <f>SUM(G177:G179)</f>
        <v>4477.09</v>
      </c>
      <c r="M177" s="26">
        <v>4477.09</v>
      </c>
      <c r="N177" s="421"/>
      <c r="O177" s="77"/>
      <c r="P177" s="77"/>
      <c r="Q177" s="384"/>
      <c r="R177" s="422"/>
      <c r="S177" s="399"/>
      <c r="T177" s="399"/>
    </row>
    <row r="178" spans="1:21" s="81" customFormat="1" ht="15.75" customHeight="1">
      <c r="A178" s="468"/>
      <c r="B178" s="469"/>
      <c r="C178" s="48" t="s">
        <v>263</v>
      </c>
      <c r="D178" s="471">
        <v>1.5</v>
      </c>
      <c r="E178" s="41">
        <v>6.9268999999999998</v>
      </c>
      <c r="F178" s="473"/>
      <c r="G178" s="449">
        <f>ROUND(D178*E178,2)</f>
        <v>10.39</v>
      </c>
      <c r="H178" s="260"/>
      <c r="I178" s="261"/>
      <c r="J178" s="261"/>
      <c r="K178" s="262"/>
      <c r="L178" s="286"/>
      <c r="M178" s="90"/>
      <c r="N178" s="423"/>
      <c r="O178" s="406"/>
      <c r="P178" s="406"/>
      <c r="Q178" s="407"/>
      <c r="R178" s="422"/>
      <c r="S178" s="399"/>
      <c r="T178" s="399"/>
    </row>
    <row r="179" spans="1:21" s="81" customFormat="1" ht="15.75" customHeight="1" thickBot="1">
      <c r="A179" s="858"/>
      <c r="B179" s="859"/>
      <c r="C179" s="54" t="s">
        <v>29</v>
      </c>
      <c r="D179" s="860">
        <v>624</v>
      </c>
      <c r="E179" s="56">
        <v>6.9268999999999998</v>
      </c>
      <c r="F179" s="861"/>
      <c r="G179" s="414">
        <f t="shared" ref="G179" si="30">ROUND(D179*E179,2)</f>
        <v>4322.3900000000003</v>
      </c>
      <c r="H179" s="280"/>
      <c r="I179" s="281"/>
      <c r="J179" s="207"/>
      <c r="K179" s="362"/>
      <c r="L179" s="433"/>
      <c r="M179" s="63"/>
      <c r="N179" s="426"/>
      <c r="O179" s="416"/>
      <c r="P179" s="416"/>
      <c r="Q179" s="417"/>
      <c r="R179" s="422"/>
      <c r="S179" s="399"/>
      <c r="T179" s="399"/>
    </row>
    <row r="180" spans="1:21" s="81" customFormat="1" ht="15.75" customHeight="1">
      <c r="A180" s="902">
        <v>213</v>
      </c>
      <c r="B180" s="903" t="s">
        <v>134</v>
      </c>
      <c r="C180" s="439" t="s">
        <v>260</v>
      </c>
      <c r="D180" s="904">
        <f>июль18!D177+июль18!D178</f>
        <v>733.8</v>
      </c>
      <c r="E180" s="23">
        <f>6.9269-6.6998</f>
        <v>0.22710000000000008</v>
      </c>
      <c r="F180" s="905"/>
      <c r="G180" s="22">
        <f>ROUND(D180*E180,2)-0.01</f>
        <v>166.64000000000001</v>
      </c>
      <c r="H180" s="303"/>
      <c r="I180" s="23"/>
      <c r="J180" s="23"/>
      <c r="K180" s="304"/>
      <c r="L180" s="263">
        <f>SUM(G180:G182)</f>
        <v>5006.47</v>
      </c>
      <c r="M180" s="26">
        <v>5006.47</v>
      </c>
      <c r="N180" s="421"/>
      <c r="O180" s="77"/>
      <c r="P180" s="77"/>
      <c r="Q180" s="384"/>
      <c r="R180" s="422"/>
      <c r="S180" s="399"/>
      <c r="T180" s="399"/>
    </row>
    <row r="181" spans="1:21" s="81" customFormat="1" ht="15.75" customHeight="1">
      <c r="A181" s="468"/>
      <c r="B181" s="469"/>
      <c r="C181" s="48" t="s">
        <v>263</v>
      </c>
      <c r="D181" s="471">
        <v>1.7</v>
      </c>
      <c r="E181" s="41">
        <v>6.9268999999999998</v>
      </c>
      <c r="F181" s="473"/>
      <c r="G181" s="449">
        <f t="shared" ref="G181:G182" si="31">ROUND(D181*E181,2)</f>
        <v>11.78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1" s="81" customFormat="1" ht="15.75" customHeight="1" thickBot="1">
      <c r="A182" s="858"/>
      <c r="B182" s="859"/>
      <c r="C182" s="54" t="s">
        <v>29</v>
      </c>
      <c r="D182" s="860">
        <v>697</v>
      </c>
      <c r="E182" s="56">
        <v>6.9268999999999998</v>
      </c>
      <c r="F182" s="861"/>
      <c r="G182" s="414">
        <f t="shared" si="31"/>
        <v>4828.05</v>
      </c>
      <c r="H182" s="280"/>
      <c r="I182" s="281"/>
      <c r="J182" s="281"/>
      <c r="K182" s="282"/>
      <c r="L182" s="204"/>
      <c r="M182" s="371"/>
      <c r="N182" s="426"/>
      <c r="O182" s="416"/>
      <c r="P182" s="416"/>
      <c r="Q182" s="417"/>
      <c r="R182" s="422"/>
      <c r="S182" s="399"/>
      <c r="T182" s="399"/>
    </row>
    <row r="183" spans="1:21" s="81" customFormat="1" ht="15.75" customHeight="1">
      <c r="A183" s="902">
        <v>215</v>
      </c>
      <c r="B183" s="903" t="s">
        <v>220</v>
      </c>
      <c r="C183" s="439"/>
      <c r="D183" s="904"/>
      <c r="E183" s="23"/>
      <c r="F183" s="905"/>
      <c r="G183" s="22">
        <f>ROUND(D183*E183,2)</f>
        <v>0</v>
      </c>
      <c r="H183" s="303"/>
      <c r="I183" s="23"/>
      <c r="J183" s="23"/>
      <c r="K183" s="304"/>
      <c r="L183" s="263">
        <f>SUM(G183:G185)</f>
        <v>4225.6399999999994</v>
      </c>
      <c r="M183" s="26">
        <v>4225.6400000000003</v>
      </c>
      <c r="N183" s="421"/>
      <c r="O183" s="77"/>
      <c r="P183" s="77"/>
      <c r="Q183" s="384"/>
      <c r="R183" s="422"/>
      <c r="S183" s="399"/>
      <c r="T183" s="399"/>
    </row>
    <row r="184" spans="1:21" s="81" customFormat="1" ht="15.75" customHeight="1">
      <c r="A184" s="468"/>
      <c r="B184" s="981" t="s">
        <v>221</v>
      </c>
      <c r="C184" s="48" t="s">
        <v>263</v>
      </c>
      <c r="D184" s="471">
        <v>1.5</v>
      </c>
      <c r="E184" s="41">
        <v>6.7991000000000001</v>
      </c>
      <c r="F184" s="473"/>
      <c r="G184" s="449">
        <f t="shared" ref="G184:G185" si="32">ROUND(D184*E184,2)</f>
        <v>10.199999999999999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1" s="81" customFormat="1" ht="15.75" customHeight="1" thickBot="1">
      <c r="A185" s="858"/>
      <c r="B185" s="859"/>
      <c r="C185" s="54" t="s">
        <v>29</v>
      </c>
      <c r="D185" s="860">
        <v>620</v>
      </c>
      <c r="E185" s="56">
        <v>6.7991000000000001</v>
      </c>
      <c r="F185" s="861"/>
      <c r="G185" s="414">
        <f t="shared" si="32"/>
        <v>4215.4399999999996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1" s="81" customFormat="1" ht="15" customHeight="1">
      <c r="A186" s="376">
        <v>301</v>
      </c>
      <c r="B186" s="70" t="s">
        <v>67</v>
      </c>
      <c r="C186" s="377" t="s">
        <v>243</v>
      </c>
      <c r="D186" s="378">
        <v>721</v>
      </c>
      <c r="E186" s="21">
        <v>40.556600000000003</v>
      </c>
      <c r="F186" s="21">
        <v>47.5304</v>
      </c>
      <c r="G186" s="379">
        <f>ROUND(D186*(E186+F186),2)</f>
        <v>63510.73</v>
      </c>
      <c r="H186" s="380"/>
      <c r="I186" s="381"/>
      <c r="J186" s="381"/>
      <c r="K186" s="342"/>
      <c r="L186" s="382">
        <f>+SUM(G186:G195,J186:J194)</f>
        <v>204443.59280000001</v>
      </c>
      <c r="M186" s="26">
        <v>204443.59</v>
      </c>
      <c r="N186" s="383"/>
      <c r="O186" s="77"/>
      <c r="P186" s="77" t="s">
        <v>68</v>
      </c>
      <c r="Q186" s="384" t="e">
        <f t="shared" si="19"/>
        <v>#VALUE!</v>
      </c>
      <c r="R186" s="385" t="s">
        <v>69</v>
      </c>
      <c r="S186" s="386"/>
      <c r="T186" s="387"/>
      <c r="U186" s="388"/>
    </row>
    <row r="187" spans="1:21" s="81" customFormat="1" ht="12.75">
      <c r="A187" s="389"/>
      <c r="B187" s="83"/>
      <c r="C187" s="390" t="s">
        <v>26</v>
      </c>
      <c r="D187" s="37">
        <f>июль18!D182</f>
        <v>752</v>
      </c>
      <c r="E187" s="38">
        <f>40.5566-36.2142</f>
        <v>4.3424000000000049</v>
      </c>
      <c r="F187" s="38">
        <f>47.5304-42.4328</f>
        <v>5.0975999999999999</v>
      </c>
      <c r="G187" s="39">
        <f>ROUND(D187*(E187+F187),2)</f>
        <v>7098.88</v>
      </c>
      <c r="H187" s="391"/>
      <c r="I187" s="392"/>
      <c r="J187" s="402"/>
      <c r="K187" s="393"/>
      <c r="L187" s="394"/>
      <c r="M187" s="90"/>
      <c r="N187" s="395"/>
      <c r="O187" s="94"/>
      <c r="P187" s="94"/>
      <c r="Q187" s="396"/>
      <c r="R187" s="397"/>
      <c r="S187" s="398"/>
      <c r="T187" s="399"/>
    </row>
    <row r="188" spans="1:21" s="81" customFormat="1" ht="12.75">
      <c r="A188" s="389"/>
      <c r="B188" s="98" t="s">
        <v>32</v>
      </c>
      <c r="C188" s="99" t="s">
        <v>33</v>
      </c>
      <c r="D188" s="37">
        <v>50</v>
      </c>
      <c r="E188" s="101">
        <v>237.98</v>
      </c>
      <c r="F188" s="38">
        <f>F186</f>
        <v>47.5304</v>
      </c>
      <c r="G188" s="400">
        <f>ROUND(D188*(E188+F188),2)</f>
        <v>14275.52</v>
      </c>
      <c r="H188" s="401"/>
      <c r="I188" s="402"/>
      <c r="J188" s="402"/>
      <c r="K188" s="403"/>
      <c r="L188" s="404"/>
      <c r="M188" s="102"/>
      <c r="N188" s="405"/>
      <c r="O188" s="406"/>
      <c r="P188" s="406" t="s">
        <v>68</v>
      </c>
      <c r="Q188" s="407">
        <f>+G188+J188-M188-N188-O188</f>
        <v>14275.52</v>
      </c>
      <c r="R188" s="397" t="s">
        <v>69</v>
      </c>
      <c r="S188" s="398"/>
      <c r="T188" s="399"/>
    </row>
    <row r="189" spans="1:21" s="81" customFormat="1" ht="15" customHeight="1">
      <c r="A189" s="389"/>
      <c r="B189" s="98"/>
      <c r="C189" s="84" t="s">
        <v>26</v>
      </c>
      <c r="D189" s="37">
        <f>июль18!D184</f>
        <v>53</v>
      </c>
      <c r="E189" s="41"/>
      <c r="F189" s="38">
        <f>F187</f>
        <v>5.0975999999999999</v>
      </c>
      <c r="G189" s="400">
        <f>+D189*(E189+F189)</f>
        <v>270.1728</v>
      </c>
      <c r="H189" s="401"/>
      <c r="I189" s="402"/>
      <c r="J189" s="402"/>
      <c r="K189" s="408"/>
      <c r="L189" s="404"/>
      <c r="M189" s="102"/>
      <c r="N189" s="405"/>
      <c r="O189" s="406"/>
      <c r="P189" s="406"/>
      <c r="Q189" s="407"/>
      <c r="R189" s="397"/>
      <c r="S189" s="398"/>
      <c r="T189" s="399"/>
    </row>
    <row r="190" spans="1:21" s="81" customFormat="1" ht="15" customHeight="1">
      <c r="A190" s="389"/>
      <c r="B190" s="83"/>
      <c r="C190" s="84"/>
      <c r="D190" s="37"/>
      <c r="E190" s="41"/>
      <c r="F190" s="38"/>
      <c r="G190" s="400"/>
      <c r="H190" s="401"/>
      <c r="I190" s="402"/>
      <c r="J190" s="402"/>
      <c r="K190" s="408"/>
      <c r="L190" s="404"/>
      <c r="M190" s="102"/>
      <c r="N190" s="405"/>
      <c r="O190" s="406"/>
      <c r="P190" s="406"/>
      <c r="Q190" s="407"/>
      <c r="R190" s="397"/>
      <c r="S190" s="398"/>
      <c r="T190" s="399"/>
    </row>
    <row r="191" spans="1:21" s="81" customFormat="1" ht="15" customHeight="1">
      <c r="A191" s="389"/>
      <c r="B191" s="83" t="s">
        <v>70</v>
      </c>
      <c r="C191" s="84"/>
      <c r="D191" s="37"/>
      <c r="E191" s="41"/>
      <c r="F191" s="38"/>
      <c r="G191" s="400"/>
      <c r="H191" s="401"/>
      <c r="I191" s="402"/>
      <c r="J191" s="402"/>
      <c r="K191" s="408"/>
      <c r="L191" s="404"/>
      <c r="M191" s="102"/>
      <c r="N191" s="405"/>
      <c r="O191" s="406"/>
      <c r="P191" s="406"/>
      <c r="Q191" s="407"/>
      <c r="R191" s="397"/>
      <c r="S191" s="398"/>
      <c r="T191" s="399"/>
    </row>
    <row r="192" spans="1:21" s="81" customFormat="1" ht="15" customHeight="1">
      <c r="A192" s="389"/>
      <c r="B192" s="83"/>
      <c r="C192" s="48"/>
      <c r="D192" s="37"/>
      <c r="E192" s="41">
        <f>4.4128-4.4153</f>
        <v>-2.5000000000003908E-3</v>
      </c>
      <c r="F192" s="38"/>
      <c r="G192" s="39">
        <f>ROUND(D192*(E192+F192),2)</f>
        <v>0</v>
      </c>
      <c r="H192" s="37"/>
      <c r="I192" s="409"/>
      <c r="J192" s="409"/>
      <c r="K192" s="408"/>
      <c r="L192" s="404"/>
      <c r="M192" s="102"/>
      <c r="N192" s="405"/>
      <c r="O192" s="406"/>
      <c r="P192" s="406"/>
      <c r="Q192" s="407"/>
      <c r="R192" s="397"/>
      <c r="S192" s="398"/>
      <c r="T192" s="399"/>
    </row>
    <row r="193" spans="1:20" s="81" customFormat="1" ht="15" customHeight="1">
      <c r="A193" s="389"/>
      <c r="B193" s="83"/>
      <c r="C193" s="48" t="s">
        <v>260</v>
      </c>
      <c r="D193" s="37">
        <f>июль18!D190+июль18!D191</f>
        <v>16624</v>
      </c>
      <c r="E193" s="41">
        <f>6.9269-6.6998</f>
        <v>0.22710000000000008</v>
      </c>
      <c r="F193" s="38">
        <f>+E193</f>
        <v>0.22710000000000008</v>
      </c>
      <c r="G193" s="39">
        <f>ROUND(D193*E193,2)-0.01</f>
        <v>3775.2999999999997</v>
      </c>
      <c r="H193" s="37"/>
      <c r="I193" s="409"/>
      <c r="J193" s="409"/>
      <c r="K193" s="408"/>
      <c r="L193" s="404"/>
      <c r="M193" s="102"/>
      <c r="N193" s="405"/>
      <c r="O193" s="406"/>
      <c r="P193" s="406"/>
      <c r="Q193" s="407"/>
      <c r="R193" s="397"/>
      <c r="S193" s="398"/>
      <c r="T193" s="399"/>
    </row>
    <row r="194" spans="1:20" s="81" customFormat="1" ht="15" customHeight="1">
      <c r="A194" s="389"/>
      <c r="B194" s="83"/>
      <c r="C194" s="48" t="s">
        <v>263</v>
      </c>
      <c r="D194" s="37">
        <v>40</v>
      </c>
      <c r="E194" s="41">
        <v>6.9268999999999998</v>
      </c>
      <c r="F194" s="41">
        <f>+E194</f>
        <v>6.9268999999999998</v>
      </c>
      <c r="G194" s="39">
        <f>ROUND(D194*E194,2)</f>
        <v>277.08</v>
      </c>
      <c r="H194" s="37"/>
      <c r="I194" s="409"/>
      <c r="J194" s="409"/>
      <c r="K194" s="410"/>
      <c r="L194" s="404"/>
      <c r="M194" s="102"/>
      <c r="N194" s="405"/>
      <c r="O194" s="406"/>
      <c r="P194" s="406"/>
      <c r="Q194" s="407"/>
      <c r="R194" s="397"/>
      <c r="S194" s="398"/>
      <c r="T194" s="399"/>
    </row>
    <row r="195" spans="1:20" s="81" customFormat="1" ht="15.75" customHeight="1" thickBot="1">
      <c r="A195" s="411"/>
      <c r="B195" s="412"/>
      <c r="C195" s="99" t="s">
        <v>29</v>
      </c>
      <c r="D195" s="413">
        <f>15840+761+35</f>
        <v>16636</v>
      </c>
      <c r="E195" s="56">
        <v>6.9268999999999998</v>
      </c>
      <c r="F195" s="41">
        <f>+E195</f>
        <v>6.9268999999999998</v>
      </c>
      <c r="G195" s="414">
        <f>ROUND(D195*E195,2)</f>
        <v>115235.91</v>
      </c>
      <c r="H195" s="248"/>
      <c r="I195" s="60"/>
      <c r="J195" s="60"/>
      <c r="K195" s="203"/>
      <c r="L195" s="204"/>
      <c r="M195" s="371"/>
      <c r="N195" s="415"/>
      <c r="O195" s="416"/>
      <c r="P195" s="416" t="s">
        <v>68</v>
      </c>
      <c r="Q195" s="417">
        <f>+G195+J195-M195-N195-O195</f>
        <v>115235.91</v>
      </c>
      <c r="R195" s="418" t="s">
        <v>69</v>
      </c>
      <c r="S195" s="419">
        <f>SUM(O186:O195)</f>
        <v>0</v>
      </c>
      <c r="T195" s="419" t="e">
        <f>SUM(Q186:Q195)</f>
        <v>#VALUE!</v>
      </c>
    </row>
    <row r="196" spans="1:20" s="81" customFormat="1" ht="15.75" customHeight="1">
      <c r="A196" s="902">
        <v>303</v>
      </c>
      <c r="B196" s="903" t="s">
        <v>227</v>
      </c>
      <c r="C196" s="439" t="s">
        <v>260</v>
      </c>
      <c r="D196" s="904">
        <f>июль18!D193+июль18!D194</f>
        <v>539.29999999999995</v>
      </c>
      <c r="E196" s="23">
        <f>6.9269-6.6998</f>
        <v>0.22710000000000008</v>
      </c>
      <c r="F196" s="905"/>
      <c r="G196" s="22">
        <f>ROUND(D196*E196,2)</f>
        <v>122.48</v>
      </c>
      <c r="H196" s="303"/>
      <c r="I196" s="23"/>
      <c r="J196" s="23"/>
      <c r="K196" s="304"/>
      <c r="L196" s="263">
        <f>SUM(G196:G198)</f>
        <v>4212.12</v>
      </c>
      <c r="M196" s="26">
        <v>4212.12</v>
      </c>
      <c r="N196" s="421"/>
      <c r="O196" s="77"/>
      <c r="P196" s="77"/>
      <c r="Q196" s="384"/>
      <c r="R196" s="422"/>
      <c r="S196" s="399"/>
      <c r="T196" s="399"/>
    </row>
    <row r="197" spans="1:20" s="81" customFormat="1" ht="15.75" customHeight="1">
      <c r="A197" s="468"/>
      <c r="B197" s="469"/>
      <c r="C197" s="48" t="s">
        <v>263</v>
      </c>
      <c r="D197" s="471">
        <v>1.4</v>
      </c>
      <c r="E197" s="41">
        <v>6.9268999999999998</v>
      </c>
      <c r="F197" s="473"/>
      <c r="G197" s="449">
        <f>ROUND(D197*E197,2)</f>
        <v>9.6999999999999993</v>
      </c>
      <c r="H197" s="260"/>
      <c r="I197" s="261"/>
      <c r="J197" s="261"/>
      <c r="K197" s="262"/>
      <c r="L197" s="286"/>
      <c r="M197" s="90"/>
      <c r="N197" s="423"/>
      <c r="O197" s="406"/>
      <c r="P197" s="406"/>
      <c r="Q197" s="407"/>
      <c r="R197" s="422"/>
      <c r="S197" s="399"/>
      <c r="T197" s="399"/>
    </row>
    <row r="198" spans="1:20" s="81" customFormat="1" ht="15.75" customHeight="1" thickBot="1">
      <c r="A198" s="858"/>
      <c r="B198" s="859"/>
      <c r="C198" s="54" t="s">
        <v>29</v>
      </c>
      <c r="D198" s="860">
        <v>589</v>
      </c>
      <c r="E198" s="56">
        <v>6.9268999999999998</v>
      </c>
      <c r="F198" s="861"/>
      <c r="G198" s="414">
        <f t="shared" ref="G198" si="33">ROUND(D198*E198,2)</f>
        <v>4079.94</v>
      </c>
      <c r="H198" s="280"/>
      <c r="I198" s="281"/>
      <c r="J198" s="281"/>
      <c r="K198" s="282"/>
      <c r="L198" s="204"/>
      <c r="M198" s="371"/>
      <c r="N198" s="426"/>
      <c r="O198" s="416"/>
      <c r="P198" s="416"/>
      <c r="Q198" s="417"/>
      <c r="R198" s="422"/>
      <c r="S198" s="399"/>
      <c r="T198" s="399"/>
    </row>
    <row r="199" spans="1:20" s="81" customFormat="1" ht="15" customHeight="1">
      <c r="A199" s="437">
        <v>304</v>
      </c>
      <c r="B199" s="438" t="s">
        <v>83</v>
      </c>
      <c r="C199" s="377" t="s">
        <v>73</v>
      </c>
      <c r="D199" s="378">
        <v>1</v>
      </c>
      <c r="E199" s="21">
        <v>40.556600000000003</v>
      </c>
      <c r="F199" s="21">
        <v>47.5304</v>
      </c>
      <c r="G199" s="22">
        <f>+D199*(E199+F199)</f>
        <v>88.087000000000003</v>
      </c>
      <c r="H199" s="303"/>
      <c r="I199" s="381"/>
      <c r="J199" s="381"/>
      <c r="K199" s="342"/>
      <c r="L199" s="263">
        <f>SUM(G199:G203,J199:J203)</f>
        <v>457.52700000000004</v>
      </c>
      <c r="M199" s="26">
        <v>457.53</v>
      </c>
      <c r="N199" s="421"/>
      <c r="O199" s="77"/>
      <c r="P199" s="77"/>
      <c r="Q199" s="384"/>
      <c r="R199" s="899"/>
      <c r="S199" s="399"/>
      <c r="T199" s="399"/>
    </row>
    <row r="200" spans="1:20" s="81" customFormat="1" ht="15" customHeight="1">
      <c r="A200" s="441"/>
      <c r="B200" s="442"/>
      <c r="C200" s="36" t="s">
        <v>26</v>
      </c>
      <c r="D200" s="37">
        <f>июль18!D195</f>
        <v>1</v>
      </c>
      <c r="E200" s="38">
        <f>40.5566-36.2142</f>
        <v>4.3424000000000049</v>
      </c>
      <c r="F200" s="38">
        <f>47.5304-42.4328</f>
        <v>5.0975999999999999</v>
      </c>
      <c r="G200" s="39">
        <f>ROUND(D200*(E200+F200),2)</f>
        <v>9.44</v>
      </c>
      <c r="H200" s="457"/>
      <c r="I200" s="392"/>
      <c r="J200" s="402"/>
      <c r="K200" s="393"/>
      <c r="L200" s="459"/>
      <c r="M200" s="44"/>
      <c r="N200" s="430"/>
      <c r="O200" s="435"/>
      <c r="P200" s="435"/>
      <c r="Q200" s="425"/>
      <c r="R200" s="422"/>
      <c r="S200" s="399"/>
      <c r="T200" s="399"/>
    </row>
    <row r="201" spans="1:20" s="81" customFormat="1" ht="15" customHeight="1">
      <c r="A201" s="441"/>
      <c r="B201" s="442"/>
      <c r="C201" s="48" t="s">
        <v>260</v>
      </c>
      <c r="D201" s="37">
        <f>июль18!D198+июль18!D199</f>
        <v>57.1</v>
      </c>
      <c r="E201" s="41">
        <f>6.9269-6.6998</f>
        <v>0.22710000000000008</v>
      </c>
      <c r="F201" s="38"/>
      <c r="G201" s="39">
        <f>ROUND(D201*(E201),2)-0.01</f>
        <v>12.96</v>
      </c>
      <c r="H201" s="270"/>
      <c r="I201" s="41"/>
      <c r="J201" s="41"/>
      <c r="K201" s="271"/>
      <c r="L201" s="272"/>
      <c r="M201" s="102"/>
      <c r="N201" s="430"/>
      <c r="O201" s="435"/>
      <c r="P201" s="435"/>
      <c r="Q201" s="425"/>
      <c r="R201" s="422"/>
      <c r="S201" s="399"/>
      <c r="T201" s="399"/>
    </row>
    <row r="202" spans="1:20" s="81" customFormat="1" ht="15" customHeight="1">
      <c r="A202" s="441"/>
      <c r="B202" s="442"/>
      <c r="C202" s="48" t="s">
        <v>263</v>
      </c>
      <c r="D202" s="37">
        <v>0.1</v>
      </c>
      <c r="E202" s="41">
        <v>6.9268999999999998</v>
      </c>
      <c r="F202" s="38"/>
      <c r="G202" s="39">
        <f>ROUND(D202*(E202),2)</f>
        <v>0.69</v>
      </c>
      <c r="H202" s="270"/>
      <c r="I202" s="41"/>
      <c r="J202" s="41"/>
      <c r="K202" s="271"/>
      <c r="L202" s="272"/>
      <c r="M202" s="102"/>
      <c r="N202" s="434"/>
      <c r="O202" s="435"/>
      <c r="P202" s="435"/>
      <c r="Q202" s="425"/>
      <c r="R202" s="422"/>
      <c r="S202" s="399"/>
      <c r="T202" s="399"/>
    </row>
    <row r="203" spans="1:20" s="81" customFormat="1" ht="15.75" customHeight="1" thickBot="1">
      <c r="A203" s="445"/>
      <c r="B203" s="446"/>
      <c r="C203" s="54" t="s">
        <v>29</v>
      </c>
      <c r="D203" s="413">
        <v>50</v>
      </c>
      <c r="E203" s="56">
        <v>6.9268999999999998</v>
      </c>
      <c r="F203" s="281"/>
      <c r="G203" s="414">
        <f>ROUND(D203*(E203),2)</f>
        <v>346.35</v>
      </c>
      <c r="H203" s="280"/>
      <c r="I203" s="281"/>
      <c r="J203" s="281"/>
      <c r="K203" s="282"/>
      <c r="L203" s="204"/>
      <c r="M203" s="371"/>
      <c r="N203" s="426"/>
      <c r="O203" s="416"/>
      <c r="P203" s="416"/>
      <c r="Q203" s="417"/>
      <c r="R203" s="422"/>
      <c r="S203" s="399"/>
      <c r="T203" s="399"/>
    </row>
    <row r="204" spans="1:20" s="81" customFormat="1" ht="15" customHeight="1">
      <c r="A204" s="447">
        <v>400</v>
      </c>
      <c r="B204" s="903" t="s">
        <v>238</v>
      </c>
      <c r="C204" s="377" t="s">
        <v>73</v>
      </c>
      <c r="D204" s="378">
        <v>0</v>
      </c>
      <c r="E204" s="21">
        <v>40.556600000000003</v>
      </c>
      <c r="F204" s="21">
        <v>47.5304</v>
      </c>
      <c r="G204" s="22">
        <f>+D204*(E204+F204)</f>
        <v>0</v>
      </c>
      <c r="H204" s="303"/>
      <c r="I204" s="381"/>
      <c r="J204" s="381"/>
      <c r="K204" s="342"/>
      <c r="L204" s="263">
        <f>SUM(G204:G208,J204:J208)</f>
        <v>67957.709999999992</v>
      </c>
      <c r="M204" s="26">
        <v>67957.710000000006</v>
      </c>
      <c r="N204" s="421"/>
      <c r="O204" s="77"/>
      <c r="P204" s="77"/>
      <c r="Q204" s="384"/>
      <c r="R204" s="899"/>
      <c r="S204" s="399"/>
      <c r="T204" s="399"/>
    </row>
    <row r="205" spans="1:20" s="81" customFormat="1" ht="15" customHeight="1" thickBot="1">
      <c r="A205" s="450"/>
      <c r="B205" s="469"/>
      <c r="C205" s="36" t="s">
        <v>26</v>
      </c>
      <c r="D205" s="37">
        <f>июль18!D200</f>
        <v>1</v>
      </c>
      <c r="E205" s="38">
        <f>40.5566-36.2142</f>
        <v>4.3424000000000049</v>
      </c>
      <c r="F205" s="38">
        <f>47.5304-42.4328</f>
        <v>5.0975999999999999</v>
      </c>
      <c r="G205" s="39">
        <f>ROUND(D205*(E205+F205),2)</f>
        <v>9.44</v>
      </c>
      <c r="H205" s="457"/>
      <c r="I205" s="392"/>
      <c r="J205" s="402"/>
      <c r="K205" s="393"/>
      <c r="L205" s="459"/>
      <c r="M205" s="44"/>
      <c r="N205" s="430"/>
      <c r="O205" s="435"/>
      <c r="P205" s="435"/>
      <c r="Q205" s="425"/>
      <c r="R205" s="422"/>
      <c r="S205" s="399"/>
      <c r="T205" s="399"/>
    </row>
    <row r="206" spans="1:20" s="81" customFormat="1" ht="15.75" customHeight="1">
      <c r="A206" s="984"/>
      <c r="C206" s="439" t="s">
        <v>260</v>
      </c>
      <c r="D206" s="904">
        <f>июль18!D203+июль18!D204</f>
        <v>8678.7000000000007</v>
      </c>
      <c r="E206" s="23">
        <f>6.9269-6.6998</f>
        <v>0.22710000000000008</v>
      </c>
      <c r="F206" s="905"/>
      <c r="G206" s="22">
        <f>ROUND(D206*E206,2)+0.01</f>
        <v>1970.94</v>
      </c>
      <c r="H206" s="303"/>
      <c r="I206" s="23"/>
      <c r="J206" s="23"/>
      <c r="K206" s="304"/>
      <c r="L206" s="263"/>
      <c r="M206" s="26"/>
      <c r="N206" s="421"/>
      <c r="O206" s="77"/>
      <c r="P206" s="77"/>
      <c r="Q206" s="384"/>
      <c r="R206" s="422"/>
      <c r="S206" s="399"/>
      <c r="T206" s="399"/>
    </row>
    <row r="207" spans="1:20" s="81" customFormat="1" ht="15.75" customHeight="1">
      <c r="A207" s="450"/>
      <c r="B207" s="469"/>
      <c r="C207" s="48" t="s">
        <v>263</v>
      </c>
      <c r="D207" s="471">
        <f>10.4+1.1+11.3</f>
        <v>22.8</v>
      </c>
      <c r="E207" s="41">
        <v>6.9268999999999998</v>
      </c>
      <c r="F207" s="473"/>
      <c r="G207" s="449">
        <f>ROUND(D207*E207,2)</f>
        <v>157.93</v>
      </c>
      <c r="H207" s="260"/>
      <c r="I207" s="261"/>
      <c r="J207" s="261"/>
      <c r="K207" s="262"/>
      <c r="L207" s="286"/>
      <c r="M207" s="90"/>
      <c r="N207" s="423"/>
      <c r="O207" s="406"/>
      <c r="P207" s="406"/>
      <c r="Q207" s="407"/>
      <c r="R207" s="422"/>
      <c r="S207" s="399"/>
      <c r="T207" s="399"/>
    </row>
    <row r="208" spans="1:20" s="81" customFormat="1" ht="15.75" customHeight="1" thickBot="1">
      <c r="A208" s="451"/>
      <c r="B208" s="859"/>
      <c r="C208" s="54" t="s">
        <v>29</v>
      </c>
      <c r="D208" s="860">
        <f>4317+458+4727</f>
        <v>9502</v>
      </c>
      <c r="E208" s="56">
        <v>6.9268999999999998</v>
      </c>
      <c r="F208" s="861"/>
      <c r="G208" s="414">
        <f t="shared" ref="G208" si="34">ROUND(D208*E208,2)</f>
        <v>65819.399999999994</v>
      </c>
      <c r="H208" s="280"/>
      <c r="I208" s="281"/>
      <c r="J208" s="281"/>
      <c r="K208" s="282"/>
      <c r="L208" s="204"/>
      <c r="M208" s="371"/>
      <c r="N208" s="426"/>
      <c r="O208" s="416"/>
      <c r="P208" s="416"/>
      <c r="Q208" s="417"/>
      <c r="R208" s="422"/>
      <c r="S208" s="399"/>
      <c r="T208" s="399"/>
    </row>
    <row r="209" spans="1:20" s="81" customFormat="1" ht="15" customHeight="1">
      <c r="A209" s="437">
        <v>402</v>
      </c>
      <c r="B209" s="438" t="s">
        <v>122</v>
      </c>
      <c r="C209" s="439"/>
      <c r="D209" s="378"/>
      <c r="E209" s="23"/>
      <c r="F209" s="23"/>
      <c r="G209" s="22"/>
      <c r="H209" s="303"/>
      <c r="I209" s="23"/>
      <c r="J209" s="23"/>
      <c r="K209" s="304"/>
      <c r="L209" s="382">
        <f>+SUM(G209:G212,J209:J212)</f>
        <v>2498.0700000000002</v>
      </c>
      <c r="M209" s="26">
        <v>2498.0700000000002</v>
      </c>
      <c r="N209" s="421"/>
      <c r="O209" s="77"/>
      <c r="P209" s="77"/>
      <c r="Q209" s="384"/>
      <c r="R209" s="899"/>
      <c r="S209" s="399"/>
      <c r="T209" s="399"/>
    </row>
    <row r="210" spans="1:20" s="81" customFormat="1" ht="15" customHeight="1" thickBot="1">
      <c r="A210" s="441"/>
      <c r="B210" s="442"/>
      <c r="C210" s="48" t="s">
        <v>260</v>
      </c>
      <c r="D210" s="37">
        <f>июль18!D207+июль18!D208</f>
        <v>298.70999999999998</v>
      </c>
      <c r="E210" s="41">
        <f>6.9269-6.6998</f>
        <v>0.22710000000000008</v>
      </c>
      <c r="F210" s="41"/>
      <c r="G210" s="414">
        <f>ROUND(D210*E210,2)-0.01</f>
        <v>67.83</v>
      </c>
      <c r="H210" s="260"/>
      <c r="I210" s="261"/>
      <c r="J210" s="261"/>
      <c r="K210" s="262"/>
      <c r="L210" s="394"/>
      <c r="M210" s="90"/>
      <c r="N210" s="443"/>
      <c r="O210" s="94"/>
      <c r="P210" s="94"/>
      <c r="Q210" s="396"/>
      <c r="R210" s="899"/>
      <c r="S210" s="399"/>
      <c r="T210" s="399"/>
    </row>
    <row r="211" spans="1:20" s="81" customFormat="1" ht="15" customHeight="1" thickBot="1">
      <c r="A211" s="441"/>
      <c r="B211" s="444"/>
      <c r="C211" s="48" t="s">
        <v>263</v>
      </c>
      <c r="D211" s="37">
        <f>0.76+0.08</f>
        <v>0.84</v>
      </c>
      <c r="E211" s="41">
        <v>6.9268999999999998</v>
      </c>
      <c r="F211" s="41"/>
      <c r="G211" s="414">
        <f>ROUND(D211*E211,2)</f>
        <v>5.82</v>
      </c>
      <c r="H211" s="432"/>
      <c r="I211" s="207"/>
      <c r="J211" s="207"/>
      <c r="K211" s="362"/>
      <c r="L211" s="433"/>
      <c r="M211" s="63"/>
      <c r="N211" s="423"/>
      <c r="O211" s="406"/>
      <c r="P211" s="406"/>
      <c r="Q211" s="407"/>
      <c r="R211" s="899"/>
      <c r="S211" s="399"/>
      <c r="T211" s="399"/>
    </row>
    <row r="212" spans="1:20" s="81" customFormat="1" ht="15" customHeight="1" thickBot="1">
      <c r="A212" s="445"/>
      <c r="B212" s="446"/>
      <c r="C212" s="99" t="s">
        <v>29</v>
      </c>
      <c r="D212" s="413">
        <f>317+33</f>
        <v>350</v>
      </c>
      <c r="E212" s="56">
        <v>6.9268999999999998</v>
      </c>
      <c r="F212" s="281"/>
      <c r="G212" s="414">
        <f>ROUND(D212*E212,2)</f>
        <v>2424.42</v>
      </c>
      <c r="H212" s="280"/>
      <c r="I212" s="281"/>
      <c r="J212" s="281"/>
      <c r="K212" s="282"/>
      <c r="L212" s="204"/>
      <c r="M212" s="371"/>
      <c r="N212" s="434"/>
      <c r="O212" s="435"/>
      <c r="P212" s="435"/>
      <c r="Q212" s="425"/>
      <c r="R212" s="899"/>
      <c r="S212" s="399"/>
      <c r="T212" s="399"/>
    </row>
    <row r="213" spans="1:20" s="81" customFormat="1" ht="15.75" customHeight="1">
      <c r="A213" s="447">
        <v>403</v>
      </c>
      <c r="B213" s="438" t="s">
        <v>126</v>
      </c>
      <c r="C213" s="439" t="s">
        <v>260</v>
      </c>
      <c r="D213" s="900">
        <f>июль18!D210+июль18!D211</f>
        <v>105.3</v>
      </c>
      <c r="E213" s="23">
        <f>6.9269-6.6998</f>
        <v>0.22710000000000008</v>
      </c>
      <c r="F213" s="23"/>
      <c r="G213" s="22">
        <f>ROUND(D213*E213,2)</f>
        <v>23.91</v>
      </c>
      <c r="H213" s="303"/>
      <c r="I213" s="23"/>
      <c r="J213" s="23"/>
      <c r="K213" s="304"/>
      <c r="L213" s="263">
        <f>SUM(G213:G215)</f>
        <v>724.92</v>
      </c>
      <c r="M213" s="26">
        <v>724.92</v>
      </c>
      <c r="N213" s="421"/>
      <c r="O213" s="77"/>
      <c r="P213" s="77"/>
      <c r="Q213" s="384"/>
      <c r="R213" s="422"/>
      <c r="S213" s="399"/>
      <c r="T213" s="399"/>
    </row>
    <row r="214" spans="1:20" s="81" customFormat="1" ht="15.75" customHeight="1">
      <c r="A214" s="450"/>
      <c r="B214" s="442"/>
      <c r="C214" s="48" t="s">
        <v>263</v>
      </c>
      <c r="D214" s="448">
        <v>0.2</v>
      </c>
      <c r="E214" s="41">
        <v>6.9268999999999998</v>
      </c>
      <c r="F214" s="261"/>
      <c r="G214" s="449">
        <f t="shared" ref="G214:G215" si="35">ROUND(D214*E214,2)</f>
        <v>1.39</v>
      </c>
      <c r="H214" s="260"/>
      <c r="I214" s="261"/>
      <c r="J214" s="261"/>
      <c r="K214" s="262"/>
      <c r="L214" s="286"/>
      <c r="M214" s="90"/>
      <c r="N214" s="423"/>
      <c r="O214" s="406"/>
      <c r="P214" s="406"/>
      <c r="Q214" s="407"/>
      <c r="R214" s="422"/>
      <c r="S214" s="399"/>
      <c r="T214" s="399"/>
    </row>
    <row r="215" spans="1:20" s="81" customFormat="1" ht="15.75" customHeight="1" thickBot="1">
      <c r="A215" s="451"/>
      <c r="B215" s="446"/>
      <c r="C215" s="54" t="s">
        <v>29</v>
      </c>
      <c r="D215" s="901">
        <v>101</v>
      </c>
      <c r="E215" s="56">
        <v>6.9268999999999998</v>
      </c>
      <c r="F215" s="281"/>
      <c r="G215" s="414">
        <f t="shared" si="35"/>
        <v>699.62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>
      <c r="A216" s="906">
        <v>404</v>
      </c>
      <c r="B216" s="903" t="s">
        <v>191</v>
      </c>
      <c r="C216" s="48" t="s">
        <v>260</v>
      </c>
      <c r="D216" s="471">
        <f>июль18!D215+июль18!D216</f>
        <v>484.2</v>
      </c>
      <c r="E216" s="41">
        <f>6.9269-6.6998</f>
        <v>0.22710000000000008</v>
      </c>
      <c r="F216" s="473"/>
      <c r="G216" s="862">
        <f>ROUND(D216*E216,2)</f>
        <v>109.96</v>
      </c>
      <c r="H216" s="270"/>
      <c r="I216" s="41"/>
      <c r="J216" s="41"/>
      <c r="K216" s="271"/>
      <c r="L216" s="263">
        <f>SUM(G216:G218)</f>
        <v>3234.69</v>
      </c>
      <c r="M216" s="878">
        <v>3234.69</v>
      </c>
      <c r="N216" s="421"/>
      <c r="O216" s="406"/>
      <c r="P216" s="406"/>
      <c r="Q216" s="407"/>
      <c r="R216" s="422"/>
      <c r="S216" s="399"/>
      <c r="T216" s="399"/>
    </row>
    <row r="217" spans="1:20" s="81" customFormat="1" ht="15.75" customHeight="1">
      <c r="A217" s="468"/>
      <c r="B217" s="469"/>
      <c r="C217" s="48" t="s">
        <v>263</v>
      </c>
      <c r="D217" s="471">
        <v>1.1000000000000001</v>
      </c>
      <c r="E217" s="41">
        <v>6.9268999999999998</v>
      </c>
      <c r="F217" s="473"/>
      <c r="G217" s="862">
        <f>ROUND(D217*E217,2)</f>
        <v>7.62</v>
      </c>
      <c r="H217" s="270"/>
      <c r="I217" s="41"/>
      <c r="J217" s="41"/>
      <c r="K217" s="271"/>
      <c r="L217" s="272"/>
      <c r="M217" s="878"/>
      <c r="N217" s="423"/>
      <c r="O217" s="406"/>
      <c r="P217" s="406"/>
      <c r="Q217" s="407"/>
      <c r="R217" s="422"/>
      <c r="S217" s="399"/>
      <c r="T217" s="399"/>
    </row>
    <row r="218" spans="1:20" s="81" customFormat="1" ht="15.75" customHeight="1" thickBot="1">
      <c r="A218" s="858"/>
      <c r="B218" s="859"/>
      <c r="C218" s="54" t="s">
        <v>29</v>
      </c>
      <c r="D218" s="860">
        <v>450</v>
      </c>
      <c r="E218" s="56">
        <v>6.9268999999999998</v>
      </c>
      <c r="F218" s="861"/>
      <c r="G218" s="866">
        <f t="shared" ref="G218" si="36">ROUND(D218*E218,2)</f>
        <v>3117.11</v>
      </c>
      <c r="H218" s="280"/>
      <c r="I218" s="281"/>
      <c r="J218" s="281"/>
      <c r="K218" s="282"/>
      <c r="L218" s="204"/>
      <c r="M218" s="880"/>
      <c r="N218" s="426"/>
      <c r="O218" s="416"/>
      <c r="P218" s="416"/>
      <c r="Q218" s="417"/>
      <c r="R218" s="422"/>
      <c r="S218" s="399"/>
      <c r="T218" s="399"/>
    </row>
    <row r="219" spans="1:20" s="81" customFormat="1" ht="15.75" customHeight="1">
      <c r="A219" s="902">
        <v>405</v>
      </c>
      <c r="B219" s="903" t="s">
        <v>147</v>
      </c>
      <c r="C219" s="439" t="s">
        <v>260</v>
      </c>
      <c r="D219" s="904">
        <f>июль18!D218+июль18!D219</f>
        <v>135.30000000000001</v>
      </c>
      <c r="E219" s="23">
        <f>6.9269-6.6998</f>
        <v>0.22710000000000008</v>
      </c>
      <c r="F219" s="905"/>
      <c r="G219" s="22">
        <f>ROUND(D219*E219,2)</f>
        <v>30.73</v>
      </c>
      <c r="H219" s="303"/>
      <c r="I219" s="261"/>
      <c r="J219" s="261"/>
      <c r="K219" s="262"/>
      <c r="L219" s="286">
        <f>SUM(G219:G221)</f>
        <v>1058.68</v>
      </c>
      <c r="M219" s="90">
        <v>1058.68</v>
      </c>
      <c r="N219" s="421"/>
      <c r="O219" s="77"/>
      <c r="P219" s="77"/>
      <c r="Q219" s="384"/>
      <c r="R219" s="422"/>
      <c r="S219" s="399"/>
      <c r="T219" s="399"/>
    </row>
    <row r="220" spans="1:20" s="81" customFormat="1" ht="15.75" customHeight="1">
      <c r="A220" s="468"/>
      <c r="B220" s="469"/>
      <c r="C220" s="48" t="s">
        <v>263</v>
      </c>
      <c r="D220" s="471">
        <v>0.4</v>
      </c>
      <c r="E220" s="41">
        <v>6.9268999999999998</v>
      </c>
      <c r="F220" s="473"/>
      <c r="G220" s="449">
        <f>ROUND(D220*E220,2)</f>
        <v>2.77</v>
      </c>
      <c r="H220" s="260"/>
      <c r="I220" s="261"/>
      <c r="J220" s="261"/>
      <c r="K220" s="262"/>
      <c r="L220" s="286"/>
      <c r="M220" s="90"/>
      <c r="N220" s="423"/>
      <c r="O220" s="406"/>
      <c r="P220" s="406"/>
      <c r="Q220" s="407"/>
      <c r="R220" s="422"/>
      <c r="S220" s="399"/>
      <c r="T220" s="399"/>
    </row>
    <row r="221" spans="1:20" s="81" customFormat="1" ht="15.75" customHeight="1" thickBot="1">
      <c r="A221" s="701"/>
      <c r="B221" s="702"/>
      <c r="C221" s="99" t="s">
        <v>29</v>
      </c>
      <c r="D221" s="703">
        <v>148</v>
      </c>
      <c r="E221" s="56">
        <v>6.9268999999999998</v>
      </c>
      <c r="F221" s="704"/>
      <c r="G221" s="39">
        <f t="shared" ref="G221" si="37">ROUND(D221*E221,2)</f>
        <v>1025.18</v>
      </c>
      <c r="H221" s="280"/>
      <c r="I221" s="281"/>
      <c r="J221" s="281"/>
      <c r="K221" s="282"/>
      <c r="L221" s="204"/>
      <c r="M221" s="371"/>
      <c r="N221" s="426"/>
      <c r="O221" s="416"/>
      <c r="P221" s="416"/>
      <c r="Q221" s="417"/>
      <c r="R221" s="422"/>
      <c r="S221" s="399"/>
      <c r="T221" s="399"/>
    </row>
    <row r="222" spans="1:20" s="81" customFormat="1" ht="15.75" hidden="1" customHeight="1" outlineLevel="1" thickBot="1">
      <c r="A222" s="910"/>
      <c r="B222" s="911" t="s">
        <v>155</v>
      </c>
      <c r="C222" s="573" t="s">
        <v>115</v>
      </c>
      <c r="D222" s="912"/>
      <c r="E222" s="579">
        <f>7.0379-7.0426</f>
        <v>-4.7000000000005926E-3</v>
      </c>
      <c r="F222" s="580"/>
      <c r="G222" s="913">
        <f>ROUND(D222*E222,2)</f>
        <v>0</v>
      </c>
      <c r="H222" s="914"/>
      <c r="I222" s="23"/>
      <c r="J222" s="23"/>
      <c r="K222" s="304"/>
      <c r="L222" s="263">
        <f>SUM(G222:G224)</f>
        <v>0</v>
      </c>
      <c r="M222" s="26"/>
      <c r="N222" s="421"/>
      <c r="O222" s="77"/>
      <c r="P222" s="77"/>
      <c r="Q222" s="384"/>
      <c r="R222" s="422"/>
      <c r="S222" s="399"/>
      <c r="T222" s="399"/>
    </row>
    <row r="223" spans="1:20" s="81" customFormat="1" ht="15.75" hidden="1" customHeight="1" outlineLevel="1" thickBot="1">
      <c r="A223" s="910"/>
      <c r="B223" s="915"/>
      <c r="C223" s="573" t="s">
        <v>114</v>
      </c>
      <c r="D223" s="912"/>
      <c r="E223" s="579">
        <v>7.0378999999999996</v>
      </c>
      <c r="F223" s="580"/>
      <c r="G223" s="913">
        <f>ROUND(D223*E223,2)</f>
        <v>0</v>
      </c>
      <c r="H223" s="914"/>
      <c r="I223" s="261"/>
      <c r="J223" s="261"/>
      <c r="K223" s="262"/>
      <c r="L223" s="286"/>
      <c r="M223" s="90"/>
      <c r="N223" s="423"/>
      <c r="O223" s="406"/>
      <c r="P223" s="406"/>
      <c r="Q223" s="407"/>
      <c r="R223" s="422"/>
      <c r="S223" s="399"/>
      <c r="T223" s="399"/>
    </row>
    <row r="224" spans="1:20" s="81" customFormat="1" ht="15.75" hidden="1" customHeight="1" outlineLevel="1" thickBot="1">
      <c r="A224" s="910"/>
      <c r="B224" s="915"/>
      <c r="C224" s="916" t="s">
        <v>29</v>
      </c>
      <c r="D224" s="912"/>
      <c r="E224" s="917">
        <v>7.0378999999999996</v>
      </c>
      <c r="F224" s="580"/>
      <c r="G224" s="913">
        <f t="shared" ref="G224" si="38">ROUND(D224*E224,2)</f>
        <v>0</v>
      </c>
      <c r="H224" s="914"/>
      <c r="I224" s="281"/>
      <c r="J224" s="281"/>
      <c r="K224" s="282"/>
      <c r="L224" s="204"/>
      <c r="M224" s="371"/>
      <c r="N224" s="426"/>
      <c r="O224" s="416"/>
      <c r="P224" s="416"/>
      <c r="Q224" s="417"/>
      <c r="R224" s="422"/>
      <c r="S224" s="399"/>
      <c r="T224" s="399"/>
    </row>
    <row r="225" spans="1:20" s="81" customFormat="1" ht="15.75" customHeight="1" collapsed="1">
      <c r="A225" s="902">
        <v>407</v>
      </c>
      <c r="B225" s="903" t="s">
        <v>160</v>
      </c>
      <c r="C225" s="439" t="s">
        <v>260</v>
      </c>
      <c r="D225" s="904">
        <f>июль18!D224+июль18!D225</f>
        <v>14.03</v>
      </c>
      <c r="E225" s="23">
        <f>6.9269-6.6998</f>
        <v>0.22710000000000008</v>
      </c>
      <c r="F225" s="905"/>
      <c r="G225" s="22">
        <f>ROUND(D225*E225,2)-0.01</f>
        <v>3.18</v>
      </c>
      <c r="H225" s="303"/>
      <c r="I225" s="23"/>
      <c r="J225" s="23"/>
      <c r="K225" s="304"/>
      <c r="L225" s="263">
        <f>SUM(G225:G227)</f>
        <v>169.85</v>
      </c>
      <c r="M225" s="26">
        <v>169.85</v>
      </c>
      <c r="N225" s="421"/>
      <c r="O225" s="77"/>
      <c r="P225" s="77"/>
      <c r="Q225" s="384"/>
      <c r="R225" s="422"/>
      <c r="S225" s="399"/>
      <c r="T225" s="399"/>
    </row>
    <row r="226" spans="1:20" s="81" customFormat="1" ht="15.75" customHeight="1">
      <c r="A226" s="468"/>
      <c r="B226" s="469"/>
      <c r="C226" s="48" t="s">
        <v>263</v>
      </c>
      <c r="D226" s="471">
        <v>0.06</v>
      </c>
      <c r="E226" s="41">
        <v>6.9268999999999998</v>
      </c>
      <c r="F226" s="473"/>
      <c r="G226" s="449">
        <f>ROUND(D226*E226,2)</f>
        <v>0.42</v>
      </c>
      <c r="H226" s="260"/>
      <c r="I226" s="261"/>
      <c r="J226" s="261"/>
      <c r="K226" s="262"/>
      <c r="L226" s="286"/>
      <c r="M226" s="90"/>
      <c r="N226" s="423"/>
      <c r="O226" s="406"/>
      <c r="P226" s="406"/>
      <c r="Q226" s="407"/>
      <c r="R226" s="422"/>
      <c r="S226" s="399"/>
      <c r="T226" s="399"/>
    </row>
    <row r="227" spans="1:20" s="81" customFormat="1" ht="15.75" customHeight="1" thickBot="1">
      <c r="A227" s="858"/>
      <c r="B227" s="859"/>
      <c r="C227" s="54" t="s">
        <v>29</v>
      </c>
      <c r="D227" s="860">
        <v>24</v>
      </c>
      <c r="E227" s="56">
        <v>6.9268999999999998</v>
      </c>
      <c r="F227" s="861"/>
      <c r="G227" s="414">
        <f t="shared" ref="G227" si="39">ROUND(D227*E227,2)</f>
        <v>166.25</v>
      </c>
      <c r="H227" s="280"/>
      <c r="I227" s="281"/>
      <c r="J227" s="281"/>
      <c r="K227" s="282"/>
      <c r="L227" s="204"/>
      <c r="M227" s="371"/>
      <c r="N227" s="426"/>
      <c r="O227" s="416"/>
      <c r="P227" s="416"/>
      <c r="Q227" s="417"/>
      <c r="R227" s="422"/>
      <c r="S227" s="399"/>
      <c r="T227" s="399"/>
    </row>
    <row r="228" spans="1:20" s="81" customFormat="1" ht="15.75" customHeight="1">
      <c r="A228" s="906">
        <v>408</v>
      </c>
      <c r="B228" s="903" t="s">
        <v>253</v>
      </c>
      <c r="C228" s="382" t="s">
        <v>73</v>
      </c>
      <c r="D228" s="904">
        <v>42</v>
      </c>
      <c r="E228" s="907">
        <v>40.556600000000003</v>
      </c>
      <c r="F228" s="905">
        <v>47.5304</v>
      </c>
      <c r="G228" s="908">
        <f>ROUND(D228*E228+D228*F228,2)</f>
        <v>3699.65</v>
      </c>
      <c r="H228" s="303"/>
      <c r="I228" s="23"/>
      <c r="J228" s="23"/>
      <c r="K228" s="304"/>
      <c r="L228" s="263">
        <f>SUM(G228:G232)</f>
        <v>14042.3</v>
      </c>
      <c r="M228" s="877">
        <v>14042.3</v>
      </c>
      <c r="N228" s="430"/>
      <c r="O228" s="77"/>
      <c r="P228" s="77"/>
      <c r="Q228" s="384"/>
      <c r="R228" s="422"/>
      <c r="S228" s="399"/>
      <c r="T228" s="399"/>
    </row>
    <row r="229" spans="1:20" s="81" customFormat="1" ht="15.75" customHeight="1" thickBot="1">
      <c r="A229" s="909"/>
      <c r="B229" s="469"/>
      <c r="C229" s="429" t="s">
        <v>26</v>
      </c>
      <c r="D229" s="471">
        <f>июль18!D226</f>
        <v>55</v>
      </c>
      <c r="E229" s="876">
        <f>40.5566-36.2142</f>
        <v>4.3424000000000049</v>
      </c>
      <c r="F229" s="473">
        <f>47.5304-42.4328</f>
        <v>5.0975999999999999</v>
      </c>
      <c r="G229" s="862">
        <f>ROUND(D229*E229+D229*F229,2)</f>
        <v>519.20000000000005</v>
      </c>
      <c r="H229" s="270"/>
      <c r="I229" s="41"/>
      <c r="J229" s="41"/>
      <c r="K229" s="271"/>
      <c r="L229" s="272"/>
      <c r="M229" s="878"/>
      <c r="N229" s="430"/>
      <c r="O229" s="406"/>
      <c r="P229" s="406"/>
      <c r="Q229" s="407"/>
      <c r="R229" s="422"/>
      <c r="S229" s="399"/>
      <c r="T229" s="399"/>
    </row>
    <row r="230" spans="1:20" s="81" customFormat="1" ht="15.75" customHeight="1">
      <c r="A230" s="468"/>
      <c r="B230" s="699"/>
      <c r="C230" s="48" t="s">
        <v>260</v>
      </c>
      <c r="D230" s="471">
        <f>июль18!D229+июль18!D230</f>
        <v>1581.8</v>
      </c>
      <c r="E230" s="41">
        <f>6.9269-6.6998</f>
        <v>0.22710000000000008</v>
      </c>
      <c r="F230" s="473"/>
      <c r="G230" s="862">
        <f>ROUND(D230*E230,2)</f>
        <v>359.23</v>
      </c>
      <c r="H230" s="270"/>
      <c r="I230" s="41"/>
      <c r="J230" s="41"/>
      <c r="K230" s="271"/>
      <c r="L230" s="272"/>
      <c r="M230" s="878"/>
      <c r="N230" s="421"/>
      <c r="O230" s="406"/>
      <c r="P230" s="406"/>
      <c r="Q230" s="407"/>
      <c r="R230" s="422"/>
      <c r="S230" s="399"/>
      <c r="T230" s="399"/>
    </row>
    <row r="231" spans="1:20" s="81" customFormat="1" ht="15.75" customHeight="1">
      <c r="A231" s="468"/>
      <c r="B231" s="469"/>
      <c r="C231" s="48" t="s">
        <v>263</v>
      </c>
      <c r="D231" s="471">
        <v>3.3</v>
      </c>
      <c r="E231" s="41">
        <v>6.9268999999999998</v>
      </c>
      <c r="F231" s="473"/>
      <c r="G231" s="862">
        <f>ROUND(D231*E231,2)</f>
        <v>22.86</v>
      </c>
      <c r="H231" s="270"/>
      <c r="I231" s="41"/>
      <c r="J231" s="41"/>
      <c r="K231" s="271"/>
      <c r="L231" s="272"/>
      <c r="M231" s="878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858"/>
      <c r="B232" s="859"/>
      <c r="C232" s="54" t="s">
        <v>29</v>
      </c>
      <c r="D232" s="860">
        <f>1289+74</f>
        <v>1363</v>
      </c>
      <c r="E232" s="56">
        <v>6.9268999999999998</v>
      </c>
      <c r="F232" s="861"/>
      <c r="G232" s="866">
        <f t="shared" ref="G232" si="40">ROUND(D232*E232,2)</f>
        <v>9441.36</v>
      </c>
      <c r="H232" s="280"/>
      <c r="I232" s="281"/>
      <c r="J232" s="281"/>
      <c r="K232" s="282"/>
      <c r="L232" s="204"/>
      <c r="M232" s="880"/>
      <c r="N232" s="426"/>
      <c r="O232" s="416"/>
      <c r="P232" s="416"/>
      <c r="Q232" s="417"/>
      <c r="R232" s="422"/>
      <c r="S232" s="399"/>
      <c r="T232" s="399"/>
    </row>
    <row r="233" spans="1:20" s="81" customFormat="1" ht="15" hidden="1" customHeight="1">
      <c r="A233" s="437">
        <v>129</v>
      </c>
      <c r="B233" s="438" t="s">
        <v>38</v>
      </c>
      <c r="C233" s="439"/>
      <c r="D233" s="378"/>
      <c r="E233" s="23"/>
      <c r="F233" s="23"/>
      <c r="G233" s="22"/>
      <c r="H233" s="303"/>
      <c r="I233" s="23"/>
      <c r="J233" s="23"/>
      <c r="K233" s="304"/>
      <c r="L233" s="382">
        <f>+SUM(G233:G236,J233:J236)</f>
        <v>0</v>
      </c>
      <c r="M233" s="26"/>
      <c r="N233" s="421"/>
      <c r="O233" s="77"/>
      <c r="P233" s="77"/>
      <c r="Q233" s="384">
        <f>+L233-M233</f>
        <v>0</v>
      </c>
      <c r="R233" s="899"/>
      <c r="S233" s="399"/>
      <c r="T233" s="399"/>
    </row>
    <row r="234" spans="1:20" s="81" customFormat="1" ht="15" hidden="1" customHeight="1">
      <c r="A234" s="441"/>
      <c r="B234" s="442" t="s">
        <v>198</v>
      </c>
      <c r="C234" s="48" t="s">
        <v>118</v>
      </c>
      <c r="D234" s="37"/>
      <c r="E234" s="41">
        <f>6.8416-6.7432</f>
        <v>9.8399999999999821E-2</v>
      </c>
      <c r="F234" s="41"/>
      <c r="G234" s="39">
        <f>ROUND(D234*E234,2)</f>
        <v>0</v>
      </c>
      <c r="H234" s="260"/>
      <c r="I234" s="261"/>
      <c r="J234" s="261"/>
      <c r="K234" s="262"/>
      <c r="L234" s="394"/>
      <c r="M234" s="90"/>
      <c r="N234" s="443"/>
      <c r="O234" s="94"/>
      <c r="P234" s="94"/>
      <c r="Q234" s="396"/>
      <c r="R234" s="899"/>
      <c r="S234" s="399"/>
      <c r="T234" s="399"/>
    </row>
    <row r="235" spans="1:20" s="81" customFormat="1" ht="15.75" hidden="1" thickBot="1">
      <c r="A235" s="441"/>
      <c r="B235" s="444"/>
      <c r="C235" s="48" t="s">
        <v>119</v>
      </c>
      <c r="D235" s="37"/>
      <c r="E235" s="41">
        <v>6.8415999999999997</v>
      </c>
      <c r="F235" s="41"/>
      <c r="G235" s="39">
        <f t="shared" ref="G235:G236" si="41">ROUND(D235*E235,2)</f>
        <v>0</v>
      </c>
      <c r="H235" s="432"/>
      <c r="I235" s="207"/>
      <c r="J235" s="207"/>
      <c r="K235" s="362"/>
      <c r="L235" s="433"/>
      <c r="M235" s="63"/>
      <c r="N235" s="423"/>
      <c r="O235" s="406"/>
      <c r="P235" s="406"/>
      <c r="Q235" s="407"/>
      <c r="R235" s="899"/>
      <c r="S235" s="399"/>
      <c r="T235" s="399"/>
    </row>
    <row r="236" spans="1:20" s="81" customFormat="1" ht="15" hidden="1" customHeight="1" thickBot="1">
      <c r="A236" s="445"/>
      <c r="B236" s="446"/>
      <c r="C236" s="99" t="s">
        <v>29</v>
      </c>
      <c r="D236" s="413"/>
      <c r="E236" s="56">
        <v>6.8415999999999997</v>
      </c>
      <c r="F236" s="281"/>
      <c r="G236" s="414">
        <f t="shared" si="41"/>
        <v>0</v>
      </c>
      <c r="H236" s="280"/>
      <c r="I236" s="281"/>
      <c r="J236" s="281"/>
      <c r="K236" s="282"/>
      <c r="L236" s="204"/>
      <c r="M236" s="371"/>
      <c r="N236" s="434"/>
      <c r="O236" s="435"/>
      <c r="P236" s="435"/>
      <c r="Q236" s="425"/>
      <c r="R236" s="899"/>
      <c r="S236" s="399"/>
      <c r="T236" s="399"/>
    </row>
    <row r="237" spans="1:20" s="81" customFormat="1" ht="15.75" hidden="1" customHeight="1">
      <c r="A237" s="902">
        <v>118</v>
      </c>
      <c r="B237" s="924" t="s">
        <v>200</v>
      </c>
      <c r="C237" s="390" t="s">
        <v>73</v>
      </c>
      <c r="D237" s="869"/>
      <c r="E237" s="86">
        <v>36.214199999999998</v>
      </c>
      <c r="F237" s="86">
        <v>42.4328</v>
      </c>
      <c r="G237" s="449">
        <f>+D237*(E237+F237)</f>
        <v>0</v>
      </c>
      <c r="H237" s="260"/>
      <c r="I237" s="392"/>
      <c r="J237" s="41"/>
      <c r="K237" s="870"/>
      <c r="L237" s="286">
        <f>SUM(G237:G241,J237:J241)</f>
        <v>0</v>
      </c>
      <c r="M237" s="90"/>
      <c r="N237" s="443"/>
      <c r="O237" s="94"/>
      <c r="P237" s="94"/>
      <c r="Q237" s="396"/>
      <c r="R237" s="422"/>
      <c r="S237" s="399"/>
      <c r="T237" s="399"/>
    </row>
    <row r="238" spans="1:20" s="81" customFormat="1" ht="15.75" hidden="1" customHeight="1">
      <c r="A238" s="468"/>
      <c r="B238" s="920"/>
      <c r="C238" s="36" t="s">
        <v>26</v>
      </c>
      <c r="D238" s="37"/>
      <c r="E238" s="38"/>
      <c r="F238" s="38"/>
      <c r="G238" s="39">
        <f>ROUND(D238*(E238+F238),2)</f>
        <v>0</v>
      </c>
      <c r="H238" s="457"/>
      <c r="I238" s="392"/>
      <c r="J238" s="41"/>
      <c r="K238" s="393"/>
      <c r="L238" s="459"/>
      <c r="M238" s="44"/>
      <c r="N238" s="430"/>
      <c r="O238" s="406"/>
      <c r="P238" s="406"/>
      <c r="Q238" s="407"/>
      <c r="R238" s="422"/>
      <c r="S238" s="399"/>
      <c r="T238" s="399"/>
    </row>
    <row r="239" spans="1:20" s="81" customFormat="1" ht="15.75" hidden="1" customHeight="1">
      <c r="A239" s="468"/>
      <c r="B239" s="920"/>
      <c r="C239" s="48" t="s">
        <v>124</v>
      </c>
      <c r="D239" s="37"/>
      <c r="E239" s="41"/>
      <c r="F239" s="38"/>
      <c r="G239" s="39">
        <f>ROUND(D239*(E239),2)</f>
        <v>0</v>
      </c>
      <c r="H239" s="270"/>
      <c r="I239" s="41"/>
      <c r="J239" s="41"/>
      <c r="K239" s="271"/>
      <c r="L239" s="272"/>
      <c r="M239" s="102"/>
      <c r="N239" s="430"/>
      <c r="O239" s="406"/>
      <c r="P239" s="406"/>
      <c r="Q239" s="407"/>
      <c r="R239" s="422"/>
      <c r="S239" s="399"/>
      <c r="T239" s="399"/>
    </row>
    <row r="240" spans="1:20" s="81" customFormat="1" ht="15.75" hidden="1" customHeight="1">
      <c r="A240" s="468"/>
      <c r="B240" s="920"/>
      <c r="C240" s="48" t="s">
        <v>125</v>
      </c>
      <c r="D240" s="37"/>
      <c r="E240" s="41">
        <v>6.7431999999999999</v>
      </c>
      <c r="F240" s="38"/>
      <c r="G240" s="39">
        <f>ROUND(D240*(E240),2)</f>
        <v>0</v>
      </c>
      <c r="H240" s="270"/>
      <c r="I240" s="41"/>
      <c r="J240" s="41"/>
      <c r="K240" s="271"/>
      <c r="L240" s="272"/>
      <c r="M240" s="102"/>
      <c r="N240" s="434"/>
      <c r="O240" s="435"/>
      <c r="P240" s="435"/>
      <c r="Q240" s="425"/>
      <c r="R240" s="422"/>
      <c r="S240" s="399"/>
      <c r="T240" s="399"/>
    </row>
    <row r="241" spans="1:20" s="81" customFormat="1" ht="15.75" hidden="1" customHeight="1" thickBot="1">
      <c r="A241" s="858"/>
      <c r="B241" s="921"/>
      <c r="C241" s="54" t="s">
        <v>29</v>
      </c>
      <c r="D241" s="413"/>
      <c r="E241" s="56">
        <v>6.7431999999999999</v>
      </c>
      <c r="F241" s="281"/>
      <c r="G241" s="414">
        <f>ROUND(D241*(E241),2)</f>
        <v>0</v>
      </c>
      <c r="H241" s="280"/>
      <c r="I241" s="281"/>
      <c r="J241" s="281"/>
      <c r="K241" s="282"/>
      <c r="L241" s="204"/>
      <c r="M241" s="371"/>
      <c r="N241" s="426"/>
      <c r="O241" s="416"/>
      <c r="P241" s="416"/>
      <c r="Q241" s="417"/>
      <c r="R241" s="422"/>
      <c r="S241" s="399"/>
      <c r="T241" s="399"/>
    </row>
    <row r="242" spans="1:20" s="81" customFormat="1" ht="15.75" customHeight="1">
      <c r="A242" s="902" t="s">
        <v>258</v>
      </c>
      <c r="B242" s="903" t="s">
        <v>265</v>
      </c>
      <c r="C242" s="439" t="s">
        <v>260</v>
      </c>
      <c r="D242" s="904">
        <f>июль18!D241+июль18!D242</f>
        <v>113.3</v>
      </c>
      <c r="E242" s="23">
        <f>6.9269-6.6998</f>
        <v>0.22710000000000008</v>
      </c>
      <c r="F242" s="905"/>
      <c r="G242" s="22">
        <f>ROUND(D242*E242,2)</f>
        <v>25.73</v>
      </c>
      <c r="H242" s="303"/>
      <c r="I242" s="23"/>
      <c r="J242" s="23"/>
      <c r="K242" s="304"/>
      <c r="L242" s="263">
        <f>SUM(G242:G244)</f>
        <v>803.61999999999989</v>
      </c>
      <c r="M242" s="26">
        <v>803.62</v>
      </c>
      <c r="N242" s="421"/>
      <c r="O242" s="77"/>
      <c r="P242" s="77"/>
      <c r="Q242" s="384"/>
      <c r="R242" s="422"/>
      <c r="S242" s="399"/>
      <c r="T242" s="399"/>
    </row>
    <row r="243" spans="1:20" s="81" customFormat="1" ht="15.75" customHeight="1">
      <c r="A243" s="468"/>
      <c r="B243" s="469" t="s">
        <v>266</v>
      </c>
      <c r="C243" s="48" t="s">
        <v>263</v>
      </c>
      <c r="D243" s="471">
        <v>0.3</v>
      </c>
      <c r="E243" s="41">
        <v>6.9268999999999998</v>
      </c>
      <c r="F243" s="473"/>
      <c r="G243" s="449">
        <f>ROUND(D243*E243,2)</f>
        <v>2.08</v>
      </c>
      <c r="H243" s="260"/>
      <c r="I243" s="261"/>
      <c r="J243" s="261"/>
      <c r="K243" s="262"/>
      <c r="L243" s="286"/>
      <c r="M243" s="90"/>
      <c r="N243" s="423"/>
      <c r="O243" s="406"/>
      <c r="P243" s="406"/>
      <c r="Q243" s="407"/>
      <c r="R243" s="422"/>
      <c r="S243" s="399"/>
      <c r="T243" s="399"/>
    </row>
    <row r="244" spans="1:20" s="81" customFormat="1" ht="15.75" customHeight="1" thickBot="1">
      <c r="A244" s="858"/>
      <c r="B244" s="859"/>
      <c r="C244" s="54" t="s">
        <v>29</v>
      </c>
      <c r="D244" s="860">
        <v>112</v>
      </c>
      <c r="E244" s="56">
        <v>6.9268999999999998</v>
      </c>
      <c r="F244" s="861"/>
      <c r="G244" s="414">
        <f t="shared" ref="G244" si="42">ROUND(D244*E244,2)</f>
        <v>775.81</v>
      </c>
      <c r="H244" s="280"/>
      <c r="I244" s="281"/>
      <c r="J244" s="281"/>
      <c r="K244" s="282"/>
      <c r="L244" s="204"/>
      <c r="M244" s="371"/>
      <c r="N244" s="426"/>
      <c r="O244" s="416"/>
      <c r="P244" s="416"/>
      <c r="Q244" s="417"/>
      <c r="R244" s="422"/>
      <c r="S244" s="399"/>
      <c r="T244" s="399"/>
    </row>
    <row r="245" spans="1:20" s="81" customFormat="1" ht="15.75" customHeight="1">
      <c r="A245" s="902" t="s">
        <v>258</v>
      </c>
      <c r="B245" s="903" t="s">
        <v>267</v>
      </c>
      <c r="C245" s="439" t="s">
        <v>260</v>
      </c>
      <c r="D245" s="904"/>
      <c r="E245" s="23">
        <f>6.9269-6.6998</f>
        <v>0.22710000000000008</v>
      </c>
      <c r="F245" s="905"/>
      <c r="G245" s="22">
        <f>ROUND(D245*E245,2)</f>
        <v>0</v>
      </c>
      <c r="H245" s="303"/>
      <c r="I245" s="23"/>
      <c r="J245" s="23"/>
      <c r="K245" s="304"/>
      <c r="L245" s="263">
        <f>SUM(G245:G247)</f>
        <v>13.85</v>
      </c>
      <c r="M245" s="26"/>
      <c r="N245" s="421"/>
      <c r="O245" s="1561" t="s">
        <v>268</v>
      </c>
      <c r="P245" s="1562"/>
      <c r="Q245" s="1563"/>
      <c r="R245" s="422"/>
      <c r="S245" s="399"/>
      <c r="T245" s="399"/>
    </row>
    <row r="246" spans="1:20" s="81" customFormat="1" ht="15.75" customHeight="1">
      <c r="A246" s="468"/>
      <c r="B246" s="469"/>
      <c r="C246" s="48" t="s">
        <v>263</v>
      </c>
      <c r="D246" s="471">
        <v>0</v>
      </c>
      <c r="E246" s="41">
        <v>6.9268999999999998</v>
      </c>
      <c r="F246" s="473"/>
      <c r="G246" s="449">
        <f>ROUND(D246*E246,2)</f>
        <v>0</v>
      </c>
      <c r="H246" s="260"/>
      <c r="I246" s="261"/>
      <c r="J246" s="261"/>
      <c r="K246" s="262"/>
      <c r="L246" s="286"/>
      <c r="M246" s="90"/>
      <c r="N246" s="423"/>
      <c r="O246" s="406"/>
      <c r="P246" s="406"/>
      <c r="Q246" s="407"/>
      <c r="R246" s="422"/>
      <c r="S246" s="399"/>
      <c r="T246" s="399"/>
    </row>
    <row r="247" spans="1:20" s="81" customFormat="1" ht="15.75" customHeight="1" thickBot="1">
      <c r="A247" s="858"/>
      <c r="B247" s="859"/>
      <c r="C247" s="54" t="s">
        <v>29</v>
      </c>
      <c r="D247" s="860">
        <v>2</v>
      </c>
      <c r="E247" s="56">
        <v>6.9268999999999998</v>
      </c>
      <c r="F247" s="861"/>
      <c r="G247" s="414">
        <f t="shared" ref="G247" si="43">ROUND(D247*E247,2)</f>
        <v>13.85</v>
      </c>
      <c r="H247" s="280"/>
      <c r="I247" s="281"/>
      <c r="J247" s="281"/>
      <c r="K247" s="282"/>
      <c r="L247" s="204"/>
      <c r="M247" s="371"/>
      <c r="N247" s="426"/>
      <c r="O247" s="416"/>
      <c r="P247" s="416"/>
      <c r="Q247" s="417"/>
      <c r="R247" s="422"/>
      <c r="S247" s="399"/>
      <c r="T247" s="399"/>
    </row>
    <row r="248" spans="1:20" s="81" customFormat="1" ht="15.75" customHeight="1">
      <c r="A248" s="926"/>
      <c r="B248" s="927"/>
      <c r="C248" s="928"/>
      <c r="D248" s="904"/>
      <c r="E248" s="929"/>
      <c r="F248" s="905"/>
      <c r="G248" s="930"/>
      <c r="H248" s="905"/>
      <c r="I248" s="905"/>
      <c r="J248" s="905"/>
      <c r="K248" s="905"/>
      <c r="L248" s="905"/>
      <c r="M248" s="931"/>
      <c r="N248" s="387"/>
      <c r="O248" s="387"/>
      <c r="P248" s="387"/>
      <c r="Q248" s="387"/>
      <c r="R248" s="422"/>
      <c r="S248" s="399"/>
      <c r="T248" s="399"/>
    </row>
    <row r="249" spans="1:20" s="81" customFormat="1" ht="15" customHeight="1">
      <c r="A249" s="686"/>
      <c r="B249" s="469"/>
      <c r="C249" s="932"/>
      <c r="D249" s="471"/>
      <c r="E249" s="473"/>
      <c r="F249" s="473"/>
      <c r="G249" s="474"/>
      <c r="H249" s="473"/>
      <c r="I249" s="473"/>
      <c r="J249" s="473"/>
      <c r="K249" s="473"/>
      <c r="L249" s="473"/>
      <c r="M249" s="470"/>
      <c r="N249" s="399"/>
      <c r="O249" s="399"/>
      <c r="P249" s="399"/>
      <c r="Q249" s="399"/>
      <c r="R249" s="422"/>
      <c r="S249" s="399"/>
      <c r="T249" s="399"/>
    </row>
    <row r="250" spans="1:20" ht="21.75" thickBot="1">
      <c r="A250" s="171" t="s">
        <v>84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2"/>
      <c r="P250" s="2"/>
      <c r="Q250" s="2"/>
      <c r="R250" s="2"/>
      <c r="S250" s="2"/>
      <c r="T250" s="2"/>
    </row>
    <row r="251" spans="1:20" ht="15.75" customHeight="1" thickTop="1" thickBot="1">
      <c r="A251" s="1540" t="s">
        <v>1</v>
      </c>
      <c r="B251" s="1542" t="s">
        <v>2</v>
      </c>
      <c r="C251" s="1544" t="s">
        <v>3</v>
      </c>
      <c r="D251" s="1546" t="s">
        <v>4</v>
      </c>
      <c r="E251" s="1546"/>
      <c r="F251" s="1546"/>
      <c r="G251" s="1546"/>
      <c r="H251" s="1547" t="s">
        <v>5</v>
      </c>
      <c r="I251" s="1548"/>
      <c r="J251" s="1548"/>
      <c r="K251" s="1549"/>
      <c r="L251" s="1524" t="s">
        <v>6</v>
      </c>
      <c r="M251" s="1511" t="s">
        <v>7</v>
      </c>
      <c r="N251" s="1551" t="s">
        <v>8</v>
      </c>
      <c r="O251" s="1551"/>
      <c r="P251" s="1551"/>
      <c r="Q251" s="1552" t="s">
        <v>18</v>
      </c>
      <c r="R251" s="481" t="s">
        <v>85</v>
      </c>
      <c r="S251" s="482" t="s">
        <v>20</v>
      </c>
      <c r="T251" s="482" t="s">
        <v>21</v>
      </c>
    </row>
    <row r="252" spans="1:20" ht="40.5" customHeight="1" thickTop="1" thickBot="1">
      <c r="A252" s="1541"/>
      <c r="B252" s="1543"/>
      <c r="C252" s="1545" t="s">
        <v>10</v>
      </c>
      <c r="D252" s="483" t="s">
        <v>11</v>
      </c>
      <c r="E252" s="484" t="s">
        <v>12</v>
      </c>
      <c r="F252" s="484" t="s">
        <v>13</v>
      </c>
      <c r="G252" s="485" t="s">
        <v>14</v>
      </c>
      <c r="H252" s="483" t="s">
        <v>11</v>
      </c>
      <c r="I252" s="486" t="s">
        <v>15</v>
      </c>
      <c r="J252" s="485"/>
      <c r="K252" s="487" t="s">
        <v>16</v>
      </c>
      <c r="L252" s="1525"/>
      <c r="M252" s="1550"/>
      <c r="N252" s="488" t="s">
        <v>14</v>
      </c>
      <c r="O252" s="485"/>
      <c r="P252" s="489" t="s">
        <v>18</v>
      </c>
      <c r="Q252" s="490" t="s">
        <v>19</v>
      </c>
      <c r="R252" s="491"/>
      <c r="S252" s="492"/>
      <c r="T252" s="492"/>
    </row>
    <row r="253" spans="1:20">
      <c r="A253" s="961" t="s">
        <v>228</v>
      </c>
      <c r="B253" s="602" t="s">
        <v>186</v>
      </c>
      <c r="C253" s="439" t="s">
        <v>260</v>
      </c>
      <c r="D253" s="184">
        <f>июль18!D249+июль18!D250</f>
        <v>125</v>
      </c>
      <c r="E253" s="41">
        <f>6.7023-6.509</f>
        <v>0.19329999999999981</v>
      </c>
      <c r="F253" s="23"/>
      <c r="G253" s="185">
        <f>ROUND(D253*(E253),2)+0.01</f>
        <v>24.17</v>
      </c>
      <c r="H253" s="620"/>
      <c r="I253" s="620"/>
      <c r="J253" s="620"/>
      <c r="K253" s="634"/>
      <c r="L253" s="603">
        <f>SUM(G253:G255)</f>
        <v>1036.21</v>
      </c>
      <c r="M253" s="187">
        <v>1036.21</v>
      </c>
      <c r="N253" s="615"/>
      <c r="O253" s="615"/>
      <c r="P253" s="615"/>
      <c r="Q253" s="615"/>
    </row>
    <row r="254" spans="1:20">
      <c r="A254" s="934"/>
      <c r="B254" s="506"/>
      <c r="C254" s="48" t="s">
        <v>263</v>
      </c>
      <c r="D254" s="49">
        <v>6</v>
      </c>
      <c r="E254" s="41">
        <v>6.7023000000000001</v>
      </c>
      <c r="F254" s="41">
        <f>+E254</f>
        <v>6.7023000000000001</v>
      </c>
      <c r="G254" s="50">
        <f>ROUND(D254*(E254),2)</f>
        <v>40.21</v>
      </c>
      <c r="H254" s="296"/>
      <c r="I254" s="298"/>
      <c r="J254" s="298"/>
      <c r="K254" s="637"/>
      <c r="L254" s="606"/>
      <c r="M254" s="935"/>
      <c r="N254" s="615"/>
      <c r="O254" s="615"/>
      <c r="P254" s="615"/>
      <c r="Q254" s="615"/>
    </row>
    <row r="255" spans="1:20" ht="15.75" thickBot="1">
      <c r="A255" s="934"/>
      <c r="B255" s="506"/>
      <c r="C255" s="54" t="s">
        <v>29</v>
      </c>
      <c r="D255" s="296">
        <v>145</v>
      </c>
      <c r="E255" s="56">
        <v>6.7023000000000001</v>
      </c>
      <c r="F255" s="41">
        <f>+E255</f>
        <v>6.7023000000000001</v>
      </c>
      <c r="G255" s="50">
        <f t="shared" ref="G255" si="44">ROUND(D255*(E255),2)</f>
        <v>971.83</v>
      </c>
      <c r="H255" s="296"/>
      <c r="I255" s="298"/>
      <c r="J255" s="298"/>
      <c r="K255" s="637"/>
      <c r="L255" s="614"/>
      <c r="M255" s="935"/>
      <c r="N255" s="615"/>
      <c r="O255" s="615"/>
      <c r="P255" s="615"/>
      <c r="Q255" s="615"/>
    </row>
    <row r="256" spans="1:20">
      <c r="A256" s="961" t="s">
        <v>207</v>
      </c>
      <c r="B256" s="602" t="s">
        <v>184</v>
      </c>
      <c r="C256" s="439" t="s">
        <v>260</v>
      </c>
      <c r="D256" s="184">
        <f>июль18!D252+июль18!D253</f>
        <v>0</v>
      </c>
      <c r="E256" s="41">
        <f>6.7023-6.509</f>
        <v>0.19329999999999981</v>
      </c>
      <c r="F256" s="23">
        <f>+E256</f>
        <v>0.19329999999999981</v>
      </c>
      <c r="G256" s="185">
        <f>ROUND(D256*(E256),2)</f>
        <v>0</v>
      </c>
      <c r="H256" s="620"/>
      <c r="I256" s="620"/>
      <c r="J256" s="620"/>
      <c r="K256" s="634"/>
      <c r="L256" s="603">
        <f>SUM(G256:G258)</f>
        <v>6.9700000000000006</v>
      </c>
      <c r="M256" s="187"/>
      <c r="N256" s="615"/>
      <c r="O256" s="962" t="s">
        <v>276</v>
      </c>
      <c r="P256" s="615"/>
      <c r="Q256" s="615"/>
    </row>
    <row r="257" spans="1:21">
      <c r="A257" s="934"/>
      <c r="B257" s="506"/>
      <c r="C257" s="48" t="s">
        <v>263</v>
      </c>
      <c r="D257" s="49">
        <v>0.04</v>
      </c>
      <c r="E257" s="41">
        <v>6.7023000000000001</v>
      </c>
      <c r="F257" s="41">
        <f>+E257</f>
        <v>6.7023000000000001</v>
      </c>
      <c r="G257" s="50">
        <f>ROUND(D257*(E257),2)</f>
        <v>0.27</v>
      </c>
      <c r="H257" s="296"/>
      <c r="I257" s="298"/>
      <c r="J257" s="298"/>
      <c r="K257" s="637"/>
      <c r="L257" s="606"/>
      <c r="M257" s="935"/>
      <c r="N257" s="615"/>
      <c r="O257" s="615"/>
      <c r="P257" s="615"/>
      <c r="Q257" s="615"/>
    </row>
    <row r="258" spans="1:21" ht="15.75" thickBot="1">
      <c r="A258" s="934"/>
      <c r="B258" s="506"/>
      <c r="C258" s="54" t="s">
        <v>29</v>
      </c>
      <c r="D258" s="296">
        <v>1</v>
      </c>
      <c r="E258" s="56">
        <v>6.7023000000000001</v>
      </c>
      <c r="F258" s="41">
        <f>+E258</f>
        <v>6.7023000000000001</v>
      </c>
      <c r="G258" s="50">
        <f t="shared" ref="G258" si="45">ROUND(D258*(E258),2)</f>
        <v>6.7</v>
      </c>
      <c r="H258" s="296"/>
      <c r="I258" s="298"/>
      <c r="J258" s="298"/>
      <c r="K258" s="637"/>
      <c r="L258" s="614"/>
      <c r="M258" s="935"/>
      <c r="N258" s="615"/>
      <c r="O258" s="615"/>
      <c r="P258" s="615"/>
      <c r="Q258" s="615"/>
    </row>
    <row r="259" spans="1:21" ht="15.75" thickTop="1">
      <c r="A259" s="376">
        <v>100</v>
      </c>
      <c r="B259" s="494" t="s">
        <v>193</v>
      </c>
      <c r="C259" s="71" t="s">
        <v>243</v>
      </c>
      <c r="D259" s="495">
        <v>11</v>
      </c>
      <c r="E259" s="21">
        <v>40.556600000000003</v>
      </c>
      <c r="F259" s="21">
        <v>47.5304</v>
      </c>
      <c r="G259" s="185">
        <f>ROUND(D259*(E259+F259),2)</f>
        <v>968.96</v>
      </c>
      <c r="H259" s="496"/>
      <c r="I259" s="73"/>
      <c r="J259" s="73"/>
      <c r="K259" s="601"/>
      <c r="L259" s="498">
        <f>SUM(G259:G266)+SUM(J259:J265)</f>
        <v>25597.72</v>
      </c>
      <c r="M259" s="26">
        <v>25597.72</v>
      </c>
      <c r="N259" s="499"/>
      <c r="O259" s="500"/>
      <c r="P259" s="501" t="s">
        <v>87</v>
      </c>
      <c r="Q259" s="595" t="e">
        <f t="shared" ref="Q259" si="46">C259+G259+J259-M259-N259-O259</f>
        <v>#VALUE!</v>
      </c>
    </row>
    <row r="260" spans="1:21" ht="15.75" thickBot="1">
      <c r="A260" s="389"/>
      <c r="B260" s="506"/>
      <c r="C260" s="507" t="s">
        <v>96</v>
      </c>
      <c r="D260" s="234"/>
      <c r="E260" s="38"/>
      <c r="F260" s="38"/>
      <c r="G260" s="235">
        <f>ROUND(D260*(E260+F260),2)</f>
        <v>0</v>
      </c>
      <c r="H260" s="448"/>
      <c r="I260" s="509"/>
      <c r="J260" s="199"/>
      <c r="K260" s="517"/>
      <c r="L260" s="511"/>
      <c r="M260" s="512"/>
      <c r="N260" s="513"/>
      <c r="O260" s="514"/>
      <c r="P260" s="515"/>
      <c r="Q260" s="262"/>
      <c r="U260" s="33"/>
    </row>
    <row r="261" spans="1:21">
      <c r="A261" s="389"/>
      <c r="B261" s="516" t="s">
        <v>89</v>
      </c>
      <c r="C261" s="512" t="s">
        <v>90</v>
      </c>
      <c r="D261" s="508">
        <v>1</v>
      </c>
      <c r="E261" s="101">
        <v>237.98</v>
      </c>
      <c r="F261" s="21">
        <v>47.5304</v>
      </c>
      <c r="G261" s="50">
        <f>ROUND(D261*(E261+F261),2)</f>
        <v>285.51</v>
      </c>
      <c r="H261" s="270"/>
      <c r="I261" s="41"/>
      <c r="J261" s="207"/>
      <c r="K261" s="517"/>
      <c r="L261" s="517"/>
      <c r="M261" s="99"/>
      <c r="N261" s="518"/>
      <c r="O261" s="519"/>
      <c r="P261" s="515" t="s">
        <v>87</v>
      </c>
      <c r="Q261" s="271">
        <f>+G261+J261-M261-N261-O261</f>
        <v>285.51</v>
      </c>
    </row>
    <row r="262" spans="1:21">
      <c r="A262" s="389"/>
      <c r="B262" s="541"/>
      <c r="C262" s="84" t="s">
        <v>97</v>
      </c>
      <c r="D262" s="508"/>
      <c r="E262" s="41"/>
      <c r="F262" s="38"/>
      <c r="G262" s="50">
        <f>ROUND(D262*(E262+F262),2)</f>
        <v>0</v>
      </c>
      <c r="H262" s="432"/>
      <c r="I262" s="362"/>
      <c r="J262" s="207"/>
      <c r="K262" s="517"/>
      <c r="L262" s="517"/>
      <c r="M262" s="520"/>
      <c r="N262" s="521"/>
      <c r="O262" s="522"/>
      <c r="P262" s="523"/>
      <c r="Q262" s="362"/>
    </row>
    <row r="263" spans="1:21">
      <c r="A263" s="389"/>
      <c r="B263" s="541" t="s">
        <v>194</v>
      </c>
      <c r="C263" s="84"/>
      <c r="D263" s="508"/>
      <c r="E263" s="41"/>
      <c r="F263" s="41"/>
      <c r="G263" s="50"/>
      <c r="H263" s="432"/>
      <c r="I263" s="362"/>
      <c r="J263" s="207"/>
      <c r="K263" s="517"/>
      <c r="L263" s="517"/>
      <c r="M263" s="520"/>
      <c r="N263" s="521"/>
      <c r="O263" s="522"/>
      <c r="P263" s="523"/>
      <c r="Q263" s="362"/>
    </row>
    <row r="264" spans="1:21">
      <c r="A264" s="389"/>
      <c r="B264" s="506"/>
      <c r="C264" s="48" t="s">
        <v>260</v>
      </c>
      <c r="D264" s="37"/>
      <c r="E264" s="41"/>
      <c r="F264" s="41">
        <f>+E264</f>
        <v>0</v>
      </c>
      <c r="G264" s="39">
        <f>ROUND(D264*E264,2)</f>
        <v>0</v>
      </c>
      <c r="H264" s="432"/>
      <c r="I264" s="362"/>
      <c r="J264" s="207"/>
      <c r="K264" s="517"/>
      <c r="L264" s="517"/>
      <c r="M264" s="520"/>
      <c r="N264" s="521"/>
      <c r="O264" s="522"/>
      <c r="P264" s="523"/>
      <c r="Q264" s="362"/>
    </row>
    <row r="265" spans="1:21">
      <c r="A265" s="389"/>
      <c r="B265" s="506"/>
      <c r="C265" s="48" t="s">
        <v>263</v>
      </c>
      <c r="D265" s="37">
        <v>155</v>
      </c>
      <c r="E265" s="41">
        <v>6.6439000000000004</v>
      </c>
      <c r="F265" s="41">
        <f>+E265</f>
        <v>6.6439000000000004</v>
      </c>
      <c r="G265" s="39">
        <f>ROUND(D265*E265,2)</f>
        <v>1029.8</v>
      </c>
      <c r="H265" s="432"/>
      <c r="I265" s="362"/>
      <c r="J265" s="207"/>
      <c r="K265" s="517"/>
      <c r="L265" s="517"/>
      <c r="M265" s="520"/>
      <c r="N265" s="521"/>
      <c r="O265" s="522"/>
      <c r="P265" s="523"/>
      <c r="Q265" s="362"/>
      <c r="U265" s="33"/>
    </row>
    <row r="266" spans="1:21" ht="15.75" thickBot="1">
      <c r="A266" s="411"/>
      <c r="B266" s="526"/>
      <c r="C266" s="99" t="s">
        <v>29</v>
      </c>
      <c r="D266" s="55">
        <v>3509</v>
      </c>
      <c r="E266" s="56">
        <v>6.6439000000000004</v>
      </c>
      <c r="F266" s="281">
        <f>+E266</f>
        <v>6.6439000000000004</v>
      </c>
      <c r="G266" s="58">
        <f>ROUND(D266*E266,2)</f>
        <v>23313.45</v>
      </c>
      <c r="H266" s="248"/>
      <c r="I266" s="203"/>
      <c r="J266" s="60"/>
      <c r="K266" s="61"/>
      <c r="L266" s="249"/>
      <c r="M266" s="54"/>
      <c r="N266" s="521"/>
      <c r="O266" s="528"/>
      <c r="P266" s="529" t="s">
        <v>87</v>
      </c>
      <c r="Q266" s="362">
        <f>+G266+J266-M266-N266-O266</f>
        <v>23313.45</v>
      </c>
    </row>
    <row r="267" spans="1:21" ht="15.75" collapsed="1" thickTop="1">
      <c r="A267" s="389">
        <v>113</v>
      </c>
      <c r="B267" s="494" t="s">
        <v>250</v>
      </c>
      <c r="C267" s="71" t="s">
        <v>73</v>
      </c>
      <c r="D267" s="495">
        <f>29+13</f>
        <v>42</v>
      </c>
      <c r="E267" s="21">
        <v>40.556600000000003</v>
      </c>
      <c r="F267" s="21">
        <v>47.5304</v>
      </c>
      <c r="G267" s="185">
        <f>ROUND(D267*(E267+F267),2)</f>
        <v>3699.65</v>
      </c>
      <c r="H267" s="496"/>
      <c r="I267" s="73"/>
      <c r="J267" s="73"/>
      <c r="K267" s="497"/>
      <c r="L267" s="498">
        <f>SUM(G267:G273)+SUM(J267:J272)</f>
        <v>33589.003199999999</v>
      </c>
      <c r="M267" s="26">
        <v>33589</v>
      </c>
      <c r="N267" s="594"/>
      <c r="O267" s="535"/>
      <c r="P267" s="536" t="s">
        <v>87</v>
      </c>
      <c r="Q267" s="595" t="e">
        <f>C267+G267+J267-M267-N267-O267</f>
        <v>#VALUE!</v>
      </c>
      <c r="R267" s="502" t="s">
        <v>88</v>
      </c>
      <c r="S267" s="503"/>
      <c r="T267" s="504"/>
      <c r="U267" s="33">
        <f>+M267-L267</f>
        <v>-3.1999999991967343E-3</v>
      </c>
    </row>
    <row r="268" spans="1:21">
      <c r="A268" s="389"/>
      <c r="B268" s="506"/>
      <c r="C268" s="542" t="s">
        <v>264</v>
      </c>
      <c r="D268" s="508">
        <f>июль18!D262</f>
        <v>21</v>
      </c>
      <c r="E268" s="38">
        <f>40.5566-36.2142</f>
        <v>4.3424000000000049</v>
      </c>
      <c r="F268" s="38">
        <f>47.5304-42.4328</f>
        <v>5.0975999999999999</v>
      </c>
      <c r="G268" s="50">
        <f>ROUND(D268*(E268+F268),2)</f>
        <v>198.24</v>
      </c>
      <c r="H268" s="596"/>
      <c r="I268" s="409"/>
      <c r="J268" s="509"/>
      <c r="K268" s="543"/>
      <c r="L268" s="511"/>
      <c r="M268" s="99"/>
      <c r="N268" s="513"/>
      <c r="O268" s="514"/>
      <c r="P268" s="515"/>
      <c r="Q268" s="262"/>
      <c r="R268" s="502"/>
      <c r="S268" s="503"/>
      <c r="T268" s="504"/>
    </row>
    <row r="269" spans="1:21">
      <c r="A269" s="389"/>
      <c r="B269" s="516" t="s">
        <v>103</v>
      </c>
      <c r="C269" s="99" t="s">
        <v>90</v>
      </c>
      <c r="D269" s="508">
        <v>2</v>
      </c>
      <c r="E269" s="101">
        <v>237.98</v>
      </c>
      <c r="F269" s="38">
        <f>F267</f>
        <v>47.5304</v>
      </c>
      <c r="G269" s="50">
        <f>ROUND(D269*(E269+F269),2)</f>
        <v>571.02</v>
      </c>
      <c r="H269" s="270"/>
      <c r="I269" s="41"/>
      <c r="J269" s="409"/>
      <c r="K269" s="510"/>
      <c r="L269" s="597"/>
      <c r="M269" s="99"/>
      <c r="N269" s="518"/>
      <c r="O269" s="519"/>
      <c r="P269" s="515" t="s">
        <v>87</v>
      </c>
      <c r="Q269" s="271">
        <f>+G269+J269-M269-N269-O269</f>
        <v>571.02</v>
      </c>
      <c r="R269" s="502" t="s">
        <v>88</v>
      </c>
      <c r="S269" s="503"/>
      <c r="T269" s="504"/>
    </row>
    <row r="270" spans="1:21">
      <c r="A270" s="389"/>
      <c r="B270" s="506"/>
      <c r="C270" s="390" t="s">
        <v>97</v>
      </c>
      <c r="D270" s="508">
        <f>июль18!D264</f>
        <v>7</v>
      </c>
      <c r="E270" s="41"/>
      <c r="F270" s="38">
        <f>F268</f>
        <v>5.0975999999999999</v>
      </c>
      <c r="G270" s="50">
        <f>D270*(E270+F270)</f>
        <v>35.683199999999999</v>
      </c>
      <c r="H270" s="432"/>
      <c r="I270" s="362"/>
      <c r="J270" s="41"/>
      <c r="K270" s="510"/>
      <c r="L270" s="597"/>
      <c r="M270" s="99"/>
      <c r="N270" s="521"/>
      <c r="O270" s="522"/>
      <c r="P270" s="523"/>
      <c r="Q270" s="362"/>
      <c r="R270" s="502"/>
      <c r="S270" s="503"/>
      <c r="T270" s="504"/>
    </row>
    <row r="271" spans="1:21">
      <c r="A271" s="389"/>
      <c r="B271" s="506"/>
      <c r="C271" s="48" t="s">
        <v>260</v>
      </c>
      <c r="D271" s="37">
        <f>июль18!D267+июль18!D268</f>
        <v>2790</v>
      </c>
      <c r="E271" s="41">
        <f>6.7023-6.509</f>
        <v>0.19329999999999981</v>
      </c>
      <c r="F271" s="297">
        <f t="shared" ref="F271:F273" si="47">+E271</f>
        <v>0.19329999999999981</v>
      </c>
      <c r="G271" s="39">
        <f>ROUND(D271*(E271+F271)/2,2)</f>
        <v>539.30999999999995</v>
      </c>
      <c r="H271" s="432"/>
      <c r="I271" s="362"/>
      <c r="J271" s="41"/>
      <c r="K271" s="510"/>
      <c r="L271" s="597"/>
      <c r="M271" s="99"/>
      <c r="N271" s="521"/>
      <c r="O271" s="522"/>
      <c r="P271" s="523"/>
      <c r="Q271" s="362"/>
      <c r="R271" s="502"/>
      <c r="S271" s="503"/>
      <c r="T271" s="504"/>
    </row>
    <row r="272" spans="1:21">
      <c r="A272" s="389"/>
      <c r="B272" s="506"/>
      <c r="C272" s="48" t="s">
        <v>263</v>
      </c>
      <c r="D272" s="37">
        <f>52+129</f>
        <v>181</v>
      </c>
      <c r="E272" s="41">
        <v>6.7023000000000001</v>
      </c>
      <c r="F272" s="298">
        <f t="shared" si="47"/>
        <v>6.7023000000000001</v>
      </c>
      <c r="G272" s="39">
        <f>ROUND(D272*E272,2)</f>
        <v>1213.1199999999999</v>
      </c>
      <c r="H272" s="432"/>
      <c r="I272" s="362"/>
      <c r="J272" s="41"/>
      <c r="K272" s="510"/>
      <c r="L272" s="597"/>
      <c r="M272" s="99"/>
      <c r="N272" s="521"/>
      <c r="O272" s="522"/>
      <c r="P272" s="523"/>
      <c r="Q272" s="362"/>
      <c r="R272" s="502"/>
      <c r="S272" s="503"/>
      <c r="T272" s="504"/>
    </row>
    <row r="273" spans="1:20" ht="15.75" thickBot="1">
      <c r="A273" s="369"/>
      <c r="B273" s="526"/>
      <c r="C273" s="99" t="s">
        <v>29</v>
      </c>
      <c r="D273" s="55">
        <f>1175+2903</f>
        <v>4078</v>
      </c>
      <c r="E273" s="56">
        <v>6.7023000000000001</v>
      </c>
      <c r="F273" s="57">
        <f t="shared" si="47"/>
        <v>6.7023000000000001</v>
      </c>
      <c r="G273" s="414">
        <f>ROUND(D273*E273,2)</f>
        <v>27331.98</v>
      </c>
      <c r="H273" s="248"/>
      <c r="I273" s="203"/>
      <c r="J273" s="60"/>
      <c r="K273" s="61"/>
      <c r="L273" s="249"/>
      <c r="M273" s="54"/>
      <c r="N273" s="527"/>
      <c r="O273" s="528"/>
      <c r="P273" s="529" t="s">
        <v>87</v>
      </c>
      <c r="Q273" s="58">
        <f>+G273+J273-M273-N273-O273</f>
        <v>27331.98</v>
      </c>
      <c r="R273" s="502" t="s">
        <v>88</v>
      </c>
      <c r="S273" s="598">
        <f>SUM(N267:N273)+O267:O273</f>
        <v>0</v>
      </c>
      <c r="T273" s="598" t="e">
        <f>SUM(Q267:Q273)</f>
        <v>#VALUE!</v>
      </c>
    </row>
    <row r="274" spans="1:20">
      <c r="A274" s="376" t="s">
        <v>208</v>
      </c>
      <c r="B274" s="602" t="s">
        <v>213</v>
      </c>
      <c r="C274" s="439" t="s">
        <v>260</v>
      </c>
      <c r="D274" s="184">
        <f>июль18!D270+июль18!D271</f>
        <v>144</v>
      </c>
      <c r="E274" s="41">
        <f>6.7023-6.509</f>
        <v>0.19329999999999981</v>
      </c>
      <c r="F274" s="23">
        <f>+E274</f>
        <v>0.19329999999999981</v>
      </c>
      <c r="G274" s="185">
        <f>ROUND(D274*(E274),2)</f>
        <v>27.84</v>
      </c>
      <c r="H274" s="620"/>
      <c r="I274" s="620"/>
      <c r="J274" s="620"/>
      <c r="K274" s="634"/>
      <c r="L274" s="603">
        <f>SUM(G274:G276)</f>
        <v>1287.8700000000001</v>
      </c>
      <c r="M274" s="187">
        <v>1287.8699999999999</v>
      </c>
      <c r="N274" s="615"/>
      <c r="O274" s="615"/>
      <c r="P274" s="615"/>
      <c r="Q274" s="615"/>
    </row>
    <row r="275" spans="1:20">
      <c r="A275" s="934"/>
      <c r="B275" s="506"/>
      <c r="C275" s="48" t="s">
        <v>263</v>
      </c>
      <c r="D275" s="49">
        <v>8</v>
      </c>
      <c r="E275" s="41">
        <v>6.7023000000000001</v>
      </c>
      <c r="F275" s="41">
        <f>+E275</f>
        <v>6.7023000000000001</v>
      </c>
      <c r="G275" s="50">
        <f>ROUND(D275*(E275),2)</f>
        <v>53.62</v>
      </c>
      <c r="H275" s="296"/>
      <c r="I275" s="298"/>
      <c r="J275" s="298"/>
      <c r="K275" s="637"/>
      <c r="L275" s="606"/>
      <c r="M275" s="935"/>
      <c r="N275" s="615"/>
      <c r="O275" s="615"/>
      <c r="P275" s="615"/>
      <c r="Q275" s="615"/>
    </row>
    <row r="276" spans="1:20" ht="15.75" thickBot="1">
      <c r="A276" s="934"/>
      <c r="B276" s="506"/>
      <c r="C276" s="54" t="s">
        <v>29</v>
      </c>
      <c r="D276" s="296">
        <v>180</v>
      </c>
      <c r="E276" s="56">
        <v>6.7023000000000001</v>
      </c>
      <c r="F276" s="41">
        <f>+E276</f>
        <v>6.7023000000000001</v>
      </c>
      <c r="G276" s="50">
        <f t="shared" ref="G276" si="48">ROUND(D276*(E276),2)</f>
        <v>1206.4100000000001</v>
      </c>
      <c r="H276" s="296"/>
      <c r="I276" s="298"/>
      <c r="J276" s="298"/>
      <c r="K276" s="637"/>
      <c r="L276" s="614"/>
      <c r="M276" s="935"/>
      <c r="N276" s="615"/>
      <c r="O276" s="615"/>
      <c r="P276" s="615"/>
      <c r="Q276" s="615"/>
    </row>
    <row r="277" spans="1:20">
      <c r="A277" s="376">
        <v>201</v>
      </c>
      <c r="B277" s="602" t="s">
        <v>107</v>
      </c>
      <c r="C277" s="618" t="s">
        <v>73</v>
      </c>
      <c r="D277" s="619">
        <v>4</v>
      </c>
      <c r="E277" s="21">
        <v>40.556600000000003</v>
      </c>
      <c r="F277" s="21">
        <v>47.5304</v>
      </c>
      <c r="G277" s="185">
        <f>ROUND(D277*(E277+F277),2)</f>
        <v>352.35</v>
      </c>
      <c r="H277" s="620"/>
      <c r="I277" s="620"/>
      <c r="J277" s="620"/>
      <c r="K277" s="620"/>
      <c r="L277" s="603">
        <f>SUM(G277:G281,J277:J281)</f>
        <v>6646.0700000000006</v>
      </c>
      <c r="M277" s="187">
        <v>6646.07</v>
      </c>
      <c r="N277" s="621"/>
      <c r="O277" s="621"/>
      <c r="P277" s="621"/>
      <c r="Q277" s="622"/>
    </row>
    <row r="278" spans="1:20">
      <c r="A278" s="936"/>
      <c r="B278" s="612"/>
      <c r="C278" s="542" t="s">
        <v>96</v>
      </c>
      <c r="D278" s="234">
        <f>июль18!D272</f>
        <v>1</v>
      </c>
      <c r="E278" s="38">
        <f>40.5566-36.2142</f>
        <v>4.3424000000000049</v>
      </c>
      <c r="F278" s="38">
        <f>47.5304-42.4328</f>
        <v>5.0975999999999999</v>
      </c>
      <c r="G278" s="235">
        <f>ROUND(D278*(E278+F278),2)</f>
        <v>9.44</v>
      </c>
      <c r="H278" s="298"/>
      <c r="I278" s="298"/>
      <c r="J278" s="298"/>
      <c r="K278" s="298"/>
      <c r="L278" s="606"/>
      <c r="M278" s="935"/>
      <c r="N278" s="615"/>
      <c r="O278" s="615"/>
      <c r="P278" s="615"/>
      <c r="Q278" s="616"/>
    </row>
    <row r="279" spans="1:20">
      <c r="A279" s="936"/>
      <c r="B279" s="612"/>
      <c r="C279" s="48" t="s">
        <v>260</v>
      </c>
      <c r="D279" s="623">
        <f>июль18!D275+июль18!D276</f>
        <v>646</v>
      </c>
      <c r="E279" s="41">
        <f>6.7023-6.509</f>
        <v>0.19329999999999981</v>
      </c>
      <c r="F279" s="41">
        <f t="shared" ref="F279:F287" si="49">+E279</f>
        <v>0.19329999999999981</v>
      </c>
      <c r="G279" s="50">
        <f>ROUND(D279*(E279),2)</f>
        <v>124.87</v>
      </c>
      <c r="H279" s="298"/>
      <c r="I279" s="298"/>
      <c r="J279" s="298"/>
      <c r="K279" s="298"/>
      <c r="L279" s="614"/>
      <c r="M279" s="935"/>
      <c r="N279" s="615"/>
      <c r="O279" s="615"/>
      <c r="P279" s="615"/>
      <c r="Q279" s="616"/>
    </row>
    <row r="280" spans="1:20">
      <c r="A280" s="936"/>
      <c r="B280" s="612"/>
      <c r="C280" s="48" t="s">
        <v>263</v>
      </c>
      <c r="D280" s="623">
        <v>39</v>
      </c>
      <c r="E280" s="41">
        <v>6.7023000000000001</v>
      </c>
      <c r="F280" s="41">
        <f t="shared" si="49"/>
        <v>6.7023000000000001</v>
      </c>
      <c r="G280" s="39">
        <f t="shared" ref="G280:G290" si="50">ROUND(D280*(E280),2)</f>
        <v>261.39</v>
      </c>
      <c r="H280" s="298"/>
      <c r="I280" s="298"/>
      <c r="J280" s="298"/>
      <c r="K280" s="298"/>
      <c r="L280" s="614"/>
      <c r="M280" s="273"/>
      <c r="N280" s="615"/>
      <c r="O280" s="615"/>
      <c r="P280" s="615"/>
      <c r="Q280" s="616"/>
    </row>
    <row r="281" spans="1:20" ht="15.75" thickBot="1">
      <c r="A281" s="937"/>
      <c r="B281" s="526"/>
      <c r="C281" s="99" t="s">
        <v>29</v>
      </c>
      <c r="D281" s="625">
        <v>880</v>
      </c>
      <c r="E281" s="56">
        <v>6.7023000000000001</v>
      </c>
      <c r="F281" s="281">
        <f t="shared" si="49"/>
        <v>6.7023000000000001</v>
      </c>
      <c r="G281" s="414">
        <f t="shared" si="50"/>
        <v>5898.02</v>
      </c>
      <c r="H281" s="41"/>
      <c r="I281" s="41"/>
      <c r="J281" s="281"/>
      <c r="K281" s="281"/>
      <c r="L281" s="784"/>
      <c r="M281" s="938"/>
      <c r="N281" s="626"/>
      <c r="O281" s="626"/>
      <c r="P281" s="626"/>
      <c r="Q281" s="627"/>
    </row>
    <row r="282" spans="1:20">
      <c r="A282" s="376">
        <v>203</v>
      </c>
      <c r="B282" s="602" t="s">
        <v>255</v>
      </c>
      <c r="C282" s="439" t="s">
        <v>260</v>
      </c>
      <c r="D282" s="184">
        <f>июль18!D278+июль18!D279</f>
        <v>63</v>
      </c>
      <c r="E282" s="41">
        <f>6.7023-6.509</f>
        <v>0.19329999999999981</v>
      </c>
      <c r="F282" s="23">
        <f t="shared" si="49"/>
        <v>0.19329999999999981</v>
      </c>
      <c r="G282" s="185">
        <f>ROUND(D282*(E282),2)-0.01</f>
        <v>12.17</v>
      </c>
      <c r="H282" s="620"/>
      <c r="I282" s="620"/>
      <c r="J282" s="620"/>
      <c r="K282" s="634"/>
      <c r="L282" s="603">
        <f>SUM(G282:G284)</f>
        <v>1292.31</v>
      </c>
      <c r="M282" s="187">
        <v>1292.31</v>
      </c>
      <c r="N282" s="615"/>
      <c r="O282" s="615"/>
      <c r="P282" s="615"/>
      <c r="Q282" s="615"/>
    </row>
    <row r="283" spans="1:20">
      <c r="A283" s="934"/>
      <c r="B283" s="506"/>
      <c r="C283" s="48" t="s">
        <v>263</v>
      </c>
      <c r="D283" s="49">
        <v>8</v>
      </c>
      <c r="E283" s="41">
        <v>6.7023000000000001</v>
      </c>
      <c r="F283" s="41">
        <f t="shared" si="49"/>
        <v>6.7023000000000001</v>
      </c>
      <c r="G283" s="50">
        <f>ROUND(D283*(E283),2)</f>
        <v>53.62</v>
      </c>
      <c r="H283" s="296"/>
      <c r="I283" s="298"/>
      <c r="J283" s="298"/>
      <c r="K283" s="637"/>
      <c r="L283" s="606"/>
      <c r="M283" s="935"/>
      <c r="N283" s="615"/>
      <c r="O283" s="615"/>
      <c r="P283" s="615"/>
      <c r="Q283" s="615"/>
    </row>
    <row r="284" spans="1:20" ht="15.75" thickBot="1">
      <c r="A284" s="934"/>
      <c r="B284" s="506"/>
      <c r="C284" s="54" t="s">
        <v>29</v>
      </c>
      <c r="D284" s="296">
        <v>183</v>
      </c>
      <c r="E284" s="56">
        <v>6.7023000000000001</v>
      </c>
      <c r="F284" s="41">
        <f t="shared" si="49"/>
        <v>6.7023000000000001</v>
      </c>
      <c r="G284" s="50">
        <f t="shared" ref="G284" si="51">ROUND(D284*(E284),2)</f>
        <v>1226.52</v>
      </c>
      <c r="H284" s="296"/>
      <c r="I284" s="298"/>
      <c r="J284" s="298"/>
      <c r="K284" s="637"/>
      <c r="L284" s="614"/>
      <c r="M284" s="935"/>
      <c r="N284" s="615"/>
      <c r="O284" s="615"/>
      <c r="P284" s="615"/>
      <c r="Q284" s="615"/>
    </row>
    <row r="285" spans="1:20">
      <c r="A285" s="376">
        <v>301</v>
      </c>
      <c r="B285" s="602" t="s">
        <v>106</v>
      </c>
      <c r="C285" s="48" t="s">
        <v>260</v>
      </c>
      <c r="D285" s="184">
        <f>июль18!D281+июль18!D282</f>
        <v>868.86</v>
      </c>
      <c r="E285" s="41">
        <f>6.7023-6.509</f>
        <v>0.19329999999999981</v>
      </c>
      <c r="F285" s="23">
        <f t="shared" si="49"/>
        <v>0.19329999999999981</v>
      </c>
      <c r="G285" s="185">
        <f>ROUND(D285*(E285),2)</f>
        <v>167.95</v>
      </c>
      <c r="H285" s="23"/>
      <c r="I285" s="23"/>
      <c r="J285" s="23"/>
      <c r="K285" s="23"/>
      <c r="L285" s="603">
        <f>SUM(G285:G287)</f>
        <v>7720.0999999999995</v>
      </c>
      <c r="M285" s="187">
        <v>7720.1</v>
      </c>
      <c r="N285" s="604"/>
      <c r="O285" s="500"/>
      <c r="P285" s="501"/>
      <c r="Q285" s="605"/>
    </row>
    <row r="286" spans="1:20">
      <c r="A286" s="389"/>
      <c r="B286" s="506"/>
      <c r="C286" s="48" t="s">
        <v>263</v>
      </c>
      <c r="D286" s="49">
        <v>47.8</v>
      </c>
      <c r="E286" s="41">
        <v>6.7023000000000001</v>
      </c>
      <c r="F286" s="41">
        <f t="shared" si="49"/>
        <v>6.7023000000000001</v>
      </c>
      <c r="G286" s="50">
        <f t="shared" si="50"/>
        <v>320.37</v>
      </c>
      <c r="H286" s="41"/>
      <c r="I286" s="41"/>
      <c r="J286" s="41"/>
      <c r="K286" s="41"/>
      <c r="L286" s="606"/>
      <c r="M286" s="935"/>
      <c r="N286" s="607"/>
      <c r="O286" s="608"/>
      <c r="P286" s="609"/>
      <c r="Q286" s="610"/>
    </row>
    <row r="287" spans="1:20" ht="15.75" thickBot="1">
      <c r="A287" s="936"/>
      <c r="B287" s="612"/>
      <c r="C287" s="99" t="s">
        <v>29</v>
      </c>
      <c r="D287" s="613">
        <v>1079</v>
      </c>
      <c r="E287" s="56">
        <v>6.7023000000000001</v>
      </c>
      <c r="F287" s="281">
        <f t="shared" si="49"/>
        <v>6.7023000000000001</v>
      </c>
      <c r="G287" s="58">
        <f t="shared" si="50"/>
        <v>7231.78</v>
      </c>
      <c r="H287" s="57"/>
      <c r="I287" s="57"/>
      <c r="J287" s="57"/>
      <c r="K287" s="57"/>
      <c r="L287" s="614"/>
      <c r="M287" s="935"/>
      <c r="N287" s="615"/>
      <c r="O287" s="615"/>
      <c r="P287" s="615"/>
      <c r="Q287" s="616"/>
    </row>
    <row r="288" spans="1:20">
      <c r="A288" s="447" t="s">
        <v>205</v>
      </c>
      <c r="B288" s="602" t="s">
        <v>183</v>
      </c>
      <c r="C288" s="439" t="s">
        <v>260</v>
      </c>
      <c r="D288" s="184">
        <f>июль18!D284+июль18!D285</f>
        <v>628</v>
      </c>
      <c r="E288" s="41">
        <f>6.7023-6.509</f>
        <v>0.19329999999999981</v>
      </c>
      <c r="F288" s="23">
        <f>+E288</f>
        <v>0.19329999999999981</v>
      </c>
      <c r="G288" s="185">
        <f>ROUND(D288*(E288),2)+0.01</f>
        <v>121.4</v>
      </c>
      <c r="H288" s="620"/>
      <c r="I288" s="620"/>
      <c r="J288" s="620"/>
      <c r="K288" s="634"/>
      <c r="L288" s="603">
        <f>SUM(G288:G290)</f>
        <v>6636.0300000000007</v>
      </c>
      <c r="M288" s="187">
        <v>6636.03</v>
      </c>
      <c r="N288" s="604"/>
      <c r="O288" s="635"/>
      <c r="P288" s="636"/>
      <c r="Q288" s="605"/>
    </row>
    <row r="289" spans="1:17">
      <c r="A289" s="450" t="s">
        <v>206</v>
      </c>
      <c r="B289" s="506"/>
      <c r="C289" s="48" t="s">
        <v>263</v>
      </c>
      <c r="D289" s="49">
        <f>29+12</f>
        <v>41</v>
      </c>
      <c r="E289" s="41">
        <v>6.7023000000000001</v>
      </c>
      <c r="F289" s="41">
        <f>+E289</f>
        <v>6.7023000000000001</v>
      </c>
      <c r="G289" s="50">
        <f t="shared" si="50"/>
        <v>274.79000000000002</v>
      </c>
      <c r="H289" s="296"/>
      <c r="I289" s="298"/>
      <c r="J289" s="298"/>
      <c r="K289" s="637"/>
      <c r="L289" s="606"/>
      <c r="M289" s="935"/>
      <c r="N289" s="607"/>
      <c r="O289" s="608"/>
      <c r="P289" s="609"/>
      <c r="Q289" s="610"/>
    </row>
    <row r="290" spans="1:17" ht="15.75" thickBot="1">
      <c r="A290" s="451">
        <v>305</v>
      </c>
      <c r="B290" s="506"/>
      <c r="C290" s="54" t="s">
        <v>29</v>
      </c>
      <c r="D290" s="296">
        <f>660+271</f>
        <v>931</v>
      </c>
      <c r="E290" s="56">
        <v>6.7023000000000001</v>
      </c>
      <c r="F290" s="41">
        <f t="shared" ref="F290:F291" si="52">+E290</f>
        <v>6.7023000000000001</v>
      </c>
      <c r="G290" s="50">
        <f t="shared" si="50"/>
        <v>6239.84</v>
      </c>
      <c r="H290" s="296"/>
      <c r="I290" s="298"/>
      <c r="J290" s="298"/>
      <c r="K290" s="637"/>
      <c r="L290" s="614"/>
      <c r="M290" s="935"/>
      <c r="N290" s="615"/>
      <c r="O290" s="615"/>
      <c r="P290" s="615"/>
      <c r="Q290" s="616"/>
    </row>
    <row r="291" spans="1:17" collapsed="1">
      <c r="A291" s="376">
        <v>307</v>
      </c>
      <c r="B291" s="602" t="s">
        <v>251</v>
      </c>
      <c r="C291" s="439" t="s">
        <v>260</v>
      </c>
      <c r="D291" s="184">
        <f>июль18!D287+июль18!D288</f>
        <v>371</v>
      </c>
      <c r="E291" s="23">
        <f>6.7023-6.509</f>
        <v>0.19329999999999981</v>
      </c>
      <c r="F291" s="23">
        <f t="shared" si="52"/>
        <v>0.19329999999999981</v>
      </c>
      <c r="G291" s="185">
        <f>ROUND(D291*(E291),2)</f>
        <v>71.709999999999994</v>
      </c>
      <c r="H291" s="669"/>
      <c r="I291" s="620"/>
      <c r="J291" s="620"/>
      <c r="K291" s="634"/>
      <c r="L291" s="603">
        <f>SUM(G291:G293)</f>
        <v>3449.67</v>
      </c>
      <c r="M291" s="187">
        <v>3449.67</v>
      </c>
      <c r="N291" s="604"/>
      <c r="O291" s="635"/>
      <c r="P291" s="636"/>
      <c r="Q291" s="605"/>
    </row>
    <row r="292" spans="1:17">
      <c r="A292" s="934"/>
      <c r="B292" s="506"/>
      <c r="C292" s="48" t="s">
        <v>263</v>
      </c>
      <c r="D292" s="49">
        <v>21</v>
      </c>
      <c r="E292" s="41">
        <v>6.7023000000000001</v>
      </c>
      <c r="F292" s="41">
        <f>+E292</f>
        <v>6.7023000000000001</v>
      </c>
      <c r="G292" s="50">
        <f>ROUND(D292*(E292),2)</f>
        <v>140.75</v>
      </c>
      <c r="H292" s="296"/>
      <c r="I292" s="298"/>
      <c r="J292" s="298"/>
      <c r="K292" s="637"/>
      <c r="L292" s="606"/>
      <c r="M292" s="935"/>
      <c r="N292" s="607"/>
      <c r="O292" s="608"/>
      <c r="P292" s="609"/>
      <c r="Q292" s="610"/>
    </row>
    <row r="293" spans="1:17" ht="15.75" thickBot="1">
      <c r="A293" s="960"/>
      <c r="B293" s="506"/>
      <c r="C293" s="54" t="s">
        <v>29</v>
      </c>
      <c r="D293" s="296">
        <v>483</v>
      </c>
      <c r="E293" s="56">
        <v>6.7023000000000001</v>
      </c>
      <c r="F293" s="41">
        <f t="shared" ref="F293:F297" si="53">+E293</f>
        <v>6.7023000000000001</v>
      </c>
      <c r="G293" s="50">
        <f t="shared" ref="G293" si="54">ROUND(D293*(E293),2)</f>
        <v>3237.21</v>
      </c>
      <c r="H293" s="296"/>
      <c r="I293" s="298"/>
      <c r="J293" s="298"/>
      <c r="K293" s="637"/>
      <c r="L293" s="614"/>
      <c r="M293" s="935"/>
      <c r="N293" s="615"/>
      <c r="O293" s="615"/>
      <c r="P293" s="615"/>
      <c r="Q293" s="616"/>
    </row>
    <row r="294" spans="1:17" collapsed="1">
      <c r="A294" s="376">
        <v>308</v>
      </c>
      <c r="B294" s="602" t="s">
        <v>247</v>
      </c>
      <c r="C294" s="439" t="s">
        <v>260</v>
      </c>
      <c r="D294" s="184">
        <f>июль18!D290+июль18!D291</f>
        <v>279</v>
      </c>
      <c r="E294" s="23">
        <f>6.7023-6.509</f>
        <v>0.19329999999999981</v>
      </c>
      <c r="F294" s="23">
        <f t="shared" si="53"/>
        <v>0.19329999999999981</v>
      </c>
      <c r="G294" s="185">
        <f>ROUND(D294*(E294),2)+0.01</f>
        <v>53.94</v>
      </c>
      <c r="H294" s="669"/>
      <c r="I294" s="620"/>
      <c r="J294" s="620"/>
      <c r="K294" s="634"/>
      <c r="L294" s="603">
        <f>SUM(G294:G296)</f>
        <v>2681.23</v>
      </c>
      <c r="M294" s="187">
        <v>2681.23</v>
      </c>
      <c r="N294" s="604"/>
      <c r="O294" s="635"/>
      <c r="P294" s="636"/>
      <c r="Q294" s="605"/>
    </row>
    <row r="295" spans="1:17">
      <c r="A295" s="934"/>
      <c r="B295" s="506"/>
      <c r="C295" s="48" t="s">
        <v>263</v>
      </c>
      <c r="D295" s="49">
        <v>17</v>
      </c>
      <c r="E295" s="41">
        <v>6.7023000000000001</v>
      </c>
      <c r="F295" s="41">
        <f>+E295</f>
        <v>6.7023000000000001</v>
      </c>
      <c r="G295" s="50">
        <f>ROUND(D295*(E295),2)-0.01</f>
        <v>113.92999999999999</v>
      </c>
      <c r="H295" s="296"/>
      <c r="I295" s="298"/>
      <c r="J295" s="298"/>
      <c r="K295" s="637"/>
      <c r="L295" s="606"/>
      <c r="M295" s="935"/>
      <c r="N295" s="607"/>
      <c r="O295" s="608"/>
      <c r="P295" s="609"/>
      <c r="Q295" s="610"/>
    </row>
    <row r="296" spans="1:17" ht="15.75" thickBot="1">
      <c r="A296" s="960"/>
      <c r="B296" s="506"/>
      <c r="C296" s="54" t="s">
        <v>29</v>
      </c>
      <c r="D296" s="296">
        <v>375</v>
      </c>
      <c r="E296" s="56">
        <v>6.7023000000000001</v>
      </c>
      <c r="F296" s="41">
        <f t="shared" ref="F296" si="55">+E296</f>
        <v>6.7023000000000001</v>
      </c>
      <c r="G296" s="50">
        <f t="shared" ref="G296" si="56">ROUND(D296*(E296),2)</f>
        <v>2513.36</v>
      </c>
      <c r="H296" s="296"/>
      <c r="I296" s="298"/>
      <c r="J296" s="298"/>
      <c r="K296" s="637"/>
      <c r="L296" s="614"/>
      <c r="M296" s="935"/>
      <c r="N296" s="615"/>
      <c r="O296" s="615"/>
      <c r="P296" s="615"/>
      <c r="Q296" s="616"/>
    </row>
    <row r="297" spans="1:17" collapsed="1">
      <c r="A297" s="376" t="s">
        <v>254</v>
      </c>
      <c r="B297" s="602" t="s">
        <v>235</v>
      </c>
      <c r="C297" s="439" t="s">
        <v>260</v>
      </c>
      <c r="D297" s="184">
        <f>июль18!D293+июль18!D294</f>
        <v>188</v>
      </c>
      <c r="E297" s="41">
        <f>6.7023-6.509</f>
        <v>0.19329999999999981</v>
      </c>
      <c r="F297" s="23">
        <f t="shared" si="53"/>
        <v>0.19329999999999981</v>
      </c>
      <c r="G297" s="185">
        <f>ROUND(D297*(E297),2)</f>
        <v>36.340000000000003</v>
      </c>
      <c r="H297" s="620"/>
      <c r="I297" s="620"/>
      <c r="J297" s="620"/>
      <c r="K297" s="634"/>
      <c r="L297" s="603">
        <f>SUM(G297:G299)</f>
        <v>1852.6699999999998</v>
      </c>
      <c r="M297" s="187">
        <v>1852.67</v>
      </c>
      <c r="N297" s="615"/>
      <c r="O297" s="615"/>
      <c r="P297" s="615"/>
      <c r="Q297" s="615"/>
    </row>
    <row r="298" spans="1:17">
      <c r="A298" s="934">
        <v>314</v>
      </c>
      <c r="B298" s="506"/>
      <c r="C298" s="48" t="s">
        <v>263</v>
      </c>
      <c r="D298" s="49">
        <v>11</v>
      </c>
      <c r="E298" s="41">
        <v>6.7023000000000001</v>
      </c>
      <c r="F298" s="41">
        <f>+E298</f>
        <v>6.7023000000000001</v>
      </c>
      <c r="G298" s="50">
        <f>ROUND(D298*(E298),2)</f>
        <v>73.73</v>
      </c>
      <c r="H298" s="296"/>
      <c r="I298" s="298"/>
      <c r="J298" s="298"/>
      <c r="K298" s="637"/>
      <c r="L298" s="606"/>
      <c r="M298" s="935"/>
      <c r="N298" s="615"/>
      <c r="O298" s="615"/>
      <c r="P298" s="615"/>
      <c r="Q298" s="615"/>
    </row>
    <row r="299" spans="1:17" ht="15.75" thickBot="1">
      <c r="A299" s="934"/>
      <c r="B299" s="506"/>
      <c r="C299" s="54" t="s">
        <v>29</v>
      </c>
      <c r="D299" s="296">
        <v>260</v>
      </c>
      <c r="E299" s="56">
        <v>6.7023000000000001</v>
      </c>
      <c r="F299" s="41">
        <f t="shared" ref="F299:F302" si="57">+E299</f>
        <v>6.7023000000000001</v>
      </c>
      <c r="G299" s="50">
        <f t="shared" ref="G299" si="58">ROUND(D299*(E299),2)</f>
        <v>1742.6</v>
      </c>
      <c r="H299" s="296"/>
      <c r="I299" s="298"/>
      <c r="J299" s="298"/>
      <c r="K299" s="637"/>
      <c r="L299" s="614"/>
      <c r="M299" s="935"/>
      <c r="N299" s="615"/>
      <c r="O299" s="615"/>
      <c r="P299" s="615"/>
      <c r="Q299" s="615"/>
    </row>
    <row r="300" spans="1:17">
      <c r="A300" s="376">
        <v>311</v>
      </c>
      <c r="B300" s="602" t="s">
        <v>204</v>
      </c>
      <c r="C300" s="439" t="s">
        <v>260</v>
      </c>
      <c r="D300" s="184">
        <f>июль18!D296+июль18!D297</f>
        <v>20</v>
      </c>
      <c r="E300" s="41">
        <f>6.7023-6.509</f>
        <v>0.19329999999999981</v>
      </c>
      <c r="F300" s="23">
        <f t="shared" si="57"/>
        <v>0.19329999999999981</v>
      </c>
      <c r="G300" s="185">
        <f>ROUND(D300*(E300),2)-0.01</f>
        <v>3.8600000000000003</v>
      </c>
      <c r="H300" s="620"/>
      <c r="I300" s="620"/>
      <c r="J300" s="620"/>
      <c r="K300" s="634"/>
      <c r="L300" s="603">
        <f>SUM(G300:G303)</f>
        <v>231.74</v>
      </c>
      <c r="M300" s="187">
        <v>231.74</v>
      </c>
      <c r="N300" s="604"/>
      <c r="O300" s="635" t="s">
        <v>274</v>
      </c>
      <c r="P300" s="636"/>
      <c r="Q300" s="605"/>
    </row>
    <row r="301" spans="1:17">
      <c r="A301" s="389"/>
      <c r="B301" s="939" t="s">
        <v>273</v>
      </c>
      <c r="C301" s="48" t="s">
        <v>263</v>
      </c>
      <c r="D301" s="49">
        <v>1</v>
      </c>
      <c r="E301" s="41">
        <v>6.7023000000000001</v>
      </c>
      <c r="F301" s="41">
        <f t="shared" si="57"/>
        <v>6.7023000000000001</v>
      </c>
      <c r="G301" s="50">
        <f>ROUND(D301*(E301),2)</f>
        <v>6.7</v>
      </c>
      <c r="H301" s="296"/>
      <c r="I301" s="298"/>
      <c r="J301" s="298"/>
      <c r="K301" s="637"/>
      <c r="L301" s="606"/>
      <c r="M301" s="935"/>
      <c r="N301" s="607"/>
      <c r="O301" s="608"/>
      <c r="P301" s="609"/>
      <c r="Q301" s="610"/>
    </row>
    <row r="302" spans="1:17">
      <c r="A302" s="936"/>
      <c r="B302" s="506"/>
      <c r="C302" s="99" t="s">
        <v>29</v>
      </c>
      <c r="D302" s="296">
        <v>33</v>
      </c>
      <c r="E302" s="101">
        <v>6.7023000000000001</v>
      </c>
      <c r="F302" s="41">
        <f t="shared" si="57"/>
        <v>6.7023000000000001</v>
      </c>
      <c r="G302" s="50">
        <f>ROUND(D302*(E302),2)</f>
        <v>221.18</v>
      </c>
      <c r="H302" s="296"/>
      <c r="I302" s="298"/>
      <c r="J302" s="298"/>
      <c r="K302" s="940"/>
      <c r="L302" s="614"/>
      <c r="M302" s="935"/>
      <c r="N302" s="615"/>
      <c r="O302" s="615"/>
      <c r="P302" s="615"/>
      <c r="Q302" s="616"/>
    </row>
    <row r="303" spans="1:17" ht="15.75" thickBot="1">
      <c r="A303" s="937"/>
      <c r="B303" s="278"/>
      <c r="C303" s="784"/>
      <c r="D303" s="941"/>
      <c r="E303" s="281"/>
      <c r="F303" s="57"/>
      <c r="G303" s="58">
        <f>ROUND(D303*(E303),2)</f>
        <v>0</v>
      </c>
      <c r="H303" s="613"/>
      <c r="I303" s="57"/>
      <c r="J303" s="57"/>
      <c r="K303" s="666"/>
      <c r="L303" s="784"/>
      <c r="M303" s="938"/>
      <c r="N303" s="626"/>
      <c r="O303" s="626"/>
      <c r="P303" s="626"/>
      <c r="Q303" s="626"/>
    </row>
    <row r="304" spans="1:17">
      <c r="A304" s="376">
        <v>312</v>
      </c>
      <c r="B304" s="602" t="s">
        <v>112</v>
      </c>
      <c r="C304" s="439" t="s">
        <v>260</v>
      </c>
      <c r="D304" s="184">
        <f>июль18!D300+июль18!D301</f>
        <v>600</v>
      </c>
      <c r="E304" s="23">
        <f>6.7023-6.509</f>
        <v>0.19329999999999981</v>
      </c>
      <c r="F304" s="23">
        <f>+E304</f>
        <v>0.19329999999999981</v>
      </c>
      <c r="G304" s="185">
        <f>ROUND(D304*(E304),2)</f>
        <v>115.98</v>
      </c>
      <c r="H304" s="620"/>
      <c r="I304" s="620"/>
      <c r="J304" s="620"/>
      <c r="K304" s="634"/>
      <c r="L304" s="603">
        <f>SUM(G304:G307)</f>
        <v>5846.4400000000005</v>
      </c>
      <c r="M304" s="187">
        <v>5846.44</v>
      </c>
      <c r="N304" s="604"/>
      <c r="O304" s="635"/>
      <c r="P304" s="636"/>
      <c r="Q304" s="605"/>
    </row>
    <row r="305" spans="1:21">
      <c r="A305" s="934"/>
      <c r="B305" s="506"/>
      <c r="C305" s="48" t="s">
        <v>263</v>
      </c>
      <c r="D305" s="49">
        <v>36</v>
      </c>
      <c r="E305" s="41">
        <v>6.7023000000000001</v>
      </c>
      <c r="F305" s="41">
        <f>+E305</f>
        <v>6.7023000000000001</v>
      </c>
      <c r="G305" s="50">
        <f t="shared" ref="G305:G306" si="59">ROUND(D305*(E305),2)</f>
        <v>241.28</v>
      </c>
      <c r="H305" s="296"/>
      <c r="I305" s="298"/>
      <c r="J305" s="298"/>
      <c r="K305" s="637"/>
      <c r="L305" s="606"/>
      <c r="M305" s="935"/>
      <c r="N305" s="607"/>
      <c r="O305" s="608"/>
      <c r="P305" s="609"/>
      <c r="Q305" s="610"/>
    </row>
    <row r="306" spans="1:21">
      <c r="A306" s="934"/>
      <c r="B306" s="506"/>
      <c r="C306" s="99" t="s">
        <v>29</v>
      </c>
      <c r="D306" s="296">
        <v>819</v>
      </c>
      <c r="E306" s="101">
        <v>6.7023000000000001</v>
      </c>
      <c r="F306" s="41">
        <f>+E306</f>
        <v>6.7023000000000001</v>
      </c>
      <c r="G306" s="50">
        <f t="shared" si="59"/>
        <v>5489.18</v>
      </c>
      <c r="H306" s="296"/>
      <c r="I306" s="298"/>
      <c r="J306" s="298"/>
      <c r="K306" s="637"/>
      <c r="L306" s="614"/>
      <c r="M306" s="935"/>
      <c r="N306" s="615"/>
      <c r="O306" s="615"/>
      <c r="P306" s="615"/>
      <c r="Q306" s="616"/>
    </row>
    <row r="307" spans="1:21" ht="15.75" thickBot="1">
      <c r="A307" s="942"/>
      <c r="B307" s="278"/>
      <c r="C307" s="54"/>
      <c r="D307" s="941"/>
      <c r="E307" s="281"/>
      <c r="F307" s="57"/>
      <c r="G307" s="58"/>
      <c r="H307" s="613"/>
      <c r="I307" s="57"/>
      <c r="J307" s="57"/>
      <c r="K307" s="943"/>
      <c r="L307" s="784"/>
      <c r="M307" s="938"/>
      <c r="N307" s="615"/>
      <c r="O307" s="615"/>
      <c r="P307" s="615"/>
      <c r="Q307" s="615"/>
    </row>
    <row r="308" spans="1:21" ht="15.75" hidden="1" collapsed="1" thickBot="1">
      <c r="A308" s="376">
        <v>314</v>
      </c>
      <c r="B308" s="602" t="s">
        <v>235</v>
      </c>
      <c r="C308" s="439" t="s">
        <v>149</v>
      </c>
      <c r="D308" s="184"/>
      <c r="E308" s="41">
        <f>6.509-6.4709</f>
        <v>3.8100000000000023E-2</v>
      </c>
      <c r="F308" s="23">
        <f t="shared" ref="F308" si="60">+E308</f>
        <v>3.8100000000000023E-2</v>
      </c>
      <c r="G308" s="185">
        <f>ROUND(D308*(E308),2)</f>
        <v>0</v>
      </c>
      <c r="H308" s="620"/>
      <c r="I308" s="620"/>
      <c r="J308" s="620"/>
      <c r="K308" s="634"/>
      <c r="L308" s="603">
        <f>SUM(G308:G310)</f>
        <v>0</v>
      </c>
      <c r="M308" s="187"/>
      <c r="N308" s="615"/>
      <c r="O308" s="967" t="s">
        <v>249</v>
      </c>
      <c r="P308" s="615"/>
      <c r="Q308" s="615"/>
    </row>
    <row r="309" spans="1:21" ht="15.75" hidden="1" thickBot="1">
      <c r="A309" s="934"/>
      <c r="B309" s="516" t="s">
        <v>246</v>
      </c>
      <c r="C309" s="48" t="s">
        <v>150</v>
      </c>
      <c r="D309" s="49"/>
      <c r="E309" s="41">
        <v>6.5090000000000003</v>
      </c>
      <c r="F309" s="41">
        <f>+E309</f>
        <v>6.5090000000000003</v>
      </c>
      <c r="G309" s="50">
        <f>ROUND(D309*(E309),2)</f>
        <v>0</v>
      </c>
      <c r="H309" s="296"/>
      <c r="I309" s="298"/>
      <c r="J309" s="298"/>
      <c r="K309" s="637"/>
      <c r="L309" s="606"/>
      <c r="M309" s="935"/>
      <c r="N309" s="615"/>
      <c r="O309" s="615"/>
      <c r="P309" s="615"/>
      <c r="Q309" s="615"/>
    </row>
    <row r="310" spans="1:21" ht="15.75" hidden="1" thickBot="1">
      <c r="A310" s="942"/>
      <c r="B310" s="982"/>
      <c r="C310" s="54" t="s">
        <v>29</v>
      </c>
      <c r="D310" s="613"/>
      <c r="E310" s="56">
        <v>6.5090000000000003</v>
      </c>
      <c r="F310" s="281">
        <f t="shared" ref="F310" si="61">+E310</f>
        <v>6.5090000000000003</v>
      </c>
      <c r="G310" s="58">
        <f t="shared" ref="G310" si="62">ROUND(D310*(E310),2)</f>
        <v>0</v>
      </c>
      <c r="H310" s="613"/>
      <c r="I310" s="57"/>
      <c r="J310" s="57"/>
      <c r="K310" s="943"/>
      <c r="L310" s="783"/>
      <c r="M310" s="938"/>
      <c r="N310" s="615"/>
      <c r="O310" s="615"/>
      <c r="P310" s="615"/>
      <c r="Q310" s="615"/>
    </row>
    <row r="311" spans="1:21" collapsed="1">
      <c r="A311" s="353" t="s">
        <v>203</v>
      </c>
      <c r="B311" s="494" t="s">
        <v>104</v>
      </c>
      <c r="C311" s="71" t="s">
        <v>243</v>
      </c>
      <c r="D311" s="495">
        <v>40</v>
      </c>
      <c r="E311" s="21">
        <v>40.556600000000003</v>
      </c>
      <c r="F311" s="21">
        <v>47.5304</v>
      </c>
      <c r="G311" s="185">
        <f>ROUND(D311*(E311+F311),2)</f>
        <v>3523.48</v>
      </c>
      <c r="H311" s="496"/>
      <c r="I311" s="73"/>
      <c r="J311" s="73"/>
      <c r="K311" s="497"/>
      <c r="L311" s="439">
        <f>SUM(G311:G318)+SUM(J311:J317)</f>
        <v>24460.48</v>
      </c>
      <c r="M311" s="26">
        <v>24460.48</v>
      </c>
      <c r="N311" s="499"/>
      <c r="O311" s="500"/>
      <c r="P311" s="501" t="s">
        <v>87</v>
      </c>
      <c r="Q311" s="185" t="e">
        <f t="shared" ref="Q311" si="63">C311+G311+J311-M311-N311-O311</f>
        <v>#VALUE!</v>
      </c>
      <c r="R311" s="502" t="s">
        <v>88</v>
      </c>
      <c r="S311" s="503"/>
      <c r="T311" s="504"/>
    </row>
    <row r="312" spans="1:21" ht="15.75" thickBot="1">
      <c r="A312" s="934">
        <v>417</v>
      </c>
      <c r="B312" s="506"/>
      <c r="C312" s="599" t="s">
        <v>96</v>
      </c>
      <c r="D312" s="234">
        <f>июль18!D306</f>
        <v>31</v>
      </c>
      <c r="E312" s="38">
        <f>40.5566-36.2142</f>
        <v>4.3424000000000049</v>
      </c>
      <c r="F312" s="38">
        <f>47.5304-42.4328</f>
        <v>5.0975999999999999</v>
      </c>
      <c r="G312" s="235">
        <f>ROUND(D312*(E312+F312),2)</f>
        <v>292.64</v>
      </c>
      <c r="H312" s="448"/>
      <c r="I312" s="509"/>
      <c r="J312" s="409"/>
      <c r="K312" s="510"/>
      <c r="L312" s="48"/>
      <c r="M312" s="512"/>
      <c r="N312" s="513"/>
      <c r="O312" s="514"/>
      <c r="P312" s="515"/>
      <c r="Q312" s="262"/>
      <c r="R312" s="502"/>
      <c r="S312" s="503"/>
      <c r="T312" s="504"/>
    </row>
    <row r="313" spans="1:21">
      <c r="A313" s="934"/>
      <c r="B313" s="516" t="s">
        <v>89</v>
      </c>
      <c r="C313" s="512" t="s">
        <v>90</v>
      </c>
      <c r="D313" s="508">
        <v>0</v>
      </c>
      <c r="E313" s="101">
        <v>237.98</v>
      </c>
      <c r="F313" s="21">
        <f>F30</f>
        <v>47.5304</v>
      </c>
      <c r="G313" s="50">
        <f>ROUND(D313*(E313+F313),2)</f>
        <v>0</v>
      </c>
      <c r="H313" s="270"/>
      <c r="I313" s="41"/>
      <c r="J313" s="409"/>
      <c r="K313" s="510"/>
      <c r="L313" s="600"/>
      <c r="M313" s="99"/>
      <c r="N313" s="518"/>
      <c r="O313" s="519"/>
      <c r="P313" s="515" t="s">
        <v>87</v>
      </c>
      <c r="Q313" s="271">
        <f>+G313+J313-M313-N313-O313</f>
        <v>0</v>
      </c>
      <c r="R313" s="502" t="s">
        <v>88</v>
      </c>
      <c r="S313" s="503"/>
      <c r="T313" s="504"/>
    </row>
    <row r="314" spans="1:21">
      <c r="A314" s="934"/>
      <c r="B314" s="541"/>
      <c r="C314" s="84" t="s">
        <v>97</v>
      </c>
      <c r="D314" s="508">
        <v>0</v>
      </c>
      <c r="E314" s="41"/>
      <c r="F314" s="38">
        <f>F312</f>
        <v>5.0975999999999999</v>
      </c>
      <c r="G314" s="50">
        <f>ROUND(D314*(E314+F314),2)</f>
        <v>0</v>
      </c>
      <c r="H314" s="432"/>
      <c r="I314" s="362"/>
      <c r="J314" s="41"/>
      <c r="K314" s="510"/>
      <c r="L314" s="600"/>
      <c r="M314" s="520"/>
      <c r="N314" s="521"/>
      <c r="O314" s="522"/>
      <c r="P314" s="523"/>
      <c r="Q314" s="362"/>
      <c r="R314" s="502"/>
      <c r="S314" s="503"/>
      <c r="T314" s="504"/>
    </row>
    <row r="315" spans="1:21">
      <c r="A315" s="934"/>
      <c r="B315" s="541"/>
      <c r="C315" s="84" t="s">
        <v>97</v>
      </c>
      <c r="D315" s="508"/>
      <c r="E315" s="41"/>
      <c r="F315" s="41"/>
      <c r="G315" s="50">
        <f>D315*(E315+F315)</f>
        <v>0</v>
      </c>
      <c r="H315" s="432"/>
      <c r="I315" s="362"/>
      <c r="J315" s="41"/>
      <c r="K315" s="510"/>
      <c r="L315" s="600"/>
      <c r="M315" s="520"/>
      <c r="N315" s="521"/>
      <c r="O315" s="522"/>
      <c r="P315" s="523"/>
      <c r="Q315" s="362"/>
      <c r="R315" s="502"/>
      <c r="S315" s="503"/>
      <c r="T315" s="504"/>
    </row>
    <row r="316" spans="1:21">
      <c r="A316" s="934"/>
      <c r="B316" s="506"/>
      <c r="C316" s="48" t="s">
        <v>260</v>
      </c>
      <c r="D316" s="37">
        <f>июль18!D312+июль18!D313</f>
        <v>2191</v>
      </c>
      <c r="E316" s="41">
        <f>6.7023-6.509</f>
        <v>0.19329999999999981</v>
      </c>
      <c r="F316" s="297">
        <f t="shared" ref="F316:F318" si="64">+E316</f>
        <v>0.19329999999999981</v>
      </c>
      <c r="G316" s="39">
        <f>ROUND(D316*(E316),2)+0.01</f>
        <v>423.53</v>
      </c>
      <c r="H316" s="432"/>
      <c r="I316" s="362"/>
      <c r="J316" s="41"/>
      <c r="K316" s="510"/>
      <c r="L316" s="600"/>
      <c r="M316" s="520"/>
      <c r="N316" s="521"/>
      <c r="O316" s="522"/>
      <c r="P316" s="523"/>
      <c r="Q316" s="362"/>
      <c r="R316" s="502"/>
      <c r="S316" s="503"/>
      <c r="T316" s="504"/>
    </row>
    <row r="317" spans="1:21">
      <c r="A317" s="934"/>
      <c r="B317" s="506"/>
      <c r="C317" s="48" t="s">
        <v>263</v>
      </c>
      <c r="D317" s="37">
        <v>128</v>
      </c>
      <c r="E317" s="41">
        <v>6.7023000000000001</v>
      </c>
      <c r="F317" s="298">
        <f t="shared" si="64"/>
        <v>6.7023000000000001</v>
      </c>
      <c r="G317" s="39">
        <f>ROUND(D317*(E317),2)</f>
        <v>857.89</v>
      </c>
      <c r="H317" s="432"/>
      <c r="I317" s="362"/>
      <c r="J317" s="41"/>
      <c r="K317" s="510"/>
      <c r="L317" s="600"/>
      <c r="M317" s="520"/>
      <c r="N317" s="521"/>
      <c r="O317" s="522"/>
      <c r="P317" s="523"/>
      <c r="Q317" s="362"/>
      <c r="R317" s="502"/>
      <c r="S317" s="503"/>
      <c r="T317" s="504"/>
      <c r="U317" s="33"/>
    </row>
    <row r="318" spans="1:21" ht="15.75" thickBot="1">
      <c r="A318" s="934"/>
      <c r="B318" s="526"/>
      <c r="C318" s="99" t="s">
        <v>29</v>
      </c>
      <c r="D318" s="55">
        <v>2889</v>
      </c>
      <c r="E318" s="56">
        <v>6.7023000000000001</v>
      </c>
      <c r="F318" s="57">
        <f t="shared" si="64"/>
        <v>6.7023000000000001</v>
      </c>
      <c r="G318" s="414">
        <f>ROUND(D318*(E318),2)</f>
        <v>19362.939999999999</v>
      </c>
      <c r="H318" s="248"/>
      <c r="I318" s="203"/>
      <c r="J318" s="60"/>
      <c r="K318" s="61"/>
      <c r="L318" s="204"/>
      <c r="M318" s="54"/>
      <c r="N318" s="527"/>
      <c r="O318" s="528"/>
      <c r="P318" s="529" t="s">
        <v>87</v>
      </c>
      <c r="Q318" s="362">
        <f>+G318+J318-M318-N318-O318</f>
        <v>19362.939999999999</v>
      </c>
      <c r="R318" s="502" t="s">
        <v>88</v>
      </c>
      <c r="S318" s="598">
        <f>SUM(N311:N318)+O311:O318</f>
        <v>0</v>
      </c>
      <c r="T318" s="598" t="e">
        <f>SUM(Q311:Q318)</f>
        <v>#VALUE!</v>
      </c>
    </row>
    <row r="319" spans="1:21">
      <c r="A319" s="376">
        <v>407</v>
      </c>
      <c r="B319" s="494" t="s">
        <v>108</v>
      </c>
      <c r="C319" s="71">
        <f>+[1]дек!U87</f>
        <v>0</v>
      </c>
      <c r="D319" s="495">
        <v>1</v>
      </c>
      <c r="E319" s="21">
        <v>40.556600000000003</v>
      </c>
      <c r="F319" s="21">
        <v>47.5304</v>
      </c>
      <c r="G319" s="185">
        <f>ROUND(D319*(E319+F319),2)</f>
        <v>88.09</v>
      </c>
      <c r="H319" s="496"/>
      <c r="I319" s="73"/>
      <c r="J319" s="73"/>
      <c r="K319" s="497"/>
      <c r="L319" s="498">
        <f>SUM(G319:G325)+SUM(J319:J324)</f>
        <v>2033.54</v>
      </c>
      <c r="M319" s="26">
        <v>2033.54</v>
      </c>
      <c r="N319" s="499"/>
      <c r="O319" s="500"/>
      <c r="P319" s="501" t="s">
        <v>87</v>
      </c>
      <c r="Q319" s="304">
        <f t="shared" ref="Q319:Q321" si="65">C319+G319+J319-M319-N319-O319</f>
        <v>-1945.45</v>
      </c>
    </row>
    <row r="320" spans="1:21">
      <c r="A320" s="389"/>
      <c r="B320" s="506"/>
      <c r="C320" s="542" t="s">
        <v>96</v>
      </c>
      <c r="D320" s="234">
        <f>июль18!D314</f>
        <v>4</v>
      </c>
      <c r="E320" s="38">
        <f>40.5566-36.2142</f>
        <v>4.3424000000000049</v>
      </c>
      <c r="F320" s="38">
        <f>47.5304-42.4328</f>
        <v>5.0975999999999999</v>
      </c>
      <c r="G320" s="235">
        <f>ROUND(D320*(E320+F320),2)</f>
        <v>37.76</v>
      </c>
      <c r="H320" s="448"/>
      <c r="I320" s="509"/>
      <c r="J320" s="409"/>
      <c r="K320" s="510"/>
      <c r="L320" s="632"/>
      <c r="M320" s="512"/>
      <c r="N320" s="513"/>
      <c r="O320" s="514"/>
      <c r="P320" s="515"/>
      <c r="Q320" s="262"/>
    </row>
    <row r="321" spans="1:21">
      <c r="A321" s="389"/>
      <c r="B321" s="516" t="s">
        <v>109</v>
      </c>
      <c r="C321" s="633"/>
      <c r="D321" s="508">
        <v>0</v>
      </c>
      <c r="E321" s="101">
        <v>237.98</v>
      </c>
      <c r="F321" s="38">
        <f>F319</f>
        <v>47.5304</v>
      </c>
      <c r="G321" s="50">
        <f>D321*(E321+F321)</f>
        <v>0</v>
      </c>
      <c r="H321" s="270"/>
      <c r="I321" s="41"/>
      <c r="J321" s="409"/>
      <c r="K321" s="510"/>
      <c r="L321" s="597"/>
      <c r="M321" s="99"/>
      <c r="N321" s="518"/>
      <c r="O321" s="519"/>
      <c r="P321" s="515" t="s">
        <v>87</v>
      </c>
      <c r="Q321" s="271">
        <f t="shared" si="65"/>
        <v>0</v>
      </c>
    </row>
    <row r="322" spans="1:21">
      <c r="A322" s="389"/>
      <c r="B322" s="541"/>
      <c r="C322" s="84" t="s">
        <v>97</v>
      </c>
      <c r="D322" s="508">
        <v>0</v>
      </c>
      <c r="E322" s="41"/>
      <c r="F322" s="41">
        <f>F320</f>
        <v>5.0975999999999999</v>
      </c>
      <c r="G322" s="50">
        <f>D322*(E322+F322)</f>
        <v>0</v>
      </c>
      <c r="H322" s="432"/>
      <c r="I322" s="362"/>
      <c r="J322" s="207"/>
      <c r="K322" s="510"/>
      <c r="L322" s="597"/>
      <c r="M322" s="520"/>
      <c r="N322" s="521"/>
      <c r="O322" s="522"/>
      <c r="P322" s="523"/>
      <c r="Q322" s="362"/>
    </row>
    <row r="323" spans="1:21">
      <c r="A323" s="389"/>
      <c r="B323" s="506"/>
      <c r="C323" s="48" t="s">
        <v>260</v>
      </c>
      <c r="D323" s="37">
        <f>июль18!D319+июль18!D320</f>
        <v>334</v>
      </c>
      <c r="E323" s="41">
        <f>6.7023-6.509</f>
        <v>0.19329999999999981</v>
      </c>
      <c r="F323" s="41">
        <f>+E323</f>
        <v>0.19329999999999981</v>
      </c>
      <c r="G323" s="39">
        <f>ROUND(D323*(E323),2)</f>
        <v>64.56</v>
      </c>
      <c r="H323" s="432"/>
      <c r="I323" s="362"/>
      <c r="J323" s="207"/>
      <c r="K323" s="510"/>
      <c r="L323" s="597"/>
      <c r="M323" s="520"/>
      <c r="N323" s="521"/>
      <c r="O323" s="522"/>
      <c r="P323" s="523"/>
      <c r="Q323" s="362"/>
    </row>
    <row r="324" spans="1:21">
      <c r="A324" s="389"/>
      <c r="B324" s="506"/>
      <c r="C324" s="48" t="s">
        <v>263</v>
      </c>
      <c r="D324" s="37">
        <v>12</v>
      </c>
      <c r="E324" s="41">
        <v>6.7023000000000001</v>
      </c>
      <c r="F324" s="41">
        <f>+E324</f>
        <v>6.7023000000000001</v>
      </c>
      <c r="G324" s="39">
        <f t="shared" ref="G324:G325" si="66">ROUND(D324*(E324),2)</f>
        <v>80.430000000000007</v>
      </c>
      <c r="H324" s="432"/>
      <c r="I324" s="362"/>
      <c r="J324" s="207"/>
      <c r="K324" s="510"/>
      <c r="L324" s="597"/>
      <c r="M324" s="520"/>
      <c r="N324" s="521"/>
      <c r="O324" s="522"/>
      <c r="P324" s="523"/>
      <c r="Q324" s="362"/>
    </row>
    <row r="325" spans="1:21" ht="15.75" thickBot="1">
      <c r="A325" s="411"/>
      <c r="B325" s="526"/>
      <c r="C325" s="54" t="s">
        <v>29</v>
      </c>
      <c r="D325" s="55">
        <v>263</v>
      </c>
      <c r="E325" s="56">
        <v>6.7023000000000001</v>
      </c>
      <c r="F325" s="281">
        <f>+E325</f>
        <v>6.7023000000000001</v>
      </c>
      <c r="G325" s="414">
        <f t="shared" si="66"/>
        <v>1762.7</v>
      </c>
      <c r="H325" s="248"/>
      <c r="I325" s="203"/>
      <c r="J325" s="60"/>
      <c r="K325" s="61"/>
      <c r="L325" s="249"/>
      <c r="M325" s="54"/>
      <c r="N325" s="527"/>
      <c r="O325" s="528"/>
      <c r="P325" s="529" t="s">
        <v>87</v>
      </c>
      <c r="Q325" s="282">
        <f>+G325+J325-M325-N325-O325</f>
        <v>1762.7</v>
      </c>
    </row>
    <row r="326" spans="1:21" collapsed="1">
      <c r="A326" s="376">
        <v>411</v>
      </c>
      <c r="B326" s="602" t="s">
        <v>127</v>
      </c>
      <c r="C326" s="439" t="s">
        <v>260</v>
      </c>
      <c r="D326" s="184">
        <f>июль18!D322+июль18!D323</f>
        <v>447</v>
      </c>
      <c r="E326" s="23">
        <f>6.7023-6.509</f>
        <v>0.19329999999999981</v>
      </c>
      <c r="F326" s="23">
        <f t="shared" ref="F326" si="67">+E326</f>
        <v>0.19329999999999981</v>
      </c>
      <c r="G326" s="185">
        <f>ROUND(D326*(E326),2)</f>
        <v>86.41</v>
      </c>
      <c r="H326" s="669"/>
      <c r="I326" s="620"/>
      <c r="J326" s="620"/>
      <c r="K326" s="634"/>
      <c r="L326" s="603">
        <f>SUM(G326:G329)</f>
        <v>4461</v>
      </c>
      <c r="M326" s="187">
        <v>4461</v>
      </c>
      <c r="N326" s="604"/>
      <c r="O326" s="635"/>
      <c r="P326" s="636"/>
      <c r="Q326" s="605"/>
    </row>
    <row r="327" spans="1:21">
      <c r="A327" s="934"/>
      <c r="B327" s="506"/>
      <c r="C327" s="48" t="s">
        <v>263</v>
      </c>
      <c r="D327" s="49">
        <v>27.7</v>
      </c>
      <c r="E327" s="41">
        <v>6.7023000000000001</v>
      </c>
      <c r="F327" s="41">
        <f>+E327</f>
        <v>6.7023000000000001</v>
      </c>
      <c r="G327" s="50">
        <f>ROUND(D327*(E327),2)</f>
        <v>185.65</v>
      </c>
      <c r="H327" s="296"/>
      <c r="I327" s="298"/>
      <c r="J327" s="298"/>
      <c r="K327" s="637"/>
      <c r="L327" s="606"/>
      <c r="M327" s="935"/>
      <c r="N327" s="607"/>
      <c r="O327" s="608"/>
      <c r="P327" s="609"/>
      <c r="Q327" s="610"/>
    </row>
    <row r="328" spans="1:21">
      <c r="A328" s="934"/>
      <c r="B328" s="506"/>
      <c r="C328" s="99" t="s">
        <v>29</v>
      </c>
      <c r="D328" s="296">
        <v>625</v>
      </c>
      <c r="E328" s="101">
        <v>6.7023000000000001</v>
      </c>
      <c r="F328" s="41">
        <f t="shared" ref="F328" si="68">+E328</f>
        <v>6.7023000000000001</v>
      </c>
      <c r="G328" s="50">
        <f t="shared" ref="G328" si="69">ROUND(D328*(E328),2)</f>
        <v>4188.9399999999996</v>
      </c>
      <c r="H328" s="296"/>
      <c r="I328" s="298"/>
      <c r="J328" s="298"/>
      <c r="K328" s="637"/>
      <c r="L328" s="606"/>
      <c r="M328" s="935"/>
      <c r="N328" s="615"/>
      <c r="O328" s="615"/>
      <c r="P328" s="615"/>
      <c r="Q328" s="616"/>
    </row>
    <row r="329" spans="1:21" ht="15.75" thickBot="1">
      <c r="A329" s="942"/>
      <c r="B329" s="278"/>
      <c r="C329" s="784"/>
      <c r="D329" s="941"/>
      <c r="E329" s="281"/>
      <c r="F329" s="57"/>
      <c r="G329" s="58"/>
      <c r="H329" s="613"/>
      <c r="I329" s="57"/>
      <c r="J329" s="57"/>
      <c r="K329" s="637"/>
      <c r="L329" s="606"/>
      <c r="M329" s="935"/>
      <c r="N329" s="615"/>
      <c r="O329" s="615"/>
      <c r="P329" s="615"/>
      <c r="Q329" s="615"/>
    </row>
    <row r="330" spans="1:21">
      <c r="A330" s="376">
        <v>501</v>
      </c>
      <c r="B330" s="494" t="s">
        <v>202</v>
      </c>
      <c r="C330" s="71"/>
      <c r="D330" s="495">
        <v>30</v>
      </c>
      <c r="E330" s="21">
        <v>40.556600000000003</v>
      </c>
      <c r="F330" s="21">
        <v>47.5304</v>
      </c>
      <c r="G330" s="185">
        <f>ROUND(D330*(E330+F330),2)</f>
        <v>2642.61</v>
      </c>
      <c r="H330" s="496"/>
      <c r="I330" s="73"/>
      <c r="J330" s="73"/>
      <c r="K330" s="497"/>
      <c r="L330" s="498">
        <f>+SUM(G330:G337,C337)+SUM(J330:J337)</f>
        <v>56988.772799999999</v>
      </c>
      <c r="M330" s="26">
        <v>56988.77</v>
      </c>
      <c r="N330" s="499"/>
      <c r="O330" s="500"/>
      <c r="P330" s="501" t="s">
        <v>87</v>
      </c>
      <c r="Q330" s="304">
        <f t="shared" ref="Q330:Q347" si="70">C330+G330+J330-M330-N330-O330</f>
        <v>-54346.159999999996</v>
      </c>
      <c r="R330" s="502" t="s">
        <v>88</v>
      </c>
      <c r="S330" s="503"/>
      <c r="T330" s="504"/>
      <c r="U330" s="33"/>
    </row>
    <row r="331" spans="1:21">
      <c r="A331" s="389"/>
      <c r="B331" s="506"/>
      <c r="C331" s="507" t="s">
        <v>264</v>
      </c>
      <c r="D331" s="508">
        <f>июль18!D325</f>
        <v>33</v>
      </c>
      <c r="E331" s="38">
        <f>40.5566-36.2142</f>
        <v>4.3424000000000049</v>
      </c>
      <c r="F331" s="38">
        <f>47.5304-42.4328</f>
        <v>5.0975999999999999</v>
      </c>
      <c r="G331" s="50">
        <f>ROUND(D331*(E331+F331),2)</f>
        <v>311.52</v>
      </c>
      <c r="H331" s="448"/>
      <c r="I331" s="509"/>
      <c r="J331" s="409"/>
      <c r="K331" s="510"/>
      <c r="L331" s="511"/>
      <c r="M331" s="512"/>
      <c r="N331" s="513"/>
      <c r="O331" s="514"/>
      <c r="P331" s="515"/>
      <c r="Q331" s="262"/>
      <c r="R331" s="502"/>
      <c r="S331" s="503"/>
      <c r="T331" s="504"/>
      <c r="U331" s="33"/>
    </row>
    <row r="332" spans="1:21">
      <c r="A332" s="389"/>
      <c r="B332" s="516" t="s">
        <v>89</v>
      </c>
      <c r="C332" s="512" t="s">
        <v>90</v>
      </c>
      <c r="D332" s="508">
        <v>7</v>
      </c>
      <c r="E332" s="101">
        <v>237.98</v>
      </c>
      <c r="F332" s="38">
        <f>F330</f>
        <v>47.5304</v>
      </c>
      <c r="G332" s="50">
        <f>D332*(E332+F332)</f>
        <v>1998.5727999999999</v>
      </c>
      <c r="H332" s="270"/>
      <c r="I332" s="41"/>
      <c r="J332" s="409"/>
      <c r="K332" s="510"/>
      <c r="L332" s="517"/>
      <c r="M332" s="99"/>
      <c r="N332" s="518"/>
      <c r="O332" s="519"/>
      <c r="P332" s="515" t="s">
        <v>87</v>
      </c>
      <c r="Q332" s="271">
        <f>+G332+J332-M332-N332-O332</f>
        <v>1998.5727999999999</v>
      </c>
      <c r="R332" s="502" t="s">
        <v>88</v>
      </c>
      <c r="S332" s="503"/>
      <c r="T332" s="504"/>
    </row>
    <row r="333" spans="1:21">
      <c r="A333" s="389"/>
      <c r="B333" s="506" t="s">
        <v>91</v>
      </c>
      <c r="C333" s="507"/>
      <c r="D333" s="508">
        <f>июль18!D327</f>
        <v>8</v>
      </c>
      <c r="E333" s="41"/>
      <c r="F333" s="38">
        <f>F331</f>
        <v>5.0975999999999999</v>
      </c>
      <c r="G333" s="50">
        <f>ROUND(D333*(E333+F333),2)</f>
        <v>40.78</v>
      </c>
      <c r="H333" s="432"/>
      <c r="I333" s="362"/>
      <c r="J333" s="409"/>
      <c r="K333" s="510"/>
      <c r="L333" s="517"/>
      <c r="M333" s="520"/>
      <c r="N333" s="521"/>
      <c r="O333" s="522"/>
      <c r="P333" s="523"/>
      <c r="Q333" s="362"/>
      <c r="R333" s="502"/>
      <c r="S333" s="503"/>
      <c r="T333" s="504"/>
    </row>
    <row r="334" spans="1:21">
      <c r="A334" s="389"/>
      <c r="B334" s="506" t="s">
        <v>91</v>
      </c>
      <c r="C334" s="507"/>
      <c r="D334" s="508"/>
      <c r="E334" s="38"/>
      <c r="F334" s="41"/>
      <c r="G334" s="50">
        <f>D334*(E334+F334)</f>
        <v>0</v>
      </c>
      <c r="H334" s="432"/>
      <c r="I334" s="362"/>
      <c r="J334" s="409"/>
      <c r="K334" s="510"/>
      <c r="L334" s="517"/>
      <c r="M334" s="520"/>
      <c r="N334" s="521"/>
      <c r="O334" s="522"/>
      <c r="P334" s="523"/>
      <c r="Q334" s="362"/>
      <c r="R334" s="502"/>
      <c r="S334" s="503"/>
      <c r="T334" s="504"/>
    </row>
    <row r="335" spans="1:21">
      <c r="A335" s="389"/>
      <c r="B335" s="506" t="s">
        <v>92</v>
      </c>
      <c r="C335" s="48" t="s">
        <v>260</v>
      </c>
      <c r="D335" s="508">
        <f>июль18!D331+июль18!D332</f>
        <v>7206</v>
      </c>
      <c r="E335" s="41">
        <f>6.7023-6.509</f>
        <v>0.19329999999999981</v>
      </c>
      <c r="F335" s="41">
        <f>+E335</f>
        <v>0.19329999999999981</v>
      </c>
      <c r="G335" s="39">
        <f>ROUNDDOWN(D335*E335,2)+0.01</f>
        <v>1392.92</v>
      </c>
      <c r="H335" s="432"/>
      <c r="I335" s="362"/>
      <c r="J335" s="41"/>
      <c r="K335" s="510"/>
      <c r="L335" s="517"/>
      <c r="M335" s="520"/>
      <c r="N335" s="521"/>
      <c r="O335" s="522"/>
      <c r="P335" s="523"/>
      <c r="Q335" s="362"/>
      <c r="R335" s="502"/>
      <c r="S335" s="503"/>
      <c r="T335" s="504"/>
    </row>
    <row r="336" spans="1:21">
      <c r="A336" s="389"/>
      <c r="B336" s="506"/>
      <c r="C336" s="48" t="s">
        <v>263</v>
      </c>
      <c r="D336" s="508">
        <v>320</v>
      </c>
      <c r="E336" s="41">
        <v>6.7023000000000001</v>
      </c>
      <c r="F336" s="41">
        <f>+E336</f>
        <v>6.7023000000000001</v>
      </c>
      <c r="G336" s="39">
        <f>ROUND(D336*E336,2)</f>
        <v>2144.7399999999998</v>
      </c>
      <c r="H336" s="432"/>
      <c r="I336" s="362"/>
      <c r="J336" s="207"/>
      <c r="K336" s="524"/>
      <c r="L336" s="517"/>
      <c r="M336" s="520"/>
      <c r="N336" s="521"/>
      <c r="O336" s="522"/>
      <c r="P336" s="523"/>
      <c r="Q336" s="362"/>
      <c r="R336" s="502"/>
      <c r="S336" s="503"/>
      <c r="T336" s="504"/>
    </row>
    <row r="337" spans="1:21" ht="15.75" thickBot="1">
      <c r="A337" s="411"/>
      <c r="B337" s="526"/>
      <c r="C337" s="99" t="s">
        <v>29</v>
      </c>
      <c r="D337" s="55">
        <v>7230</v>
      </c>
      <c r="E337" s="56">
        <v>6.7023000000000001</v>
      </c>
      <c r="F337" s="57">
        <f>+E337</f>
        <v>6.7023000000000001</v>
      </c>
      <c r="G337" s="58">
        <f>ROUND(D337*E337,2)</f>
        <v>48457.63</v>
      </c>
      <c r="H337" s="248"/>
      <c r="I337" s="203"/>
      <c r="J337" s="60"/>
      <c r="K337" s="61"/>
      <c r="L337" s="249"/>
      <c r="M337" s="54"/>
      <c r="N337" s="527"/>
      <c r="O337" s="528"/>
      <c r="P337" s="529" t="s">
        <v>87</v>
      </c>
      <c r="Q337" s="282">
        <f>+G337+J337-M337-N337-O337</f>
        <v>48457.63</v>
      </c>
      <c r="R337" s="530" t="s">
        <v>88</v>
      </c>
      <c r="S337" s="531">
        <f>SUM(N330:N337)+O330:O337</f>
        <v>0</v>
      </c>
      <c r="T337" s="531">
        <f>SUM(Q330:Q337)</f>
        <v>-3889.9571999999971</v>
      </c>
      <c r="U337" s="33"/>
    </row>
    <row r="338" spans="1:21" ht="15.75" thickTop="1">
      <c r="A338" s="339">
        <v>502</v>
      </c>
      <c r="B338" s="532" t="s">
        <v>192</v>
      </c>
      <c r="C338" s="71">
        <f>+[1]дек!U51</f>
        <v>-6.0000000303261913E-4</v>
      </c>
      <c r="D338" s="213">
        <v>79</v>
      </c>
      <c r="E338" s="21">
        <v>40.556600000000003</v>
      </c>
      <c r="F338" s="21">
        <v>47.5304</v>
      </c>
      <c r="G338" s="214">
        <f>ROUND(D338*(E338+F338),2)</f>
        <v>6958.87</v>
      </c>
      <c r="H338" s="496"/>
      <c r="I338" s="73"/>
      <c r="J338" s="73"/>
      <c r="K338" s="497"/>
      <c r="L338" s="533">
        <f>+SUM(G338:G345,)+SUM(J338:J345)</f>
        <v>61284.540000000008</v>
      </c>
      <c r="M338" s="26">
        <v>61284.54</v>
      </c>
      <c r="N338" s="534"/>
      <c r="O338" s="535"/>
      <c r="P338" s="536" t="s">
        <v>87</v>
      </c>
      <c r="Q338" s="537">
        <f t="shared" si="70"/>
        <v>-54325.670600000005</v>
      </c>
      <c r="R338" s="538" t="s">
        <v>95</v>
      </c>
      <c r="S338" s="539"/>
      <c r="T338" s="540"/>
      <c r="U338" s="33"/>
    </row>
    <row r="339" spans="1:21">
      <c r="A339" s="353"/>
      <c r="B339" s="541"/>
      <c r="C339" s="542" t="s">
        <v>96</v>
      </c>
      <c r="D339" s="234">
        <f>июль18!D333</f>
        <v>45</v>
      </c>
      <c r="E339" s="38">
        <f>40.5566-36.2142</f>
        <v>4.3424000000000049</v>
      </c>
      <c r="F339" s="38">
        <f>47.5304-42.4328</f>
        <v>5.0975999999999999</v>
      </c>
      <c r="G339" s="235">
        <f>ROUND(D339*(E339+F339),2)</f>
        <v>424.8</v>
      </c>
      <c r="H339" s="448"/>
      <c r="I339" s="509"/>
      <c r="J339" s="509"/>
      <c r="K339" s="543"/>
      <c r="L339" s="544"/>
      <c r="M339" s="545"/>
      <c r="N339" s="546"/>
      <c r="O339" s="547"/>
      <c r="P339" s="548"/>
      <c r="Q339" s="549"/>
      <c r="R339" s="550"/>
      <c r="S339" s="551"/>
      <c r="T339" s="552"/>
      <c r="U339" s="33"/>
    </row>
    <row r="340" spans="1:21">
      <c r="A340" s="353"/>
      <c r="B340" s="516" t="s">
        <v>32</v>
      </c>
      <c r="C340" s="99" t="s">
        <v>90</v>
      </c>
      <c r="D340" s="234">
        <v>27</v>
      </c>
      <c r="E340" s="101">
        <v>237.98</v>
      </c>
      <c r="F340" s="38">
        <f>F338</f>
        <v>47.5304</v>
      </c>
      <c r="G340" s="235">
        <f>ROUND(D340*(E340+F340),2)</f>
        <v>7708.78</v>
      </c>
      <c r="H340" s="270"/>
      <c r="I340" s="41"/>
      <c r="J340" s="41"/>
      <c r="K340" s="510"/>
      <c r="L340" s="553"/>
      <c r="M340" s="554"/>
      <c r="N340" s="555"/>
      <c r="O340" s="556"/>
      <c r="P340" s="557" t="s">
        <v>87</v>
      </c>
      <c r="Q340" s="558">
        <f>+G340+J340-M340-N340-O340</f>
        <v>7708.78</v>
      </c>
      <c r="R340" s="550" t="s">
        <v>95</v>
      </c>
      <c r="S340" s="551"/>
      <c r="T340" s="552"/>
    </row>
    <row r="341" spans="1:21">
      <c r="A341" s="353"/>
      <c r="B341" s="541"/>
      <c r="C341" s="84" t="s">
        <v>97</v>
      </c>
      <c r="D341" s="234">
        <f>июль18!D335</f>
        <v>19</v>
      </c>
      <c r="E341" s="41"/>
      <c r="F341" s="38">
        <f>F339</f>
        <v>5.0975999999999999</v>
      </c>
      <c r="G341" s="50">
        <f>ROUND(D341*(E341+F341),2)</f>
        <v>96.85</v>
      </c>
      <c r="H341" s="432"/>
      <c r="I341" s="362"/>
      <c r="J341" s="41"/>
      <c r="K341" s="510"/>
      <c r="L341" s="559"/>
      <c r="M341" s="560"/>
      <c r="N341" s="561"/>
      <c r="O341" s="562"/>
      <c r="P341" s="563"/>
      <c r="Q341" s="564"/>
      <c r="R341" s="550"/>
      <c r="S341" s="551"/>
      <c r="T341" s="552"/>
    </row>
    <row r="342" spans="1:21">
      <c r="A342" s="353"/>
      <c r="B342" s="541"/>
      <c r="C342" s="84" t="s">
        <v>97</v>
      </c>
      <c r="D342" s="234"/>
      <c r="E342" s="38"/>
      <c r="F342" s="240"/>
      <c r="G342" s="50">
        <f>D342*(E342+F342)</f>
        <v>0</v>
      </c>
      <c r="H342" s="432"/>
      <c r="I342" s="362"/>
      <c r="J342" s="41"/>
      <c r="K342" s="510"/>
      <c r="L342" s="559"/>
      <c r="M342" s="560"/>
      <c r="N342" s="561"/>
      <c r="O342" s="562"/>
      <c r="P342" s="563"/>
      <c r="Q342" s="564"/>
      <c r="R342" s="550"/>
      <c r="S342" s="551"/>
      <c r="T342" s="552"/>
    </row>
    <row r="343" spans="1:21">
      <c r="A343" s="353"/>
      <c r="B343" s="541"/>
      <c r="C343" s="48" t="s">
        <v>260</v>
      </c>
      <c r="D343" s="37">
        <f>июль18!D339+июль18!D340</f>
        <v>4699</v>
      </c>
      <c r="E343" s="41">
        <f>6.7023-6.509</f>
        <v>0.19329999999999981</v>
      </c>
      <c r="F343" s="41">
        <f>+E343</f>
        <v>0.19329999999999981</v>
      </c>
      <c r="G343" s="235">
        <f>ROUND(D343*E343,2)+0.01</f>
        <v>908.33</v>
      </c>
      <c r="H343" s="565"/>
      <c r="I343" s="564"/>
      <c r="J343" s="566"/>
      <c r="K343" s="567"/>
      <c r="L343" s="559"/>
      <c r="M343" s="560"/>
      <c r="N343" s="561"/>
      <c r="O343" s="562"/>
      <c r="P343" s="563"/>
      <c r="Q343" s="564"/>
      <c r="R343" s="550"/>
      <c r="S343" s="551"/>
      <c r="T343" s="552"/>
      <c r="U343" s="352"/>
    </row>
    <row r="344" spans="1:21">
      <c r="A344" s="353"/>
      <c r="B344" s="541"/>
      <c r="C344" s="48" t="s">
        <v>263</v>
      </c>
      <c r="D344" s="37">
        <v>286</v>
      </c>
      <c r="E344" s="41">
        <v>6.7023000000000001</v>
      </c>
      <c r="F344" s="41">
        <f>+E344</f>
        <v>6.7023000000000001</v>
      </c>
      <c r="G344" s="235">
        <f>ROUND(D344*E344,2)</f>
        <v>1916.86</v>
      </c>
      <c r="H344" s="565"/>
      <c r="I344" s="564"/>
      <c r="J344" s="566"/>
      <c r="K344" s="567"/>
      <c r="L344" s="559"/>
      <c r="M344" s="560"/>
      <c r="N344" s="561"/>
      <c r="O344" s="562"/>
      <c r="P344" s="563"/>
      <c r="Q344" s="564"/>
      <c r="R344" s="550"/>
      <c r="S344" s="551"/>
      <c r="T344" s="552"/>
      <c r="U344" s="33"/>
    </row>
    <row r="345" spans="1:21" ht="15.75" thickBot="1">
      <c r="A345" s="369"/>
      <c r="B345" s="568"/>
      <c r="C345" s="99" t="s">
        <v>29</v>
      </c>
      <c r="D345" s="246">
        <v>6456</v>
      </c>
      <c r="E345" s="56">
        <v>6.7023000000000001</v>
      </c>
      <c r="F345" s="57">
        <f>+E345</f>
        <v>6.7023000000000001</v>
      </c>
      <c r="G345" s="247">
        <f>ROUND(D345*E345,2)</f>
        <v>43270.05</v>
      </c>
      <c r="H345" s="248"/>
      <c r="I345" s="203"/>
      <c r="J345" s="60"/>
      <c r="K345" s="61"/>
      <c r="L345" s="204"/>
      <c r="M345" s="560"/>
      <c r="N345" s="561"/>
      <c r="O345" s="528"/>
      <c r="P345" s="529" t="s">
        <v>87</v>
      </c>
      <c r="Q345" s="564">
        <f>+G345+J345-M345-N345-O345</f>
        <v>43270.05</v>
      </c>
      <c r="R345" s="550" t="s">
        <v>95</v>
      </c>
      <c r="S345" s="569">
        <f>SUM(N338:N345)+O338:O345</f>
        <v>0</v>
      </c>
      <c r="T345" s="570">
        <f>SUM(Q340:Q345)</f>
        <v>50978.83</v>
      </c>
    </row>
    <row r="346" spans="1:21" ht="15.75" hidden="1" outlineLevel="1" thickBot="1">
      <c r="A346" s="571"/>
      <c r="B346" s="572" t="s">
        <v>98</v>
      </c>
      <c r="C346" s="573" t="s">
        <v>99</v>
      </c>
      <c r="D346" s="574"/>
      <c r="E346" s="575">
        <f>3.193-2.9732</f>
        <v>0.21980000000000022</v>
      </c>
      <c r="F346" s="575">
        <f>3.193-2.9732</f>
        <v>0.21980000000000022</v>
      </c>
      <c r="G346" s="576">
        <f>D346*E346*70%+D346*F346*30%</f>
        <v>0</v>
      </c>
      <c r="H346" s="577"/>
      <c r="I346" s="578"/>
      <c r="J346" s="579"/>
      <c r="K346" s="579"/>
      <c r="L346" s="580"/>
      <c r="M346" s="581"/>
      <c r="N346" s="582"/>
      <c r="O346" s="535"/>
      <c r="P346" s="536"/>
      <c r="Q346" s="583"/>
      <c r="R346" s="584"/>
      <c r="S346" s="569"/>
      <c r="T346" s="585"/>
    </row>
    <row r="347" spans="1:21" s="81" customFormat="1" ht="16.5" hidden="1" customHeight="1" outlineLevel="1" thickBot="1">
      <c r="A347" s="933" t="s">
        <v>100</v>
      </c>
      <c r="B347" s="587" t="s">
        <v>98</v>
      </c>
      <c r="C347" s="588">
        <f>+[1]авг!C52</f>
        <v>0</v>
      </c>
      <c r="D347" s="589"/>
      <c r="E347" s="575">
        <v>3.1930000000000001</v>
      </c>
      <c r="F347" s="575">
        <f>+E347</f>
        <v>3.1930000000000001</v>
      </c>
      <c r="G347" s="576">
        <f>D347*E347*70%+D347*F347*30%</f>
        <v>0</v>
      </c>
      <c r="H347" s="579"/>
      <c r="I347" s="579"/>
      <c r="J347" s="579"/>
      <c r="K347" s="579"/>
      <c r="L347" s="579">
        <f>+C347+G347+G346</f>
        <v>0</v>
      </c>
      <c r="M347" s="590"/>
      <c r="N347" s="500"/>
      <c r="O347" s="528"/>
      <c r="P347" s="529" t="s">
        <v>87</v>
      </c>
      <c r="Q347" s="591">
        <f t="shared" si="70"/>
        <v>0</v>
      </c>
      <c r="R347" s="592" t="s">
        <v>101</v>
      </c>
      <c r="S347" s="77">
        <f>SUM(N347:N347)+SUM(O347:O347)</f>
        <v>0</v>
      </c>
      <c r="T347" s="593">
        <f>SUM(Q347:Q347)</f>
        <v>0</v>
      </c>
    </row>
    <row r="348" spans="1:21" ht="15.75" hidden="1" outlineLevel="1" thickBot="1">
      <c r="A348" s="944"/>
      <c r="B348" s="945" t="s">
        <v>128</v>
      </c>
      <c r="C348" s="573" t="s">
        <v>115</v>
      </c>
      <c r="D348" s="946"/>
      <c r="E348" s="579">
        <f>6.8021-6.8946</f>
        <v>-9.2499999999999361E-2</v>
      </c>
      <c r="F348" s="579">
        <f t="shared" ref="F348" si="71">+E348</f>
        <v>-9.2499999999999361E-2</v>
      </c>
      <c r="G348" s="947">
        <f>ROUND(D348*(E348),2)</f>
        <v>0</v>
      </c>
      <c r="H348" s="948"/>
      <c r="I348" s="949"/>
      <c r="J348" s="949"/>
      <c r="K348" s="950"/>
      <c r="L348" s="951"/>
      <c r="M348" s="952"/>
      <c r="N348" s="604"/>
      <c r="O348" s="635"/>
      <c r="P348" s="636"/>
      <c r="Q348" s="605"/>
    </row>
    <row r="349" spans="1:21" ht="15.75" hidden="1" outlineLevel="1" thickBot="1">
      <c r="A349" s="953"/>
      <c r="B349" s="954"/>
      <c r="C349" s="573" t="s">
        <v>114</v>
      </c>
      <c r="D349" s="946"/>
      <c r="E349" s="579">
        <v>6.8021000000000003</v>
      </c>
      <c r="F349" s="579">
        <f>+E349</f>
        <v>6.8021000000000003</v>
      </c>
      <c r="G349" s="947">
        <f>ROUND(D349*(E349),2)</f>
        <v>0</v>
      </c>
      <c r="H349" s="948"/>
      <c r="I349" s="949"/>
      <c r="J349" s="949"/>
      <c r="K349" s="950"/>
      <c r="L349" s="955"/>
      <c r="M349" s="956"/>
      <c r="N349" s="607"/>
      <c r="O349" s="608"/>
      <c r="P349" s="609"/>
      <c r="Q349" s="610"/>
    </row>
    <row r="350" spans="1:21" ht="15.75" hidden="1" outlineLevel="1" thickBot="1">
      <c r="A350" s="944"/>
      <c r="B350" s="954"/>
      <c r="C350" s="916" t="s">
        <v>29</v>
      </c>
      <c r="D350" s="948"/>
      <c r="E350" s="917">
        <v>6.8021000000000003</v>
      </c>
      <c r="F350" s="579">
        <f t="shared" ref="F350" si="72">+E350</f>
        <v>6.8021000000000003</v>
      </c>
      <c r="G350" s="947">
        <f t="shared" ref="G350" si="73">ROUND(D350*(E350),2)</f>
        <v>0</v>
      </c>
      <c r="H350" s="948"/>
      <c r="I350" s="949"/>
      <c r="J350" s="949"/>
      <c r="K350" s="950"/>
      <c r="L350" s="951"/>
      <c r="M350" s="956"/>
      <c r="N350" s="615"/>
      <c r="O350" s="615"/>
      <c r="P350" s="615"/>
      <c r="Q350" s="616"/>
    </row>
    <row r="351" spans="1:21" ht="15.75" hidden="1" outlineLevel="1" thickBot="1">
      <c r="A351" s="953"/>
      <c r="B351" s="955"/>
      <c r="C351" s="575"/>
      <c r="D351" s="957"/>
      <c r="E351" s="580"/>
      <c r="F351" s="575"/>
      <c r="G351" s="958"/>
      <c r="H351" s="959"/>
      <c r="I351" s="575"/>
      <c r="J351" s="575"/>
      <c r="K351" s="575"/>
      <c r="L351" s="955"/>
      <c r="M351" s="956"/>
      <c r="N351" s="615"/>
      <c r="O351" s="615"/>
      <c r="P351" s="615"/>
      <c r="Q351" s="615"/>
    </row>
    <row r="352" spans="1:21" collapsed="1">
      <c r="A352" s="963"/>
      <c r="B352" s="621"/>
      <c r="C352" s="621"/>
      <c r="D352" s="964"/>
      <c r="E352" s="905"/>
      <c r="F352" s="621"/>
      <c r="G352" s="905"/>
      <c r="H352" s="621"/>
      <c r="I352" s="621"/>
      <c r="J352" s="621"/>
      <c r="K352" s="621"/>
      <c r="L352" s="621"/>
      <c r="M352" s="965"/>
      <c r="N352" s="615"/>
      <c r="O352" s="615"/>
      <c r="P352" s="615"/>
      <c r="Q352" s="615"/>
    </row>
    <row r="353" spans="1:20" ht="15.75" thickBot="1">
      <c r="A353" s="966"/>
      <c r="B353" s="615"/>
      <c r="C353" s="615"/>
      <c r="D353" s="696"/>
      <c r="E353" s="473"/>
      <c r="F353" s="615"/>
      <c r="G353" s="473"/>
      <c r="H353" s="615"/>
      <c r="I353" s="615"/>
      <c r="J353" s="615"/>
      <c r="K353" s="615"/>
      <c r="L353" s="615"/>
      <c r="M353" s="967"/>
      <c r="N353" s="615"/>
      <c r="O353" s="615"/>
      <c r="P353" s="615"/>
      <c r="Q353" s="615"/>
    </row>
    <row r="354" spans="1:20" s="81" customFormat="1" ht="15" customHeight="1" thickTop="1">
      <c r="A354" s="476"/>
      <c r="B354" s="158"/>
      <c r="C354" s="322"/>
      <c r="D354" s="477"/>
      <c r="E354" s="163"/>
      <c r="F354" s="163"/>
      <c r="G354" s="478"/>
      <c r="H354" s="163"/>
      <c r="I354" s="163"/>
      <c r="J354" s="163"/>
      <c r="K354" s="163"/>
      <c r="L354" s="163"/>
      <c r="M354" s="164"/>
      <c r="N354" s="479"/>
      <c r="O354" s="479"/>
      <c r="P354" s="479"/>
      <c r="Q354" s="479"/>
      <c r="R354" s="422"/>
      <c r="S354"/>
      <c r="T354" s="399"/>
    </row>
    <row r="355" spans="1:20" ht="15.75" thickBot="1">
      <c r="A355" s="968" t="s">
        <v>113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3"/>
      <c r="N355" s="2"/>
      <c r="O355" s="2"/>
      <c r="P355" s="2"/>
      <c r="Q355" s="2"/>
    </row>
    <row r="356" spans="1:20" ht="15.75" customHeight="1" thickTop="1" thickBot="1">
      <c r="A356" s="1559" t="s">
        <v>1</v>
      </c>
      <c r="B356" s="1543" t="s">
        <v>2</v>
      </c>
      <c r="C356" s="1545" t="s">
        <v>3</v>
      </c>
      <c r="D356" s="1546" t="s">
        <v>4</v>
      </c>
      <c r="E356" s="1546"/>
      <c r="F356" s="1546"/>
      <c r="G356" s="1546"/>
      <c r="H356" s="1547"/>
      <c r="I356" s="1548"/>
      <c r="J356" s="1548"/>
      <c r="K356" s="1549"/>
      <c r="L356" s="1524" t="s">
        <v>6</v>
      </c>
      <c r="M356" s="1511" t="s">
        <v>7</v>
      </c>
      <c r="N356" s="1551" t="s">
        <v>8</v>
      </c>
      <c r="O356" s="1551"/>
      <c r="P356" s="1551"/>
      <c r="Q356" s="1552"/>
      <c r="R356" s="481"/>
      <c r="S356" s="482" t="s">
        <v>20</v>
      </c>
      <c r="T356" s="482" t="s">
        <v>21</v>
      </c>
    </row>
    <row r="357" spans="1:20" ht="26.25" thickBot="1">
      <c r="A357" s="1560"/>
      <c r="B357" s="1557"/>
      <c r="C357" s="1558" t="s">
        <v>10</v>
      </c>
      <c r="D357" s="483" t="s">
        <v>11</v>
      </c>
      <c r="E357" s="649" t="s">
        <v>12</v>
      </c>
      <c r="F357" s="649" t="s">
        <v>13</v>
      </c>
      <c r="G357" s="650" t="s">
        <v>14</v>
      </c>
      <c r="H357" s="651" t="s">
        <v>11</v>
      </c>
      <c r="I357" s="652" t="s">
        <v>15</v>
      </c>
      <c r="J357" s="653"/>
      <c r="K357" s="654" t="s">
        <v>16</v>
      </c>
      <c r="L357" s="1525"/>
      <c r="M357" s="1554"/>
      <c r="N357" s="655"/>
      <c r="O357" s="653"/>
      <c r="P357" s="656" t="s">
        <v>18</v>
      </c>
      <c r="Q357" s="657" t="s">
        <v>19</v>
      </c>
      <c r="R357" s="491"/>
      <c r="S357" s="492"/>
      <c r="T357" s="492"/>
    </row>
    <row r="358" spans="1:20">
      <c r="A358" s="961" t="s">
        <v>212</v>
      </c>
      <c r="B358" s="659" t="s">
        <v>116</v>
      </c>
      <c r="C358" s="668" t="s">
        <v>73</v>
      </c>
      <c r="D358" s="669">
        <v>5</v>
      </c>
      <c r="E358" s="21">
        <v>40.556600000000003</v>
      </c>
      <c r="F358" s="21">
        <v>47.5304</v>
      </c>
      <c r="G358" s="214">
        <f>+D358*(E358+F358)</f>
        <v>440.435</v>
      </c>
      <c r="H358" s="687">
        <f>июнь18!D335</f>
        <v>5</v>
      </c>
      <c r="I358" s="688">
        <v>21.464300000000001</v>
      </c>
      <c r="J358" s="670">
        <f>ROUND(H358*I358,2)</f>
        <v>107.32</v>
      </c>
      <c r="K358" s="689">
        <v>43252</v>
      </c>
      <c r="L358" s="603">
        <f>SUM(G358:G364)+SUM(J358:J362)</f>
        <v>11423.444599999999</v>
      </c>
      <c r="M358" s="187">
        <v>11423.44</v>
      </c>
      <c r="N358" s="670"/>
      <c r="O358" s="670"/>
      <c r="P358" s="670"/>
      <c r="Q358" s="670"/>
    </row>
    <row r="359" spans="1:20">
      <c r="A359" s="970"/>
      <c r="B359" s="672"/>
      <c r="C359" s="48" t="s">
        <v>264</v>
      </c>
      <c r="D359" s="673">
        <f>июль18!D353</f>
        <v>5.59</v>
      </c>
      <c r="E359" s="41">
        <f>40.5566-36.2142</f>
        <v>4.3424000000000049</v>
      </c>
      <c r="F359" s="298">
        <f>47.5304-42.4328</f>
        <v>5.0975999999999999</v>
      </c>
      <c r="G359" s="235">
        <f>+D359*(E359+F359)</f>
        <v>52.769600000000025</v>
      </c>
      <c r="H359" s="687"/>
      <c r="I359" s="688"/>
      <c r="J359" s="670"/>
      <c r="K359" s="689"/>
      <c r="L359" s="606"/>
      <c r="M359" s="935"/>
      <c r="N359" s="298"/>
      <c r="O359" s="298"/>
      <c r="P359" s="298"/>
      <c r="Q359" s="298"/>
    </row>
    <row r="360" spans="1:20">
      <c r="A360" s="970"/>
      <c r="B360" s="442"/>
      <c r="C360" s="48"/>
      <c r="D360" s="673"/>
      <c r="E360" s="41"/>
      <c r="F360" s="298"/>
      <c r="G360" s="235">
        <f t="shared" ref="G360:G373" si="74">ROUND(D360*E360,2)</f>
        <v>0</v>
      </c>
      <c r="H360" s="687"/>
      <c r="I360" s="688"/>
      <c r="J360" s="670"/>
      <c r="K360" s="850"/>
      <c r="L360" s="614"/>
      <c r="M360" s="935"/>
      <c r="N360" s="298"/>
      <c r="O360" s="298"/>
      <c r="P360" s="298"/>
      <c r="Q360" s="298"/>
    </row>
    <row r="361" spans="1:20">
      <c r="A361" s="970"/>
      <c r="B361" s="35"/>
      <c r="C361" s="606"/>
      <c r="D361" s="673"/>
      <c r="E361" s="41"/>
      <c r="F361" s="298"/>
      <c r="G361" s="235">
        <f t="shared" si="74"/>
        <v>0</v>
      </c>
      <c r="H361" s="270"/>
      <c r="I361" s="688"/>
      <c r="J361" s="670"/>
      <c r="K361" s="689"/>
      <c r="L361" s="614"/>
      <c r="M361" s="273"/>
      <c r="N361" s="298"/>
      <c r="O361" s="298"/>
      <c r="P361" s="298"/>
      <c r="Q361" s="298"/>
    </row>
    <row r="362" spans="1:20" ht="15.75">
      <c r="A362" s="971"/>
      <c r="B362" s="672"/>
      <c r="C362" s="48" t="s">
        <v>260</v>
      </c>
      <c r="D362" s="269">
        <f>июль18!D358+июль18!D359</f>
        <v>1654.1</v>
      </c>
      <c r="E362" s="41">
        <f>6.7023-6.509</f>
        <v>0.19329999999999981</v>
      </c>
      <c r="F362" s="298">
        <f t="shared" ref="F362:F363" si="75">+E362</f>
        <v>0.19329999999999981</v>
      </c>
      <c r="G362" s="235">
        <f>ROUND(D362*E362,2)+0.01</f>
        <v>319.75</v>
      </c>
      <c r="H362" s="270"/>
      <c r="I362" s="41"/>
      <c r="J362" s="670"/>
      <c r="K362" s="689"/>
      <c r="L362" s="606"/>
      <c r="M362" s="935"/>
      <c r="N362" s="663"/>
      <c r="O362" s="237"/>
      <c r="P362" s="275"/>
      <c r="Q362" s="237"/>
    </row>
    <row r="363" spans="1:20" ht="15.75">
      <c r="A363" s="972"/>
      <c r="B363" s="35"/>
      <c r="C363" s="48" t="s">
        <v>263</v>
      </c>
      <c r="D363" s="269">
        <v>52.4</v>
      </c>
      <c r="E363" s="41">
        <v>6.7023000000000001</v>
      </c>
      <c r="F363" s="298">
        <f t="shared" si="75"/>
        <v>6.7023000000000001</v>
      </c>
      <c r="G363" s="235">
        <f t="shared" si="74"/>
        <v>351.2</v>
      </c>
      <c r="H363" s="270"/>
      <c r="I363" s="41"/>
      <c r="J363" s="41"/>
      <c r="K363" s="41"/>
      <c r="L363" s="614"/>
      <c r="M363" s="935"/>
      <c r="N363" s="663"/>
      <c r="O363" s="237"/>
      <c r="P363" s="275"/>
      <c r="Q363" s="237"/>
    </row>
    <row r="364" spans="1:20" ht="15.75" thickBot="1">
      <c r="A364" s="973"/>
      <c r="B364" s="665"/>
      <c r="C364" s="54" t="s">
        <v>29</v>
      </c>
      <c r="D364" s="613">
        <v>1514.7</v>
      </c>
      <c r="E364" s="56">
        <v>6.7023000000000001</v>
      </c>
      <c r="F364" s="57"/>
      <c r="G364" s="247">
        <f t="shared" si="74"/>
        <v>10151.969999999999</v>
      </c>
      <c r="H364" s="613"/>
      <c r="I364" s="57"/>
      <c r="J364" s="57"/>
      <c r="K364" s="57"/>
      <c r="L364" s="783"/>
      <c r="M364" s="250"/>
      <c r="N364" s="57"/>
      <c r="O364" s="57"/>
      <c r="P364" s="57"/>
      <c r="Q364" s="57"/>
      <c r="R364" s="615"/>
    </row>
    <row r="365" spans="1:20" ht="15.75">
      <c r="A365" s="658">
        <v>212</v>
      </c>
      <c r="B365" s="659" t="s">
        <v>148</v>
      </c>
      <c r="C365" s="786" t="s">
        <v>260</v>
      </c>
      <c r="D365" s="259">
        <f>июль18!D361+июль18!D362</f>
        <v>206.9</v>
      </c>
      <c r="E365" s="41">
        <f>6.7023-6.509</f>
        <v>0.19329999999999981</v>
      </c>
      <c r="F365" s="691">
        <f>+E365</f>
        <v>0.19329999999999981</v>
      </c>
      <c r="G365" s="214">
        <f>ROUND(D365*E365,2)+0.01</f>
        <v>40</v>
      </c>
      <c r="H365" s="303"/>
      <c r="I365" s="23"/>
      <c r="J365" s="23"/>
      <c r="K365" s="23"/>
      <c r="L365" s="603">
        <f>SUM(G365:G367)</f>
        <v>1330.8600000000001</v>
      </c>
      <c r="M365" s="187">
        <v>1330.86</v>
      </c>
      <c r="N365" s="660"/>
      <c r="O365" s="217"/>
      <c r="P365" s="661"/>
      <c r="Q365" s="219"/>
    </row>
    <row r="366" spans="1:20" ht="15.75">
      <c r="A366" s="662"/>
      <c r="B366" s="35"/>
      <c r="C366" s="48" t="s">
        <v>263</v>
      </c>
      <c r="D366" s="269">
        <v>6.4</v>
      </c>
      <c r="E366" s="41">
        <v>6.7023000000000001</v>
      </c>
      <c r="F366" s="298">
        <f t="shared" ref="F366" si="76">+E366</f>
        <v>6.7023000000000001</v>
      </c>
      <c r="G366" s="235">
        <f t="shared" si="74"/>
        <v>42.89</v>
      </c>
      <c r="H366" s="270"/>
      <c r="I366" s="41"/>
      <c r="J366" s="41"/>
      <c r="K366" s="41"/>
      <c r="L366" s="606"/>
      <c r="M366" s="935"/>
      <c r="N366" s="663"/>
      <c r="O366" s="237"/>
      <c r="P366" s="275"/>
      <c r="Q366" s="238"/>
    </row>
    <row r="367" spans="1:20" ht="15.75" thickBot="1">
      <c r="A367" s="975"/>
      <c r="B367" s="665"/>
      <c r="C367" s="99" t="s">
        <v>29</v>
      </c>
      <c r="D367" s="613">
        <v>186.2</v>
      </c>
      <c r="E367" s="56">
        <v>6.7023000000000001</v>
      </c>
      <c r="F367" s="57"/>
      <c r="G367" s="247">
        <f t="shared" si="74"/>
        <v>1247.97</v>
      </c>
      <c r="H367" s="613"/>
      <c r="I367" s="57"/>
      <c r="J367" s="57"/>
      <c r="K367" s="57"/>
      <c r="L367" s="614"/>
      <c r="M367" s="606"/>
      <c r="N367" s="57"/>
      <c r="O367" s="57"/>
      <c r="P367" s="57"/>
      <c r="Q367" s="666"/>
    </row>
    <row r="368" spans="1:20" ht="15.75">
      <c r="A368" s="658">
        <v>216</v>
      </c>
      <c r="B368" s="659" t="s">
        <v>240</v>
      </c>
      <c r="C368" s="786" t="s">
        <v>260</v>
      </c>
      <c r="D368" s="259">
        <f>июль18!D364+июль18!D365</f>
        <v>206.9</v>
      </c>
      <c r="E368" s="41">
        <f>6.7023-6.509</f>
        <v>0.19329999999999981</v>
      </c>
      <c r="F368" s="691">
        <f>+E368</f>
        <v>0.19329999999999981</v>
      </c>
      <c r="G368" s="214">
        <f>ROUND(D368*E368,2)+0.01</f>
        <v>40</v>
      </c>
      <c r="H368" s="303"/>
      <c r="I368" s="23"/>
      <c r="J368" s="23"/>
      <c r="K368" s="23"/>
      <c r="L368" s="603">
        <f>SUM(G368:G370)</f>
        <v>1149.2299999999998</v>
      </c>
      <c r="M368" s="187">
        <v>1149.23</v>
      </c>
      <c r="N368" s="660"/>
      <c r="O368" s="217"/>
      <c r="P368" s="661"/>
      <c r="Q368" s="219"/>
    </row>
    <row r="369" spans="1:18" ht="15.75">
      <c r="A369" s="662"/>
      <c r="B369" s="35"/>
      <c r="C369" s="48" t="s">
        <v>263</v>
      </c>
      <c r="D369" s="269">
        <v>5.5</v>
      </c>
      <c r="E369" s="41">
        <v>6.7023000000000001</v>
      </c>
      <c r="F369" s="298">
        <f t="shared" ref="F369" si="77">+E369</f>
        <v>6.7023000000000001</v>
      </c>
      <c r="G369" s="235">
        <f t="shared" ref="G369:G370" si="78">ROUND(D369*E369,2)</f>
        <v>36.86</v>
      </c>
      <c r="H369" s="270"/>
      <c r="I369" s="41"/>
      <c r="J369" s="41"/>
      <c r="K369" s="41"/>
      <c r="L369" s="606"/>
      <c r="M369" s="935"/>
      <c r="N369" s="663"/>
      <c r="O369" s="237"/>
      <c r="P369" s="275"/>
      <c r="Q369" s="238"/>
    </row>
    <row r="370" spans="1:18" ht="15.75" thickBot="1">
      <c r="A370" s="975"/>
      <c r="B370" s="665"/>
      <c r="C370" s="99" t="s">
        <v>29</v>
      </c>
      <c r="D370" s="613">
        <v>160</v>
      </c>
      <c r="E370" s="56">
        <v>6.7023000000000001</v>
      </c>
      <c r="F370" s="57"/>
      <c r="G370" s="247">
        <f t="shared" si="78"/>
        <v>1072.3699999999999</v>
      </c>
      <c r="H370" s="613"/>
      <c r="I370" s="57"/>
      <c r="J370" s="57"/>
      <c r="K370" s="57"/>
      <c r="L370" s="614"/>
      <c r="M370" s="606"/>
      <c r="N370" s="57"/>
      <c r="O370" s="57"/>
      <c r="P370" s="57"/>
      <c r="Q370" s="666"/>
    </row>
    <row r="371" spans="1:18" ht="15.75">
      <c r="A371" s="658">
        <v>218</v>
      </c>
      <c r="B371" s="659" t="s">
        <v>117</v>
      </c>
      <c r="C371" s="439" t="s">
        <v>260</v>
      </c>
      <c r="D371" s="259">
        <f>июль18!D367+июль18!D368</f>
        <v>307.3</v>
      </c>
      <c r="E371" s="23">
        <f>6.7023-6.509</f>
        <v>0.19329999999999981</v>
      </c>
      <c r="F371" s="691">
        <f>+E371</f>
        <v>0.19329999999999981</v>
      </c>
      <c r="G371" s="214">
        <f>ROUND(D371*E371,2)-0.01</f>
        <v>59.39</v>
      </c>
      <c r="H371" s="303"/>
      <c r="I371" s="23"/>
      <c r="J371" s="23"/>
      <c r="K371" s="23"/>
      <c r="L371" s="603">
        <f>SUM(G371:G373)</f>
        <v>2065.39</v>
      </c>
      <c r="M371" s="187">
        <v>2065.39</v>
      </c>
      <c r="N371" s="660"/>
      <c r="O371" s="217"/>
      <c r="P371" s="661"/>
      <c r="Q371" s="219"/>
      <c r="R371" s="615"/>
    </row>
    <row r="372" spans="1:18" ht="15.75">
      <c r="A372" s="662"/>
      <c r="B372" s="506"/>
      <c r="C372" s="48" t="s">
        <v>263</v>
      </c>
      <c r="D372" s="773">
        <v>10</v>
      </c>
      <c r="E372" s="41">
        <v>6.7023000000000001</v>
      </c>
      <c r="F372" s="774">
        <f t="shared" ref="F372" si="79">+E372</f>
        <v>6.7023000000000001</v>
      </c>
      <c r="G372" s="775">
        <f t="shared" si="74"/>
        <v>67.02</v>
      </c>
      <c r="H372" s="432"/>
      <c r="I372" s="207"/>
      <c r="J372" s="207"/>
      <c r="K372" s="207"/>
      <c r="L372" s="776"/>
      <c r="M372" s="974"/>
      <c r="N372" s="777"/>
      <c r="O372" s="778"/>
      <c r="P372" s="779"/>
      <c r="Q372" s="780"/>
    </row>
    <row r="373" spans="1:18" ht="15.75" thickBot="1">
      <c r="A373" s="975"/>
      <c r="B373" s="278"/>
      <c r="C373" s="54" t="s">
        <v>29</v>
      </c>
      <c r="D373" s="613">
        <v>289.3</v>
      </c>
      <c r="E373" s="56">
        <v>6.7023000000000001</v>
      </c>
      <c r="F373" s="57"/>
      <c r="G373" s="247">
        <f t="shared" si="74"/>
        <v>1938.98</v>
      </c>
      <c r="H373" s="613"/>
      <c r="I373" s="57"/>
      <c r="J373" s="57"/>
      <c r="K373" s="57"/>
      <c r="L373" s="783"/>
      <c r="M373" s="938"/>
      <c r="N373" s="57"/>
      <c r="O373" s="57"/>
      <c r="P373" s="57"/>
      <c r="Q373" s="666"/>
    </row>
    <row r="374" spans="1:18" ht="16.5" thickBot="1">
      <c r="A374" s="658">
        <v>311</v>
      </c>
      <c r="B374" s="602" t="s">
        <v>142</v>
      </c>
      <c r="C374" s="786" t="s">
        <v>73</v>
      </c>
      <c r="D374" s="787">
        <v>5</v>
      </c>
      <c r="E374" s="21">
        <v>40.556600000000003</v>
      </c>
      <c r="F374" s="21">
        <v>47.5304</v>
      </c>
      <c r="G374" s="214">
        <f>+D374*(E374+F374)</f>
        <v>440.435</v>
      </c>
      <c r="H374" s="687">
        <f>июнь18!D351</f>
        <v>7</v>
      </c>
      <c r="I374" s="688">
        <v>21.464300000000001</v>
      </c>
      <c r="J374" s="670">
        <f>ROUND(H374*I374,2)</f>
        <v>150.25</v>
      </c>
      <c r="K374" s="850">
        <v>43252</v>
      </c>
      <c r="L374" s="603">
        <f>SUM(G374:G378,J374:J378)</f>
        <v>19953.712200000002</v>
      </c>
      <c r="M374" s="187">
        <v>19953.71</v>
      </c>
      <c r="N374" s="788"/>
      <c r="O374" s="789"/>
      <c r="P374" s="790"/>
      <c r="Q374" s="791"/>
    </row>
    <row r="375" spans="1:18" ht="15.75">
      <c r="A375" s="658"/>
      <c r="B375" s="602"/>
      <c r="C375" s="786" t="s">
        <v>264</v>
      </c>
      <c r="D375" s="787">
        <f>июль18!D369</f>
        <v>6.38</v>
      </c>
      <c r="E375" s="21">
        <f>40.5566-36.2142</f>
        <v>4.3424000000000049</v>
      </c>
      <c r="F375" s="21">
        <f>47.5304-42.4328</f>
        <v>5.0975999999999999</v>
      </c>
      <c r="G375" s="214">
        <f>+D375*(E375+F375)</f>
        <v>60.227200000000032</v>
      </c>
      <c r="H375" s="687"/>
      <c r="I375" s="688"/>
      <c r="J375" s="670"/>
      <c r="K375" s="850"/>
      <c r="L375" s="603"/>
      <c r="M375" s="187"/>
      <c r="N375" s="788"/>
      <c r="O375" s="789"/>
      <c r="P375" s="790"/>
      <c r="Q375" s="791"/>
    </row>
    <row r="376" spans="1:18" ht="15.75">
      <c r="A376" s="662"/>
      <c r="B376" s="939"/>
      <c r="C376" s="48" t="s">
        <v>260</v>
      </c>
      <c r="D376" s="269">
        <f>июль18!D371+июль18!D372</f>
        <v>3041.7</v>
      </c>
      <c r="E376" s="41">
        <f>6.7023-6.509</f>
        <v>0.19329999999999981</v>
      </c>
      <c r="F376" s="297">
        <f>+E376</f>
        <v>0.19329999999999981</v>
      </c>
      <c r="G376" s="235">
        <f>ROUND(D376*E376,2)+0.01</f>
        <v>587.97</v>
      </c>
      <c r="H376" s="270"/>
      <c r="I376" s="688"/>
      <c r="J376" s="670"/>
      <c r="K376" s="689"/>
      <c r="L376" s="614"/>
      <c r="M376" s="273"/>
      <c r="N376" s="663"/>
      <c r="O376" s="237"/>
      <c r="P376" s="275"/>
      <c r="Q376" s="238"/>
    </row>
    <row r="377" spans="1:18" ht="15.75">
      <c r="A377" s="662"/>
      <c r="B377" s="506"/>
      <c r="C377" s="48" t="s">
        <v>263</v>
      </c>
      <c r="D377" s="269">
        <v>93.34</v>
      </c>
      <c r="E377" s="41">
        <v>6.7023000000000001</v>
      </c>
      <c r="F377" s="298">
        <f t="shared" ref="F377" si="80">+E377</f>
        <v>6.7023000000000001</v>
      </c>
      <c r="G377" s="235">
        <f t="shared" ref="G377:G378" si="81">ROUND(D377*E377,2)</f>
        <v>625.59</v>
      </c>
      <c r="H377" s="270"/>
      <c r="I377" s="41"/>
      <c r="J377" s="670"/>
      <c r="K377" s="689"/>
      <c r="L377" s="606"/>
      <c r="M377" s="935"/>
      <c r="N377" s="663"/>
      <c r="O377" s="237"/>
      <c r="P377" s="275"/>
      <c r="Q377" s="238"/>
    </row>
    <row r="378" spans="1:18" ht="15.75" thickBot="1">
      <c r="A378" s="975"/>
      <c r="B378" s="278"/>
      <c r="C378" s="54" t="s">
        <v>29</v>
      </c>
      <c r="D378" s="795">
        <v>2698.96</v>
      </c>
      <c r="E378" s="56">
        <v>6.7023000000000001</v>
      </c>
      <c r="F378" s="797"/>
      <c r="G378" s="798">
        <f t="shared" si="81"/>
        <v>18089.240000000002</v>
      </c>
      <c r="H378" s="795"/>
      <c r="I378" s="797"/>
      <c r="J378" s="797"/>
      <c r="K378" s="797"/>
      <c r="L378" s="799"/>
      <c r="M378" s="976"/>
      <c r="N378" s="797"/>
      <c r="O378" s="797"/>
      <c r="P378" s="797"/>
      <c r="Q378" s="800"/>
    </row>
    <row r="379" spans="1:18" ht="15.75">
      <c r="A379" s="658">
        <v>500</v>
      </c>
      <c r="B379" s="659" t="s">
        <v>55</v>
      </c>
      <c r="C379" s="48" t="s">
        <v>260</v>
      </c>
      <c r="D379" s="259">
        <f>июль18!D374+июль18!D375</f>
        <v>2795.5</v>
      </c>
      <c r="E379" s="41">
        <f>6.7023-6.509</f>
        <v>0.19329999999999981</v>
      </c>
      <c r="F379" s="691">
        <f>+E379</f>
        <v>0.19329999999999981</v>
      </c>
      <c r="G379" s="214">
        <f>ROUND(D379*E379,2)-0.01</f>
        <v>540.36</v>
      </c>
      <c r="H379" s="303"/>
      <c r="I379" s="23"/>
      <c r="J379" s="23"/>
      <c r="K379" s="23"/>
      <c r="L379" s="603">
        <f>SUM(G379:G381)</f>
        <v>18771.29</v>
      </c>
      <c r="M379" s="187">
        <v>18771.29</v>
      </c>
      <c r="N379" s="660"/>
      <c r="O379" s="217"/>
      <c r="P379" s="661"/>
      <c r="Q379" s="219"/>
    </row>
    <row r="380" spans="1:18" ht="15.75">
      <c r="A380" s="662" t="s">
        <v>211</v>
      </c>
      <c r="B380" s="35"/>
      <c r="C380" s="48" t="s">
        <v>263</v>
      </c>
      <c r="D380" s="269">
        <v>90.93</v>
      </c>
      <c r="E380" s="41">
        <v>6.7023000000000001</v>
      </c>
      <c r="F380" s="298">
        <f t="shared" ref="F380" si="82">+E380</f>
        <v>6.7023000000000001</v>
      </c>
      <c r="G380" s="235">
        <f>ROUND(D380*E380,2)</f>
        <v>609.44000000000005</v>
      </c>
      <c r="H380" s="270"/>
      <c r="I380" s="41"/>
      <c r="J380" s="41"/>
      <c r="K380" s="41"/>
      <c r="L380" s="606"/>
      <c r="M380" s="935"/>
      <c r="N380" s="663"/>
      <c r="O380" s="237"/>
      <c r="P380" s="275"/>
      <c r="Q380" s="238"/>
    </row>
    <row r="381" spans="1:18" ht="15.75" thickBot="1">
      <c r="A381" s="969"/>
      <c r="B381" s="665"/>
      <c r="C381" s="99" t="s">
        <v>29</v>
      </c>
      <c r="D381" s="613">
        <v>2629.17</v>
      </c>
      <c r="E381" s="56">
        <v>6.7023000000000001</v>
      </c>
      <c r="F381" s="57"/>
      <c r="G381" s="247">
        <f>ROUND(D381*E381,2)</f>
        <v>17621.490000000002</v>
      </c>
      <c r="H381" s="613"/>
      <c r="I381" s="57"/>
      <c r="J381" s="57"/>
      <c r="K381" s="57"/>
      <c r="L381" s="614"/>
      <c r="M381" s="935"/>
      <c r="N381" s="57"/>
      <c r="O381" s="57"/>
      <c r="P381" s="57"/>
      <c r="Q381" s="666"/>
    </row>
    <row r="382" spans="1:18">
      <c r="A382" s="977"/>
    </row>
    <row r="383" spans="1:18">
      <c r="A383" s="977"/>
    </row>
    <row r="384" spans="1:18">
      <c r="A384" s="977"/>
    </row>
  </sheetData>
  <mergeCells count="41">
    <mergeCell ref="O245:Q245"/>
    <mergeCell ref="M356:M357"/>
    <mergeCell ref="N356:Q356"/>
    <mergeCell ref="A356:A357"/>
    <mergeCell ref="B356:B357"/>
    <mergeCell ref="C356:C357"/>
    <mergeCell ref="D356:G356"/>
    <mergeCell ref="H356:K356"/>
    <mergeCell ref="L356:L357"/>
    <mergeCell ref="M111:M112"/>
    <mergeCell ref="N111:Q111"/>
    <mergeCell ref="A251:A252"/>
    <mergeCell ref="B251:B252"/>
    <mergeCell ref="C251:C252"/>
    <mergeCell ref="D251:G251"/>
    <mergeCell ref="H251:K251"/>
    <mergeCell ref="L251:L252"/>
    <mergeCell ref="M251:M252"/>
    <mergeCell ref="N251:Q251"/>
    <mergeCell ref="A111:A112"/>
    <mergeCell ref="B111:B112"/>
    <mergeCell ref="C111:C112"/>
    <mergeCell ref="D111:G111"/>
    <mergeCell ref="H111:K111"/>
    <mergeCell ref="L111:L112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395"/>
  <sheetViews>
    <sheetView topLeftCell="A378" workbookViewId="0">
      <pane xSplit="3" topLeftCell="D1" activePane="topRight" state="frozen"/>
      <selection pane="topRight" activeCell="O158" sqref="O158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36</v>
      </c>
      <c r="E4" s="21">
        <v>40.556600000000003</v>
      </c>
      <c r="F4" s="21">
        <v>47.5304</v>
      </c>
      <c r="G4" s="22">
        <f>ROUND(D4*(E4+F4),2)</f>
        <v>3171.13</v>
      </c>
      <c r="H4" s="20"/>
      <c r="I4" s="23"/>
      <c r="J4" s="23"/>
      <c r="K4" s="24"/>
      <c r="L4" s="25">
        <f>SUM(G4:G8,J4:J7)</f>
        <v>128876.51000000001</v>
      </c>
      <c r="M4" s="26">
        <v>128876.51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125705.38</v>
      </c>
      <c r="S6" s="31"/>
      <c r="T6" s="32"/>
    </row>
    <row r="7" spans="1:22">
      <c r="A7" s="34"/>
      <c r="B7" s="35"/>
      <c r="C7" s="48" t="s">
        <v>263</v>
      </c>
      <c r="D7" s="49">
        <v>499.36</v>
      </c>
      <c r="E7" s="41">
        <v>7.3319999999999999</v>
      </c>
      <c r="F7" s="41">
        <f>+E7</f>
        <v>7.3319999999999999</v>
      </c>
      <c r="G7" s="50">
        <f>ROUND(D7*E7,2)</f>
        <v>3661.31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125705.38</v>
      </c>
    </row>
    <row r="8" spans="1:22" ht="15.75" thickBot="1">
      <c r="A8" s="52"/>
      <c r="B8" s="53"/>
      <c r="C8" s="99" t="s">
        <v>29</v>
      </c>
      <c r="D8" s="55">
        <f>12840+3805.4</f>
        <v>16645.400000000001</v>
      </c>
      <c r="E8" s="56">
        <v>7.3319999999999999</v>
      </c>
      <c r="F8" s="57">
        <f>+E8</f>
        <v>7.3319999999999999</v>
      </c>
      <c r="G8" s="58">
        <f>ROUND(D8*E8,2)</f>
        <v>122044.07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122044.07</v>
      </c>
      <c r="R8" s="66" t="s">
        <v>25</v>
      </c>
      <c r="S8" s="67">
        <f>SUM(O4:O8)</f>
        <v>0</v>
      </c>
      <c r="T8" s="68">
        <f>SUM(Q4:Q8)</f>
        <v>122044.07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102</v>
      </c>
      <c r="E13" s="21">
        <v>40.556600000000003</v>
      </c>
      <c r="F13" s="21">
        <v>47.5304</v>
      </c>
      <c r="G13" s="22">
        <f>ROUND(D13*(E13+F13),2)</f>
        <v>8984.8700000000008</v>
      </c>
      <c r="H13" s="72"/>
      <c r="I13" s="21"/>
      <c r="J13" s="73"/>
      <c r="K13" s="24"/>
      <c r="L13" s="74">
        <f>SUM(G13:G20,J13:J19)</f>
        <v>50308.200000000004</v>
      </c>
      <c r="M13" s="26">
        <v>50308.2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16</v>
      </c>
      <c r="E15" s="101">
        <v>237.98</v>
      </c>
      <c r="F15" s="38">
        <f>F13</f>
        <v>47.5304</v>
      </c>
      <c r="G15" s="39">
        <f>ROUND(D15*(E15+F15),2)</f>
        <v>4568.17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авг18!D15</f>
        <v>14.423</v>
      </c>
      <c r="E16" s="41"/>
      <c r="F16" s="38"/>
      <c r="G16" s="50">
        <f>+D16*(E16+F16)</f>
        <v>0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авг18!D19+авг18!D20</f>
        <v>5936.7</v>
      </c>
      <c r="E18" s="881">
        <f>6.6439-6.7023</f>
        <v>-5.8399999999999785E-2</v>
      </c>
      <c r="F18" s="41">
        <f>+E18</f>
        <v>-5.8399999999999785E-2</v>
      </c>
      <c r="G18" s="50">
        <f>ROUND(D18*E18*70%+D18*F18*30%,2)</f>
        <v>-346.7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v>162.65</v>
      </c>
      <c r="E19" s="41">
        <v>6.6439000000000004</v>
      </c>
      <c r="F19" s="41">
        <f>E19</f>
        <v>6.6439000000000004</v>
      </c>
      <c r="G19" s="50">
        <f>ROUND(D19*E19*70%+D19*F19*30%,2)</f>
        <v>1080.6300000000001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557.7+4716+148</f>
        <v>5421.7</v>
      </c>
      <c r="E20" s="56">
        <v>6.6439000000000004</v>
      </c>
      <c r="F20" s="109">
        <f>+E20</f>
        <v>6.6439000000000004</v>
      </c>
      <c r="G20" s="110">
        <f>ROUND(D20*E20*70%+D20*F20*30%,2)</f>
        <v>36021.230000000003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88" t="s">
        <v>241</v>
      </c>
      <c r="B30" s="183" t="s">
        <v>242</v>
      </c>
      <c r="C30" s="439" t="s">
        <v>243</v>
      </c>
      <c r="D30" s="669">
        <v>3</v>
      </c>
      <c r="E30" s="23">
        <v>40.556600000000003</v>
      </c>
      <c r="F30" s="23">
        <v>47.5304</v>
      </c>
      <c r="G30" s="214">
        <f>ROUND(D30*(E30+F30),2)</f>
        <v>264.26</v>
      </c>
      <c r="H30" s="303"/>
      <c r="I30" s="23"/>
      <c r="J30" s="23"/>
      <c r="K30" s="304"/>
      <c r="L30" s="343">
        <f>SUM(G30:G31)+J30:J31</f>
        <v>264.26</v>
      </c>
      <c r="M30" s="187">
        <v>264.26</v>
      </c>
      <c r="N30" s="274"/>
      <c r="O30" s="237"/>
      <c r="P30" s="275"/>
      <c r="Q30" s="237"/>
      <c r="R30" s="242"/>
      <c r="S30" s="266"/>
      <c r="T30" s="266"/>
    </row>
    <row r="31" spans="1:21" ht="15.75" thickBot="1">
      <c r="A31" s="986"/>
      <c r="B31" s="202"/>
      <c r="C31" s="987" t="s">
        <v>260</v>
      </c>
      <c r="D31" s="613"/>
      <c r="E31" s="281"/>
      <c r="F31" s="281"/>
      <c r="G31" s="247">
        <f>ROUND(D31*(E31+F31),2)</f>
        <v>0</v>
      </c>
      <c r="H31" s="280"/>
      <c r="I31" s="281"/>
      <c r="J31" s="281"/>
      <c r="K31" s="282"/>
      <c r="L31" s="988"/>
      <c r="M31" s="989"/>
      <c r="N31" s="274"/>
      <c r="O31" s="237"/>
      <c r="P31" s="275"/>
      <c r="Q31" s="237"/>
      <c r="R31" s="242"/>
      <c r="S31" s="266"/>
      <c r="T31" s="266"/>
    </row>
    <row r="32" spans="1:21">
      <c r="A32" s="896">
        <v>202</v>
      </c>
      <c r="B32" s="192" t="s">
        <v>159</v>
      </c>
      <c r="C32" s="700" t="s">
        <v>260</v>
      </c>
      <c r="D32" s="985">
        <f>авг18!D33+авг18!D34</f>
        <v>119.97</v>
      </c>
      <c r="E32" s="261">
        <f>6.6439-6.7023</f>
        <v>-5.8399999999999785E-2</v>
      </c>
      <c r="F32" s="261">
        <f t="shared" ref="F32:F43" si="0">+E32</f>
        <v>-5.8399999999999785E-2</v>
      </c>
      <c r="G32" s="195">
        <f>ROUND(D32*E32,2)</f>
        <v>-7.01</v>
      </c>
      <c r="H32" s="260"/>
      <c r="I32" s="261"/>
      <c r="J32" s="261"/>
      <c r="K32" s="262"/>
      <c r="L32" s="294">
        <f>SUM(G32:G34)</f>
        <v>622.83000000000004</v>
      </c>
      <c r="M32" s="227">
        <v>622.83000000000004</v>
      </c>
      <c r="N32" s="274"/>
      <c r="O32" s="237"/>
      <c r="P32" s="275"/>
      <c r="Q32" s="237"/>
      <c r="R32" s="242"/>
      <c r="S32" s="266"/>
      <c r="T32" s="266"/>
    </row>
    <row r="33" spans="1:21" ht="15.75">
      <c r="A33" s="896"/>
      <c r="B33" s="192"/>
      <c r="C33" s="48" t="s">
        <v>263</v>
      </c>
      <c r="D33" s="269">
        <v>1</v>
      </c>
      <c r="E33" s="41">
        <v>6.6439000000000004</v>
      </c>
      <c r="F33" s="41">
        <f t="shared" si="0"/>
        <v>6.6439000000000004</v>
      </c>
      <c r="G33" s="235">
        <f t="shared" ref="G33:G34" si="1">ROUND(D33*E33,2)</f>
        <v>6.64</v>
      </c>
      <c r="H33" s="270"/>
      <c r="I33" s="41"/>
      <c r="J33" s="41"/>
      <c r="K33" s="271"/>
      <c r="L33" s="272"/>
      <c r="M33" s="273"/>
      <c r="N33" s="274"/>
      <c r="O33" s="237"/>
      <c r="P33" s="275"/>
      <c r="Q33" s="237"/>
      <c r="R33" s="242"/>
      <c r="S33" s="266"/>
      <c r="T33" s="266"/>
    </row>
    <row r="34" spans="1:21" ht="16.5" thickBot="1">
      <c r="A34" s="891"/>
      <c r="B34" s="887"/>
      <c r="C34" s="54" t="s">
        <v>29</v>
      </c>
      <c r="D34" s="279">
        <v>93.8</v>
      </c>
      <c r="E34" s="56">
        <v>6.6439000000000004</v>
      </c>
      <c r="F34" s="57">
        <f t="shared" si="0"/>
        <v>6.6439000000000004</v>
      </c>
      <c r="G34" s="247">
        <f t="shared" si="1"/>
        <v>623.20000000000005</v>
      </c>
      <c r="H34" s="280"/>
      <c r="I34" s="281"/>
      <c r="J34" s="281"/>
      <c r="K34" s="282"/>
      <c r="L34" s="204"/>
      <c r="M34" s="250"/>
      <c r="N34" s="283"/>
      <c r="O34" s="252"/>
      <c r="P34" s="284"/>
      <c r="Q34" s="252"/>
      <c r="R34" s="242"/>
      <c r="S34" s="266"/>
      <c r="T34" s="266"/>
    </row>
    <row r="35" spans="1:21">
      <c r="A35" s="892">
        <v>204</v>
      </c>
      <c r="B35" s="183" t="s">
        <v>137</v>
      </c>
      <c r="C35" s="439" t="s">
        <v>260</v>
      </c>
      <c r="D35" s="296">
        <f>авг18!D36+авг18!D37</f>
        <v>184.04999999999998</v>
      </c>
      <c r="E35" s="41">
        <f>6.6439-6.7023</f>
        <v>-5.8399999999999785E-2</v>
      </c>
      <c r="F35" s="41">
        <f t="shared" si="0"/>
        <v>-5.8399999999999785E-2</v>
      </c>
      <c r="G35" s="235">
        <f>ROUND(D35*E35,2)</f>
        <v>-10.75</v>
      </c>
      <c r="H35" s="270"/>
      <c r="I35" s="41"/>
      <c r="J35" s="41"/>
      <c r="K35" s="271"/>
      <c r="L35" s="294">
        <f>SUM(G35:G37)</f>
        <v>395.53</v>
      </c>
      <c r="M35" s="227">
        <v>395.53</v>
      </c>
      <c r="N35" s="274"/>
      <c r="O35" s="237"/>
      <c r="P35" s="275"/>
      <c r="Q35" s="237"/>
      <c r="R35" s="242"/>
      <c r="S35" s="266"/>
      <c r="T35" s="266"/>
    </row>
    <row r="36" spans="1:21" ht="15.75">
      <c r="A36" s="896"/>
      <c r="B36" s="991" t="s">
        <v>275</v>
      </c>
      <c r="C36" s="48" t="s">
        <v>263</v>
      </c>
      <c r="D36" s="269">
        <v>0.65</v>
      </c>
      <c r="E36" s="41">
        <v>6.6439000000000004</v>
      </c>
      <c r="F36" s="41">
        <f t="shared" si="0"/>
        <v>6.6439000000000004</v>
      </c>
      <c r="G36" s="235">
        <f>ROUND(D36*E36,2)</f>
        <v>4.32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1" ht="16.5" thickBot="1">
      <c r="A37" s="891"/>
      <c r="B37" s="887"/>
      <c r="C37" s="54" t="s">
        <v>29</v>
      </c>
      <c r="D37" s="279">
        <v>60.5</v>
      </c>
      <c r="E37" s="56">
        <v>6.6439000000000004</v>
      </c>
      <c r="F37" s="57">
        <f t="shared" si="0"/>
        <v>6.6439000000000004</v>
      </c>
      <c r="G37" s="247">
        <f>ROUND(D37*E37,2)</f>
        <v>401.96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1">
      <c r="A38" s="892">
        <v>210</v>
      </c>
      <c r="B38" s="183" t="s">
        <v>245</v>
      </c>
      <c r="C38" s="439" t="s">
        <v>260</v>
      </c>
      <c r="D38" s="296">
        <f>авг18!D39+авг18!D40</f>
        <v>263.60000000000002</v>
      </c>
      <c r="E38" s="41">
        <f>6.6439-6.7023</f>
        <v>-5.8399999999999785E-2</v>
      </c>
      <c r="F38" s="41">
        <f t="shared" si="0"/>
        <v>-5.8399999999999785E-2</v>
      </c>
      <c r="G38" s="235">
        <f>ROUND(D38*E38,2)</f>
        <v>-15.39</v>
      </c>
      <c r="H38" s="270"/>
      <c r="I38" s="41"/>
      <c r="J38" s="41"/>
      <c r="K38" s="271"/>
      <c r="L38" s="294">
        <f>SUM(G38:G40)</f>
        <v>1563.33</v>
      </c>
      <c r="M38" s="227">
        <v>1563.33</v>
      </c>
      <c r="N38" s="274"/>
      <c r="O38" s="237"/>
      <c r="P38" s="275"/>
      <c r="Q38" s="237"/>
      <c r="R38" s="242"/>
      <c r="S38" s="266"/>
      <c r="T38" s="266"/>
    </row>
    <row r="39" spans="1:21" ht="15.75">
      <c r="A39" s="896"/>
      <c r="B39" s="192"/>
      <c r="C39" s="48" t="s">
        <v>263</v>
      </c>
      <c r="D39" s="269">
        <v>2.52</v>
      </c>
      <c r="E39" s="41">
        <v>6.6439000000000004</v>
      </c>
      <c r="F39" s="41">
        <f t="shared" si="0"/>
        <v>6.6439000000000004</v>
      </c>
      <c r="G39" s="235">
        <f>ROUND(D39*E39,2)</f>
        <v>16.739999999999998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1" ht="16.5" thickBot="1">
      <c r="A40" s="891"/>
      <c r="B40" s="887"/>
      <c r="C40" s="54" t="s">
        <v>29</v>
      </c>
      <c r="D40" s="279">
        <v>235.1</v>
      </c>
      <c r="E40" s="56">
        <v>6.6439000000000004</v>
      </c>
      <c r="F40" s="57">
        <f t="shared" si="0"/>
        <v>6.6439000000000004</v>
      </c>
      <c r="G40" s="247">
        <f t="shared" ref="G40" si="2">ROUND(D40*E40,2)</f>
        <v>1561.98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1">
      <c r="A41" s="892">
        <v>213</v>
      </c>
      <c r="B41" s="183" t="s">
        <v>262</v>
      </c>
      <c r="C41" s="439" t="s">
        <v>260</v>
      </c>
      <c r="D41" s="296">
        <f>авг18!D42+авг18!D43</f>
        <v>136.1</v>
      </c>
      <c r="E41" s="41">
        <f>6.6439-6.7023</f>
        <v>-5.8399999999999785E-2</v>
      </c>
      <c r="F41" s="41">
        <f t="shared" si="0"/>
        <v>-5.8399999999999785E-2</v>
      </c>
      <c r="G41" s="235">
        <f>ROUND(D41*E41,2)-0.01</f>
        <v>-7.96</v>
      </c>
      <c r="H41" s="270"/>
      <c r="I41" s="41"/>
      <c r="J41" s="41"/>
      <c r="K41" s="271"/>
      <c r="L41" s="294">
        <f>SUM(G41:G43)</f>
        <v>857.42</v>
      </c>
      <c r="M41" s="227">
        <v>863.66</v>
      </c>
      <c r="N41" s="274"/>
      <c r="O41" s="237"/>
      <c r="P41" s="275"/>
      <c r="Q41" s="237"/>
      <c r="R41" s="242"/>
      <c r="S41" s="266"/>
      <c r="T41" s="266"/>
    </row>
    <row r="42" spans="1:21" ht="15.75">
      <c r="A42" s="896"/>
      <c r="B42" s="192"/>
      <c r="C42" s="48" t="s">
        <v>263</v>
      </c>
      <c r="D42" s="269">
        <v>1.39</v>
      </c>
      <c r="E42" s="41">
        <v>6.6439000000000004</v>
      </c>
      <c r="F42" s="41">
        <f t="shared" si="0"/>
        <v>6.6439000000000004</v>
      </c>
      <c r="G42" s="235">
        <v>3</v>
      </c>
      <c r="H42" s="270"/>
      <c r="I42" s="41"/>
      <c r="J42" s="41"/>
      <c r="K42" s="271"/>
      <c r="L42" s="272"/>
      <c r="M42" s="273"/>
      <c r="N42" s="274"/>
      <c r="O42" s="237"/>
      <c r="P42" s="275"/>
      <c r="Q42" s="237"/>
      <c r="R42" s="242"/>
      <c r="S42" s="266"/>
      <c r="T42" s="266"/>
    </row>
    <row r="43" spans="1:21" ht="16.5" thickBot="1">
      <c r="A43" s="891"/>
      <c r="B43" s="887"/>
      <c r="C43" s="54" t="s">
        <v>29</v>
      </c>
      <c r="D43" s="279">
        <v>129.80000000000001</v>
      </c>
      <c r="E43" s="56">
        <v>6.6439000000000004</v>
      </c>
      <c r="F43" s="57">
        <f t="shared" si="0"/>
        <v>6.6439000000000004</v>
      </c>
      <c r="G43" s="247">
        <f t="shared" ref="G43" si="3">ROUND(D43*E43,2)</f>
        <v>862.38</v>
      </c>
      <c r="H43" s="280"/>
      <c r="I43" s="281"/>
      <c r="J43" s="281"/>
      <c r="K43" s="282"/>
      <c r="L43" s="204"/>
      <c r="M43" s="250"/>
      <c r="N43" s="283"/>
      <c r="O43" s="252"/>
      <c r="P43" s="284"/>
      <c r="Q43" s="252"/>
      <c r="R43" s="242"/>
      <c r="S43" s="266"/>
      <c r="T43" s="266"/>
    </row>
    <row r="44" spans="1:21">
      <c r="A44" s="892">
        <v>215</v>
      </c>
      <c r="B44" s="183" t="s">
        <v>189</v>
      </c>
      <c r="C44" s="71" t="s">
        <v>243</v>
      </c>
      <c r="D44" s="213">
        <v>0</v>
      </c>
      <c r="E44" s="21">
        <v>40.556600000000003</v>
      </c>
      <c r="F44" s="21">
        <v>47.5304</v>
      </c>
      <c r="G44" s="214">
        <f>ROUND(D44*(E44+F44),2)</f>
        <v>0</v>
      </c>
      <c r="H44" s="213"/>
      <c r="I44" s="194"/>
      <c r="J44" s="215"/>
      <c r="K44" s="679"/>
      <c r="L44" s="216">
        <f>SUM(G44:G51)+SUM(J44:J51)</f>
        <v>2217.6299999999997</v>
      </c>
      <c r="M44" s="187">
        <v>2217.63</v>
      </c>
      <c r="N44" s="188"/>
      <c r="O44" s="217"/>
      <c r="P44" s="218"/>
      <c r="Q44" s="219"/>
      <c r="R44" s="220"/>
      <c r="S44" s="221"/>
      <c r="T44" s="222"/>
      <c r="U44" s="33"/>
    </row>
    <row r="45" spans="1:21">
      <c r="A45" s="890"/>
      <c r="B45" s="872"/>
      <c r="C45" s="84" t="s">
        <v>26</v>
      </c>
      <c r="D45" s="37"/>
      <c r="E45" s="38"/>
      <c r="F45" s="38"/>
      <c r="G45" s="39">
        <f>ROUND(D45*(E45+F45),2)</f>
        <v>0</v>
      </c>
      <c r="H45" s="225"/>
      <c r="I45" s="194"/>
      <c r="J45" s="194"/>
      <c r="K45" s="226"/>
      <c r="L45" s="196"/>
      <c r="M45" s="227"/>
      <c r="N45" s="228"/>
      <c r="O45" s="229"/>
      <c r="P45" s="230"/>
      <c r="Q45" s="231"/>
      <c r="R45" s="232"/>
      <c r="S45" s="233"/>
      <c r="T45" s="224"/>
      <c r="U45" s="33"/>
    </row>
    <row r="46" spans="1:21">
      <c r="A46" s="890"/>
      <c r="B46" s="873" t="s">
        <v>32</v>
      </c>
      <c r="C46" s="99" t="s">
        <v>33</v>
      </c>
      <c r="D46" s="234">
        <v>0</v>
      </c>
      <c r="E46" s="101">
        <v>148.66999999999999</v>
      </c>
      <c r="F46" s="38">
        <f>F44</f>
        <v>47.5304</v>
      </c>
      <c r="G46" s="235">
        <f>ROUND(D46*(E46+F46),2)</f>
        <v>0</v>
      </c>
      <c r="H46" s="234"/>
      <c r="I46" s="194"/>
      <c r="J46" s="194"/>
      <c r="K46" s="195"/>
      <c r="L46" s="196"/>
      <c r="M46" s="227"/>
      <c r="N46" s="236"/>
      <c r="O46" s="237"/>
      <c r="P46" s="230"/>
      <c r="Q46" s="238"/>
      <c r="R46" s="232"/>
      <c r="S46" s="233"/>
      <c r="T46" s="224"/>
    </row>
    <row r="47" spans="1:21">
      <c r="A47" s="890"/>
      <c r="B47" s="872" t="s">
        <v>33</v>
      </c>
      <c r="C47" s="239" t="s">
        <v>26</v>
      </c>
      <c r="D47" s="234">
        <v>0</v>
      </c>
      <c r="E47" s="240"/>
      <c r="F47" s="240"/>
      <c r="G47" s="235">
        <f>+ROUND(D47*E47,2)</f>
        <v>0</v>
      </c>
      <c r="H47" s="241"/>
      <c r="I47" s="194"/>
      <c r="J47" s="194"/>
      <c r="K47" s="195"/>
      <c r="L47" s="196"/>
      <c r="M47" s="227"/>
      <c r="N47" s="236"/>
      <c r="O47" s="237"/>
      <c r="P47" s="230"/>
      <c r="Q47" s="238"/>
      <c r="R47" s="242"/>
      <c r="S47" s="233"/>
      <c r="T47" s="224"/>
    </row>
    <row r="48" spans="1:21">
      <c r="A48" s="890"/>
      <c r="B48" s="872"/>
      <c r="C48" s="239" t="s">
        <v>26</v>
      </c>
      <c r="D48" s="234"/>
      <c r="E48" s="240"/>
      <c r="F48" s="41"/>
      <c r="G48" s="235">
        <f>+ROUND(D48*F48,2)</f>
        <v>0</v>
      </c>
      <c r="H48" s="241"/>
      <c r="I48" s="194"/>
      <c r="J48" s="194"/>
      <c r="K48" s="195"/>
      <c r="L48" s="196"/>
      <c r="M48" s="227"/>
      <c r="N48" s="236"/>
      <c r="O48" s="237"/>
      <c r="P48" s="230"/>
      <c r="Q48" s="238"/>
      <c r="R48" s="242"/>
      <c r="S48" s="233"/>
      <c r="T48" s="224"/>
    </row>
    <row r="49" spans="1:21">
      <c r="A49" s="890"/>
      <c r="B49" s="872"/>
      <c r="C49" s="48" t="s">
        <v>260</v>
      </c>
      <c r="D49" s="49">
        <f>авг18!D50+авг18!D51</f>
        <v>351.09999999999997</v>
      </c>
      <c r="E49" s="41">
        <f>6.6439-6.7023</f>
        <v>-5.8399999999999785E-2</v>
      </c>
      <c r="F49" s="41">
        <f t="shared" ref="F49:F54" si="4">+E49</f>
        <v>-5.8399999999999785E-2</v>
      </c>
      <c r="G49" s="50">
        <f>ROUND(D49*E49,2)</f>
        <v>-20.5</v>
      </c>
      <c r="H49" s="241"/>
      <c r="I49" s="194"/>
      <c r="J49" s="194"/>
      <c r="K49" s="195"/>
      <c r="L49" s="196"/>
      <c r="M49" s="227"/>
      <c r="N49" s="236"/>
      <c r="O49" s="237"/>
      <c r="P49" s="230"/>
      <c r="Q49" s="238"/>
      <c r="R49" s="242"/>
      <c r="S49" s="233"/>
      <c r="T49" s="224"/>
    </row>
    <row r="50" spans="1:21">
      <c r="A50" s="890"/>
      <c r="B50" s="872"/>
      <c r="C50" s="48" t="s">
        <v>263</v>
      </c>
      <c r="D50" s="49">
        <v>3.57</v>
      </c>
      <c r="E50" s="41">
        <v>6.6439000000000004</v>
      </c>
      <c r="F50" s="41">
        <f t="shared" si="4"/>
        <v>6.6439000000000004</v>
      </c>
      <c r="G50" s="50">
        <f>ROUND(D50*E50,2)</f>
        <v>23.72</v>
      </c>
      <c r="H50" s="241"/>
      <c r="I50" s="194"/>
      <c r="J50" s="243"/>
      <c r="K50" s="195"/>
      <c r="L50" s="196"/>
      <c r="M50" s="227"/>
      <c r="N50" s="236"/>
      <c r="O50" s="237"/>
      <c r="P50" s="230"/>
      <c r="Q50" s="238"/>
      <c r="R50" s="242"/>
      <c r="S50" s="233"/>
      <c r="T50" s="224"/>
      <c r="U50" s="33"/>
    </row>
    <row r="51" spans="1:21" ht="15.75" thickBot="1">
      <c r="A51" s="897"/>
      <c r="B51" s="875"/>
      <c r="C51" s="99" t="s">
        <v>29</v>
      </c>
      <c r="D51" s="246">
        <v>333.3</v>
      </c>
      <c r="E51" s="56">
        <v>6.6439000000000004</v>
      </c>
      <c r="F51" s="57">
        <f t="shared" si="4"/>
        <v>6.6439000000000004</v>
      </c>
      <c r="G51" s="247">
        <f>ROUND(D51*E51*70%+D51*F51*30%,2)</f>
        <v>2214.41</v>
      </c>
      <c r="H51" s="248"/>
      <c r="I51" s="203"/>
      <c r="J51" s="60"/>
      <c r="K51" s="61"/>
      <c r="L51" s="249"/>
      <c r="M51" s="250"/>
      <c r="N51" s="251"/>
      <c r="O51" s="252"/>
      <c r="P51" s="253"/>
      <c r="Q51" s="254"/>
      <c r="R51" s="255"/>
      <c r="S51" s="256"/>
      <c r="T51" s="256"/>
    </row>
    <row r="52" spans="1:21" ht="15.75" thickTop="1">
      <c r="A52" s="892">
        <v>217</v>
      </c>
      <c r="B52" s="183" t="s">
        <v>269</v>
      </c>
      <c r="C52" s="439" t="s">
        <v>260</v>
      </c>
      <c r="D52" s="296">
        <f>авг18!D54</f>
        <v>3.6</v>
      </c>
      <c r="E52" s="41">
        <f>6.6439-6.7023</f>
        <v>-5.8399999999999785E-2</v>
      </c>
      <c r="F52" s="41">
        <f t="shared" si="4"/>
        <v>-5.8399999999999785E-2</v>
      </c>
      <c r="G52" s="235">
        <f>ROUND(D52*E52,2)</f>
        <v>-0.21</v>
      </c>
      <c r="H52" s="270"/>
      <c r="I52" s="41"/>
      <c r="J52" s="41"/>
      <c r="K52" s="271"/>
      <c r="L52" s="294">
        <f>SUM(G52:G54)</f>
        <v>113.27</v>
      </c>
      <c r="M52" s="227">
        <v>137.4</v>
      </c>
      <c r="N52" s="274"/>
      <c r="O52" s="237" t="s">
        <v>280</v>
      </c>
      <c r="P52" s="275"/>
      <c r="Q52" s="237"/>
      <c r="R52" s="242"/>
      <c r="S52" s="266"/>
      <c r="T52" s="266"/>
    </row>
    <row r="53" spans="1:21" ht="15.75">
      <c r="A53" s="896"/>
      <c r="B53" s="192"/>
      <c r="C53" s="48" t="s">
        <v>263</v>
      </c>
      <c r="D53" s="269">
        <v>0.18</v>
      </c>
      <c r="E53" s="41">
        <v>6.6439000000000004</v>
      </c>
      <c r="F53" s="41">
        <f t="shared" si="4"/>
        <v>6.6439000000000004</v>
      </c>
      <c r="G53" s="235">
        <f>ROUND(D53*E53,2)</f>
        <v>1.2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6.5" thickBot="1">
      <c r="A54" s="891"/>
      <c r="B54" s="887"/>
      <c r="C54" s="54" t="s">
        <v>29</v>
      </c>
      <c r="D54" s="279">
        <v>16.899999999999999</v>
      </c>
      <c r="E54" s="56">
        <v>6.6439000000000004</v>
      </c>
      <c r="F54" s="57">
        <f t="shared" si="4"/>
        <v>6.6439000000000004</v>
      </c>
      <c r="G54" s="247">
        <f t="shared" ref="G54" si="5">ROUND(D54*E54,2)</f>
        <v>112.28</v>
      </c>
      <c r="H54" s="280"/>
      <c r="I54" s="281"/>
      <c r="J54" s="281"/>
      <c r="K54" s="282"/>
      <c r="L54" s="204"/>
      <c r="M54" s="250"/>
      <c r="N54" s="283"/>
      <c r="O54" s="252"/>
      <c r="P54" s="284"/>
      <c r="Q54" s="252"/>
      <c r="R54" s="242"/>
      <c r="S54" s="266"/>
      <c r="T54" s="266"/>
    </row>
    <row r="55" spans="1:21" ht="15.75" collapsed="1" thickBot="1">
      <c r="A55" s="891">
        <v>309</v>
      </c>
      <c r="B55" s="887" t="s">
        <v>251</v>
      </c>
      <c r="C55" s="54" t="s">
        <v>260</v>
      </c>
      <c r="D55" s="296">
        <f>авг18!D56+авг18!D57</f>
        <v>364.05</v>
      </c>
      <c r="E55" s="41">
        <f>6.6439-6.7023</f>
        <v>-5.8399999999999785E-2</v>
      </c>
      <c r="F55" s="41">
        <f>+E55</f>
        <v>-5.8399999999999785E-2</v>
      </c>
      <c r="G55" s="235">
        <f>ROUND(D55*E55,2)</f>
        <v>-21.26</v>
      </c>
      <c r="H55" s="270"/>
      <c r="I55" s="41"/>
      <c r="J55" s="41"/>
      <c r="K55" s="271"/>
      <c r="L55" s="294">
        <f>SUM(G55:G57)</f>
        <v>2162.46</v>
      </c>
      <c r="M55" s="227">
        <v>2162.46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885"/>
      <c r="C56" s="48" t="s">
        <v>263</v>
      </c>
      <c r="D56" s="269">
        <v>3.48</v>
      </c>
      <c r="E56" s="41">
        <v>6.6439000000000004</v>
      </c>
      <c r="F56" s="41">
        <f>+E56</f>
        <v>6.6439000000000004</v>
      </c>
      <c r="G56" s="235">
        <f t="shared" ref="G56:G57" si="6">ROUND(D56*E56,2)</f>
        <v>23.12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887"/>
      <c r="C57" s="54" t="s">
        <v>29</v>
      </c>
      <c r="D57" s="279">
        <v>325.2</v>
      </c>
      <c r="E57" s="56">
        <v>6.6439000000000004</v>
      </c>
      <c r="F57" s="57">
        <f>+E57</f>
        <v>6.6439000000000004</v>
      </c>
      <c r="G57" s="247">
        <f t="shared" si="6"/>
        <v>2160.6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88">
        <v>314</v>
      </c>
      <c r="B58" s="889" t="s">
        <v>52</v>
      </c>
      <c r="C58" s="71">
        <v>0</v>
      </c>
      <c r="D58" s="213">
        <v>210.03</v>
      </c>
      <c r="E58" s="21">
        <v>40.556600000000003</v>
      </c>
      <c r="F58" s="21">
        <v>47.5304</v>
      </c>
      <c r="G58" s="214">
        <f>ROUND(D58*(E58+F58),2)</f>
        <v>18500.91</v>
      </c>
      <c r="H58" s="213"/>
      <c r="J58" s="215"/>
      <c r="K58" s="679"/>
      <c r="L58" s="216">
        <f>SUM(G58:G65)+SUM(J58:J65)</f>
        <v>76274.709999999992</v>
      </c>
      <c r="M58" s="187">
        <v>76274.710000000006</v>
      </c>
      <c r="N58" s="188"/>
      <c r="O58" s="217">
        <v>4253.6899999999996</v>
      </c>
      <c r="P58" s="218" t="s">
        <v>47</v>
      </c>
      <c r="Q58" s="219">
        <f t="shared" ref="Q58" si="7">C58+G58+J58-M58-N58-O58</f>
        <v>-62027.490000000005</v>
      </c>
      <c r="R58" s="220" t="s">
        <v>53</v>
      </c>
      <c r="S58" s="221"/>
      <c r="T58" s="222"/>
      <c r="U58" s="33">
        <f>+C58+L58-M58</f>
        <v>0</v>
      </c>
    </row>
    <row r="59" spans="1:21" ht="15.75" thickBot="1">
      <c r="A59" s="890"/>
      <c r="B59" s="872"/>
      <c r="C59" s="84" t="s">
        <v>26</v>
      </c>
      <c r="D59" s="37"/>
      <c r="E59" s="38"/>
      <c r="F59" s="38"/>
      <c r="G59" s="39">
        <f>ROUND(D59*(E59+F59),2)</f>
        <v>0</v>
      </c>
      <c r="H59" s="225"/>
      <c r="I59" s="194"/>
      <c r="J59" s="194"/>
      <c r="K59" s="226"/>
      <c r="L59" s="196"/>
      <c r="M59" s="227"/>
      <c r="N59" s="228"/>
      <c r="O59" s="229"/>
      <c r="P59" s="230"/>
      <c r="Q59" s="231"/>
      <c r="R59" s="232"/>
      <c r="S59" s="233"/>
      <c r="T59" s="224"/>
      <c r="U59" s="33"/>
    </row>
    <row r="60" spans="1:21">
      <c r="A60" s="890"/>
      <c r="B60" s="873" t="s">
        <v>32</v>
      </c>
      <c r="C60" s="99" t="s">
        <v>33</v>
      </c>
      <c r="D60" s="234">
        <v>0</v>
      </c>
      <c r="E60" s="101">
        <v>148.66999999999999</v>
      </c>
      <c r="F60" s="21">
        <v>47.5304</v>
      </c>
      <c r="G60" s="235">
        <f>ROUND(D60*(E60+F60),2)</f>
        <v>0</v>
      </c>
      <c r="H60" s="234"/>
      <c r="I60" s="194"/>
      <c r="J60" s="194"/>
      <c r="K60" s="195"/>
      <c r="L60" s="196"/>
      <c r="M60" s="227"/>
      <c r="N60" s="236"/>
      <c r="O60" s="237">
        <v>5456.6</v>
      </c>
      <c r="P60" s="230" t="s">
        <v>47</v>
      </c>
      <c r="Q60" s="238">
        <f>+G60+J60-M60-N60-O60</f>
        <v>-5456.6</v>
      </c>
      <c r="R60" s="232"/>
      <c r="S60" s="233"/>
      <c r="T60" s="224"/>
    </row>
    <row r="61" spans="1:21">
      <c r="A61" s="890"/>
      <c r="B61" s="872" t="s">
        <v>33</v>
      </c>
      <c r="C61" s="239" t="s">
        <v>26</v>
      </c>
      <c r="D61" s="234">
        <v>0</v>
      </c>
      <c r="E61" s="240"/>
      <c r="F61" s="240"/>
      <c r="G61" s="235">
        <f>+ROUND(D61*E61,2)</f>
        <v>0</v>
      </c>
      <c r="H61" s="241"/>
      <c r="I61" s="194"/>
      <c r="J61" s="194"/>
      <c r="K61" s="195"/>
      <c r="L61" s="196"/>
      <c r="M61" s="227"/>
      <c r="N61" s="236"/>
      <c r="O61" s="237"/>
      <c r="P61" s="230"/>
      <c r="Q61" s="238"/>
      <c r="R61" s="242"/>
      <c r="S61" s="233"/>
      <c r="T61" s="224"/>
    </row>
    <row r="62" spans="1:21">
      <c r="A62" s="890"/>
      <c r="B62" s="872"/>
      <c r="C62" s="239" t="s">
        <v>26</v>
      </c>
      <c r="D62" s="234"/>
      <c r="E62" s="240"/>
      <c r="F62" s="41"/>
      <c r="G62" s="235">
        <f>+ROUND(D62*F62,2)</f>
        <v>0</v>
      </c>
      <c r="H62" s="241"/>
      <c r="I62" s="194"/>
      <c r="J62" s="194"/>
      <c r="K62" s="195"/>
      <c r="L62" s="196"/>
      <c r="M62" s="227"/>
      <c r="N62" s="236"/>
      <c r="O62" s="237"/>
      <c r="P62" s="230"/>
      <c r="Q62" s="238"/>
      <c r="R62" s="242"/>
      <c r="S62" s="233"/>
      <c r="T62" s="224"/>
    </row>
    <row r="63" spans="1:21">
      <c r="A63" s="890"/>
      <c r="B63" s="872"/>
      <c r="C63" s="48" t="s">
        <v>260</v>
      </c>
      <c r="D63" s="49">
        <f>авг18!D64+авг18!D65</f>
        <v>8669.5</v>
      </c>
      <c r="E63" s="41">
        <f>6.6439-6.7023</f>
        <v>-5.8399999999999785E-2</v>
      </c>
      <c r="F63" s="41">
        <f t="shared" ref="F63:F100" si="8">+E63</f>
        <v>-5.8399999999999785E-2</v>
      </c>
      <c r="G63" s="50">
        <f>ROUND(D63*E63,2)+0.01</f>
        <v>-506.29</v>
      </c>
      <c r="H63" s="241"/>
      <c r="I63" s="194"/>
      <c r="J63" s="194"/>
      <c r="K63" s="195"/>
      <c r="L63" s="196"/>
      <c r="M63" s="227"/>
      <c r="N63" s="236"/>
      <c r="O63" s="237"/>
      <c r="P63" s="230"/>
      <c r="Q63" s="238"/>
      <c r="R63" s="242"/>
      <c r="S63" s="233"/>
      <c r="T63" s="224"/>
    </row>
    <row r="64" spans="1:21">
      <c r="A64" s="890"/>
      <c r="B64" s="872"/>
      <c r="C64" s="48" t="s">
        <v>263</v>
      </c>
      <c r="D64" s="49">
        <v>92.87</v>
      </c>
      <c r="E64" s="41">
        <v>6.6439000000000004</v>
      </c>
      <c r="F64" s="41">
        <f t="shared" si="8"/>
        <v>6.6439000000000004</v>
      </c>
      <c r="G64" s="50">
        <f>ROUND(D64*E64,2)</f>
        <v>617.02</v>
      </c>
      <c r="H64" s="241"/>
      <c r="I64" s="194"/>
      <c r="J64" s="243"/>
      <c r="K64" s="195"/>
      <c r="L64" s="196"/>
      <c r="M64" s="227"/>
      <c r="N64" s="236"/>
      <c r="O64" s="237"/>
      <c r="P64" s="230"/>
      <c r="Q64" s="238"/>
      <c r="R64" s="242"/>
      <c r="S64" s="233"/>
      <c r="T64" s="224"/>
      <c r="U64" s="33"/>
    </row>
    <row r="65" spans="1:20" ht="15.75" thickBot="1">
      <c r="A65" s="891"/>
      <c r="B65" s="887"/>
      <c r="C65" s="54" t="s">
        <v>29</v>
      </c>
      <c r="D65" s="246">
        <v>8679.1</v>
      </c>
      <c r="E65" s="56">
        <v>6.6439000000000004</v>
      </c>
      <c r="F65" s="57">
        <f t="shared" si="8"/>
        <v>6.6439000000000004</v>
      </c>
      <c r="G65" s="247">
        <f>ROUND(D65*E65*70%+D65*F65*30%,2)</f>
        <v>57663.07</v>
      </c>
      <c r="H65" s="248"/>
      <c r="I65" s="203"/>
      <c r="J65" s="60"/>
      <c r="K65" s="61"/>
      <c r="L65" s="249"/>
      <c r="M65" s="250"/>
      <c r="N65" s="251"/>
      <c r="O65" s="252">
        <v>15777.9</v>
      </c>
      <c r="P65" s="253" t="s">
        <v>47</v>
      </c>
      <c r="Q65" s="254">
        <f>+G65+J65-M65-N65-O65</f>
        <v>41885.17</v>
      </c>
      <c r="R65" s="255" t="s">
        <v>54</v>
      </c>
      <c r="S65" s="256">
        <f>SUM(O58:O65)</f>
        <v>25488.190000000002</v>
      </c>
      <c r="T65" s="256">
        <f>SUM(Q58:Q65)</f>
        <v>-25598.920000000013</v>
      </c>
    </row>
    <row r="66" spans="1:20">
      <c r="A66" s="892">
        <v>402</v>
      </c>
      <c r="B66" s="183" t="s">
        <v>178</v>
      </c>
      <c r="C66" s="439" t="s">
        <v>260</v>
      </c>
      <c r="D66" s="296">
        <f>авг18!D67+авг18!D68</f>
        <v>162.82</v>
      </c>
      <c r="E66" s="41">
        <f>6.6439-6.7023</f>
        <v>-5.8399999999999785E-2</v>
      </c>
      <c r="F66" s="41">
        <f t="shared" si="8"/>
        <v>-5.8399999999999785E-2</v>
      </c>
      <c r="G66" s="235">
        <f>ROUND(D66*E66,2)-0.01</f>
        <v>-9.52</v>
      </c>
      <c r="H66" s="270"/>
      <c r="I66" s="41"/>
      <c r="J66" s="41"/>
      <c r="K66" s="271"/>
      <c r="L66" s="294">
        <f>SUM(G66:G68)</f>
        <v>983.35</v>
      </c>
      <c r="M66" s="227">
        <v>983.35</v>
      </c>
      <c r="N66" s="274"/>
      <c r="O66" s="237"/>
      <c r="P66" s="275"/>
      <c r="Q66" s="237"/>
      <c r="R66" s="242"/>
      <c r="S66" s="266"/>
      <c r="T66" s="266"/>
    </row>
    <row r="67" spans="1:20" ht="15.75">
      <c r="A67" s="896"/>
      <c r="B67" s="192"/>
      <c r="C67" s="48" t="s">
        <v>263</v>
      </c>
      <c r="D67" s="269">
        <v>1.58</v>
      </c>
      <c r="E67" s="41">
        <v>6.6439000000000004</v>
      </c>
      <c r="F67" s="41">
        <f t="shared" si="8"/>
        <v>6.6439000000000004</v>
      </c>
      <c r="G67" s="235">
        <f t="shared" ref="G67:G77" si="9">ROUND(D67*E67,2)</f>
        <v>10.5</v>
      </c>
      <c r="H67" s="270"/>
      <c r="I67" s="41"/>
      <c r="J67" s="41"/>
      <c r="K67" s="271"/>
      <c r="L67" s="272"/>
      <c r="M67" s="273"/>
      <c r="N67" s="274"/>
      <c r="O67" s="237"/>
      <c r="P67" s="275"/>
      <c r="Q67" s="237"/>
      <c r="R67" s="242"/>
      <c r="S67" s="266"/>
      <c r="T67" s="266"/>
    </row>
    <row r="68" spans="1:20" ht="16.5" thickBot="1">
      <c r="A68" s="891"/>
      <c r="B68" s="202"/>
      <c r="C68" s="54" t="s">
        <v>29</v>
      </c>
      <c r="D68" s="279">
        <v>147.86000000000001</v>
      </c>
      <c r="E68" s="56">
        <v>6.6439000000000004</v>
      </c>
      <c r="F68" s="57">
        <f t="shared" si="8"/>
        <v>6.6439000000000004</v>
      </c>
      <c r="G68" s="247">
        <f t="shared" si="9"/>
        <v>982.37</v>
      </c>
      <c r="H68" s="280"/>
      <c r="I68" s="281"/>
      <c r="J68" s="281"/>
      <c r="K68" s="282"/>
      <c r="L68" s="204"/>
      <c r="M68" s="250"/>
      <c r="N68" s="283"/>
      <c r="O68" s="252"/>
      <c r="P68" s="284"/>
      <c r="Q68" s="252"/>
      <c r="R68" s="242"/>
      <c r="S68" s="266"/>
      <c r="T68" s="266"/>
    </row>
    <row r="69" spans="1:20">
      <c r="A69" s="892">
        <v>409</v>
      </c>
      <c r="B69" s="183" t="s">
        <v>218</v>
      </c>
      <c r="C69" s="439" t="s">
        <v>260</v>
      </c>
      <c r="D69" s="296">
        <f>авг18!D70+авг18!D71</f>
        <v>135.63999999999999</v>
      </c>
      <c r="E69" s="41">
        <f>6.6439-6.7023</f>
        <v>-5.8399999999999785E-2</v>
      </c>
      <c r="F69" s="41">
        <f t="shared" si="8"/>
        <v>-5.8399999999999785E-2</v>
      </c>
      <c r="G69" s="235">
        <f>ROUND(D69*E69,2)</f>
        <v>-7.92</v>
      </c>
      <c r="H69" s="270"/>
      <c r="I69" s="41"/>
      <c r="J69" s="41"/>
      <c r="K69" s="271"/>
      <c r="L69" s="294">
        <f>SUM(G69:G71)</f>
        <v>974.51</v>
      </c>
      <c r="M69" s="227">
        <v>974.51</v>
      </c>
      <c r="N69" s="274"/>
      <c r="O69" s="237"/>
      <c r="P69" s="275"/>
      <c r="Q69" s="237"/>
      <c r="R69" s="242"/>
      <c r="S69" s="266"/>
      <c r="T69" s="266"/>
    </row>
    <row r="70" spans="1:20" ht="15.75">
      <c r="A70" s="896"/>
      <c r="B70" s="192"/>
      <c r="C70" s="48" t="s">
        <v>263</v>
      </c>
      <c r="D70" s="269">
        <v>1.57</v>
      </c>
      <c r="E70" s="41">
        <v>6.6439000000000004</v>
      </c>
      <c r="F70" s="41">
        <f t="shared" si="8"/>
        <v>6.6439000000000004</v>
      </c>
      <c r="G70" s="235">
        <f t="shared" si="9"/>
        <v>10.43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0" ht="16.5" thickBot="1">
      <c r="A71" s="891"/>
      <c r="B71" s="887"/>
      <c r="C71" s="54" t="s">
        <v>29</v>
      </c>
      <c r="D71" s="279">
        <v>146.30000000000001</v>
      </c>
      <c r="E71" s="56">
        <v>6.6439000000000004</v>
      </c>
      <c r="F71" s="57">
        <f t="shared" si="8"/>
        <v>6.6439000000000004</v>
      </c>
      <c r="G71" s="247">
        <f t="shared" si="9"/>
        <v>972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0">
      <c r="A72" s="892">
        <v>410</v>
      </c>
      <c r="B72" s="183" t="s">
        <v>138</v>
      </c>
      <c r="C72" s="439" t="s">
        <v>260</v>
      </c>
      <c r="D72" s="296">
        <f>авг18!D73+авг18!D74</f>
        <v>252.07</v>
      </c>
      <c r="E72" s="41">
        <f>6.6439-6.7023</f>
        <v>-5.8399999999999785E-2</v>
      </c>
      <c r="F72" s="41">
        <f t="shared" si="8"/>
        <v>-5.8399999999999785E-2</v>
      </c>
      <c r="G72" s="235">
        <f>ROUND(D72*E72,2)</f>
        <v>-14.72</v>
      </c>
      <c r="H72" s="270"/>
      <c r="I72" s="41"/>
      <c r="J72" s="41"/>
      <c r="K72" s="271"/>
      <c r="L72" s="294">
        <f>SUM(G72:G74)</f>
        <v>1402.1599999999999</v>
      </c>
      <c r="M72" s="227">
        <v>1402.16</v>
      </c>
      <c r="N72" s="274"/>
      <c r="O72" s="237"/>
      <c r="P72" s="275"/>
      <c r="Q72" s="237"/>
      <c r="R72" s="242"/>
      <c r="S72" s="266"/>
      <c r="T72" s="266"/>
    </row>
    <row r="73" spans="1:20" ht="15.75">
      <c r="A73" s="896"/>
      <c r="B73" s="192"/>
      <c r="C73" s="48" t="s">
        <v>263</v>
      </c>
      <c r="D73" s="269">
        <v>2.2599999999999998</v>
      </c>
      <c r="E73" s="41">
        <v>6.6439000000000004</v>
      </c>
      <c r="F73" s="41">
        <f t="shared" si="8"/>
        <v>6.6439000000000004</v>
      </c>
      <c r="G73" s="235">
        <f t="shared" si="9"/>
        <v>15.02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0" ht="16.5" thickBot="1">
      <c r="A74" s="891"/>
      <c r="B74" s="887"/>
      <c r="C74" s="54" t="s">
        <v>29</v>
      </c>
      <c r="D74" s="279">
        <v>211</v>
      </c>
      <c r="E74" s="56">
        <v>6.6439000000000004</v>
      </c>
      <c r="F74" s="57">
        <f t="shared" si="8"/>
        <v>6.6439000000000004</v>
      </c>
      <c r="G74" s="247">
        <f t="shared" si="9"/>
        <v>1401.86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0" hidden="1">
      <c r="A75" s="892">
        <v>411</v>
      </c>
      <c r="B75" s="183" t="s">
        <v>229</v>
      </c>
      <c r="C75" s="439" t="s">
        <v>260</v>
      </c>
      <c r="D75" s="296">
        <f>авг18!D76+авг18!D77</f>
        <v>5.05</v>
      </c>
      <c r="E75" s="41">
        <f>6.6439-6.7023</f>
        <v>-5.8399999999999785E-2</v>
      </c>
      <c r="F75" s="41">
        <f t="shared" si="8"/>
        <v>-5.8399999999999785E-2</v>
      </c>
      <c r="G75" s="235">
        <f t="shared" si="9"/>
        <v>-0.28999999999999998</v>
      </c>
      <c r="H75" s="270"/>
      <c r="I75" s="41"/>
      <c r="J75" s="41"/>
      <c r="K75" s="271"/>
      <c r="L75" s="294">
        <f>SUM(G75:G77)</f>
        <v>-0.28999999999999998</v>
      </c>
      <c r="M75" s="227"/>
      <c r="N75" s="274"/>
      <c r="O75" s="983" t="s">
        <v>271</v>
      </c>
      <c r="P75" s="275"/>
      <c r="Q75" s="237"/>
      <c r="R75" s="242"/>
      <c r="S75" s="266"/>
      <c r="T75" s="266"/>
    </row>
    <row r="76" spans="1:20" ht="15.75" hidden="1">
      <c r="A76" s="896"/>
      <c r="B76" s="192"/>
      <c r="C76" s="48" t="s">
        <v>263</v>
      </c>
      <c r="D76" s="269"/>
      <c r="E76" s="41">
        <v>6.6439000000000004</v>
      </c>
      <c r="F76" s="41">
        <f t="shared" si="8"/>
        <v>6.6439000000000004</v>
      </c>
      <c r="G76" s="235">
        <f>ROUND(D76*E76,2)</f>
        <v>0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0" ht="16.5" hidden="1" thickBot="1">
      <c r="A77" s="891"/>
      <c r="B77" s="887"/>
      <c r="C77" s="54" t="s">
        <v>29</v>
      </c>
      <c r="D77" s="279"/>
      <c r="E77" s="56">
        <v>6.6439000000000004</v>
      </c>
      <c r="F77" s="57">
        <f t="shared" si="8"/>
        <v>6.6439000000000004</v>
      </c>
      <c r="G77" s="247">
        <f t="shared" si="9"/>
        <v>0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0" ht="16.5" collapsed="1" thickBot="1">
      <c r="A78" s="891">
        <v>412</v>
      </c>
      <c r="B78" s="887" t="s">
        <v>58</v>
      </c>
      <c r="C78" s="54" t="s">
        <v>59</v>
      </c>
      <c r="D78" s="822">
        <v>0.32</v>
      </c>
      <c r="E78" s="21">
        <v>40.556600000000003</v>
      </c>
      <c r="F78" s="21">
        <v>47.5304</v>
      </c>
      <c r="G78" s="214">
        <f>ROUND(D78*(E78+F78),2)</f>
        <v>28.19</v>
      </c>
      <c r="H78" s="213"/>
      <c r="I78" s="41"/>
      <c r="J78" s="215"/>
      <c r="K78" s="679"/>
      <c r="L78" s="294">
        <f>SUM(G78:G82)</f>
        <v>1307.1500000000001</v>
      </c>
      <c r="M78" s="227">
        <v>1307.1500000000001</v>
      </c>
      <c r="N78" s="264"/>
      <c r="O78" s="229"/>
      <c r="P78" s="265"/>
      <c r="Q78" s="229"/>
      <c r="R78" s="242"/>
      <c r="S78" s="266"/>
      <c r="T78" s="266"/>
    </row>
    <row r="79" spans="1:20" ht="15.75">
      <c r="A79" s="896"/>
      <c r="B79" s="885"/>
      <c r="C79" s="292" t="s">
        <v>264</v>
      </c>
      <c r="D79" s="269"/>
      <c r="E79" s="38"/>
      <c r="F79" s="38"/>
      <c r="G79" s="235">
        <f>ROUND(D79*(E79+F79),2)</f>
        <v>0</v>
      </c>
      <c r="H79" s="225"/>
      <c r="I79" s="41"/>
      <c r="J79" s="194"/>
      <c r="K79" s="295"/>
      <c r="L79" s="294"/>
      <c r="M79" s="227"/>
      <c r="N79" s="264"/>
      <c r="O79" s="229"/>
      <c r="P79" s="265"/>
      <c r="Q79" s="229"/>
      <c r="R79" s="242"/>
      <c r="S79" s="266"/>
      <c r="T79" s="266"/>
    </row>
    <row r="80" spans="1:20">
      <c r="A80" s="896"/>
      <c r="B80" s="885"/>
      <c r="C80" s="48" t="s">
        <v>260</v>
      </c>
      <c r="D80" s="296">
        <f>авг18!D81+авг18!D82</f>
        <v>200</v>
      </c>
      <c r="E80" s="41">
        <f>6.6439-6.7023</f>
        <v>-5.8399999999999785E-2</v>
      </c>
      <c r="F80" s="41">
        <f t="shared" ref="F80:F97" si="10">+E80</f>
        <v>-5.8399999999999785E-2</v>
      </c>
      <c r="G80" s="235">
        <f>ROUND(D80*E80,2)-0.01</f>
        <v>-11.69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0" ht="15.75">
      <c r="A81" s="896"/>
      <c r="B81" s="885"/>
      <c r="C81" s="48" t="s">
        <v>263</v>
      </c>
      <c r="D81" s="269">
        <v>2.06</v>
      </c>
      <c r="E81" s="41">
        <v>6.6439000000000004</v>
      </c>
      <c r="F81" s="41">
        <f t="shared" si="10"/>
        <v>6.6439000000000004</v>
      </c>
      <c r="G81" s="235">
        <f t="shared" ref="G81:G82" si="11">ROUND(D81*E81,2)</f>
        <v>13.69</v>
      </c>
      <c r="H81" s="270"/>
      <c r="I81" s="41"/>
      <c r="J81" s="41"/>
      <c r="K81" s="271"/>
      <c r="L81" s="272"/>
      <c r="M81" s="273"/>
      <c r="N81" s="274"/>
      <c r="O81" s="237"/>
      <c r="P81" s="275"/>
      <c r="Q81" s="237"/>
      <c r="R81" s="242"/>
      <c r="S81" s="266"/>
      <c r="T81" s="266"/>
    </row>
    <row r="82" spans="1:20" ht="16.5" thickBot="1">
      <c r="A82" s="891"/>
      <c r="B82" s="887"/>
      <c r="C82" s="54" t="s">
        <v>29</v>
      </c>
      <c r="D82" s="279">
        <v>192.2</v>
      </c>
      <c r="E82" s="56">
        <v>6.6439000000000004</v>
      </c>
      <c r="F82" s="57">
        <f t="shared" si="10"/>
        <v>6.6439000000000004</v>
      </c>
      <c r="G82" s="247">
        <f t="shared" si="11"/>
        <v>1276.96</v>
      </c>
      <c r="H82" s="280"/>
      <c r="I82" s="281"/>
      <c r="J82" s="281"/>
      <c r="K82" s="282"/>
      <c r="L82" s="204"/>
      <c r="M82" s="250"/>
      <c r="N82" s="283"/>
      <c r="O82" s="252"/>
      <c r="P82" s="284"/>
      <c r="Q82" s="252"/>
      <c r="R82" s="242"/>
      <c r="S82" s="266"/>
      <c r="T82" s="266"/>
    </row>
    <row r="83" spans="1:20" ht="15" customHeight="1">
      <c r="A83" s="892">
        <v>413</v>
      </c>
      <c r="B83" s="883" t="s">
        <v>56</v>
      </c>
      <c r="C83" s="439" t="s">
        <v>260</v>
      </c>
      <c r="D83" s="894">
        <f>авг18!D84+авг18!D85</f>
        <v>118.2</v>
      </c>
      <c r="E83" s="41">
        <f>6.6439-6.7023</f>
        <v>-5.8399999999999785E-2</v>
      </c>
      <c r="F83" s="41">
        <f t="shared" si="10"/>
        <v>-5.8399999999999785E-2</v>
      </c>
      <c r="G83" s="214">
        <f>ROUND(D83*E83,2)</f>
        <v>-6.9</v>
      </c>
      <c r="H83" s="260"/>
      <c r="I83" s="261"/>
      <c r="J83" s="261"/>
      <c r="K83" s="262"/>
      <c r="L83" s="286">
        <f>SUM(G83:G85)</f>
        <v>802.26</v>
      </c>
      <c r="M83" s="227">
        <v>802.26</v>
      </c>
      <c r="N83" s="264"/>
      <c r="O83" s="229"/>
      <c r="P83" s="265"/>
      <c r="Q83" s="229"/>
      <c r="R83" s="287"/>
      <c r="S83" s="288"/>
      <c r="T83" s="288"/>
    </row>
    <row r="84" spans="1:20" ht="15.75">
      <c r="A84" s="893"/>
      <c r="B84" s="885"/>
      <c r="C84" s="48" t="s">
        <v>263</v>
      </c>
      <c r="D84" s="895">
        <v>1.29</v>
      </c>
      <c r="E84" s="41">
        <v>6.6439000000000004</v>
      </c>
      <c r="F84" s="41">
        <f t="shared" si="10"/>
        <v>6.6439000000000004</v>
      </c>
      <c r="G84" s="235">
        <f t="shared" ref="G84:G88" si="12">ROUND(D84*E84,2)</f>
        <v>8.57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87"/>
      <c r="S84" s="288"/>
      <c r="T84" s="288"/>
    </row>
    <row r="85" spans="1:20" ht="16.5" thickBot="1">
      <c r="A85" s="891"/>
      <c r="B85" s="887"/>
      <c r="C85" s="54" t="s">
        <v>29</v>
      </c>
      <c r="D85" s="279">
        <v>120.5</v>
      </c>
      <c r="E85" s="56">
        <v>6.6439000000000004</v>
      </c>
      <c r="F85" s="57">
        <f t="shared" si="10"/>
        <v>6.6439000000000004</v>
      </c>
      <c r="G85" s="247">
        <f t="shared" si="12"/>
        <v>800.59</v>
      </c>
      <c r="H85" s="280"/>
      <c r="I85" s="281"/>
      <c r="J85" s="281"/>
      <c r="K85" s="682"/>
      <c r="L85" s="204"/>
      <c r="M85" s="250"/>
      <c r="N85" s="283"/>
      <c r="O85" s="252"/>
      <c r="P85" s="284"/>
      <c r="Q85" s="252"/>
      <c r="R85" s="287"/>
      <c r="S85" s="288"/>
      <c r="T85" s="288"/>
    </row>
    <row r="86" spans="1:20">
      <c r="A86" s="892">
        <v>414</v>
      </c>
      <c r="B86" s="183" t="s">
        <v>179</v>
      </c>
      <c r="C86" s="439" t="s">
        <v>260</v>
      </c>
      <c r="D86" s="296">
        <f>авг18!D87+авг18!D88</f>
        <v>11.12</v>
      </c>
      <c r="E86" s="41">
        <f>6.6439-6.7023</f>
        <v>-5.8399999999999785E-2</v>
      </c>
      <c r="F86" s="41">
        <f t="shared" si="10"/>
        <v>-5.8399999999999785E-2</v>
      </c>
      <c r="G86" s="235">
        <f>ROUND(D86*E86,2)</f>
        <v>-0.65</v>
      </c>
      <c r="H86" s="270"/>
      <c r="I86" s="41"/>
      <c r="J86" s="41"/>
      <c r="K86" s="271"/>
      <c r="L86" s="294">
        <f>SUM(G86:G88)</f>
        <v>147.10999999999999</v>
      </c>
      <c r="M86" s="227">
        <v>236.1</v>
      </c>
      <c r="N86" s="274"/>
      <c r="O86" s="237" t="s">
        <v>281</v>
      </c>
      <c r="P86" s="275"/>
      <c r="Q86" s="237"/>
      <c r="R86" s="242"/>
      <c r="S86" s="266"/>
      <c r="T86" s="266"/>
    </row>
    <row r="87" spans="1:20" ht="15.75">
      <c r="A87" s="896"/>
      <c r="B87" s="192"/>
      <c r="C87" s="48" t="s">
        <v>263</v>
      </c>
      <c r="D87" s="269">
        <v>0.24</v>
      </c>
      <c r="E87" s="41">
        <v>6.6439000000000004</v>
      </c>
      <c r="F87" s="41">
        <f t="shared" si="10"/>
        <v>6.6439000000000004</v>
      </c>
      <c r="G87" s="235">
        <f t="shared" si="12"/>
        <v>1.59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0" ht="16.5" thickBot="1">
      <c r="A88" s="891"/>
      <c r="B88" s="887"/>
      <c r="C88" s="99" t="s">
        <v>29</v>
      </c>
      <c r="D88" s="279">
        <v>22</v>
      </c>
      <c r="E88" s="56">
        <v>6.6439000000000004</v>
      </c>
      <c r="F88" s="57">
        <f t="shared" si="10"/>
        <v>6.6439000000000004</v>
      </c>
      <c r="G88" s="247">
        <f t="shared" si="12"/>
        <v>146.16999999999999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0" collapsed="1">
      <c r="A89" s="892">
        <v>415</v>
      </c>
      <c r="B89" s="183" t="s">
        <v>166</v>
      </c>
      <c r="C89" s="439" t="s">
        <v>260</v>
      </c>
      <c r="D89" s="296">
        <f>авг18!D90+авг18!D91</f>
        <v>166.77</v>
      </c>
      <c r="E89" s="41">
        <f>6.6439-6.7023</f>
        <v>-5.8399999999999785E-2</v>
      </c>
      <c r="F89" s="41">
        <f t="shared" si="10"/>
        <v>-5.8399999999999785E-2</v>
      </c>
      <c r="G89" s="235">
        <f>ROUND(D89*E89,2)+0.01</f>
        <v>-9.73</v>
      </c>
      <c r="H89" s="270"/>
      <c r="I89" s="41"/>
      <c r="J89" s="41"/>
      <c r="K89" s="271"/>
      <c r="L89" s="294">
        <f>SUM(G89:G91)</f>
        <v>1146.57</v>
      </c>
      <c r="M89" s="227">
        <v>1146.57</v>
      </c>
      <c r="N89" s="274"/>
      <c r="O89" s="237"/>
      <c r="P89" s="275"/>
      <c r="Q89" s="237"/>
      <c r="R89" s="242"/>
      <c r="S89" s="266"/>
      <c r="T89" s="266"/>
    </row>
    <row r="90" spans="1:20" ht="15.75">
      <c r="A90" s="896"/>
      <c r="B90" s="192"/>
      <c r="C90" s="48" t="s">
        <v>263</v>
      </c>
      <c r="D90" s="269">
        <v>1.84</v>
      </c>
      <c r="E90" s="41">
        <v>6.6439000000000004</v>
      </c>
      <c r="F90" s="41">
        <f t="shared" si="10"/>
        <v>6.6439000000000004</v>
      </c>
      <c r="G90" s="235">
        <f t="shared" ref="G90:G91" si="13">ROUND(D90*E90,2)</f>
        <v>12.22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0" ht="16.5" thickBot="1">
      <c r="A91" s="891"/>
      <c r="B91" s="887"/>
      <c r="C91" s="54" t="s">
        <v>29</v>
      </c>
      <c r="D91" s="279">
        <v>172.2</v>
      </c>
      <c r="E91" s="56">
        <v>6.6439000000000004</v>
      </c>
      <c r="F91" s="57">
        <f t="shared" si="10"/>
        <v>6.6439000000000004</v>
      </c>
      <c r="G91" s="247">
        <f t="shared" si="13"/>
        <v>1144.08</v>
      </c>
      <c r="H91" s="280"/>
      <c r="I91" s="281"/>
      <c r="J91" s="281"/>
      <c r="K91" s="2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0" hidden="1">
      <c r="A92" s="892">
        <v>416</v>
      </c>
      <c r="B92" s="183" t="s">
        <v>173</v>
      </c>
      <c r="C92" s="439" t="s">
        <v>260</v>
      </c>
      <c r="D92" s="296"/>
      <c r="E92" s="41">
        <f>6.7023-6.509</f>
        <v>0.19329999999999981</v>
      </c>
      <c r="F92" s="41">
        <f t="shared" si="10"/>
        <v>0.19329999999999981</v>
      </c>
      <c r="G92" s="235">
        <f>ROUND(D92*E92,2)+0.01</f>
        <v>0.01</v>
      </c>
      <c r="H92" s="270"/>
      <c r="I92" s="41"/>
      <c r="J92" s="41"/>
      <c r="K92" s="271"/>
      <c r="L92" s="294">
        <f>SUM(G92:G94)</f>
        <v>0.01</v>
      </c>
      <c r="M92" s="227"/>
      <c r="N92" s="274"/>
      <c r="O92" s="237"/>
      <c r="P92" s="275"/>
      <c r="Q92" s="237"/>
      <c r="R92" s="242"/>
      <c r="S92" s="266"/>
      <c r="T92" s="266"/>
    </row>
    <row r="93" spans="1:20" ht="15.75" hidden="1">
      <c r="A93" s="896"/>
      <c r="B93" s="192"/>
      <c r="C93" s="48" t="s">
        <v>263</v>
      </c>
      <c r="D93" s="269"/>
      <c r="E93" s="41">
        <v>6.7023000000000001</v>
      </c>
      <c r="F93" s="41">
        <f t="shared" si="10"/>
        <v>6.7023000000000001</v>
      </c>
      <c r="G93" s="235">
        <f>ROUND(D93*E93,2)</f>
        <v>0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hidden="1" thickBot="1">
      <c r="A94" s="891"/>
      <c r="B94" s="887"/>
      <c r="C94" s="54" t="s">
        <v>29</v>
      </c>
      <c r="D94" s="279"/>
      <c r="E94" s="56">
        <v>6.7023000000000001</v>
      </c>
      <c r="F94" s="57">
        <f t="shared" si="10"/>
        <v>6.7023000000000001</v>
      </c>
      <c r="G94" s="247">
        <f>ROUND(D94*E94,2)</f>
        <v>0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>
      <c r="A95" s="892">
        <v>417</v>
      </c>
      <c r="B95" s="183" t="s">
        <v>174</v>
      </c>
      <c r="C95" s="439" t="s">
        <v>260</v>
      </c>
      <c r="D95" s="296">
        <f>авг18!D96+авг18!D97</f>
        <v>202.75</v>
      </c>
      <c r="E95" s="41">
        <f>6.6439-6.7023</f>
        <v>-5.8399999999999785E-2</v>
      </c>
      <c r="F95" s="41">
        <f t="shared" si="10"/>
        <v>-5.8399999999999785E-2</v>
      </c>
      <c r="G95" s="235">
        <f>ROUND(D95*E95,2)-0.01</f>
        <v>-11.85</v>
      </c>
      <c r="H95" s="270"/>
      <c r="I95" s="41"/>
      <c r="J95" s="41"/>
      <c r="K95" s="271"/>
      <c r="L95" s="294">
        <f>SUM(G95:G97)</f>
        <v>1020.2199999999999</v>
      </c>
      <c r="M95" s="227">
        <v>1020.22</v>
      </c>
      <c r="N95" s="274"/>
      <c r="O95" s="237"/>
      <c r="P95" s="275"/>
      <c r="Q95" s="237"/>
      <c r="R95" s="242"/>
      <c r="S95" s="266"/>
      <c r="T95" s="266"/>
    </row>
    <row r="96" spans="1:20" ht="15.75">
      <c r="A96" s="896"/>
      <c r="B96" s="192"/>
      <c r="C96" s="48" t="s">
        <v>263</v>
      </c>
      <c r="D96" s="269">
        <v>1.64</v>
      </c>
      <c r="E96" s="41">
        <v>6.6439000000000004</v>
      </c>
      <c r="F96" s="41">
        <f t="shared" si="10"/>
        <v>6.6439000000000004</v>
      </c>
      <c r="G96" s="235">
        <f t="shared" ref="G96:G97" si="14">ROUND(D96*E96,2)</f>
        <v>10.9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1" ht="16.5" thickBot="1">
      <c r="A97" s="891"/>
      <c r="B97" s="202"/>
      <c r="C97" s="54" t="s">
        <v>29</v>
      </c>
      <c r="D97" s="279">
        <v>153.69999999999999</v>
      </c>
      <c r="E97" s="56">
        <v>6.6439000000000004</v>
      </c>
      <c r="F97" s="57">
        <f t="shared" si="10"/>
        <v>6.6439000000000004</v>
      </c>
      <c r="G97" s="247">
        <f t="shared" si="14"/>
        <v>1021.17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1" ht="15.75">
      <c r="A98" s="892">
        <v>500</v>
      </c>
      <c r="B98" s="883" t="s">
        <v>55</v>
      </c>
      <c r="C98" s="439" t="s">
        <v>260</v>
      </c>
      <c r="D98" s="259">
        <f>авг18!D99+авг18!D100</f>
        <v>2658.14</v>
      </c>
      <c r="E98" s="41">
        <f>6.6439-6.7023</f>
        <v>-5.8399999999999785E-2</v>
      </c>
      <c r="F98" s="41">
        <f t="shared" si="8"/>
        <v>-5.8399999999999785E-2</v>
      </c>
      <c r="G98" s="214">
        <f>ROUND(D98*E98,2)+0.01</f>
        <v>-155.23000000000002</v>
      </c>
      <c r="H98" s="260"/>
      <c r="I98" s="261"/>
      <c r="J98" s="261"/>
      <c r="K98" s="262"/>
      <c r="L98" s="263">
        <f>SUM(G98:G100)</f>
        <v>15986.92</v>
      </c>
      <c r="M98" s="187">
        <v>15986.92</v>
      </c>
      <c r="N98" s="264"/>
      <c r="O98" s="229"/>
      <c r="P98" s="265"/>
      <c r="Q98" s="229"/>
      <c r="R98" s="242"/>
      <c r="S98" s="266"/>
      <c r="T98" s="266"/>
    </row>
    <row r="99" spans="1:21" ht="15.75">
      <c r="A99" s="893" t="s">
        <v>197</v>
      </c>
      <c r="B99" s="885"/>
      <c r="C99" s="48" t="s">
        <v>263</v>
      </c>
      <c r="D99" s="269">
        <v>25.72</v>
      </c>
      <c r="E99" s="41">
        <v>6.6439000000000004</v>
      </c>
      <c r="F99" s="41">
        <f t="shared" si="8"/>
        <v>6.6439000000000004</v>
      </c>
      <c r="G99" s="235">
        <f>ROUND(D99*E99,2)</f>
        <v>170.88</v>
      </c>
      <c r="H99" s="270"/>
      <c r="I99" s="41"/>
      <c r="J99" s="41"/>
      <c r="K99" s="271"/>
      <c r="L99" s="272"/>
      <c r="M99" s="273"/>
      <c r="N99" s="274"/>
      <c r="O99" s="237"/>
      <c r="P99" s="275"/>
      <c r="Q99" s="237"/>
      <c r="R99" s="242"/>
      <c r="S99" s="266"/>
      <c r="T99" s="266"/>
    </row>
    <row r="100" spans="1:21" ht="16.5" thickBot="1">
      <c r="A100" s="891"/>
      <c r="B100" s="887"/>
      <c r="C100" s="54" t="s">
        <v>29</v>
      </c>
      <c r="D100" s="279">
        <v>2403.9</v>
      </c>
      <c r="E100" s="56">
        <v>6.6439000000000004</v>
      </c>
      <c r="F100" s="57">
        <f t="shared" si="8"/>
        <v>6.6439000000000004</v>
      </c>
      <c r="G100" s="247">
        <f t="shared" ref="G100" si="15">ROUND(D100*E100,2)</f>
        <v>15971.27</v>
      </c>
      <c r="H100" s="280"/>
      <c r="I100" s="281"/>
      <c r="J100" s="281"/>
      <c r="K100" s="282"/>
      <c r="L100" s="204"/>
      <c r="M100" s="250"/>
      <c r="N100" s="283"/>
      <c r="O100" s="252"/>
      <c r="P100" s="284"/>
      <c r="Q100" s="252"/>
      <c r="R100" s="242"/>
      <c r="S100" s="266"/>
      <c r="T100" s="266"/>
    </row>
    <row r="101" spans="1:21" ht="16.5" hidden="1" outlineLevel="1" thickBot="1">
      <c r="A101" s="892"/>
      <c r="B101" s="883" t="s">
        <v>57</v>
      </c>
      <c r="C101" s="439"/>
      <c r="D101" s="259"/>
      <c r="E101" s="21">
        <v>36.214199999999998</v>
      </c>
      <c r="F101" s="21">
        <v>42.4328</v>
      </c>
      <c r="G101" s="214">
        <f>ROUND(D101*(E101+F101),2)</f>
        <v>0</v>
      </c>
      <c r="H101" s="213">
        <v>0</v>
      </c>
      <c r="I101">
        <v>22.478999999999999</v>
      </c>
      <c r="J101" s="215">
        <f t="shared" ref="J101" si="16">H101*I101</f>
        <v>0</v>
      </c>
      <c r="K101" s="679">
        <v>42705</v>
      </c>
      <c r="L101" s="294">
        <f>SUM(G101:G105)+J101+J103</f>
        <v>0</v>
      </c>
      <c r="M101" s="227"/>
      <c r="N101" s="264"/>
      <c r="O101" s="229"/>
      <c r="P101" s="265"/>
      <c r="Q101" s="229"/>
      <c r="R101" s="242"/>
      <c r="S101" s="266"/>
      <c r="T101" s="266"/>
    </row>
    <row r="102" spans="1:21" ht="16.5" hidden="1" outlineLevel="1" thickBot="1">
      <c r="A102" s="891"/>
      <c r="B102" s="887"/>
      <c r="C102" s="54"/>
      <c r="D102" s="269"/>
      <c r="E102" s="38">
        <f>32.332-28.8628</f>
        <v>3.4692000000000007</v>
      </c>
      <c r="F102" s="38">
        <f>37.8898-33.8306</f>
        <v>4.0592000000000041</v>
      </c>
      <c r="G102" s="235">
        <f>ROUND(D102*(E102+F102),2)</f>
        <v>0</v>
      </c>
      <c r="H102" s="225"/>
      <c r="J102" s="194"/>
      <c r="K102" s="683"/>
      <c r="L102" s="294"/>
      <c r="M102" s="227"/>
      <c r="N102" s="264"/>
      <c r="O102" s="229"/>
      <c r="P102" s="265"/>
      <c r="Q102" s="229"/>
      <c r="R102" s="242"/>
      <c r="S102" s="266"/>
      <c r="T102" s="266"/>
    </row>
    <row r="103" spans="1:21" ht="15.75" hidden="1" outlineLevel="1" thickBot="1">
      <c r="A103" s="892"/>
      <c r="B103" s="883"/>
      <c r="C103" s="439" t="s">
        <v>170</v>
      </c>
      <c r="D103" s="296"/>
      <c r="E103" s="41">
        <f>7.0207-6.6426</f>
        <v>0.37809999999999988</v>
      </c>
      <c r="F103" s="41">
        <f>+E103</f>
        <v>0.37809999999999988</v>
      </c>
      <c r="G103" s="235">
        <f>ROUND(D103*E103,2)</f>
        <v>0</v>
      </c>
      <c r="H103" s="270"/>
      <c r="I103" s="41"/>
      <c r="J103" s="41"/>
      <c r="K103" s="684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1" ht="16.5" hidden="1" outlineLevel="1" thickBot="1">
      <c r="A104" s="891"/>
      <c r="B104" s="887"/>
      <c r="C104" s="54" t="s">
        <v>171</v>
      </c>
      <c r="D104" s="269"/>
      <c r="E104" s="41">
        <v>7.0206999999999997</v>
      </c>
      <c r="F104" s="41">
        <f>+E104</f>
        <v>7.0206999999999997</v>
      </c>
      <c r="G104" s="235">
        <f>ROUND(D104*E104,2)</f>
        <v>0</v>
      </c>
      <c r="H104" s="270"/>
      <c r="I104" s="41"/>
      <c r="J104" s="41"/>
      <c r="K104" s="684"/>
      <c r="L104" s="272"/>
      <c r="M104" s="273"/>
      <c r="N104" s="274"/>
      <c r="O104" s="237"/>
      <c r="P104" s="275"/>
      <c r="Q104" s="237"/>
      <c r="R104" s="242"/>
      <c r="S104" s="266"/>
      <c r="T104" s="266"/>
    </row>
    <row r="105" spans="1:21" ht="16.5" hidden="1" outlineLevel="1" thickBot="1">
      <c r="A105" s="892"/>
      <c r="B105" s="883"/>
      <c r="C105" s="439" t="s">
        <v>29</v>
      </c>
      <c r="D105" s="279"/>
      <c r="E105" s="56">
        <v>7.0206999999999997</v>
      </c>
      <c r="F105" s="57">
        <f>+E105</f>
        <v>7.0206999999999997</v>
      </c>
      <c r="G105" s="247">
        <f>ROUND(D105*E105,2)</f>
        <v>0</v>
      </c>
      <c r="H105" s="280"/>
      <c r="I105" s="281"/>
      <c r="J105" s="281"/>
      <c r="K105" s="682"/>
      <c r="L105" s="204"/>
      <c r="M105" s="250"/>
      <c r="N105" s="283"/>
      <c r="O105" s="252"/>
      <c r="P105" s="284"/>
      <c r="Q105" s="252"/>
      <c r="R105" s="242"/>
      <c r="S105" s="266"/>
      <c r="T105" s="266"/>
    </row>
    <row r="106" spans="1:21" ht="15.75" hidden="1" outlineLevel="1" thickBot="1">
      <c r="A106" s="892"/>
      <c r="B106" s="183" t="s">
        <v>145</v>
      </c>
      <c r="C106" s="439" t="s">
        <v>170</v>
      </c>
      <c r="D106" s="296"/>
      <c r="E106" s="41">
        <f>7.0207-6.6426</f>
        <v>0.37809999999999988</v>
      </c>
      <c r="F106" s="41">
        <f t="shared" ref="F106:F108" si="17">+E106</f>
        <v>0.37809999999999988</v>
      </c>
      <c r="G106" s="235">
        <f>ROUND(D106*E106,2)</f>
        <v>0</v>
      </c>
      <c r="H106" s="270"/>
      <c r="I106" s="41"/>
      <c r="J106" s="41"/>
      <c r="K106" s="271"/>
      <c r="L106" s="294">
        <f>SUM(G106:G108)</f>
        <v>0</v>
      </c>
      <c r="M106" s="227"/>
      <c r="N106" s="274"/>
      <c r="O106" s="237"/>
      <c r="P106" s="275"/>
      <c r="Q106" s="237"/>
      <c r="R106" s="242"/>
      <c r="S106" s="266"/>
      <c r="T106" s="266"/>
    </row>
    <row r="107" spans="1:21" ht="16.5" hidden="1" outlineLevel="1" thickBot="1">
      <c r="A107" s="891"/>
      <c r="B107" s="887"/>
      <c r="C107" s="54" t="s">
        <v>171</v>
      </c>
      <c r="D107" s="269"/>
      <c r="E107" s="41">
        <v>7.0206999999999997</v>
      </c>
      <c r="F107" s="41">
        <f t="shared" si="17"/>
        <v>7.0206999999999997</v>
      </c>
      <c r="G107" s="235">
        <f t="shared" ref="G107:G108" si="18">ROUND(D107*E107,2)</f>
        <v>0</v>
      </c>
      <c r="H107" s="270"/>
      <c r="I107" s="41"/>
      <c r="J107" s="41"/>
      <c r="K107" s="271"/>
      <c r="L107" s="272"/>
      <c r="M107" s="273"/>
      <c r="N107" s="274"/>
      <c r="O107" s="237"/>
      <c r="P107" s="275"/>
      <c r="Q107" s="237"/>
      <c r="R107" s="242"/>
      <c r="S107" s="266"/>
      <c r="T107" s="266"/>
    </row>
    <row r="108" spans="1:21" ht="16.5" hidden="1" outlineLevel="1" thickBot="1">
      <c r="A108" s="892"/>
      <c r="B108" s="183"/>
      <c r="C108" s="439" t="s">
        <v>29</v>
      </c>
      <c r="D108" s="279"/>
      <c r="E108" s="56">
        <v>7.0206999999999997</v>
      </c>
      <c r="F108" s="57">
        <f t="shared" si="17"/>
        <v>7.0206999999999997</v>
      </c>
      <c r="G108" s="247">
        <f t="shared" si="18"/>
        <v>0</v>
      </c>
      <c r="H108" s="280"/>
      <c r="I108" s="281"/>
      <c r="J108" s="281"/>
      <c r="K108" s="282"/>
      <c r="L108" s="204"/>
      <c r="M108" s="250"/>
      <c r="N108" s="283"/>
      <c r="O108" s="252"/>
      <c r="P108" s="284"/>
      <c r="Q108" s="252"/>
      <c r="R108" s="242"/>
      <c r="S108" s="266"/>
      <c r="T108" s="266"/>
    </row>
    <row r="109" spans="1:21" ht="16.5" collapsed="1" thickTop="1">
      <c r="A109" s="898"/>
      <c r="B109" s="321"/>
      <c r="C109" s="322"/>
      <c r="D109" s="323"/>
      <c r="E109" s="163"/>
      <c r="F109" s="324"/>
      <c r="G109" s="325"/>
      <c r="H109" s="163"/>
      <c r="I109" s="163"/>
      <c r="J109" s="163"/>
      <c r="K109" s="163"/>
      <c r="L109" s="163"/>
      <c r="M109" s="326"/>
      <c r="N109" s="327"/>
      <c r="O109" s="328"/>
      <c r="P109" s="329"/>
      <c r="Q109" s="328"/>
      <c r="R109" s="330"/>
      <c r="S109" s="331"/>
      <c r="T109" s="266"/>
    </row>
    <row r="110" spans="1:21" ht="21.75" thickBot="1">
      <c r="A110" s="171" t="s">
        <v>60</v>
      </c>
      <c r="B110" s="2"/>
      <c r="C110" s="3"/>
      <c r="D110" s="2"/>
      <c r="E110" s="2"/>
      <c r="F110" s="2"/>
      <c r="G110" s="332"/>
      <c r="H110" s="332"/>
      <c r="I110" s="332"/>
      <c r="J110" s="2"/>
      <c r="K110" s="2"/>
      <c r="L110" s="2"/>
      <c r="M110" s="3"/>
      <c r="N110" s="2"/>
      <c r="O110" s="2"/>
      <c r="P110" s="2"/>
      <c r="Q110" s="2"/>
      <c r="R110" s="2"/>
      <c r="S110" s="2"/>
    </row>
    <row r="111" spans="1:21" ht="15" customHeight="1" thickTop="1">
      <c r="A111" s="1553" t="s">
        <v>1</v>
      </c>
      <c r="B111" s="1516" t="s">
        <v>2</v>
      </c>
      <c r="C111" s="1518" t="s">
        <v>3</v>
      </c>
      <c r="D111" s="1532" t="s">
        <v>4</v>
      </c>
      <c r="E111" s="1532"/>
      <c r="F111" s="1532"/>
      <c r="G111" s="1532"/>
      <c r="H111" s="1533" t="s">
        <v>5</v>
      </c>
      <c r="I111" s="1534"/>
      <c r="J111" s="1534"/>
      <c r="K111" s="1534"/>
      <c r="L111" s="1524" t="s">
        <v>6</v>
      </c>
      <c r="M111" s="1537" t="s">
        <v>7</v>
      </c>
      <c r="N111" s="1538" t="s">
        <v>8</v>
      </c>
      <c r="O111" s="1538"/>
      <c r="P111" s="1538"/>
      <c r="Q111" s="1539"/>
      <c r="R111" s="5"/>
      <c r="S111" s="5"/>
      <c r="T111" s="5" t="s">
        <v>61</v>
      </c>
      <c r="U111" t="s">
        <v>21</v>
      </c>
    </row>
    <row r="112" spans="1:21" ht="27" customHeight="1" thickBot="1">
      <c r="A112" s="1531"/>
      <c r="B112" s="1517"/>
      <c r="C112" s="1519" t="s">
        <v>10</v>
      </c>
      <c r="D112" s="333" t="s">
        <v>11</v>
      </c>
      <c r="E112" s="7" t="s">
        <v>12</v>
      </c>
      <c r="F112" s="7" t="s">
        <v>13</v>
      </c>
      <c r="G112" s="334" t="s">
        <v>14</v>
      </c>
      <c r="H112" s="335" t="s">
        <v>11</v>
      </c>
      <c r="I112" s="333" t="s">
        <v>15</v>
      </c>
      <c r="J112" s="336" t="s">
        <v>14</v>
      </c>
      <c r="K112" s="11" t="s">
        <v>16</v>
      </c>
      <c r="L112" s="1525"/>
      <c r="M112" s="1511"/>
      <c r="N112" s="337" t="s">
        <v>62</v>
      </c>
      <c r="O112" s="338" t="s">
        <v>44</v>
      </c>
      <c r="P112" s="13" t="s">
        <v>18</v>
      </c>
      <c r="Q112" s="14" t="s">
        <v>19</v>
      </c>
    </row>
    <row r="113" spans="1:21" ht="14.25" customHeight="1">
      <c r="A113" s="339" t="s">
        <v>63</v>
      </c>
      <c r="B113" s="18" t="s">
        <v>64</v>
      </c>
      <c r="C113" s="71" t="s">
        <v>243</v>
      </c>
      <c r="D113" s="340">
        <v>33</v>
      </c>
      <c r="E113" s="21">
        <v>40.556600000000003</v>
      </c>
      <c r="F113" s="21">
        <v>47.5304</v>
      </c>
      <c r="G113" s="185">
        <f>ROUND(D113*(E113+F113),2)</f>
        <v>2906.87</v>
      </c>
      <c r="H113" s="184"/>
      <c r="I113" s="23"/>
      <c r="J113" s="341"/>
      <c r="K113" s="342"/>
      <c r="L113" s="343">
        <f>SUM(G113:G118,J113:J117)</f>
        <v>301128.01999999996</v>
      </c>
      <c r="M113" s="344">
        <v>301128.02</v>
      </c>
      <c r="N113" s="345"/>
      <c r="O113" s="346">
        <v>7157.88</v>
      </c>
      <c r="P113" s="347" t="s">
        <v>24</v>
      </c>
      <c r="Q113" s="348" t="e">
        <f t="shared" ref="Q113:Q186" si="19">C113+G113+J113-M113-N113-O113</f>
        <v>#VALUE!</v>
      </c>
      <c r="R113" s="349" t="s">
        <v>65</v>
      </c>
      <c r="S113" s="350" t="s">
        <v>20</v>
      </c>
      <c r="T113" s="351" t="s">
        <v>21</v>
      </c>
      <c r="U113" s="352" t="e">
        <f>+L113-M113+C113</f>
        <v>#VALUE!</v>
      </c>
    </row>
    <row r="114" spans="1:21" ht="14.25" customHeight="1">
      <c r="A114" s="353"/>
      <c r="B114" s="35"/>
      <c r="C114" s="84" t="s">
        <v>26</v>
      </c>
      <c r="D114" s="37"/>
      <c r="E114" s="38"/>
      <c r="F114" s="38"/>
      <c r="G114" s="39">
        <f>ROUND(D114*(E114+F114),2)</f>
        <v>0</v>
      </c>
      <c r="H114" s="49"/>
      <c r="I114" s="271"/>
      <c r="J114" s="101"/>
      <c r="K114" s="354"/>
      <c r="L114" s="355"/>
      <c r="M114" s="356"/>
      <c r="N114" s="357"/>
      <c r="O114" s="358"/>
      <c r="P114" s="359"/>
      <c r="Q114" s="358"/>
      <c r="R114" s="349"/>
      <c r="S114" s="350"/>
      <c r="T114" s="351"/>
      <c r="U114" s="352"/>
    </row>
    <row r="115" spans="1:21">
      <c r="A115" s="353"/>
      <c r="B115" s="35"/>
      <c r="C115" s="48"/>
      <c r="D115" s="49"/>
      <c r="E115" s="41"/>
      <c r="F115" s="41"/>
      <c r="G115" s="50">
        <f>ROUND(D115*E115*70%+D115*F115*30%,2)</f>
        <v>0</v>
      </c>
      <c r="H115" s="49"/>
      <c r="I115" s="271"/>
      <c r="J115" s="41"/>
      <c r="K115" s="354"/>
      <c r="L115" s="355"/>
      <c r="M115" s="356"/>
      <c r="N115" s="357"/>
      <c r="O115" s="358"/>
      <c r="P115" s="359"/>
      <c r="Q115" s="358"/>
      <c r="R115" s="349"/>
      <c r="S115" s="350"/>
      <c r="T115" s="351"/>
      <c r="U115" s="352"/>
    </row>
    <row r="116" spans="1:21">
      <c r="A116" s="353"/>
      <c r="B116" s="35"/>
      <c r="C116" s="48" t="s">
        <v>260</v>
      </c>
      <c r="D116" s="49"/>
      <c r="E116" s="41"/>
      <c r="F116" s="38"/>
      <c r="G116" s="50">
        <f>ROUND(+D116*E116,2)</f>
        <v>0</v>
      </c>
      <c r="H116" s="49"/>
      <c r="I116" s="271"/>
      <c r="J116" s="41"/>
      <c r="K116" s="354"/>
      <c r="L116" s="355"/>
      <c r="M116" s="356"/>
      <c r="N116" s="357"/>
      <c r="O116" s="358"/>
      <c r="P116" s="359"/>
      <c r="Q116" s="358"/>
      <c r="R116" s="349"/>
      <c r="S116" s="350"/>
      <c r="T116" s="351"/>
      <c r="U116" s="352"/>
    </row>
    <row r="117" spans="1:21">
      <c r="A117" s="353"/>
      <c r="B117" s="35"/>
      <c r="C117" s="48" t="s">
        <v>263</v>
      </c>
      <c r="D117" s="49">
        <f>69.1+21.82+9.65</f>
        <v>100.57</v>
      </c>
      <c r="E117" s="41">
        <v>7.0998999999999999</v>
      </c>
      <c r="F117" s="41">
        <f>+E117</f>
        <v>7.0998999999999999</v>
      </c>
      <c r="G117" s="50">
        <f>ROUND(D117*E117,2)</f>
        <v>714.04</v>
      </c>
      <c r="H117" s="361"/>
      <c r="I117" s="362"/>
      <c r="J117" s="207"/>
      <c r="K117" s="363"/>
      <c r="L117" s="364"/>
      <c r="M117" s="365"/>
      <c r="N117" s="366"/>
      <c r="O117" s="367"/>
      <c r="P117" s="368"/>
      <c r="Q117" s="358"/>
      <c r="R117" s="349"/>
      <c r="S117" s="350"/>
      <c r="T117" s="351"/>
      <c r="U117" s="352"/>
    </row>
    <row r="118" spans="1:21" ht="15.75" thickBot="1">
      <c r="A118" s="369"/>
      <c r="B118" s="53" t="s">
        <v>66</v>
      </c>
      <c r="C118" s="99" t="s">
        <v>29</v>
      </c>
      <c r="D118" s="55">
        <f>28793+9090+4020</f>
        <v>41903</v>
      </c>
      <c r="E118" s="56">
        <v>7.0998999999999999</v>
      </c>
      <c r="F118" s="370">
        <f>+E118</f>
        <v>7.0998999999999999</v>
      </c>
      <c r="G118" s="58">
        <f>ROUND(D118*E118,2)</f>
        <v>297507.11</v>
      </c>
      <c r="H118" s="248"/>
      <c r="I118" s="203"/>
      <c r="J118" s="60"/>
      <c r="K118" s="203"/>
      <c r="L118" s="204"/>
      <c r="M118" s="371"/>
      <c r="N118" s="372"/>
      <c r="O118" s="373">
        <v>165882.5</v>
      </c>
      <c r="P118" s="374" t="s">
        <v>24</v>
      </c>
      <c r="Q118" s="373">
        <f>G118+J118-M118-N118-O118</f>
        <v>131624.60999999999</v>
      </c>
      <c r="R118" s="349" t="s">
        <v>65</v>
      </c>
      <c r="S118" s="375">
        <f>SUM(O113:O118)</f>
        <v>173040.38</v>
      </c>
      <c r="T118" s="375" t="e">
        <f>SUM(Q113:Q118)</f>
        <v>#VALUE!</v>
      </c>
    </row>
    <row r="119" spans="1:21" s="81" customFormat="1" ht="15" customHeight="1">
      <c r="A119" s="437">
        <v>101</v>
      </c>
      <c r="B119" s="438" t="s">
        <v>82</v>
      </c>
      <c r="C119" s="377" t="s">
        <v>73</v>
      </c>
      <c r="D119" s="378">
        <v>26</v>
      </c>
      <c r="E119" s="21">
        <v>40.556600000000003</v>
      </c>
      <c r="F119" s="21">
        <v>47.5304</v>
      </c>
      <c r="G119" s="22">
        <f>+D119*(E119+F119)</f>
        <v>2290.2620000000002</v>
      </c>
      <c r="H119" s="303"/>
      <c r="I119" s="381"/>
      <c r="J119" s="381"/>
      <c r="K119" s="342"/>
      <c r="L119" s="263">
        <f>SUM(G119:G123,J119:J123)</f>
        <v>81463.351999999999</v>
      </c>
      <c r="M119" s="26">
        <v>81463.350000000006</v>
      </c>
      <c r="N119" s="421"/>
      <c r="O119" s="77"/>
      <c r="P119" s="77"/>
      <c r="Q119" s="384"/>
      <c r="R119" s="422"/>
      <c r="S119" s="399"/>
      <c r="T119" s="399"/>
    </row>
    <row r="120" spans="1:21" s="81" customFormat="1" ht="15" customHeight="1">
      <c r="A120" s="441"/>
      <c r="B120" s="442"/>
      <c r="C120" s="36" t="s">
        <v>26</v>
      </c>
      <c r="D120" s="37"/>
      <c r="E120" s="38"/>
      <c r="F120" s="38"/>
      <c r="G120" s="39">
        <f>ROUND(D120*(E120+F120),2)</f>
        <v>0</v>
      </c>
      <c r="H120" s="457"/>
      <c r="I120" s="392"/>
      <c r="J120" s="402"/>
      <c r="K120" s="393"/>
      <c r="L120" s="459"/>
      <c r="M120" s="44"/>
      <c r="N120" s="430"/>
      <c r="O120" s="435"/>
      <c r="P120" s="435"/>
      <c r="Q120" s="425"/>
      <c r="R120" s="422"/>
      <c r="S120" s="399"/>
      <c r="T120" s="399"/>
    </row>
    <row r="121" spans="1:21" s="81" customFormat="1" ht="15" customHeight="1">
      <c r="A121" s="441"/>
      <c r="B121" s="442"/>
      <c r="C121" s="48" t="s">
        <v>260</v>
      </c>
      <c r="D121" s="37">
        <f>авг18!D122+авг18!D123</f>
        <v>12758</v>
      </c>
      <c r="E121" s="41">
        <f>6.7991-6.9269</f>
        <v>-0.12779999999999969</v>
      </c>
      <c r="F121" s="38"/>
      <c r="G121" s="39">
        <f>ROUND(D121*(E121),2)</f>
        <v>-1630.47</v>
      </c>
      <c r="H121" s="270"/>
      <c r="I121" s="41"/>
      <c r="J121" s="41"/>
      <c r="K121" s="271"/>
      <c r="L121" s="272"/>
      <c r="M121" s="102"/>
      <c r="N121" s="430"/>
      <c r="O121" s="435"/>
      <c r="P121" s="435"/>
      <c r="Q121" s="425"/>
      <c r="R121" s="422"/>
      <c r="S121" s="399"/>
      <c r="T121" s="399"/>
    </row>
    <row r="122" spans="1:21" s="81" customFormat="1" ht="15" customHeight="1">
      <c r="A122" s="441"/>
      <c r="B122" s="442"/>
      <c r="C122" s="48" t="s">
        <v>263</v>
      </c>
      <c r="D122" s="37">
        <v>28.45</v>
      </c>
      <c r="E122" s="41">
        <v>6.7991000000000001</v>
      </c>
      <c r="F122" s="38"/>
      <c r="G122" s="39">
        <f>ROUND(D122*(E122),2)</f>
        <v>193.43</v>
      </c>
      <c r="H122" s="270"/>
      <c r="I122" s="41"/>
      <c r="J122" s="41"/>
      <c r="K122" s="271"/>
      <c r="L122" s="272"/>
      <c r="M122" s="102"/>
      <c r="N122" s="434"/>
      <c r="O122" s="435"/>
      <c r="P122" s="435"/>
      <c r="Q122" s="425"/>
      <c r="R122" s="422"/>
      <c r="S122" s="399"/>
      <c r="T122" s="399"/>
    </row>
    <row r="123" spans="1:21" s="81" customFormat="1" ht="15" customHeight="1" thickBot="1">
      <c r="A123" s="445"/>
      <c r="B123" s="446"/>
      <c r="C123" s="54" t="s">
        <v>29</v>
      </c>
      <c r="D123" s="413">
        <v>11856</v>
      </c>
      <c r="E123" s="56">
        <v>6.7991000000000001</v>
      </c>
      <c r="F123" s="281"/>
      <c r="G123" s="414">
        <f>ROUND(D123*(E123),2)</f>
        <v>80610.13</v>
      </c>
      <c r="H123" s="280"/>
      <c r="I123" s="281"/>
      <c r="J123" s="281"/>
      <c r="K123" s="282"/>
      <c r="L123" s="204"/>
      <c r="M123" s="371"/>
      <c r="N123" s="426"/>
      <c r="O123" s="416"/>
      <c r="P123" s="416"/>
      <c r="Q123" s="417"/>
      <c r="R123" s="899"/>
      <c r="S123" s="399"/>
      <c r="T123" s="399"/>
    </row>
    <row r="124" spans="1:21" s="81" customFormat="1" ht="15.75" customHeight="1">
      <c r="A124" s="902">
        <v>105</v>
      </c>
      <c r="B124" s="903" t="s">
        <v>256</v>
      </c>
      <c r="C124" s="439" t="s">
        <v>260</v>
      </c>
      <c r="D124" s="904">
        <f>авг18!D125+авг18!D126</f>
        <v>1586.8</v>
      </c>
      <c r="E124" s="23">
        <f>6.7991-6.9269</f>
        <v>-0.12779999999999969</v>
      </c>
      <c r="F124" s="905"/>
      <c r="G124" s="22">
        <f>ROUND(D124*E124,2)</f>
        <v>-202.79</v>
      </c>
      <c r="H124" s="303"/>
      <c r="I124" s="23"/>
      <c r="J124" s="23"/>
      <c r="K124" s="304"/>
      <c r="L124" s="263">
        <f>SUM(G124:G126)</f>
        <v>10449.699999999999</v>
      </c>
      <c r="M124" s="26">
        <v>10449.700000000001</v>
      </c>
      <c r="N124" s="421"/>
      <c r="O124" s="77"/>
      <c r="P124" s="77"/>
      <c r="Q124" s="384"/>
      <c r="R124" s="422"/>
      <c r="S124" s="399"/>
      <c r="T124" s="399"/>
    </row>
    <row r="125" spans="1:21" s="81" customFormat="1" ht="15.75" customHeight="1">
      <c r="A125" s="468"/>
      <c r="B125" s="469"/>
      <c r="C125" s="48" t="s">
        <v>263</v>
      </c>
      <c r="D125" s="471">
        <v>3.75</v>
      </c>
      <c r="E125" s="41">
        <v>6.7991000000000001</v>
      </c>
      <c r="F125" s="473"/>
      <c r="G125" s="449">
        <f>ROUND(D125*E125,2)</f>
        <v>25.5</v>
      </c>
      <c r="H125" s="260"/>
      <c r="I125" s="261"/>
      <c r="J125" s="261"/>
      <c r="K125" s="262"/>
      <c r="L125" s="286"/>
      <c r="M125" s="90"/>
      <c r="N125" s="423"/>
      <c r="O125" s="406"/>
      <c r="P125" s="406"/>
      <c r="Q125" s="407"/>
      <c r="R125" s="422"/>
      <c r="S125" s="399"/>
      <c r="T125" s="399"/>
    </row>
    <row r="126" spans="1:21" s="81" customFormat="1" ht="15.75" customHeight="1" thickBot="1">
      <c r="A126" s="858"/>
      <c r="B126" s="859"/>
      <c r="C126" s="54" t="s">
        <v>29</v>
      </c>
      <c r="D126" s="860">
        <v>1563</v>
      </c>
      <c r="E126" s="56">
        <v>6.7991000000000001</v>
      </c>
      <c r="F126" s="861"/>
      <c r="G126" s="414">
        <f t="shared" ref="G126" si="20">ROUND(D126*E126,2)</f>
        <v>10626.99</v>
      </c>
      <c r="H126" s="280"/>
      <c r="I126" s="281"/>
      <c r="J126" s="281"/>
      <c r="K126" s="282"/>
      <c r="L126" s="204"/>
      <c r="M126" s="371"/>
      <c r="N126" s="426"/>
      <c r="O126" s="416"/>
      <c r="P126" s="416"/>
      <c r="Q126" s="417"/>
      <c r="R126" s="422"/>
      <c r="S126" s="399"/>
      <c r="T126" s="399"/>
    </row>
    <row r="127" spans="1:21" s="81" customFormat="1" ht="15.75" customHeight="1">
      <c r="A127" s="902">
        <v>107</v>
      </c>
      <c r="B127" s="903" t="s">
        <v>239</v>
      </c>
      <c r="C127" s="439" t="s">
        <v>260</v>
      </c>
      <c r="D127" s="904">
        <f>авг18!D128+авг18!D129</f>
        <v>578.4</v>
      </c>
      <c r="E127" s="23">
        <f>6.7991-6.9269</f>
        <v>-0.12779999999999969</v>
      </c>
      <c r="F127" s="905"/>
      <c r="G127" s="22">
        <f>ROUND(D127*E127,2)</f>
        <v>-73.92</v>
      </c>
      <c r="H127" s="303"/>
      <c r="I127" s="23"/>
      <c r="J127" s="23"/>
      <c r="K127" s="304"/>
      <c r="L127" s="263">
        <f>SUM(G127:G129)</f>
        <v>2795.37</v>
      </c>
      <c r="M127" s="26">
        <v>2795.37</v>
      </c>
      <c r="N127" s="421"/>
      <c r="O127" s="77"/>
      <c r="P127" s="77"/>
      <c r="Q127" s="384"/>
      <c r="R127" s="422"/>
      <c r="S127" s="399"/>
      <c r="T127" s="399"/>
    </row>
    <row r="128" spans="1:21" s="81" customFormat="1" ht="15.75" customHeight="1">
      <c r="A128" s="468"/>
      <c r="B128" s="469"/>
      <c r="C128" s="48" t="s">
        <v>263</v>
      </c>
      <c r="D128" s="471">
        <v>1.01</v>
      </c>
      <c r="E128" s="41">
        <v>6.7991000000000001</v>
      </c>
      <c r="F128" s="473"/>
      <c r="G128" s="449">
        <f>ROUND(D128*E128,2)</f>
        <v>6.87</v>
      </c>
      <c r="H128" s="260"/>
      <c r="I128" s="261"/>
      <c r="J128" s="261"/>
      <c r="K128" s="262"/>
      <c r="L128" s="286"/>
      <c r="M128" s="90"/>
      <c r="N128" s="423"/>
      <c r="O128" s="406"/>
      <c r="P128" s="406"/>
      <c r="Q128" s="407"/>
      <c r="R128" s="422"/>
      <c r="S128" s="399"/>
      <c r="T128" s="399"/>
    </row>
    <row r="129" spans="1:20" s="81" customFormat="1" ht="15.75" customHeight="1" thickBot="1">
      <c r="A129" s="858"/>
      <c r="B129" s="859"/>
      <c r="C129" s="54" t="s">
        <v>29</v>
      </c>
      <c r="D129" s="860">
        <v>421</v>
      </c>
      <c r="E129" s="56">
        <v>6.7991000000000001</v>
      </c>
      <c r="F129" s="861"/>
      <c r="G129" s="414">
        <f t="shared" ref="G129" si="21">ROUND(D129*E129,2)</f>
        <v>2862.42</v>
      </c>
      <c r="H129" s="280"/>
      <c r="I129" s="281"/>
      <c r="J129" s="281"/>
      <c r="K129" s="282"/>
      <c r="L129" s="204"/>
      <c r="M129" s="371"/>
      <c r="N129" s="426"/>
      <c r="O129" s="416"/>
      <c r="P129" s="416"/>
      <c r="Q129" s="417"/>
      <c r="R129" s="422"/>
      <c r="S129" s="399"/>
      <c r="T129" s="399"/>
    </row>
    <row r="130" spans="1:20" s="81" customFormat="1" ht="15.75" customHeight="1">
      <c r="A130" s="902">
        <v>108</v>
      </c>
      <c r="B130" s="903" t="s">
        <v>168</v>
      </c>
      <c r="C130" s="439" t="s">
        <v>260</v>
      </c>
      <c r="D130" s="904">
        <f>авг18!D131+авг18!D132</f>
        <v>183.4</v>
      </c>
      <c r="E130" s="23">
        <f>6.7991-6.9269</f>
        <v>-0.12779999999999969</v>
      </c>
      <c r="F130" s="905"/>
      <c r="G130" s="22">
        <f>ROUND(D130*E130,2)</f>
        <v>-23.44</v>
      </c>
      <c r="H130" s="303"/>
      <c r="I130" s="23"/>
      <c r="J130" s="23"/>
      <c r="K130" s="304"/>
      <c r="L130" s="263">
        <f>SUM(G130:G132)</f>
        <v>1326.04</v>
      </c>
      <c r="M130" s="26">
        <v>1326.04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.75" customHeight="1">
      <c r="A131" s="468"/>
      <c r="B131" s="469"/>
      <c r="C131" s="48" t="s">
        <v>263</v>
      </c>
      <c r="D131" s="471">
        <v>0.48</v>
      </c>
      <c r="E131" s="41">
        <v>6.7991000000000001</v>
      </c>
      <c r="F131" s="473"/>
      <c r="G131" s="449">
        <f>ROUND(D131*E131,2)</f>
        <v>3.26</v>
      </c>
      <c r="H131" s="260"/>
      <c r="I131" s="261"/>
      <c r="J131" s="261"/>
      <c r="K131" s="262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 thickBot="1">
      <c r="A132" s="858"/>
      <c r="B132" s="859"/>
      <c r="C132" s="520" t="s">
        <v>29</v>
      </c>
      <c r="D132" s="471">
        <v>198</v>
      </c>
      <c r="E132" s="876">
        <v>6.7991000000000001</v>
      </c>
      <c r="F132" s="473"/>
      <c r="G132" s="453">
        <f t="shared" ref="G132" si="22">ROUND(D132*E132,2)</f>
        <v>1346.22</v>
      </c>
      <c r="H132" s="432"/>
      <c r="I132" s="207"/>
      <c r="J132" s="207"/>
      <c r="K132" s="362"/>
      <c r="L132" s="433"/>
      <c r="M132" s="371"/>
      <c r="N132" s="426"/>
      <c r="O132" s="416"/>
      <c r="P132" s="416"/>
      <c r="Q132" s="417"/>
      <c r="R132" s="422"/>
      <c r="S132" s="399"/>
      <c r="T132" s="399"/>
    </row>
    <row r="133" spans="1:20" s="81" customFormat="1" ht="15.75" customHeight="1">
      <c r="A133" s="376">
        <v>109</v>
      </c>
      <c r="B133" s="924" t="s">
        <v>175</v>
      </c>
      <c r="C133" s="439" t="s">
        <v>260</v>
      </c>
      <c r="D133" s="378">
        <f>авг18!D134+авг18!D135</f>
        <v>655.6</v>
      </c>
      <c r="E133" s="23">
        <f>6.7991-6.9269</f>
        <v>-0.12779999999999969</v>
      </c>
      <c r="F133" s="23"/>
      <c r="G133" s="22">
        <f>ROUND(D133*E133,2)</f>
        <v>-83.79</v>
      </c>
      <c r="H133" s="303"/>
      <c r="I133" s="23"/>
      <c r="J133" s="23"/>
      <c r="K133" s="185"/>
      <c r="L133" s="263">
        <f>SUM(G133:G137)+SUM(J133:J137)</f>
        <v>5661.0770000000002</v>
      </c>
      <c r="M133" s="877">
        <v>5661.08</v>
      </c>
      <c r="N133" s="443"/>
      <c r="O133" s="94"/>
      <c r="P133" s="94"/>
      <c r="Q133" s="396"/>
      <c r="R133" s="422"/>
      <c r="S133" s="399"/>
      <c r="T133" s="399"/>
    </row>
    <row r="134" spans="1:20" s="81" customFormat="1" ht="15.75" customHeight="1">
      <c r="A134" s="389"/>
      <c r="B134" s="920"/>
      <c r="C134" s="48" t="s">
        <v>263</v>
      </c>
      <c r="D134" s="37">
        <v>1.99</v>
      </c>
      <c r="E134" s="41">
        <v>6.7991000000000001</v>
      </c>
      <c r="F134" s="41"/>
      <c r="G134" s="39">
        <f>ROUND(D134*E134,2)</f>
        <v>13.53</v>
      </c>
      <c r="H134" s="270"/>
      <c r="I134" s="41"/>
      <c r="J134" s="41"/>
      <c r="K134" s="50"/>
      <c r="L134" s="272"/>
      <c r="M134" s="990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>
      <c r="A135" s="389"/>
      <c r="B135" s="920"/>
      <c r="C135" s="99" t="s">
        <v>29</v>
      </c>
      <c r="D135" s="37">
        <v>830</v>
      </c>
      <c r="E135" s="101">
        <v>6.7991000000000001</v>
      </c>
      <c r="F135" s="41"/>
      <c r="G135" s="39">
        <f t="shared" ref="G135" si="23">ROUND(D135*E135,2)</f>
        <v>5643.25</v>
      </c>
      <c r="H135" s="270"/>
      <c r="I135" s="41"/>
      <c r="J135" s="41"/>
      <c r="K135" s="50"/>
      <c r="L135" s="272"/>
      <c r="M135" s="990"/>
      <c r="N135" s="423"/>
      <c r="O135" s="406"/>
      <c r="P135" s="406"/>
      <c r="Q135" s="407"/>
      <c r="R135" s="422"/>
      <c r="S135" s="399"/>
      <c r="T135" s="399"/>
    </row>
    <row r="136" spans="1:20" s="81" customFormat="1" ht="15.75" customHeight="1" thickBot="1">
      <c r="A136" s="389"/>
      <c r="B136" s="920"/>
      <c r="C136" s="99" t="s">
        <v>73</v>
      </c>
      <c r="D136" s="37">
        <v>1</v>
      </c>
      <c r="E136" s="101">
        <v>40.556600000000003</v>
      </c>
      <c r="F136" s="41">
        <v>47.5304</v>
      </c>
      <c r="G136" s="39">
        <f>+D136*(E136+F136)</f>
        <v>88.087000000000003</v>
      </c>
      <c r="H136" s="270"/>
      <c r="I136" s="41"/>
      <c r="J136" s="41"/>
      <c r="K136" s="50"/>
      <c r="L136" s="272"/>
      <c r="M136" s="880"/>
      <c r="N136" s="426"/>
      <c r="O136" s="416"/>
      <c r="P136" s="416"/>
      <c r="Q136" s="417"/>
      <c r="R136" s="422"/>
      <c r="S136" s="399"/>
      <c r="T136" s="399"/>
    </row>
    <row r="137" spans="1:20" s="81" customFormat="1" ht="15.75" customHeight="1" thickBot="1">
      <c r="A137" s="411"/>
      <c r="B137" s="921"/>
      <c r="C137" s="54" t="s">
        <v>264</v>
      </c>
      <c r="D137" s="413"/>
      <c r="E137" s="56"/>
      <c r="F137" s="281"/>
      <c r="G137" s="414">
        <f>+D137*(E137+F137)</f>
        <v>0</v>
      </c>
      <c r="H137" s="280"/>
      <c r="I137" s="281"/>
      <c r="J137" s="281"/>
      <c r="K137" s="58"/>
      <c r="L137" s="204"/>
      <c r="M137" s="880"/>
      <c r="N137" s="426"/>
      <c r="O137" s="416"/>
      <c r="P137" s="416"/>
      <c r="Q137" s="417"/>
      <c r="R137" s="422"/>
      <c r="S137" s="399"/>
      <c r="T137" s="399"/>
    </row>
    <row r="138" spans="1:20" s="81" customFormat="1" ht="15.75" customHeight="1">
      <c r="A138" s="376">
        <v>117</v>
      </c>
      <c r="B138" s="420" t="s">
        <v>72</v>
      </c>
      <c r="C138" s="390" t="s">
        <v>73</v>
      </c>
      <c r="D138" s="869">
        <v>102</v>
      </c>
      <c r="E138" s="86">
        <v>40.556600000000003</v>
      </c>
      <c r="F138" s="86">
        <v>47.5304</v>
      </c>
      <c r="G138" s="449">
        <f>+D138*(E138+F138)</f>
        <v>8984.8739999999998</v>
      </c>
      <c r="H138" s="260"/>
      <c r="I138" s="392"/>
      <c r="J138" s="392"/>
      <c r="K138" s="870"/>
      <c r="L138" s="286">
        <f>SUM(G138:G142,J138:J142)</f>
        <v>222290.19399999999</v>
      </c>
      <c r="M138" s="26">
        <v>222290.19</v>
      </c>
      <c r="N138" s="421"/>
      <c r="O138" s="77"/>
      <c r="P138" s="77"/>
      <c r="Q138" s="384"/>
      <c r="R138" s="422"/>
      <c r="S138" s="399"/>
      <c r="T138" s="399"/>
    </row>
    <row r="139" spans="1:20" s="81" customFormat="1" ht="15.75" customHeight="1">
      <c r="A139" s="389"/>
      <c r="B139" s="83"/>
      <c r="C139" s="84" t="s">
        <v>26</v>
      </c>
      <c r="D139" s="37"/>
      <c r="E139" s="38"/>
      <c r="F139" s="38"/>
      <c r="G139" s="39">
        <f>ROUND(D139*(E139+F139),2)</f>
        <v>0</v>
      </c>
      <c r="H139" s="270"/>
      <c r="I139" s="392"/>
      <c r="J139" s="402"/>
      <c r="K139" s="393"/>
      <c r="L139" s="272"/>
      <c r="M139" s="102"/>
      <c r="N139" s="423"/>
      <c r="O139" s="406"/>
      <c r="P139" s="406"/>
      <c r="Q139" s="407"/>
      <c r="R139" s="422"/>
      <c r="S139" s="399"/>
      <c r="T139" s="399"/>
    </row>
    <row r="140" spans="1:20" s="81" customFormat="1" ht="15.75" customHeight="1">
      <c r="A140" s="389"/>
      <c r="B140" s="83"/>
      <c r="C140" s="48" t="s">
        <v>260</v>
      </c>
      <c r="D140" s="37">
        <f>авг18!D141+авг18!D142</f>
        <v>33199</v>
      </c>
      <c r="E140" s="41">
        <f>6.7991-6.9269</f>
        <v>-0.12779999999999969</v>
      </c>
      <c r="F140" s="38"/>
      <c r="G140" s="39">
        <f>ROUND(D140*(E140),2)</f>
        <v>-4242.83</v>
      </c>
      <c r="H140" s="270"/>
      <c r="I140" s="41"/>
      <c r="J140" s="41"/>
      <c r="K140" s="271"/>
      <c r="L140" s="272"/>
      <c r="M140" s="102"/>
      <c r="N140" s="423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83"/>
      <c r="C141" s="48" t="s">
        <v>263</v>
      </c>
      <c r="D141" s="37">
        <v>76.61</v>
      </c>
      <c r="E141" s="41">
        <v>6.7991000000000001</v>
      </c>
      <c r="F141" s="38"/>
      <c r="G141" s="39">
        <f>ROUND(D141*(E141),2)</f>
        <v>520.88</v>
      </c>
      <c r="H141" s="270"/>
      <c r="I141" s="41"/>
      <c r="J141" s="41"/>
      <c r="K141" s="271"/>
      <c r="L141" s="272"/>
      <c r="M141" s="102"/>
      <c r="N141" s="423"/>
      <c r="O141" s="406"/>
      <c r="P141" s="406"/>
      <c r="Q141" s="425"/>
      <c r="R141" s="422"/>
      <c r="S141" s="399"/>
      <c r="T141" s="399"/>
    </row>
    <row r="142" spans="1:20" s="81" customFormat="1" ht="15.75" customHeight="1" thickBot="1">
      <c r="A142" s="411"/>
      <c r="B142" s="412"/>
      <c r="C142" s="99" t="s">
        <v>29</v>
      </c>
      <c r="D142" s="413">
        <v>31920</v>
      </c>
      <c r="E142" s="56">
        <v>6.7991000000000001</v>
      </c>
      <c r="F142" s="281"/>
      <c r="G142" s="414">
        <f>ROUND(D142*(E142),2)</f>
        <v>217027.27</v>
      </c>
      <c r="H142" s="280"/>
      <c r="I142" s="281"/>
      <c r="J142" s="281"/>
      <c r="K142" s="282"/>
      <c r="L142" s="204"/>
      <c r="M142" s="371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>
      <c r="A143" s="376">
        <v>118</v>
      </c>
      <c r="B143" s="924" t="s">
        <v>215</v>
      </c>
      <c r="C143" s="377" t="s">
        <v>73</v>
      </c>
      <c r="D143" s="378">
        <v>77</v>
      </c>
      <c r="E143" s="21">
        <v>40.556600000000003</v>
      </c>
      <c r="F143" s="21">
        <v>47.5304</v>
      </c>
      <c r="G143" s="22">
        <f>+D143*(E143+F143)</f>
        <v>6782.6990000000005</v>
      </c>
      <c r="H143" s="303"/>
      <c r="I143" s="381"/>
      <c r="J143" s="41"/>
      <c r="K143" s="342"/>
      <c r="L143" s="263">
        <f>SUM(G143:G147,J143:J147)</f>
        <v>75253.548999999999</v>
      </c>
      <c r="M143" s="26">
        <v>75253.55</v>
      </c>
      <c r="N143" s="421"/>
      <c r="O143" s="77"/>
      <c r="P143" s="77"/>
      <c r="Q143" s="384"/>
      <c r="R143" s="422"/>
      <c r="S143" s="399"/>
      <c r="T143" s="399"/>
    </row>
    <row r="144" spans="1:20" s="81" customFormat="1" ht="15.75" customHeight="1">
      <c r="A144" s="389"/>
      <c r="B144" s="920"/>
      <c r="C144" s="36" t="s">
        <v>26</v>
      </c>
      <c r="D144" s="37"/>
      <c r="E144" s="38"/>
      <c r="F144" s="38"/>
      <c r="G144" s="39">
        <f>ROUND(D144*(E144+F144),2)</f>
        <v>0</v>
      </c>
      <c r="H144" s="457"/>
      <c r="I144" s="392"/>
      <c r="J144" s="41"/>
      <c r="K144" s="393"/>
      <c r="L144" s="459"/>
      <c r="M144" s="44"/>
      <c r="N144" s="430"/>
      <c r="O144" s="406"/>
      <c r="P144" s="406"/>
      <c r="Q144" s="407"/>
      <c r="R144" s="422"/>
      <c r="S144" s="399"/>
      <c r="T144" s="399"/>
    </row>
    <row r="145" spans="1:20" s="81" customFormat="1" ht="15.75" customHeight="1">
      <c r="A145" s="389"/>
      <c r="B145" s="920"/>
      <c r="C145" s="48" t="s">
        <v>260</v>
      </c>
      <c r="D145" s="37">
        <f>авг18!D146+авг18!D147</f>
        <v>9947.7999999999993</v>
      </c>
      <c r="E145" s="41">
        <f>6.7991-6.9269</f>
        <v>-0.12779999999999969</v>
      </c>
      <c r="F145" s="38"/>
      <c r="G145" s="39">
        <f>ROUND(D145*(E145),2)</f>
        <v>-1271.33</v>
      </c>
      <c r="H145" s="270"/>
      <c r="I145" s="41"/>
      <c r="J145" s="41"/>
      <c r="K145" s="271"/>
      <c r="L145" s="272"/>
      <c r="M145" s="102"/>
      <c r="N145" s="430"/>
      <c r="O145" s="406"/>
      <c r="P145" s="406"/>
      <c r="Q145" s="407"/>
      <c r="R145" s="422"/>
      <c r="S145" s="399"/>
      <c r="T145" s="399"/>
    </row>
    <row r="146" spans="1:20" s="81" customFormat="1" ht="15.75" customHeight="1">
      <c r="A146" s="389"/>
      <c r="B146" s="920"/>
      <c r="C146" s="48" t="s">
        <v>263</v>
      </c>
      <c r="D146" s="37">
        <v>24.56</v>
      </c>
      <c r="E146" s="41">
        <v>6.7991000000000001</v>
      </c>
      <c r="F146" s="38"/>
      <c r="G146" s="39">
        <f>ROUND(D146*(E146),2)</f>
        <v>166.99</v>
      </c>
      <c r="H146" s="270"/>
      <c r="I146" s="41"/>
      <c r="J146" s="41"/>
      <c r="K146" s="271"/>
      <c r="L146" s="272"/>
      <c r="M146" s="102"/>
      <c r="N146" s="434"/>
      <c r="O146" s="435"/>
      <c r="P146" s="435"/>
      <c r="Q146" s="425"/>
      <c r="R146" s="422"/>
      <c r="S146" s="399"/>
      <c r="T146" s="399"/>
    </row>
    <row r="147" spans="1:20" s="81" customFormat="1" ht="15.75" customHeight="1" thickBot="1">
      <c r="A147" s="411"/>
      <c r="B147" s="921"/>
      <c r="C147" s="54" t="s">
        <v>29</v>
      </c>
      <c r="D147" s="413">
        <v>10233</v>
      </c>
      <c r="E147" s="56">
        <v>6.7991000000000001</v>
      </c>
      <c r="F147" s="281"/>
      <c r="G147" s="414">
        <f>ROUND(D147*(E147),2)</f>
        <v>69575.19</v>
      </c>
      <c r="H147" s="432"/>
      <c r="I147" s="207"/>
      <c r="J147" s="207"/>
      <c r="K147" s="362"/>
      <c r="L147" s="433"/>
      <c r="M147" s="63"/>
      <c r="N147" s="434"/>
      <c r="O147" s="435"/>
      <c r="P147" s="435"/>
      <c r="Q147" s="425"/>
      <c r="R147" s="422"/>
      <c r="S147" s="399"/>
      <c r="T147" s="399"/>
    </row>
    <row r="148" spans="1:20" s="81" customFormat="1" ht="15.75" customHeight="1">
      <c r="A148" s="468">
        <v>121</v>
      </c>
      <c r="B148" s="699" t="s">
        <v>154</v>
      </c>
      <c r="C148" s="700" t="s">
        <v>260</v>
      </c>
      <c r="D148" s="471">
        <f>авг18!D149+авг18!D150</f>
        <v>323.8</v>
      </c>
      <c r="E148" s="261">
        <f>6.7991-6.9269</f>
        <v>-0.12779999999999969</v>
      </c>
      <c r="F148" s="473"/>
      <c r="G148" s="449">
        <f>ROUND(D148*E148,2)</f>
        <v>-41.38</v>
      </c>
      <c r="H148" s="303"/>
      <c r="I148" s="23"/>
      <c r="J148" s="23"/>
      <c r="K148" s="304"/>
      <c r="L148" s="263">
        <f>SUM(G148:G150)</f>
        <v>2050.9700000000003</v>
      </c>
      <c r="M148" s="26">
        <v>2050.9699999999998</v>
      </c>
      <c r="N148" s="421"/>
      <c r="O148" s="77"/>
      <c r="P148" s="77"/>
      <c r="Q148" s="384"/>
      <c r="R148" s="422"/>
      <c r="S148" s="399"/>
      <c r="T148" s="399"/>
    </row>
    <row r="149" spans="1:20" s="81" customFormat="1" ht="15.75" customHeight="1">
      <c r="A149" s="468"/>
      <c r="B149" s="469"/>
      <c r="C149" s="48" t="s">
        <v>263</v>
      </c>
      <c r="D149" s="471">
        <v>0.74</v>
      </c>
      <c r="E149" s="41">
        <v>6.7991000000000001</v>
      </c>
      <c r="F149" s="473"/>
      <c r="G149" s="449">
        <f>ROUND(D149*E149,2)</f>
        <v>5.03</v>
      </c>
      <c r="H149" s="260"/>
      <c r="I149" s="261"/>
      <c r="J149" s="261"/>
      <c r="K149" s="262"/>
      <c r="L149" s="286"/>
      <c r="M149" s="90"/>
      <c r="N149" s="423"/>
      <c r="O149" s="406"/>
      <c r="P149" s="406"/>
      <c r="Q149" s="407"/>
      <c r="R149" s="422"/>
      <c r="S149" s="399"/>
      <c r="T149" s="399"/>
    </row>
    <row r="150" spans="1:20" s="81" customFormat="1" ht="15.75" customHeight="1" thickBot="1">
      <c r="A150" s="858"/>
      <c r="B150" s="859"/>
      <c r="C150" s="54" t="s">
        <v>29</v>
      </c>
      <c r="D150" s="860">
        <v>307</v>
      </c>
      <c r="E150" s="56">
        <v>6.7991000000000001</v>
      </c>
      <c r="F150" s="861"/>
      <c r="G150" s="414">
        <f t="shared" ref="G150" si="24">ROUND(D150*E150,2)</f>
        <v>2087.3200000000002</v>
      </c>
      <c r="H150" s="280"/>
      <c r="I150" s="281"/>
      <c r="J150" s="281"/>
      <c r="K150" s="282"/>
      <c r="L150" s="204"/>
      <c r="M150" s="371"/>
      <c r="N150" s="426"/>
      <c r="O150" s="416"/>
      <c r="P150" s="416"/>
      <c r="Q150" s="417"/>
      <c r="R150" s="422"/>
      <c r="S150" s="399"/>
      <c r="T150" s="399"/>
    </row>
    <row r="151" spans="1:20" s="81" customFormat="1" ht="15.75" customHeight="1">
      <c r="A151" s="376">
        <v>202</v>
      </c>
      <c r="B151" s="420" t="s">
        <v>74</v>
      </c>
      <c r="C151" s="377" t="s">
        <v>73</v>
      </c>
      <c r="D151" s="378">
        <v>14</v>
      </c>
      <c r="E151" s="21">
        <v>40.556600000000003</v>
      </c>
      <c r="F151" s="21">
        <v>47.5304</v>
      </c>
      <c r="G151" s="22">
        <f>ROUND(D151*(E151+F151),2)</f>
        <v>1233.22</v>
      </c>
      <c r="H151" s="303"/>
      <c r="I151" s="381"/>
      <c r="J151" s="381"/>
      <c r="K151" s="342"/>
      <c r="L151" s="263">
        <f>SUM(G151:G157,J151:J157)</f>
        <v>20366.21</v>
      </c>
      <c r="M151" s="26">
        <v>20366.21</v>
      </c>
      <c r="N151" s="421"/>
      <c r="O151" s="77"/>
      <c r="P151" s="77"/>
      <c r="Q151" s="384"/>
      <c r="R151" s="422"/>
      <c r="S151" s="399"/>
      <c r="T151" s="399"/>
    </row>
    <row r="152" spans="1:20" s="81" customFormat="1" ht="15.75" customHeight="1">
      <c r="A152" s="389"/>
      <c r="B152" s="98"/>
      <c r="C152" s="84" t="s">
        <v>26</v>
      </c>
      <c r="D152" s="37"/>
      <c r="E152" s="38"/>
      <c r="F152" s="38"/>
      <c r="G152" s="39">
        <f>ROUND(D152*(E152+F152),2)</f>
        <v>0</v>
      </c>
      <c r="H152" s="270"/>
      <c r="I152" s="392"/>
      <c r="J152" s="402"/>
      <c r="K152" s="393"/>
      <c r="L152" s="272"/>
      <c r="M152" s="102"/>
      <c r="N152" s="423"/>
      <c r="O152" s="406"/>
      <c r="P152" s="406"/>
      <c r="Q152" s="407"/>
      <c r="R152" s="422"/>
      <c r="S152" s="399"/>
      <c r="T152" s="399"/>
    </row>
    <row r="153" spans="1:20" s="81" customFormat="1" ht="15.75" customHeight="1">
      <c r="A153" s="389"/>
      <c r="B153" s="98" t="s">
        <v>32</v>
      </c>
      <c r="C153" s="99" t="s">
        <v>33</v>
      </c>
      <c r="D153" s="428">
        <v>6</v>
      </c>
      <c r="E153" s="101">
        <v>237.98</v>
      </c>
      <c r="F153" s="38">
        <f>F151</f>
        <v>47.5304</v>
      </c>
      <c r="G153" s="39">
        <f>ROUND(D153*(E153+F153),2)</f>
        <v>1713.06</v>
      </c>
      <c r="H153" s="270"/>
      <c r="I153" s="41"/>
      <c r="J153" s="41"/>
      <c r="K153" s="271"/>
      <c r="L153" s="272"/>
      <c r="M153" s="102"/>
      <c r="N153" s="423"/>
      <c r="O153" s="406"/>
      <c r="P153" s="406"/>
      <c r="Q153" s="407"/>
      <c r="R153" s="422"/>
      <c r="S153" s="399"/>
      <c r="T153" s="399"/>
    </row>
    <row r="154" spans="1:20" s="81" customFormat="1" ht="15.75" customHeight="1">
      <c r="A154" s="389"/>
      <c r="B154" s="83"/>
      <c r="C154" s="48" t="s">
        <v>76</v>
      </c>
      <c r="D154" s="37">
        <v>4</v>
      </c>
      <c r="E154" s="41"/>
      <c r="F154" s="38"/>
      <c r="G154" s="39">
        <f>ROUND(D154*(E154+F154),2)+0.01</f>
        <v>0.01</v>
      </c>
      <c r="H154" s="270"/>
      <c r="I154" s="41"/>
      <c r="J154" s="41"/>
      <c r="K154" s="271"/>
      <c r="L154" s="272"/>
      <c r="M154" s="102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>
      <c r="A155" s="389"/>
      <c r="B155" s="83"/>
      <c r="C155" s="48" t="s">
        <v>260</v>
      </c>
      <c r="D155" s="37">
        <f>авг18!D156+авг18!D157</f>
        <v>2668.35</v>
      </c>
      <c r="E155" s="41">
        <f>6.7991-6.9269</f>
        <v>-0.12779999999999969</v>
      </c>
      <c r="F155" s="38"/>
      <c r="G155" s="39">
        <f>ROUND(D155*(E155+F155),2)</f>
        <v>-341.02</v>
      </c>
      <c r="H155" s="270"/>
      <c r="I155" s="41"/>
      <c r="J155" s="41"/>
      <c r="K155" s="271"/>
      <c r="L155" s="272"/>
      <c r="M155" s="102"/>
      <c r="N155" s="423"/>
      <c r="O155" s="406"/>
      <c r="P155" s="406"/>
      <c r="Q155" s="407"/>
      <c r="R155" s="422"/>
      <c r="S155" s="399"/>
      <c r="T155" s="399"/>
    </row>
    <row r="156" spans="1:20" s="81" customFormat="1" ht="15.75" customHeight="1">
      <c r="A156" s="389"/>
      <c r="B156" s="83"/>
      <c r="C156" s="48" t="s">
        <v>263</v>
      </c>
      <c r="D156" s="37">
        <v>6.25</v>
      </c>
      <c r="E156" s="41">
        <v>6.7991000000000001</v>
      </c>
      <c r="F156" s="38"/>
      <c r="G156" s="39">
        <f>ROUND(D156*E156,2)</f>
        <v>42.49</v>
      </c>
      <c r="H156" s="270"/>
      <c r="I156" s="41"/>
      <c r="J156" s="41"/>
      <c r="K156" s="271"/>
      <c r="L156" s="272"/>
      <c r="M156" s="102"/>
      <c r="N156" s="423"/>
      <c r="O156" s="406"/>
      <c r="P156" s="406"/>
      <c r="Q156" s="425"/>
      <c r="R156" s="422"/>
      <c r="S156" s="399"/>
      <c r="T156" s="399"/>
    </row>
    <row r="157" spans="1:20" s="81" customFormat="1" ht="15" customHeight="1" thickBot="1">
      <c r="A157" s="411"/>
      <c r="B157" s="412"/>
      <c r="C157" s="99" t="s">
        <v>29</v>
      </c>
      <c r="D157" s="413">
        <v>2606</v>
      </c>
      <c r="E157" s="56">
        <v>6.7991000000000001</v>
      </c>
      <c r="F157" s="281"/>
      <c r="G157" s="414">
        <f>ROUND(D157*(E157+F157),2)</f>
        <v>17718.45</v>
      </c>
      <c r="H157" s="280"/>
      <c r="I157" s="281"/>
      <c r="J157" s="281"/>
      <c r="K157" s="282"/>
      <c r="L157" s="204"/>
      <c r="M157" s="371"/>
      <c r="N157" s="426"/>
      <c r="O157" s="416"/>
      <c r="P157" s="416"/>
      <c r="Q157" s="417"/>
      <c r="R157" s="422"/>
      <c r="S157" s="399"/>
      <c r="T157" s="399"/>
    </row>
    <row r="158" spans="1:20" s="81" customFormat="1" ht="15.75" customHeight="1">
      <c r="A158" s="902">
        <v>203</v>
      </c>
      <c r="B158" s="903" t="s">
        <v>230</v>
      </c>
      <c r="C158" s="439" t="s">
        <v>260</v>
      </c>
      <c r="D158" s="904">
        <f>авг18!D159+авг18!D160</f>
        <v>50.1</v>
      </c>
      <c r="E158" s="23">
        <f>6.7991-6.9269</f>
        <v>-0.12779999999999969</v>
      </c>
      <c r="F158" s="905"/>
      <c r="G158" s="22">
        <f>ROUND(D158*E158,2)</f>
        <v>-6.4</v>
      </c>
      <c r="H158" s="303"/>
      <c r="I158" s="23"/>
      <c r="J158" s="23"/>
      <c r="K158" s="304"/>
      <c r="L158" s="263">
        <f>SUM(G158:G160)</f>
        <v>-6.4</v>
      </c>
      <c r="M158" s="26"/>
      <c r="N158" s="421"/>
      <c r="O158" s="77" t="s">
        <v>282</v>
      </c>
      <c r="P158" s="77"/>
      <c r="Q158" s="384"/>
      <c r="R158" s="422"/>
      <c r="S158" s="399"/>
      <c r="T158" s="399"/>
    </row>
    <row r="159" spans="1:20" s="81" customFormat="1" ht="15.75" customHeight="1">
      <c r="A159" s="468"/>
      <c r="B159" s="469"/>
      <c r="C159" s="48" t="s">
        <v>263</v>
      </c>
      <c r="D159" s="471">
        <v>0</v>
      </c>
      <c r="E159" s="41">
        <v>6.7991000000000001</v>
      </c>
      <c r="F159" s="473"/>
      <c r="G159" s="449">
        <f>ROUND(D159*E159,2)</f>
        <v>0</v>
      </c>
      <c r="H159" s="260"/>
      <c r="I159" s="261"/>
      <c r="J159" s="261"/>
      <c r="K159" s="262"/>
      <c r="L159" s="286"/>
      <c r="M159" s="90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 thickBot="1">
      <c r="A160" s="858"/>
      <c r="B160" s="859"/>
      <c r="C160" s="54" t="s">
        <v>29</v>
      </c>
      <c r="D160" s="860">
        <v>0</v>
      </c>
      <c r="E160" s="56">
        <v>6.7991000000000001</v>
      </c>
      <c r="F160" s="861"/>
      <c r="G160" s="414">
        <f t="shared" ref="G160" si="25">ROUND(D160*E160,2)</f>
        <v>0</v>
      </c>
      <c r="H160" s="280"/>
      <c r="I160" s="281"/>
      <c r="J160" s="207"/>
      <c r="K160" s="362"/>
      <c r="L160" s="433"/>
      <c r="M160" s="63"/>
      <c r="N160" s="426"/>
      <c r="O160" s="416"/>
      <c r="P160" s="416"/>
      <c r="Q160" s="417"/>
      <c r="R160" s="422"/>
      <c r="S160" s="399"/>
      <c r="T160" s="399"/>
    </row>
    <row r="161" spans="1:20" s="81" customFormat="1" ht="15.75" customHeight="1">
      <c r="A161" s="902">
        <v>204</v>
      </c>
      <c r="B161" s="903" t="s">
        <v>257</v>
      </c>
      <c r="C161" s="439" t="s">
        <v>260</v>
      </c>
      <c r="D161" s="904">
        <f>авг18!D162+авг18!D163</f>
        <v>55.1</v>
      </c>
      <c r="E161" s="23">
        <f>6.7991-6.9269</f>
        <v>-0.12779999999999969</v>
      </c>
      <c r="F161" s="905"/>
      <c r="G161" s="22">
        <f>ROUND(D161*E161,2)+0.01</f>
        <v>-7.03</v>
      </c>
      <c r="H161" s="303"/>
      <c r="I161" s="23"/>
      <c r="J161" s="23"/>
      <c r="K161" s="304"/>
      <c r="L161" s="263">
        <f>SUM(G161:G163)</f>
        <v>490.52</v>
      </c>
      <c r="M161" s="26">
        <v>490.52</v>
      </c>
      <c r="N161" s="421"/>
      <c r="O161" s="77"/>
      <c r="P161" s="77"/>
      <c r="Q161" s="384"/>
      <c r="R161" s="422"/>
      <c r="S161" s="399"/>
      <c r="T161" s="399"/>
    </row>
    <row r="162" spans="1:20" s="81" customFormat="1" ht="15.75" customHeight="1">
      <c r="A162" s="468"/>
      <c r="B162" s="469"/>
      <c r="C162" s="48" t="s">
        <v>263</v>
      </c>
      <c r="D162" s="471">
        <v>0.18</v>
      </c>
      <c r="E162" s="41">
        <v>6.7991000000000001</v>
      </c>
      <c r="F162" s="473"/>
      <c r="G162" s="449">
        <f>ROUND(D162*E162,2)</f>
        <v>1.22</v>
      </c>
      <c r="H162" s="260"/>
      <c r="I162" s="261"/>
      <c r="J162" s="261"/>
      <c r="K162" s="262"/>
      <c r="L162" s="286"/>
      <c r="M162" s="90"/>
      <c r="N162" s="423"/>
      <c r="O162" s="406"/>
      <c r="P162" s="406"/>
      <c r="Q162" s="407"/>
      <c r="R162" s="422"/>
      <c r="S162" s="399"/>
      <c r="T162" s="399"/>
    </row>
    <row r="163" spans="1:20" s="81" customFormat="1" ht="15.75" customHeight="1" thickBot="1">
      <c r="A163" s="858"/>
      <c r="B163" s="859"/>
      <c r="C163" s="54" t="s">
        <v>29</v>
      </c>
      <c r="D163" s="860">
        <v>73</v>
      </c>
      <c r="E163" s="56">
        <v>6.7991000000000001</v>
      </c>
      <c r="F163" s="861"/>
      <c r="G163" s="414">
        <f t="shared" ref="G163" si="26">ROUND(D163*E163,2)</f>
        <v>496.33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902">
        <v>207</v>
      </c>
      <c r="B164" s="903" t="s">
        <v>248</v>
      </c>
      <c r="C164" s="439" t="s">
        <v>260</v>
      </c>
      <c r="D164" s="904">
        <f>авг18!D165+авг18!D166</f>
        <v>350.8</v>
      </c>
      <c r="E164" s="23">
        <f>6.7991-6.9269</f>
        <v>-0.12779999999999969</v>
      </c>
      <c r="F164" s="905"/>
      <c r="G164" s="22">
        <f>ROUND(D164*E164,2)-0.01</f>
        <v>-44.839999999999996</v>
      </c>
      <c r="H164" s="303"/>
      <c r="I164" s="23"/>
      <c r="J164" s="23"/>
      <c r="K164" s="304"/>
      <c r="L164" s="263">
        <f>SUM(G164:G166)</f>
        <v>2456.41</v>
      </c>
      <c r="M164" s="26">
        <v>2456.41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263</v>
      </c>
      <c r="D165" s="471">
        <v>0.88</v>
      </c>
      <c r="E165" s="41">
        <v>6.7991000000000001</v>
      </c>
      <c r="F165" s="473"/>
      <c r="G165" s="449">
        <f>ROUND(D165*E165,2)</f>
        <v>5.98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858"/>
      <c r="B166" s="859"/>
      <c r="C166" s="54" t="s">
        <v>29</v>
      </c>
      <c r="D166" s="860">
        <v>367</v>
      </c>
      <c r="E166" s="56">
        <v>6.7991000000000001</v>
      </c>
      <c r="F166" s="861"/>
      <c r="G166" s="414">
        <f t="shared" ref="G166" si="27">ROUND(D166*E166,2)</f>
        <v>2495.27</v>
      </c>
      <c r="H166" s="280"/>
      <c r="I166" s="281"/>
      <c r="J166" s="207"/>
      <c r="K166" s="362"/>
      <c r="L166" s="433"/>
      <c r="M166" s="63"/>
      <c r="N166" s="426"/>
      <c r="O166" s="416"/>
      <c r="P166" s="416"/>
      <c r="Q166" s="417"/>
      <c r="R166" s="422"/>
      <c r="S166" s="399"/>
      <c r="T166" s="399"/>
    </row>
    <row r="167" spans="1:20" s="81" customFormat="1" ht="15" customHeight="1">
      <c r="A167" s="376">
        <v>210</v>
      </c>
      <c r="B167" s="420" t="s">
        <v>77</v>
      </c>
      <c r="C167" s="377" t="s">
        <v>73</v>
      </c>
      <c r="D167" s="378">
        <v>3</v>
      </c>
      <c r="E167" s="21">
        <v>40.556600000000003</v>
      </c>
      <c r="F167" s="21">
        <v>47.5304</v>
      </c>
      <c r="G167" s="22">
        <f t="shared" ref="G167:G173" si="28">ROUND(D167*(E167+F167),2)</f>
        <v>264.26</v>
      </c>
      <c r="H167" s="303"/>
      <c r="I167" s="381"/>
      <c r="J167" s="381"/>
      <c r="K167" s="342"/>
      <c r="L167" s="382">
        <f>+SUM(G167:G173,J167:J173)</f>
        <v>3153.8900000000003</v>
      </c>
      <c r="M167" s="26">
        <v>3153.89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" customHeight="1">
      <c r="A168" s="389"/>
      <c r="B168" s="83"/>
      <c r="C168" s="84" t="s">
        <v>26</v>
      </c>
      <c r="D168" s="37"/>
      <c r="E168" s="38"/>
      <c r="F168" s="38"/>
      <c r="G168" s="39">
        <f t="shared" si="28"/>
        <v>0</v>
      </c>
      <c r="H168" s="270"/>
      <c r="I168" s="392"/>
      <c r="J168" s="402"/>
      <c r="K168" s="393"/>
      <c r="L168" s="429"/>
      <c r="M168" s="102"/>
      <c r="N168" s="430"/>
      <c r="O168" s="406"/>
      <c r="P168" s="406"/>
      <c r="Q168" s="407"/>
      <c r="R168" s="422"/>
      <c r="S168" s="399"/>
      <c r="T168" s="399"/>
    </row>
    <row r="169" spans="1:20" s="81" customFormat="1" ht="15" customHeight="1">
      <c r="A169" s="389"/>
      <c r="B169" s="98" t="s">
        <v>32</v>
      </c>
      <c r="C169" s="99" t="s">
        <v>33</v>
      </c>
      <c r="D169" s="37">
        <v>3</v>
      </c>
      <c r="E169" s="101">
        <v>237.98</v>
      </c>
      <c r="F169" s="38">
        <f>F167</f>
        <v>47.5304</v>
      </c>
      <c r="G169" s="39">
        <f t="shared" si="28"/>
        <v>856.53</v>
      </c>
      <c r="H169" s="270"/>
      <c r="I169" s="41"/>
      <c r="J169" s="41"/>
      <c r="K169" s="271"/>
      <c r="L169" s="272"/>
      <c r="M169" s="102"/>
      <c r="N169" s="430"/>
      <c r="O169" s="406"/>
      <c r="P169" s="406"/>
      <c r="Q169" s="407"/>
      <c r="R169" s="422"/>
      <c r="S169" s="399"/>
      <c r="T169" s="399"/>
    </row>
    <row r="170" spans="1:20" s="81" customFormat="1" ht="15" customHeight="1">
      <c r="A170" s="389"/>
      <c r="B170" s="83"/>
      <c r="C170" s="48" t="s">
        <v>190</v>
      </c>
      <c r="D170" s="37">
        <f>авг18!D169</f>
        <v>2</v>
      </c>
      <c r="E170" s="41"/>
      <c r="F170" s="38"/>
      <c r="G170" s="39">
        <f>ROUND(D170*(E170+F170),2)</f>
        <v>0</v>
      </c>
      <c r="H170" s="270"/>
      <c r="I170" s="41"/>
      <c r="J170" s="41"/>
      <c r="K170" s="271"/>
      <c r="L170" s="272"/>
      <c r="M170" s="102"/>
      <c r="N170" s="430"/>
      <c r="O170" s="406"/>
      <c r="P170" s="406"/>
      <c r="Q170" s="407"/>
      <c r="R170" s="422"/>
      <c r="S170" s="399"/>
      <c r="T170" s="399"/>
    </row>
    <row r="171" spans="1:20" s="81" customFormat="1" ht="15" customHeight="1">
      <c r="A171" s="389"/>
      <c r="B171" s="83"/>
      <c r="C171" s="48" t="s">
        <v>260</v>
      </c>
      <c r="D171" s="37">
        <f>авг18!D172+авг18!D173</f>
        <v>90.2</v>
      </c>
      <c r="E171" s="41">
        <f>6.7991-6.9269</f>
        <v>-0.12779999999999969</v>
      </c>
      <c r="F171" s="38"/>
      <c r="G171" s="39">
        <f>ROUND(D171*(E171+F171),2)</f>
        <v>-11.53</v>
      </c>
      <c r="H171" s="270"/>
      <c r="I171" s="41"/>
      <c r="J171" s="41"/>
      <c r="K171" s="271"/>
      <c r="L171" s="272"/>
      <c r="M171" s="102"/>
      <c r="N171" s="430"/>
      <c r="O171" s="406"/>
      <c r="P171" s="406"/>
      <c r="Q171" s="407"/>
      <c r="R171" s="899"/>
      <c r="S171" s="399"/>
      <c r="T171" s="399"/>
    </row>
    <row r="172" spans="1:20" s="81" customFormat="1" ht="15" customHeight="1">
      <c r="A172" s="389"/>
      <c r="B172" s="83"/>
      <c r="C172" s="48" t="s">
        <v>263</v>
      </c>
      <c r="D172" s="37">
        <v>0.72</v>
      </c>
      <c r="E172" s="41">
        <v>6.7991000000000001</v>
      </c>
      <c r="F172" s="38"/>
      <c r="G172" s="39">
        <f t="shared" si="28"/>
        <v>4.9000000000000004</v>
      </c>
      <c r="H172" s="432"/>
      <c r="I172" s="207"/>
      <c r="J172" s="207"/>
      <c r="K172" s="362"/>
      <c r="L172" s="433"/>
      <c r="M172" s="63"/>
      <c r="N172" s="434"/>
      <c r="O172" s="435"/>
      <c r="P172" s="435"/>
      <c r="Q172" s="425"/>
      <c r="R172" s="899"/>
      <c r="S172" s="399"/>
      <c r="T172" s="399"/>
    </row>
    <row r="173" spans="1:20" s="81" customFormat="1" ht="15" customHeight="1" thickBot="1">
      <c r="A173" s="411"/>
      <c r="B173" s="412"/>
      <c r="C173" s="99" t="s">
        <v>29</v>
      </c>
      <c r="D173" s="413">
        <v>300</v>
      </c>
      <c r="E173" s="56">
        <v>6.7991000000000001</v>
      </c>
      <c r="F173" s="281"/>
      <c r="G173" s="414">
        <f t="shared" si="28"/>
        <v>2039.73</v>
      </c>
      <c r="H173" s="280"/>
      <c r="I173" s="281"/>
      <c r="J173" s="281"/>
      <c r="K173" s="282"/>
      <c r="L173" s="204"/>
      <c r="M173" s="371"/>
      <c r="N173" s="426"/>
      <c r="O173" s="416"/>
      <c r="P173" s="416"/>
      <c r="Q173" s="417"/>
      <c r="R173" s="899"/>
      <c r="S173" s="399"/>
      <c r="T173" s="399"/>
    </row>
    <row r="174" spans="1:20" s="81" customFormat="1" ht="15.75" customHeight="1">
      <c r="A174" s="902">
        <v>211</v>
      </c>
      <c r="B174" s="903" t="s">
        <v>231</v>
      </c>
      <c r="C174" s="439" t="s">
        <v>260</v>
      </c>
      <c r="D174" s="904">
        <f>авг18!D175+авг18!D176</f>
        <v>273.7</v>
      </c>
      <c r="E174" s="23">
        <f>6.7991-6.9269</f>
        <v>-0.12779999999999969</v>
      </c>
      <c r="F174" s="905"/>
      <c r="G174" s="22">
        <f>ROUND(D174*E174,2)</f>
        <v>-34.979999999999997</v>
      </c>
      <c r="H174" s="303"/>
      <c r="I174" s="23"/>
      <c r="J174" s="23"/>
      <c r="K174" s="304"/>
      <c r="L174" s="263">
        <f>SUM(G174:G176)</f>
        <v>1825.66</v>
      </c>
      <c r="M174" s="26">
        <v>1825.66</v>
      </c>
      <c r="N174" s="421"/>
      <c r="O174" s="77"/>
      <c r="P174" s="77"/>
      <c r="Q174" s="384"/>
      <c r="R174" s="422"/>
      <c r="S174" s="399"/>
      <c r="T174" s="399"/>
    </row>
    <row r="175" spans="1:20" s="81" customFormat="1" ht="15.75" customHeight="1">
      <c r="A175" s="468"/>
      <c r="B175" s="469"/>
      <c r="C175" s="48" t="s">
        <v>263</v>
      </c>
      <c r="D175" s="471">
        <v>0.66</v>
      </c>
      <c r="E175" s="41">
        <v>6.7991000000000001</v>
      </c>
      <c r="F175" s="473"/>
      <c r="G175" s="449">
        <f>ROUND(D175*E175,2)</f>
        <v>4.49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 thickBot="1">
      <c r="A176" s="858"/>
      <c r="B176" s="859"/>
      <c r="C176" s="54" t="s">
        <v>29</v>
      </c>
      <c r="D176" s="860">
        <v>273</v>
      </c>
      <c r="E176" s="56">
        <v>6.7991000000000001</v>
      </c>
      <c r="F176" s="861"/>
      <c r="G176" s="414">
        <f t="shared" ref="G176" si="29">ROUND(D176*E176,2)</f>
        <v>1856.15</v>
      </c>
      <c r="H176" s="280"/>
      <c r="I176" s="281"/>
      <c r="J176" s="207"/>
      <c r="K176" s="362"/>
      <c r="L176" s="433"/>
      <c r="M176" s="63"/>
      <c r="N176" s="426"/>
      <c r="O176" s="416"/>
      <c r="P176" s="416"/>
      <c r="Q176" s="417"/>
      <c r="R176" s="422"/>
      <c r="S176" s="399"/>
      <c r="T176" s="399"/>
    </row>
    <row r="177" spans="1:21" s="81" customFormat="1" ht="15.75" customHeight="1">
      <c r="A177" s="902">
        <v>212</v>
      </c>
      <c r="B177" s="903" t="s">
        <v>140</v>
      </c>
      <c r="C177" s="439" t="s">
        <v>260</v>
      </c>
      <c r="D177" s="904">
        <f>авг18!D178+авг18!D179</f>
        <v>625.5</v>
      </c>
      <c r="E177" s="23">
        <f>6.7991-6.9269</f>
        <v>-0.12779999999999969</v>
      </c>
      <c r="F177" s="905"/>
      <c r="G177" s="22">
        <f>ROUND(D177*E177,2)+0.01</f>
        <v>-79.929999999999993</v>
      </c>
      <c r="H177" s="303"/>
      <c r="I177" s="23"/>
      <c r="J177" s="23"/>
      <c r="K177" s="304"/>
      <c r="L177" s="263">
        <f>SUM(G177:G179)</f>
        <v>4200.17</v>
      </c>
      <c r="M177" s="26">
        <v>4200.17</v>
      </c>
      <c r="N177" s="421"/>
      <c r="O177" s="77"/>
      <c r="P177" s="77"/>
      <c r="Q177" s="384"/>
      <c r="R177" s="422"/>
      <c r="S177" s="399"/>
      <c r="T177" s="399"/>
    </row>
    <row r="178" spans="1:21" s="81" customFormat="1" ht="15.75" customHeight="1">
      <c r="A178" s="468"/>
      <c r="B178" s="469"/>
      <c r="C178" s="48" t="s">
        <v>263</v>
      </c>
      <c r="D178" s="471">
        <v>1.51</v>
      </c>
      <c r="E178" s="41">
        <v>6.7991000000000001</v>
      </c>
      <c r="F178" s="473"/>
      <c r="G178" s="449">
        <f>ROUND(D178*E178,2)</f>
        <v>10.27</v>
      </c>
      <c r="H178" s="260"/>
      <c r="I178" s="261"/>
      <c r="J178" s="261"/>
      <c r="K178" s="262"/>
      <c r="L178" s="286"/>
      <c r="M178" s="90"/>
      <c r="N178" s="423"/>
      <c r="O178" s="406"/>
      <c r="P178" s="406"/>
      <c r="Q178" s="407"/>
      <c r="R178" s="422"/>
      <c r="S178" s="399"/>
      <c r="T178" s="399"/>
    </row>
    <row r="179" spans="1:21" s="81" customFormat="1" ht="15.75" customHeight="1" thickBot="1">
      <c r="A179" s="858"/>
      <c r="B179" s="859"/>
      <c r="C179" s="54" t="s">
        <v>29</v>
      </c>
      <c r="D179" s="860">
        <v>628</v>
      </c>
      <c r="E179" s="56">
        <v>6.7991000000000001</v>
      </c>
      <c r="F179" s="861"/>
      <c r="G179" s="414">
        <f t="shared" ref="G179" si="30">ROUND(D179*E179,2)</f>
        <v>4269.83</v>
      </c>
      <c r="H179" s="280"/>
      <c r="I179" s="281"/>
      <c r="J179" s="207"/>
      <c r="K179" s="362"/>
      <c r="L179" s="433"/>
      <c r="M179" s="63"/>
      <c r="N179" s="426"/>
      <c r="O179" s="416"/>
      <c r="P179" s="416"/>
      <c r="Q179" s="417"/>
      <c r="R179" s="422"/>
      <c r="S179" s="399"/>
      <c r="T179" s="399"/>
    </row>
    <row r="180" spans="1:21" s="81" customFormat="1" ht="15.75" customHeight="1">
      <c r="A180" s="902">
        <v>213</v>
      </c>
      <c r="B180" s="903" t="s">
        <v>134</v>
      </c>
      <c r="C180" s="439" t="s">
        <v>260</v>
      </c>
      <c r="D180" s="904">
        <f>авг18!D181+авг18!D182</f>
        <v>698.7</v>
      </c>
      <c r="E180" s="23">
        <f>6.7991-6.9269</f>
        <v>-0.12779999999999969</v>
      </c>
      <c r="F180" s="905"/>
      <c r="G180" s="22">
        <f>ROUND(D180*E180,2)-0.01</f>
        <v>-89.300000000000011</v>
      </c>
      <c r="H180" s="303"/>
      <c r="I180" s="23"/>
      <c r="J180" s="23"/>
      <c r="K180" s="304"/>
      <c r="L180" s="263">
        <f>SUM(G180:G182)</f>
        <v>4270.29</v>
      </c>
      <c r="M180" s="26">
        <v>4270.29</v>
      </c>
      <c r="N180" s="421"/>
      <c r="O180" s="77"/>
      <c r="P180" s="77"/>
      <c r="Q180" s="384"/>
      <c r="R180" s="422"/>
      <c r="S180" s="399"/>
      <c r="T180" s="399"/>
    </row>
    <row r="181" spans="1:21" s="81" customFormat="1" ht="15.75" customHeight="1">
      <c r="A181" s="468"/>
      <c r="B181" s="469"/>
      <c r="C181" s="48" t="s">
        <v>263</v>
      </c>
      <c r="D181" s="471">
        <v>1.56</v>
      </c>
      <c r="E181" s="41">
        <v>6.7991000000000001</v>
      </c>
      <c r="F181" s="473"/>
      <c r="G181" s="449">
        <f t="shared" ref="G181:G182" si="31">ROUND(D181*E181,2)</f>
        <v>10.61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1" s="81" customFormat="1" ht="15.75" customHeight="1" thickBot="1">
      <c r="A182" s="858"/>
      <c r="B182" s="859"/>
      <c r="C182" s="54" t="s">
        <v>29</v>
      </c>
      <c r="D182" s="860">
        <v>639.64</v>
      </c>
      <c r="E182" s="56">
        <v>6.7991000000000001</v>
      </c>
      <c r="F182" s="861"/>
      <c r="G182" s="414">
        <f t="shared" si="31"/>
        <v>4348.9799999999996</v>
      </c>
      <c r="H182" s="280"/>
      <c r="I182" s="281"/>
      <c r="J182" s="281"/>
      <c r="K182" s="282"/>
      <c r="L182" s="204"/>
      <c r="M182" s="371"/>
      <c r="N182" s="426"/>
      <c r="O182" s="416"/>
      <c r="P182" s="416"/>
      <c r="Q182" s="417"/>
      <c r="R182" s="422"/>
      <c r="S182" s="399"/>
      <c r="T182" s="399"/>
    </row>
    <row r="183" spans="1:21" s="81" customFormat="1" ht="15.75" customHeight="1">
      <c r="A183" s="902">
        <v>215</v>
      </c>
      <c r="B183" s="903" t="s">
        <v>220</v>
      </c>
      <c r="C183" s="439"/>
      <c r="D183" s="904"/>
      <c r="E183" s="23"/>
      <c r="F183" s="905"/>
      <c r="G183" s="22">
        <f>ROUND(D183*E183,2)</f>
        <v>0</v>
      </c>
      <c r="H183" s="303"/>
      <c r="I183" s="23"/>
      <c r="J183" s="23"/>
      <c r="K183" s="304"/>
      <c r="L183" s="263">
        <f>SUM(G183:G185)</f>
        <v>4199.0199999999995</v>
      </c>
      <c r="M183" s="26">
        <v>4199.0200000000004</v>
      </c>
      <c r="N183" s="421"/>
      <c r="O183" s="77"/>
      <c r="P183" s="77"/>
      <c r="Q183" s="384"/>
      <c r="R183" s="422"/>
      <c r="S183" s="399"/>
      <c r="T183" s="399"/>
    </row>
    <row r="184" spans="1:21" s="81" customFormat="1" ht="15.75" customHeight="1">
      <c r="A184" s="468"/>
      <c r="B184" s="981" t="s">
        <v>221</v>
      </c>
      <c r="C184" s="48" t="s">
        <v>263</v>
      </c>
      <c r="D184" s="471">
        <v>1.42</v>
      </c>
      <c r="E184" s="41">
        <v>7.0998999999999999</v>
      </c>
      <c r="F184" s="473"/>
      <c r="G184" s="449">
        <f t="shared" ref="G184:G185" si="32">ROUND(D184*E184,2)</f>
        <v>10.08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1" s="81" customFormat="1" ht="15.75" customHeight="1" thickBot="1">
      <c r="A185" s="858"/>
      <c r="B185" s="859"/>
      <c r="C185" s="54" t="s">
        <v>29</v>
      </c>
      <c r="D185" s="860">
        <v>590</v>
      </c>
      <c r="E185" s="56">
        <v>7.0998999999999999</v>
      </c>
      <c r="F185" s="861"/>
      <c r="G185" s="414">
        <f t="shared" si="32"/>
        <v>4188.9399999999996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1" s="81" customFormat="1" ht="15" customHeight="1">
      <c r="A186" s="376">
        <v>301</v>
      </c>
      <c r="B186" s="70" t="s">
        <v>67</v>
      </c>
      <c r="C186" s="377" t="s">
        <v>243</v>
      </c>
      <c r="D186" s="378">
        <v>692</v>
      </c>
      <c r="E186" s="21">
        <v>40.556600000000003</v>
      </c>
      <c r="F186" s="21">
        <v>47.5304</v>
      </c>
      <c r="G186" s="379">
        <f>ROUND(D186*(E186+F186),2)</f>
        <v>60956.2</v>
      </c>
      <c r="H186" s="380"/>
      <c r="I186" s="381"/>
      <c r="J186" s="381"/>
      <c r="K186" s="342"/>
      <c r="L186" s="382">
        <f>+SUM(G186:G195,J186:J194)</f>
        <v>155942.12</v>
      </c>
      <c r="M186" s="26">
        <v>155942.12</v>
      </c>
      <c r="N186" s="383"/>
      <c r="O186" s="77"/>
      <c r="P186" s="77" t="s">
        <v>68</v>
      </c>
      <c r="Q186" s="384" t="e">
        <f t="shared" si="19"/>
        <v>#VALUE!</v>
      </c>
      <c r="R186" s="385" t="s">
        <v>69</v>
      </c>
      <c r="S186" s="386"/>
      <c r="T186" s="387"/>
      <c r="U186" s="388"/>
    </row>
    <row r="187" spans="1:21" s="81" customFormat="1" ht="12.75">
      <c r="A187" s="389"/>
      <c r="B187" s="83"/>
      <c r="C187" s="390" t="s">
        <v>26</v>
      </c>
      <c r="D187" s="37"/>
      <c r="E187" s="38"/>
      <c r="F187" s="38"/>
      <c r="G187" s="39">
        <f>ROUND(D187*(E187+F187),2)</f>
        <v>0</v>
      </c>
      <c r="H187" s="391"/>
      <c r="I187" s="392"/>
      <c r="J187" s="402"/>
      <c r="K187" s="393"/>
      <c r="L187" s="394"/>
      <c r="M187" s="90"/>
      <c r="N187" s="395"/>
      <c r="O187" s="94"/>
      <c r="P187" s="94"/>
      <c r="Q187" s="396"/>
      <c r="R187" s="397"/>
      <c r="S187" s="398"/>
      <c r="T187" s="399"/>
    </row>
    <row r="188" spans="1:21" s="81" customFormat="1" ht="12.75">
      <c r="A188" s="389"/>
      <c r="B188" s="98" t="s">
        <v>32</v>
      </c>
      <c r="C188" s="99" t="s">
        <v>33</v>
      </c>
      <c r="D188" s="37">
        <v>59</v>
      </c>
      <c r="E188" s="101">
        <v>237.98</v>
      </c>
      <c r="F188" s="38">
        <f>F186</f>
        <v>47.5304</v>
      </c>
      <c r="G188" s="400">
        <f>ROUND(D188*(E188+F188),2)</f>
        <v>16845.11</v>
      </c>
      <c r="H188" s="401"/>
      <c r="I188" s="402"/>
      <c r="J188" s="402"/>
      <c r="K188" s="403"/>
      <c r="L188" s="404"/>
      <c r="M188" s="102"/>
      <c r="N188" s="405"/>
      <c r="O188" s="406"/>
      <c r="P188" s="406" t="s">
        <v>68</v>
      </c>
      <c r="Q188" s="407">
        <f>+G188+J188-M188-N188-O188</f>
        <v>16845.11</v>
      </c>
      <c r="R188" s="397" t="s">
        <v>69</v>
      </c>
      <c r="S188" s="398"/>
      <c r="T188" s="399"/>
    </row>
    <row r="189" spans="1:21" s="81" customFormat="1" ht="15" customHeight="1">
      <c r="A189" s="389"/>
      <c r="B189" s="98"/>
      <c r="C189" s="84" t="s">
        <v>26</v>
      </c>
      <c r="D189" s="37">
        <v>50</v>
      </c>
      <c r="E189" s="41"/>
      <c r="F189" s="38"/>
      <c r="G189" s="400">
        <f>+D189*(E189+F189)</f>
        <v>0</v>
      </c>
      <c r="H189" s="401"/>
      <c r="I189" s="402"/>
      <c r="J189" s="402"/>
      <c r="K189" s="408"/>
      <c r="L189" s="404"/>
      <c r="M189" s="102"/>
      <c r="N189" s="405"/>
      <c r="O189" s="406"/>
      <c r="P189" s="406"/>
      <c r="Q189" s="407"/>
      <c r="R189" s="397"/>
      <c r="S189" s="398"/>
      <c r="T189" s="399"/>
    </row>
    <row r="190" spans="1:21" s="81" customFormat="1" ht="15" customHeight="1">
      <c r="A190" s="389"/>
      <c r="B190" s="83"/>
      <c r="C190" s="84"/>
      <c r="D190" s="37"/>
      <c r="E190" s="41"/>
      <c r="F190" s="38"/>
      <c r="G190" s="400"/>
      <c r="H190" s="401"/>
      <c r="I190" s="402"/>
      <c r="J190" s="402"/>
      <c r="K190" s="408"/>
      <c r="L190" s="404"/>
      <c r="M190" s="102"/>
      <c r="N190" s="405"/>
      <c r="O190" s="406"/>
      <c r="P190" s="406"/>
      <c r="Q190" s="407"/>
      <c r="R190" s="397"/>
      <c r="S190" s="398"/>
      <c r="T190" s="399"/>
    </row>
    <row r="191" spans="1:21" s="81" customFormat="1" ht="15" customHeight="1">
      <c r="A191" s="389"/>
      <c r="B191" s="83" t="s">
        <v>70</v>
      </c>
      <c r="C191" s="84"/>
      <c r="D191" s="37"/>
      <c r="E191" s="41"/>
      <c r="F191" s="38"/>
      <c r="G191" s="400"/>
      <c r="H191" s="401"/>
      <c r="I191" s="402"/>
      <c r="J191" s="402"/>
      <c r="K191" s="408"/>
      <c r="L191" s="404"/>
      <c r="M191" s="102"/>
      <c r="N191" s="405"/>
      <c r="O191" s="406"/>
      <c r="P191" s="406"/>
      <c r="Q191" s="407"/>
      <c r="R191" s="397"/>
      <c r="S191" s="398"/>
      <c r="T191" s="399"/>
    </row>
    <row r="192" spans="1:21" s="81" customFormat="1" ht="15" customHeight="1">
      <c r="A192" s="389"/>
      <c r="B192" s="83"/>
      <c r="C192" s="48"/>
      <c r="D192" s="37"/>
      <c r="E192" s="41">
        <f>4.4128-4.4153</f>
        <v>-2.5000000000003908E-3</v>
      </c>
      <c r="F192" s="38"/>
      <c r="G192" s="39">
        <f>ROUND(D192*(E192+F192),2)</f>
        <v>0</v>
      </c>
      <c r="H192" s="37"/>
      <c r="I192" s="409"/>
      <c r="J192" s="409"/>
      <c r="K192" s="408"/>
      <c r="L192" s="404"/>
      <c r="M192" s="102"/>
      <c r="N192" s="405"/>
      <c r="O192" s="406"/>
      <c r="P192" s="406"/>
      <c r="Q192" s="407"/>
      <c r="R192" s="397"/>
      <c r="S192" s="398"/>
      <c r="T192" s="399"/>
    </row>
    <row r="193" spans="1:20" s="81" customFormat="1" ht="15" customHeight="1">
      <c r="A193" s="389"/>
      <c r="B193" s="83"/>
      <c r="C193" s="48" t="s">
        <v>260</v>
      </c>
      <c r="D193" s="37">
        <f>авг18!D194+авг18!D195</f>
        <v>16676</v>
      </c>
      <c r="E193" s="41">
        <f>6.7991-6.9269</f>
        <v>-0.12779999999999969</v>
      </c>
      <c r="F193" s="38">
        <f>+E193</f>
        <v>-0.12779999999999969</v>
      </c>
      <c r="G193" s="39">
        <f>ROUND(D193*E193,2)-0.01</f>
        <v>-2131.2000000000003</v>
      </c>
      <c r="H193" s="37"/>
      <c r="I193" s="409"/>
      <c r="J193" s="409"/>
      <c r="K193" s="408"/>
      <c r="L193" s="404"/>
      <c r="M193" s="102"/>
      <c r="N193" s="405"/>
      <c r="O193" s="406"/>
      <c r="P193" s="406"/>
      <c r="Q193" s="407"/>
      <c r="R193" s="397"/>
      <c r="S193" s="398"/>
      <c r="T193" s="399"/>
    </row>
    <row r="194" spans="1:20" s="81" customFormat="1" ht="15" customHeight="1">
      <c r="A194" s="389"/>
      <c r="B194" s="83"/>
      <c r="C194" s="48" t="s">
        <v>263</v>
      </c>
      <c r="D194" s="37">
        <f>27.36+0.91</f>
        <v>28.27</v>
      </c>
      <c r="E194" s="41">
        <v>6.7991000000000001</v>
      </c>
      <c r="F194" s="41">
        <f>+E194</f>
        <v>6.7991000000000001</v>
      </c>
      <c r="G194" s="39">
        <f>ROUND(D194*E194,2)</f>
        <v>192.21</v>
      </c>
      <c r="H194" s="37"/>
      <c r="I194" s="409"/>
      <c r="J194" s="409"/>
      <c r="K194" s="410"/>
      <c r="L194" s="404"/>
      <c r="M194" s="102"/>
      <c r="N194" s="405"/>
      <c r="O194" s="406"/>
      <c r="P194" s="406"/>
      <c r="Q194" s="407"/>
      <c r="R194" s="397"/>
      <c r="S194" s="398"/>
      <c r="T194" s="399"/>
    </row>
    <row r="195" spans="1:20" s="81" customFormat="1" ht="15.75" customHeight="1" thickBot="1">
      <c r="A195" s="411"/>
      <c r="B195" s="412"/>
      <c r="C195" s="99" t="s">
        <v>29</v>
      </c>
      <c r="D195" s="413">
        <f>11400+342+36</f>
        <v>11778</v>
      </c>
      <c r="E195" s="56">
        <v>6.7991000000000001</v>
      </c>
      <c r="F195" s="41">
        <f>+E195</f>
        <v>6.7991000000000001</v>
      </c>
      <c r="G195" s="414">
        <f>ROUND(D195*E195,2)</f>
        <v>80079.8</v>
      </c>
      <c r="H195" s="248"/>
      <c r="I195" s="60"/>
      <c r="J195" s="60"/>
      <c r="K195" s="203"/>
      <c r="L195" s="204"/>
      <c r="M195" s="371"/>
      <c r="N195" s="415"/>
      <c r="O195" s="416"/>
      <c r="P195" s="416" t="s">
        <v>68</v>
      </c>
      <c r="Q195" s="417">
        <f>+G195+J195-M195-N195-O195</f>
        <v>80079.8</v>
      </c>
      <c r="R195" s="418" t="s">
        <v>69</v>
      </c>
      <c r="S195" s="419">
        <f>SUM(O186:O195)</f>
        <v>0</v>
      </c>
      <c r="T195" s="419" t="e">
        <f>SUM(Q186:Q195)</f>
        <v>#VALUE!</v>
      </c>
    </row>
    <row r="196" spans="1:20" s="81" customFormat="1" ht="15.75" customHeight="1">
      <c r="A196" s="902">
        <v>303</v>
      </c>
      <c r="B196" s="903" t="s">
        <v>227</v>
      </c>
      <c r="C196" s="439" t="s">
        <v>260</v>
      </c>
      <c r="D196" s="904">
        <f>авг18!D197+авг18!D198</f>
        <v>590.4</v>
      </c>
      <c r="E196" s="23">
        <f>6.7991-6.9269</f>
        <v>-0.12779999999999969</v>
      </c>
      <c r="F196" s="905"/>
      <c r="G196" s="22">
        <f>ROUND(D196*E196,2)</f>
        <v>-75.45</v>
      </c>
      <c r="H196" s="303"/>
      <c r="I196" s="23"/>
      <c r="J196" s="23"/>
      <c r="K196" s="304"/>
      <c r="L196" s="263">
        <f>SUM(G196:G198)</f>
        <v>3877.48</v>
      </c>
      <c r="M196" s="26">
        <v>3877.48</v>
      </c>
      <c r="N196" s="421"/>
      <c r="O196" s="77"/>
      <c r="P196" s="77"/>
      <c r="Q196" s="384"/>
      <c r="R196" s="422"/>
      <c r="S196" s="399"/>
      <c r="T196" s="399"/>
    </row>
    <row r="197" spans="1:20" s="81" customFormat="1" ht="15.75" customHeight="1">
      <c r="A197" s="468"/>
      <c r="B197" s="469"/>
      <c r="C197" s="48" t="s">
        <v>263</v>
      </c>
      <c r="D197" s="471">
        <v>1.39</v>
      </c>
      <c r="E197" s="41">
        <v>6.7991000000000001</v>
      </c>
      <c r="F197" s="473"/>
      <c r="G197" s="449">
        <f>ROUND(D197*E197,2)</f>
        <v>9.4499999999999993</v>
      </c>
      <c r="H197" s="260"/>
      <c r="I197" s="261"/>
      <c r="J197" s="261"/>
      <c r="K197" s="262"/>
      <c r="L197" s="286"/>
      <c r="M197" s="90"/>
      <c r="N197" s="423"/>
      <c r="O197" s="406"/>
      <c r="P197" s="406"/>
      <c r="Q197" s="407"/>
      <c r="R197" s="422"/>
      <c r="S197" s="399"/>
      <c r="T197" s="399"/>
    </row>
    <row r="198" spans="1:20" s="81" customFormat="1" ht="15.75" customHeight="1" thickBot="1">
      <c r="A198" s="858"/>
      <c r="B198" s="859"/>
      <c r="C198" s="54" t="s">
        <v>29</v>
      </c>
      <c r="D198" s="860">
        <v>580</v>
      </c>
      <c r="E198" s="56">
        <v>6.7991000000000001</v>
      </c>
      <c r="F198" s="861"/>
      <c r="G198" s="414">
        <f t="shared" ref="G198" si="33">ROUND(D198*E198,2)</f>
        <v>3943.48</v>
      </c>
      <c r="H198" s="280"/>
      <c r="I198" s="281"/>
      <c r="J198" s="281"/>
      <c r="K198" s="282"/>
      <c r="L198" s="204"/>
      <c r="M198" s="371"/>
      <c r="N198" s="426"/>
      <c r="O198" s="416"/>
      <c r="P198" s="416"/>
      <c r="Q198" s="417"/>
      <c r="R198" s="422"/>
      <c r="S198" s="399"/>
      <c r="T198" s="399"/>
    </row>
    <row r="199" spans="1:20" s="81" customFormat="1" ht="15" customHeight="1">
      <c r="A199" s="437">
        <v>304</v>
      </c>
      <c r="B199" s="438" t="s">
        <v>83</v>
      </c>
      <c r="C199" s="377" t="s">
        <v>73</v>
      </c>
      <c r="D199" s="378">
        <v>0</v>
      </c>
      <c r="E199" s="21">
        <v>40.556600000000003</v>
      </c>
      <c r="F199" s="21">
        <v>47.5304</v>
      </c>
      <c r="G199" s="22">
        <f>+D199*(E199+F199)</f>
        <v>0</v>
      </c>
      <c r="H199" s="303"/>
      <c r="I199" s="381"/>
      <c r="J199" s="381"/>
      <c r="K199" s="342"/>
      <c r="L199" s="263">
        <f>SUM(G199:G203,J199:J203)</f>
        <v>511.55</v>
      </c>
      <c r="M199" s="26">
        <v>511.55</v>
      </c>
      <c r="N199" s="421"/>
      <c r="O199" s="77"/>
      <c r="P199" s="77"/>
      <c r="Q199" s="384"/>
      <c r="R199" s="899"/>
      <c r="S199" s="399"/>
      <c r="T199" s="399"/>
    </row>
    <row r="200" spans="1:20" s="81" customFormat="1" ht="15" customHeight="1">
      <c r="A200" s="441"/>
      <c r="B200" s="442"/>
      <c r="C200" s="36" t="s">
        <v>26</v>
      </c>
      <c r="D200" s="37"/>
      <c r="E200" s="38"/>
      <c r="F200" s="38"/>
      <c r="G200" s="39">
        <f>ROUND(D200*(E200+F200),2)</f>
        <v>0</v>
      </c>
      <c r="H200" s="457"/>
      <c r="I200" s="392"/>
      <c r="J200" s="402"/>
      <c r="K200" s="393"/>
      <c r="L200" s="459"/>
      <c r="M200" s="44"/>
      <c r="N200" s="430"/>
      <c r="O200" s="435"/>
      <c r="P200" s="435"/>
      <c r="Q200" s="425"/>
      <c r="R200" s="422"/>
      <c r="S200" s="399"/>
      <c r="T200" s="399"/>
    </row>
    <row r="201" spans="1:20" s="81" customFormat="1" ht="15" customHeight="1">
      <c r="A201" s="441"/>
      <c r="B201" s="442"/>
      <c r="C201" s="48" t="s">
        <v>260</v>
      </c>
      <c r="D201" s="37">
        <f>авг18!D202+авг18!D203</f>
        <v>50.1</v>
      </c>
      <c r="E201" s="41">
        <f>6.7991-6.9269</f>
        <v>-0.12779999999999969</v>
      </c>
      <c r="F201" s="38"/>
      <c r="G201" s="39">
        <f>ROUND(D201*(E201),2)</f>
        <v>-6.4</v>
      </c>
      <c r="H201" s="270"/>
      <c r="I201" s="41"/>
      <c r="J201" s="41"/>
      <c r="K201" s="271"/>
      <c r="L201" s="272"/>
      <c r="M201" s="102"/>
      <c r="N201" s="430"/>
      <c r="O201" s="435"/>
      <c r="P201" s="435"/>
      <c r="Q201" s="425"/>
      <c r="R201" s="422"/>
      <c r="S201" s="399"/>
      <c r="T201" s="399"/>
    </row>
    <row r="202" spans="1:20" s="81" customFormat="1" ht="15" customHeight="1">
      <c r="A202" s="441"/>
      <c r="B202" s="442"/>
      <c r="C202" s="48" t="s">
        <v>263</v>
      </c>
      <c r="D202" s="37">
        <v>0.18</v>
      </c>
      <c r="E202" s="41">
        <v>6.7991000000000001</v>
      </c>
      <c r="F202" s="38"/>
      <c r="G202" s="39">
        <f>ROUND(D202*(E202),2)</f>
        <v>1.22</v>
      </c>
      <c r="H202" s="270"/>
      <c r="I202" s="41"/>
      <c r="J202" s="41"/>
      <c r="K202" s="271"/>
      <c r="L202" s="272"/>
      <c r="M202" s="102"/>
      <c r="N202" s="434"/>
      <c r="O202" s="435"/>
      <c r="P202" s="435"/>
      <c r="Q202" s="425"/>
      <c r="R202" s="422"/>
      <c r="S202" s="399"/>
      <c r="T202" s="399"/>
    </row>
    <row r="203" spans="1:20" s="81" customFormat="1" ht="15.75" customHeight="1" thickBot="1">
      <c r="A203" s="445"/>
      <c r="B203" s="446"/>
      <c r="C203" s="54" t="s">
        <v>29</v>
      </c>
      <c r="D203" s="413">
        <v>76</v>
      </c>
      <c r="E203" s="56">
        <v>6.7991000000000001</v>
      </c>
      <c r="F203" s="281"/>
      <c r="G203" s="414">
        <f>ROUND(D203*(E203),2)</f>
        <v>516.73</v>
      </c>
      <c r="H203" s="280"/>
      <c r="I203" s="281"/>
      <c r="J203" s="281"/>
      <c r="K203" s="282"/>
      <c r="L203" s="204"/>
      <c r="M203" s="371"/>
      <c r="N203" s="426"/>
      <c r="O203" s="416"/>
      <c r="P203" s="416"/>
      <c r="Q203" s="417"/>
      <c r="R203" s="422"/>
      <c r="S203" s="399"/>
      <c r="T203" s="399"/>
    </row>
    <row r="204" spans="1:20" s="81" customFormat="1" ht="15" customHeight="1">
      <c r="A204" s="447">
        <v>400</v>
      </c>
      <c r="B204" s="903" t="s">
        <v>238</v>
      </c>
      <c r="C204" s="377" t="s">
        <v>73</v>
      </c>
      <c r="D204" s="378">
        <v>1</v>
      </c>
      <c r="E204" s="21">
        <v>40.556600000000003</v>
      </c>
      <c r="F204" s="21">
        <v>47.5304</v>
      </c>
      <c r="G204" s="22">
        <f>+D204*(E204+F204)</f>
        <v>88.087000000000003</v>
      </c>
      <c r="H204" s="303"/>
      <c r="I204" s="381"/>
      <c r="J204" s="381"/>
      <c r="K204" s="342"/>
      <c r="L204" s="263">
        <f>SUM(G204:G208,J204:J208)</f>
        <v>54198.426999999996</v>
      </c>
      <c r="M204" s="26">
        <v>54198.43</v>
      </c>
      <c r="N204" s="421"/>
      <c r="O204" s="77"/>
      <c r="P204" s="77"/>
      <c r="Q204" s="384"/>
      <c r="R204" s="899"/>
      <c r="S204" s="399"/>
      <c r="T204" s="399"/>
    </row>
    <row r="205" spans="1:20" s="81" customFormat="1" ht="15" customHeight="1" thickBot="1">
      <c r="A205" s="450"/>
      <c r="B205" s="469"/>
      <c r="C205" s="36" t="s">
        <v>26</v>
      </c>
      <c r="D205" s="37"/>
      <c r="E205" s="38"/>
      <c r="F205" s="38"/>
      <c r="G205" s="39">
        <f>ROUND(D205*(E205+F205),2)</f>
        <v>0</v>
      </c>
      <c r="H205" s="457"/>
      <c r="I205" s="392"/>
      <c r="J205" s="402"/>
      <c r="K205" s="393"/>
      <c r="L205" s="459"/>
      <c r="M205" s="44"/>
      <c r="N205" s="430"/>
      <c r="O205" s="435"/>
      <c r="P205" s="435"/>
      <c r="Q205" s="425"/>
      <c r="R205" s="422"/>
      <c r="S205" s="399"/>
      <c r="T205" s="399"/>
    </row>
    <row r="206" spans="1:20" s="81" customFormat="1" ht="15.75" customHeight="1">
      <c r="A206" s="984"/>
      <c r="C206" s="439" t="s">
        <v>260</v>
      </c>
      <c r="D206" s="904">
        <f>авг18!D207+авг18!D208</f>
        <v>9524.7999999999993</v>
      </c>
      <c r="E206" s="23">
        <f>6.7991-6.9269</f>
        <v>-0.12779999999999969</v>
      </c>
      <c r="F206" s="905"/>
      <c r="G206" s="22">
        <f>ROUND(D206*E206,2)+0.01</f>
        <v>-1217.26</v>
      </c>
      <c r="H206" s="303"/>
      <c r="I206" s="23"/>
      <c r="J206" s="23"/>
      <c r="K206" s="304"/>
      <c r="L206" s="263"/>
      <c r="M206" s="26"/>
      <c r="N206" s="421"/>
      <c r="O206" s="77"/>
      <c r="P206" s="77"/>
      <c r="Q206" s="384"/>
      <c r="R206" s="422"/>
      <c r="S206" s="399"/>
      <c r="T206" s="399"/>
    </row>
    <row r="207" spans="1:20" s="81" customFormat="1" ht="15.75" customHeight="1">
      <c r="A207" s="450"/>
      <c r="B207" s="469"/>
      <c r="C207" s="48" t="s">
        <v>263</v>
      </c>
      <c r="D207" s="471">
        <f>12.39+0.71+6.39</f>
        <v>19.490000000000002</v>
      </c>
      <c r="E207" s="41">
        <v>6.7991000000000001</v>
      </c>
      <c r="F207" s="473"/>
      <c r="G207" s="449">
        <f>ROUND(D207*E207,2)</f>
        <v>132.51</v>
      </c>
      <c r="H207" s="260"/>
      <c r="I207" s="261"/>
      <c r="J207" s="261"/>
      <c r="K207" s="262"/>
      <c r="L207" s="286"/>
      <c r="M207" s="90"/>
      <c r="N207" s="423"/>
      <c r="O207" s="406"/>
      <c r="P207" s="406"/>
      <c r="Q207" s="407"/>
      <c r="R207" s="422"/>
      <c r="S207" s="399"/>
      <c r="T207" s="399"/>
    </row>
    <row r="208" spans="1:20" s="81" customFormat="1" ht="15.75" customHeight="1" thickBot="1">
      <c r="A208" s="451"/>
      <c r="B208" s="859"/>
      <c r="C208" s="54" t="s">
        <v>29</v>
      </c>
      <c r="D208" s="860">
        <f>5163+294+2661</f>
        <v>8118</v>
      </c>
      <c r="E208" s="56">
        <v>6.7991000000000001</v>
      </c>
      <c r="F208" s="861"/>
      <c r="G208" s="414">
        <f t="shared" ref="G208" si="34">ROUND(D208*E208,2)</f>
        <v>55195.09</v>
      </c>
      <c r="H208" s="280"/>
      <c r="I208" s="281"/>
      <c r="J208" s="281"/>
      <c r="K208" s="282"/>
      <c r="L208" s="204"/>
      <c r="M208" s="371"/>
      <c r="N208" s="426"/>
      <c r="O208" s="416"/>
      <c r="P208" s="416"/>
      <c r="Q208" s="417"/>
      <c r="R208" s="422"/>
      <c r="S208" s="399"/>
      <c r="T208" s="399"/>
    </row>
    <row r="209" spans="1:20" s="81" customFormat="1" ht="15" customHeight="1">
      <c r="A209" s="437">
        <v>402</v>
      </c>
      <c r="B209" s="438" t="s">
        <v>122</v>
      </c>
      <c r="C209" s="439"/>
      <c r="D209" s="378"/>
      <c r="E209" s="23"/>
      <c r="F209" s="23"/>
      <c r="G209" s="22"/>
      <c r="H209" s="303"/>
      <c r="I209" s="23"/>
      <c r="J209" s="23"/>
      <c r="K209" s="304"/>
      <c r="L209" s="382">
        <f>+SUM(G209:G212,J209:J212)</f>
        <v>2565.4699999999998</v>
      </c>
      <c r="M209" s="26">
        <v>2565.4699999999998</v>
      </c>
      <c r="N209" s="421"/>
      <c r="O209" s="77"/>
      <c r="P209" s="77"/>
      <c r="Q209" s="384"/>
      <c r="R209" s="899"/>
      <c r="S209" s="399"/>
      <c r="T209" s="399"/>
    </row>
    <row r="210" spans="1:20" s="81" customFormat="1" ht="15" customHeight="1" thickBot="1">
      <c r="A210" s="441"/>
      <c r="B210" s="442"/>
      <c r="C210" s="48" t="s">
        <v>260</v>
      </c>
      <c r="D210" s="37">
        <f>авг18!D211+авг18!D212</f>
        <v>350.84</v>
      </c>
      <c r="E210" s="41">
        <f>6.7991-6.9269</f>
        <v>-0.12779999999999969</v>
      </c>
      <c r="F210" s="41"/>
      <c r="G210" s="414">
        <f>ROUND(D210*E210,2)-0.01</f>
        <v>-44.85</v>
      </c>
      <c r="H210" s="260"/>
      <c r="I210" s="261"/>
      <c r="J210" s="261"/>
      <c r="K210" s="262"/>
      <c r="L210" s="394"/>
      <c r="M210" s="90"/>
      <c r="N210" s="443"/>
      <c r="O210" s="94"/>
      <c r="P210" s="94"/>
      <c r="Q210" s="396"/>
      <c r="R210" s="899"/>
      <c r="S210" s="399"/>
      <c r="T210" s="399"/>
    </row>
    <row r="211" spans="1:20" s="81" customFormat="1" ht="15" customHeight="1" thickBot="1">
      <c r="A211" s="441"/>
      <c r="B211" s="444"/>
      <c r="C211" s="48" t="s">
        <v>263</v>
      </c>
      <c r="D211" s="37">
        <v>0.92</v>
      </c>
      <c r="E211" s="41">
        <v>6.7991000000000001</v>
      </c>
      <c r="F211" s="41"/>
      <c r="G211" s="414">
        <f>ROUND(D211*E211,2)</f>
        <v>6.26</v>
      </c>
      <c r="H211" s="432"/>
      <c r="I211" s="207"/>
      <c r="J211" s="207"/>
      <c r="K211" s="362"/>
      <c r="L211" s="433"/>
      <c r="M211" s="63"/>
      <c r="N211" s="423"/>
      <c r="O211" s="406"/>
      <c r="P211" s="406"/>
      <c r="Q211" s="407"/>
      <c r="R211" s="899"/>
      <c r="S211" s="399"/>
      <c r="T211" s="399"/>
    </row>
    <row r="212" spans="1:20" s="81" customFormat="1" ht="15" customHeight="1" thickBot="1">
      <c r="A212" s="445"/>
      <c r="B212" s="446"/>
      <c r="C212" s="99" t="s">
        <v>29</v>
      </c>
      <c r="D212" s="413">
        <f>336+47</f>
        <v>383</v>
      </c>
      <c r="E212" s="56">
        <v>6.7991000000000001</v>
      </c>
      <c r="F212" s="281"/>
      <c r="G212" s="414">
        <f>ROUND(D212*E212,2)</f>
        <v>2604.06</v>
      </c>
      <c r="H212" s="280"/>
      <c r="I212" s="281"/>
      <c r="J212" s="281"/>
      <c r="K212" s="282"/>
      <c r="L212" s="204"/>
      <c r="M212" s="371"/>
      <c r="N212" s="434"/>
      <c r="O212" s="435"/>
      <c r="P212" s="435"/>
      <c r="Q212" s="425"/>
      <c r="R212" s="899"/>
      <c r="S212" s="399"/>
      <c r="T212" s="399"/>
    </row>
    <row r="213" spans="1:20" s="81" customFormat="1" ht="15.75" customHeight="1">
      <c r="A213" s="447">
        <v>403</v>
      </c>
      <c r="B213" s="438" t="s">
        <v>126</v>
      </c>
      <c r="C213" s="439" t="s">
        <v>260</v>
      </c>
      <c r="D213" s="900">
        <f>авг18!D214+авг18!D215</f>
        <v>101.2</v>
      </c>
      <c r="E213" s="23">
        <f>6.7991-6.9269</f>
        <v>-0.12779999999999969</v>
      </c>
      <c r="F213" s="23"/>
      <c r="G213" s="22">
        <f>ROUND(D213*E213,2)</f>
        <v>-12.93</v>
      </c>
      <c r="H213" s="303"/>
      <c r="I213" s="23"/>
      <c r="J213" s="23"/>
      <c r="K213" s="304"/>
      <c r="L213" s="263">
        <f>SUM(G213:G215)</f>
        <v>668.61</v>
      </c>
      <c r="M213" s="26">
        <v>668.61</v>
      </c>
      <c r="N213" s="421"/>
      <c r="O213" s="77"/>
      <c r="P213" s="77"/>
      <c r="Q213" s="384"/>
      <c r="R213" s="422"/>
      <c r="S213" s="399"/>
      <c r="T213" s="399"/>
    </row>
    <row r="214" spans="1:20" s="81" customFormat="1" ht="15.75" customHeight="1">
      <c r="A214" s="450"/>
      <c r="B214" s="442"/>
      <c r="C214" s="48" t="s">
        <v>263</v>
      </c>
      <c r="D214" s="448">
        <v>0.24</v>
      </c>
      <c r="E214" s="41">
        <v>6.7991000000000001</v>
      </c>
      <c r="F214" s="261"/>
      <c r="G214" s="449">
        <f t="shared" ref="G214:G215" si="35">ROUND(D214*E214,2)</f>
        <v>1.63</v>
      </c>
      <c r="H214" s="260"/>
      <c r="I214" s="261"/>
      <c r="J214" s="261"/>
      <c r="K214" s="262"/>
      <c r="L214" s="286"/>
      <c r="M214" s="90"/>
      <c r="N214" s="423"/>
      <c r="O214" s="406"/>
      <c r="P214" s="406"/>
      <c r="Q214" s="407"/>
      <c r="R214" s="422"/>
      <c r="S214" s="399"/>
      <c r="T214" s="399"/>
    </row>
    <row r="215" spans="1:20" s="81" customFormat="1" ht="15.75" customHeight="1" thickBot="1">
      <c r="A215" s="451"/>
      <c r="B215" s="446"/>
      <c r="C215" s="54" t="s">
        <v>29</v>
      </c>
      <c r="D215" s="901">
        <v>100</v>
      </c>
      <c r="E215" s="56">
        <v>6.7991000000000001</v>
      </c>
      <c r="F215" s="281"/>
      <c r="G215" s="414">
        <f t="shared" si="35"/>
        <v>679.91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.75" customHeight="1">
      <c r="A216" s="906">
        <v>404</v>
      </c>
      <c r="B216" s="903" t="s">
        <v>191</v>
      </c>
      <c r="C216" s="48" t="s">
        <v>260</v>
      </c>
      <c r="D216" s="471">
        <f>авг18!D217+авг18!D218</f>
        <v>451.1</v>
      </c>
      <c r="E216" s="41">
        <f>6.7991-6.9269</f>
        <v>-0.12779999999999969</v>
      </c>
      <c r="F216" s="473"/>
      <c r="G216" s="862">
        <f>ROUND(D216*E216,2)</f>
        <v>-57.65</v>
      </c>
      <c r="H216" s="270"/>
      <c r="I216" s="41"/>
      <c r="J216" s="41"/>
      <c r="K216" s="271"/>
      <c r="L216" s="263">
        <f>SUM(G216:G218)</f>
        <v>3288.73</v>
      </c>
      <c r="M216" s="878">
        <v>3288.73</v>
      </c>
      <c r="N216" s="421"/>
      <c r="O216" s="406"/>
      <c r="P216" s="406"/>
      <c r="Q216" s="407"/>
      <c r="R216" s="422"/>
      <c r="S216" s="399"/>
      <c r="T216" s="399"/>
    </row>
    <row r="217" spans="1:20" s="81" customFormat="1" ht="15.75" customHeight="1">
      <c r="A217" s="468"/>
      <c r="B217" s="469"/>
      <c r="C217" s="48" t="s">
        <v>263</v>
      </c>
      <c r="D217" s="471">
        <v>1.18</v>
      </c>
      <c r="E217" s="41">
        <v>6.7991000000000001</v>
      </c>
      <c r="F217" s="473"/>
      <c r="G217" s="862">
        <f>ROUND(D217*E217,2)</f>
        <v>8.02</v>
      </c>
      <c r="H217" s="270"/>
      <c r="I217" s="41"/>
      <c r="J217" s="41"/>
      <c r="K217" s="271"/>
      <c r="L217" s="272"/>
      <c r="M217" s="878"/>
      <c r="N217" s="423"/>
      <c r="O217" s="406"/>
      <c r="P217" s="406"/>
      <c r="Q217" s="407"/>
      <c r="R217" s="422"/>
      <c r="S217" s="399"/>
      <c r="T217" s="399"/>
    </row>
    <row r="218" spans="1:20" s="81" customFormat="1" ht="15.75" customHeight="1" thickBot="1">
      <c r="A218" s="858"/>
      <c r="B218" s="859"/>
      <c r="C218" s="54" t="s">
        <v>29</v>
      </c>
      <c r="D218" s="860">
        <v>491</v>
      </c>
      <c r="E218" s="56">
        <v>6.7991000000000001</v>
      </c>
      <c r="F218" s="861"/>
      <c r="G218" s="866">
        <f t="shared" ref="G218" si="36">ROUND(D218*E218,2)</f>
        <v>3338.36</v>
      </c>
      <c r="H218" s="280"/>
      <c r="I218" s="281"/>
      <c r="J218" s="281"/>
      <c r="K218" s="282"/>
      <c r="L218" s="204"/>
      <c r="M218" s="880"/>
      <c r="N218" s="426"/>
      <c r="O218" s="416"/>
      <c r="P218" s="416"/>
      <c r="Q218" s="417"/>
      <c r="R218" s="422"/>
      <c r="S218" s="399"/>
      <c r="T218" s="399"/>
    </row>
    <row r="219" spans="1:20" s="81" customFormat="1" ht="15.75" customHeight="1">
      <c r="A219" s="902">
        <v>405</v>
      </c>
      <c r="B219" s="903" t="s">
        <v>147</v>
      </c>
      <c r="C219" s="439" t="s">
        <v>260</v>
      </c>
      <c r="D219" s="904">
        <f>авг18!D220+авг18!D221</f>
        <v>148.4</v>
      </c>
      <c r="E219" s="23">
        <f>6.7991-6.9269</f>
        <v>-0.12779999999999969</v>
      </c>
      <c r="F219" s="905"/>
      <c r="G219" s="22">
        <f>ROUND(D219*E219,2)</f>
        <v>-18.97</v>
      </c>
      <c r="H219" s="303"/>
      <c r="I219" s="261"/>
      <c r="J219" s="261"/>
      <c r="K219" s="262"/>
      <c r="L219" s="286">
        <f>SUM(G219:G221)</f>
        <v>1146.47</v>
      </c>
      <c r="M219" s="90">
        <v>1146.47</v>
      </c>
      <c r="N219" s="421"/>
      <c r="O219" s="77"/>
      <c r="P219" s="77"/>
      <c r="Q219" s="384"/>
      <c r="R219" s="422"/>
      <c r="S219" s="399"/>
      <c r="T219" s="399"/>
    </row>
    <row r="220" spans="1:20" s="81" customFormat="1" ht="15.75" customHeight="1">
      <c r="A220" s="468"/>
      <c r="B220" s="469"/>
      <c r="C220" s="48" t="s">
        <v>263</v>
      </c>
      <c r="D220" s="471">
        <v>0.41</v>
      </c>
      <c r="E220" s="41">
        <v>6.7991000000000001</v>
      </c>
      <c r="F220" s="473"/>
      <c r="G220" s="449">
        <f>ROUND(D220*E220,2)</f>
        <v>2.79</v>
      </c>
      <c r="H220" s="260"/>
      <c r="I220" s="261"/>
      <c r="J220" s="261"/>
      <c r="K220" s="262"/>
      <c r="L220" s="286"/>
      <c r="M220" s="90"/>
      <c r="N220" s="423"/>
      <c r="O220" s="406"/>
      <c r="P220" s="406"/>
      <c r="Q220" s="407"/>
      <c r="R220" s="422"/>
      <c r="S220" s="399"/>
      <c r="T220" s="399"/>
    </row>
    <row r="221" spans="1:20" s="81" customFormat="1" ht="15.75" customHeight="1" thickBot="1">
      <c r="A221" s="701"/>
      <c r="B221" s="702"/>
      <c r="C221" s="99" t="s">
        <v>29</v>
      </c>
      <c r="D221" s="703">
        <v>171</v>
      </c>
      <c r="E221" s="56">
        <v>6.7991000000000001</v>
      </c>
      <c r="F221" s="704"/>
      <c r="G221" s="39">
        <f t="shared" ref="G221" si="37">ROUND(D221*E221,2)</f>
        <v>1162.6500000000001</v>
      </c>
      <c r="H221" s="280"/>
      <c r="I221" s="281"/>
      <c r="J221" s="281"/>
      <c r="K221" s="282"/>
      <c r="L221" s="204"/>
      <c r="M221" s="371"/>
      <c r="N221" s="426"/>
      <c r="O221" s="416"/>
      <c r="P221" s="416"/>
      <c r="Q221" s="417"/>
      <c r="R221" s="422"/>
      <c r="S221" s="399"/>
      <c r="T221" s="399"/>
    </row>
    <row r="222" spans="1:20" s="81" customFormat="1" ht="15.75" hidden="1" customHeight="1" outlineLevel="1" thickBot="1">
      <c r="A222" s="910"/>
      <c r="B222" s="911" t="s">
        <v>155</v>
      </c>
      <c r="C222" s="573" t="s">
        <v>115</v>
      </c>
      <c r="D222" s="912"/>
      <c r="E222" s="579">
        <f>7.0379-7.0426</f>
        <v>-4.7000000000005926E-3</v>
      </c>
      <c r="F222" s="580"/>
      <c r="G222" s="913">
        <f>ROUND(D222*E222,2)</f>
        <v>0</v>
      </c>
      <c r="H222" s="914"/>
      <c r="I222" s="23"/>
      <c r="J222" s="23"/>
      <c r="K222" s="304"/>
      <c r="L222" s="263">
        <f>SUM(G222:G224)</f>
        <v>0</v>
      </c>
      <c r="M222" s="26"/>
      <c r="N222" s="421"/>
      <c r="O222" s="77"/>
      <c r="P222" s="77"/>
      <c r="Q222" s="384"/>
      <c r="R222" s="422"/>
      <c r="S222" s="399"/>
      <c r="T222" s="399"/>
    </row>
    <row r="223" spans="1:20" s="81" customFormat="1" ht="15.75" hidden="1" customHeight="1" outlineLevel="1" thickBot="1">
      <c r="A223" s="910"/>
      <c r="B223" s="915"/>
      <c r="C223" s="573" t="s">
        <v>114</v>
      </c>
      <c r="D223" s="912"/>
      <c r="E223" s="579">
        <v>7.0378999999999996</v>
      </c>
      <c r="F223" s="580"/>
      <c r="G223" s="913">
        <f>ROUND(D223*E223,2)</f>
        <v>0</v>
      </c>
      <c r="H223" s="914"/>
      <c r="I223" s="261"/>
      <c r="J223" s="261"/>
      <c r="K223" s="262"/>
      <c r="L223" s="286"/>
      <c r="M223" s="90"/>
      <c r="N223" s="423"/>
      <c r="O223" s="406"/>
      <c r="P223" s="406"/>
      <c r="Q223" s="407"/>
      <c r="R223" s="422"/>
      <c r="S223" s="399"/>
      <c r="T223" s="399"/>
    </row>
    <row r="224" spans="1:20" s="81" customFormat="1" ht="15.75" hidden="1" customHeight="1" outlineLevel="1" thickBot="1">
      <c r="A224" s="910"/>
      <c r="B224" s="915"/>
      <c r="C224" s="916" t="s">
        <v>29</v>
      </c>
      <c r="D224" s="912"/>
      <c r="E224" s="917">
        <v>7.0378999999999996</v>
      </c>
      <c r="F224" s="580"/>
      <c r="G224" s="913">
        <f t="shared" ref="G224" si="38">ROUND(D224*E224,2)</f>
        <v>0</v>
      </c>
      <c r="H224" s="914"/>
      <c r="I224" s="281"/>
      <c r="J224" s="281"/>
      <c r="K224" s="282"/>
      <c r="L224" s="204"/>
      <c r="M224" s="371"/>
      <c r="N224" s="426"/>
      <c r="O224" s="416"/>
      <c r="P224" s="416"/>
      <c r="Q224" s="417"/>
      <c r="R224" s="422"/>
      <c r="S224" s="399"/>
      <c r="T224" s="399"/>
    </row>
    <row r="225" spans="1:20" s="81" customFormat="1" ht="15.75" customHeight="1" collapsed="1">
      <c r="A225" s="902">
        <v>407</v>
      </c>
      <c r="B225" s="903" t="s">
        <v>160</v>
      </c>
      <c r="C225" s="439" t="s">
        <v>260</v>
      </c>
      <c r="D225" s="904">
        <f>авг18!D226+авг18!D227</f>
        <v>24.06</v>
      </c>
      <c r="E225" s="23">
        <f>6.7991-6.9269</f>
        <v>-0.12779999999999969</v>
      </c>
      <c r="F225" s="905"/>
      <c r="G225" s="22">
        <f>ROUND(D225*E225,2)</f>
        <v>-3.07</v>
      </c>
      <c r="H225" s="303"/>
      <c r="I225" s="23"/>
      <c r="J225" s="23"/>
      <c r="K225" s="304"/>
      <c r="L225" s="263">
        <f>SUM(G225:G227)</f>
        <v>92.32</v>
      </c>
      <c r="M225" s="26">
        <v>92.32</v>
      </c>
      <c r="N225" s="421"/>
      <c r="O225" s="77"/>
      <c r="P225" s="77"/>
      <c r="Q225" s="384"/>
      <c r="R225" s="422"/>
      <c r="S225" s="399"/>
      <c r="T225" s="399"/>
    </row>
    <row r="226" spans="1:20" s="81" customFormat="1" ht="15.75" customHeight="1">
      <c r="A226" s="468"/>
      <c r="B226" s="469"/>
      <c r="C226" s="48" t="s">
        <v>263</v>
      </c>
      <c r="D226" s="471">
        <v>0.03</v>
      </c>
      <c r="E226" s="41">
        <v>6.7991000000000001</v>
      </c>
      <c r="F226" s="473"/>
      <c r="G226" s="449">
        <f>ROUND(D226*E226,2)</f>
        <v>0.2</v>
      </c>
      <c r="H226" s="260"/>
      <c r="I226" s="261"/>
      <c r="J226" s="261"/>
      <c r="K226" s="262"/>
      <c r="L226" s="286"/>
      <c r="M226" s="90"/>
      <c r="N226" s="423"/>
      <c r="O226" s="406"/>
      <c r="P226" s="406"/>
      <c r="Q226" s="407"/>
      <c r="R226" s="422"/>
      <c r="S226" s="399"/>
      <c r="T226" s="399"/>
    </row>
    <row r="227" spans="1:20" s="81" customFormat="1" ht="15.75" customHeight="1" thickBot="1">
      <c r="A227" s="858"/>
      <c r="B227" s="859"/>
      <c r="C227" s="54" t="s">
        <v>29</v>
      </c>
      <c r="D227" s="860">
        <v>14</v>
      </c>
      <c r="E227" s="56">
        <v>6.7991000000000001</v>
      </c>
      <c r="F227" s="861"/>
      <c r="G227" s="414">
        <f t="shared" ref="G227" si="39">ROUND(D227*E227,2)</f>
        <v>95.19</v>
      </c>
      <c r="H227" s="280"/>
      <c r="I227" s="281"/>
      <c r="J227" s="281"/>
      <c r="K227" s="282"/>
      <c r="L227" s="204"/>
      <c r="M227" s="371"/>
      <c r="N227" s="426"/>
      <c r="O227" s="416"/>
      <c r="P227" s="416"/>
      <c r="Q227" s="417"/>
      <c r="R227" s="422"/>
      <c r="S227" s="399"/>
      <c r="T227" s="399"/>
    </row>
    <row r="228" spans="1:20" s="81" customFormat="1" ht="15.75" customHeight="1">
      <c r="A228" s="906">
        <v>408</v>
      </c>
      <c r="B228" s="903" t="s">
        <v>253</v>
      </c>
      <c r="C228" s="382" t="s">
        <v>73</v>
      </c>
      <c r="D228" s="904">
        <v>51</v>
      </c>
      <c r="E228" s="907">
        <v>40.556600000000003</v>
      </c>
      <c r="F228" s="905">
        <v>47.5304</v>
      </c>
      <c r="G228" s="908">
        <f>ROUND(D228*E228+D228*F228,2)</f>
        <v>4492.4399999999996</v>
      </c>
      <c r="H228" s="303"/>
      <c r="I228" s="23"/>
      <c r="J228" s="23"/>
      <c r="K228" s="304"/>
      <c r="L228" s="263">
        <f>SUM(G228:G232)</f>
        <v>12366.880000000001</v>
      </c>
      <c r="M228" s="877">
        <v>12366.88</v>
      </c>
      <c r="N228" s="430"/>
      <c r="O228" s="77"/>
      <c r="P228" s="77"/>
      <c r="Q228" s="384"/>
      <c r="R228" s="422"/>
      <c r="S228" s="399"/>
      <c r="T228" s="399"/>
    </row>
    <row r="229" spans="1:20" s="81" customFormat="1" ht="15.75" customHeight="1" thickBot="1">
      <c r="A229" s="909"/>
      <c r="B229" s="469"/>
      <c r="C229" s="429" t="s">
        <v>26</v>
      </c>
      <c r="D229" s="471"/>
      <c r="E229" s="876"/>
      <c r="F229" s="473"/>
      <c r="G229" s="862">
        <f>ROUND(D229*E229+D229*F229,2)</f>
        <v>0</v>
      </c>
      <c r="H229" s="270"/>
      <c r="I229" s="41"/>
      <c r="J229" s="41"/>
      <c r="K229" s="271"/>
      <c r="L229" s="272"/>
      <c r="M229" s="878"/>
      <c r="N229" s="430"/>
      <c r="O229" s="406"/>
      <c r="P229" s="406"/>
      <c r="Q229" s="407"/>
      <c r="R229" s="422"/>
      <c r="S229" s="399"/>
      <c r="T229" s="399"/>
    </row>
    <row r="230" spans="1:20" s="81" customFormat="1" ht="15.75" customHeight="1">
      <c r="A230" s="468"/>
      <c r="B230" s="699"/>
      <c r="C230" s="48" t="s">
        <v>260</v>
      </c>
      <c r="D230" s="471">
        <f>авг18!D231+авг18!D232</f>
        <v>1366.3</v>
      </c>
      <c r="E230" s="41">
        <f>6.7991-6.9269</f>
        <v>-0.12779999999999969</v>
      </c>
      <c r="F230" s="473"/>
      <c r="G230" s="862">
        <f>ROUND(D230*E230,2)</f>
        <v>-174.61</v>
      </c>
      <c r="H230" s="270"/>
      <c r="I230" s="41"/>
      <c r="J230" s="41"/>
      <c r="K230" s="271"/>
      <c r="L230" s="272"/>
      <c r="M230" s="878"/>
      <c r="N230" s="421"/>
      <c r="O230" s="406"/>
      <c r="P230" s="406"/>
      <c r="Q230" s="407"/>
      <c r="R230" s="422"/>
      <c r="S230" s="399"/>
      <c r="T230" s="399"/>
    </row>
    <row r="231" spans="1:20" s="81" customFormat="1" ht="15.75" customHeight="1">
      <c r="A231" s="468"/>
      <c r="B231" s="469"/>
      <c r="C231" s="48" t="s">
        <v>263</v>
      </c>
      <c r="D231" s="471">
        <f>2.66+0.18</f>
        <v>2.8400000000000003</v>
      </c>
      <c r="E231" s="41">
        <v>6.7991000000000001</v>
      </c>
      <c r="F231" s="473"/>
      <c r="G231" s="862">
        <f>ROUND(D231*E231,2)</f>
        <v>19.309999999999999</v>
      </c>
      <c r="H231" s="270"/>
      <c r="I231" s="41"/>
      <c r="J231" s="41"/>
      <c r="K231" s="271"/>
      <c r="L231" s="272"/>
      <c r="M231" s="878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858"/>
      <c r="B232" s="859"/>
      <c r="C232" s="54" t="s">
        <v>29</v>
      </c>
      <c r="D232" s="860">
        <f>1108+73</f>
        <v>1181</v>
      </c>
      <c r="E232" s="56">
        <v>6.7991000000000001</v>
      </c>
      <c r="F232" s="861"/>
      <c r="G232" s="866">
        <f t="shared" ref="G232" si="40">ROUND(D232*E232,2)</f>
        <v>8029.74</v>
      </c>
      <c r="H232" s="280"/>
      <c r="I232" s="281"/>
      <c r="J232" s="281"/>
      <c r="K232" s="282"/>
      <c r="L232" s="204"/>
      <c r="M232" s="880"/>
      <c r="N232" s="426"/>
      <c r="O232" s="416"/>
      <c r="P232" s="416"/>
      <c r="Q232" s="417"/>
      <c r="R232" s="422"/>
      <c r="S232" s="399"/>
      <c r="T232" s="399"/>
    </row>
    <row r="233" spans="1:20" s="81" customFormat="1" ht="15" hidden="1" customHeight="1">
      <c r="A233" s="437">
        <v>129</v>
      </c>
      <c r="B233" s="438" t="s">
        <v>38</v>
      </c>
      <c r="C233" s="439"/>
      <c r="D233" s="378"/>
      <c r="E233" s="23"/>
      <c r="F233" s="23"/>
      <c r="G233" s="22"/>
      <c r="H233" s="303"/>
      <c r="I233" s="23"/>
      <c r="J233" s="23"/>
      <c r="K233" s="304"/>
      <c r="L233" s="382">
        <f>+SUM(G233:G236,J233:J236)</f>
        <v>0</v>
      </c>
      <c r="M233" s="26"/>
      <c r="N233" s="421"/>
      <c r="O233" s="77"/>
      <c r="P233" s="77"/>
      <c r="Q233" s="384">
        <f>+L233-M233</f>
        <v>0</v>
      </c>
      <c r="R233" s="899"/>
      <c r="S233" s="399"/>
      <c r="T233" s="399"/>
    </row>
    <row r="234" spans="1:20" s="81" customFormat="1" ht="15" hidden="1" customHeight="1">
      <c r="A234" s="441"/>
      <c r="B234" s="442" t="s">
        <v>198</v>
      </c>
      <c r="C234" s="48" t="s">
        <v>118</v>
      </c>
      <c r="D234" s="37"/>
      <c r="E234" s="41">
        <f>6.8416-6.7432</f>
        <v>9.8399999999999821E-2</v>
      </c>
      <c r="F234" s="41"/>
      <c r="G234" s="39">
        <f>ROUND(D234*E234,2)</f>
        <v>0</v>
      </c>
      <c r="H234" s="260"/>
      <c r="I234" s="261"/>
      <c r="J234" s="261"/>
      <c r="K234" s="262"/>
      <c r="L234" s="394"/>
      <c r="M234" s="90"/>
      <c r="N234" s="443"/>
      <c r="O234" s="94"/>
      <c r="P234" s="94"/>
      <c r="Q234" s="396"/>
      <c r="R234" s="899"/>
      <c r="S234" s="399"/>
      <c r="T234" s="399"/>
    </row>
    <row r="235" spans="1:20" s="81" customFormat="1" ht="15.75" hidden="1" thickBot="1">
      <c r="A235" s="441"/>
      <c r="B235" s="444"/>
      <c r="C235" s="48" t="s">
        <v>119</v>
      </c>
      <c r="D235" s="37"/>
      <c r="E235" s="41">
        <v>6.8415999999999997</v>
      </c>
      <c r="F235" s="41"/>
      <c r="G235" s="39">
        <f t="shared" ref="G235:G236" si="41">ROUND(D235*E235,2)</f>
        <v>0</v>
      </c>
      <c r="H235" s="432"/>
      <c r="I235" s="207"/>
      <c r="J235" s="207"/>
      <c r="K235" s="362"/>
      <c r="L235" s="433"/>
      <c r="M235" s="63"/>
      <c r="N235" s="423"/>
      <c r="O235" s="406"/>
      <c r="P235" s="406"/>
      <c r="Q235" s="407"/>
      <c r="R235" s="899"/>
      <c r="S235" s="399"/>
      <c r="T235" s="399"/>
    </row>
    <row r="236" spans="1:20" s="81" customFormat="1" ht="15" hidden="1" customHeight="1" thickBot="1">
      <c r="A236" s="445"/>
      <c r="B236" s="446"/>
      <c r="C236" s="99" t="s">
        <v>29</v>
      </c>
      <c r="D236" s="413"/>
      <c r="E236" s="56">
        <v>6.8415999999999997</v>
      </c>
      <c r="F236" s="281"/>
      <c r="G236" s="414">
        <f t="shared" si="41"/>
        <v>0</v>
      </c>
      <c r="H236" s="280"/>
      <c r="I236" s="281"/>
      <c r="J236" s="281"/>
      <c r="K236" s="282"/>
      <c r="L236" s="204"/>
      <c r="M236" s="371"/>
      <c r="N236" s="434"/>
      <c r="O236" s="435"/>
      <c r="P236" s="435"/>
      <c r="Q236" s="425"/>
      <c r="R236" s="899"/>
      <c r="S236" s="399"/>
      <c r="T236" s="399"/>
    </row>
    <row r="237" spans="1:20" s="81" customFormat="1" ht="15.75" hidden="1" customHeight="1">
      <c r="A237" s="902">
        <v>118</v>
      </c>
      <c r="B237" s="924" t="s">
        <v>200</v>
      </c>
      <c r="C237" s="390" t="s">
        <v>73</v>
      </c>
      <c r="D237" s="869"/>
      <c r="E237" s="86">
        <v>36.214199999999998</v>
      </c>
      <c r="F237" s="86">
        <v>42.4328</v>
      </c>
      <c r="G237" s="449">
        <f>+D237*(E237+F237)</f>
        <v>0</v>
      </c>
      <c r="H237" s="260"/>
      <c r="I237" s="392"/>
      <c r="J237" s="41"/>
      <c r="K237" s="870"/>
      <c r="L237" s="286">
        <f>SUM(G237:G241,J237:J241)</f>
        <v>0</v>
      </c>
      <c r="M237" s="90"/>
      <c r="N237" s="443"/>
      <c r="O237" s="94"/>
      <c r="P237" s="94"/>
      <c r="Q237" s="396"/>
      <c r="R237" s="422"/>
      <c r="S237" s="399"/>
      <c r="T237" s="399"/>
    </row>
    <row r="238" spans="1:20" s="81" customFormat="1" ht="15.75" hidden="1" customHeight="1">
      <c r="A238" s="468"/>
      <c r="B238" s="920"/>
      <c r="C238" s="36" t="s">
        <v>26</v>
      </c>
      <c r="D238" s="37"/>
      <c r="E238" s="38"/>
      <c r="F238" s="38"/>
      <c r="G238" s="39">
        <f>ROUND(D238*(E238+F238),2)</f>
        <v>0</v>
      </c>
      <c r="H238" s="457"/>
      <c r="I238" s="392"/>
      <c r="J238" s="41"/>
      <c r="K238" s="393"/>
      <c r="L238" s="459"/>
      <c r="M238" s="44"/>
      <c r="N238" s="430"/>
      <c r="O238" s="406"/>
      <c r="P238" s="406"/>
      <c r="Q238" s="407"/>
      <c r="R238" s="422"/>
      <c r="S238" s="399"/>
      <c r="T238" s="399"/>
    </row>
    <row r="239" spans="1:20" s="81" customFormat="1" ht="15.75" hidden="1" customHeight="1">
      <c r="A239" s="468"/>
      <c r="B239" s="920"/>
      <c r="C239" s="48" t="s">
        <v>124</v>
      </c>
      <c r="D239" s="37"/>
      <c r="E239" s="41"/>
      <c r="F239" s="38"/>
      <c r="G239" s="39">
        <f>ROUND(D239*(E239),2)</f>
        <v>0</v>
      </c>
      <c r="H239" s="270"/>
      <c r="I239" s="41"/>
      <c r="J239" s="41"/>
      <c r="K239" s="271"/>
      <c r="L239" s="272"/>
      <c r="M239" s="102"/>
      <c r="N239" s="430"/>
      <c r="O239" s="406"/>
      <c r="P239" s="406"/>
      <c r="Q239" s="407"/>
      <c r="R239" s="422"/>
      <c r="S239" s="399"/>
      <c r="T239" s="399"/>
    </row>
    <row r="240" spans="1:20" s="81" customFormat="1" ht="15.75" hidden="1" customHeight="1">
      <c r="A240" s="468"/>
      <c r="B240" s="920"/>
      <c r="C240" s="48" t="s">
        <v>125</v>
      </c>
      <c r="D240" s="37"/>
      <c r="E240" s="41">
        <v>6.7431999999999999</v>
      </c>
      <c r="F240" s="38"/>
      <c r="G240" s="39">
        <f>ROUND(D240*(E240),2)</f>
        <v>0</v>
      </c>
      <c r="H240" s="270"/>
      <c r="I240" s="41"/>
      <c r="J240" s="41"/>
      <c r="K240" s="271"/>
      <c r="L240" s="272"/>
      <c r="M240" s="102"/>
      <c r="N240" s="434"/>
      <c r="O240" s="435"/>
      <c r="P240" s="435"/>
      <c r="Q240" s="425"/>
      <c r="R240" s="422"/>
      <c r="S240" s="399"/>
      <c r="T240" s="399"/>
    </row>
    <row r="241" spans="1:20" s="81" customFormat="1" ht="15.75" hidden="1" customHeight="1" thickBot="1">
      <c r="A241" s="858"/>
      <c r="B241" s="921"/>
      <c r="C241" s="54" t="s">
        <v>29</v>
      </c>
      <c r="D241" s="413"/>
      <c r="E241" s="56">
        <v>6.7431999999999999</v>
      </c>
      <c r="F241" s="281"/>
      <c r="G241" s="414">
        <f>ROUND(D241*(E241),2)</f>
        <v>0</v>
      </c>
      <c r="H241" s="280"/>
      <c r="I241" s="281"/>
      <c r="J241" s="281"/>
      <c r="K241" s="282"/>
      <c r="L241" s="204"/>
      <c r="M241" s="371"/>
      <c r="N241" s="426"/>
      <c r="O241" s="416"/>
      <c r="P241" s="416"/>
      <c r="Q241" s="417"/>
      <c r="R241" s="422"/>
      <c r="S241" s="399"/>
      <c r="T241" s="399"/>
    </row>
    <row r="242" spans="1:20" s="81" customFormat="1" ht="15.75" customHeight="1">
      <c r="A242" s="902" t="s">
        <v>258</v>
      </c>
      <c r="B242" s="903" t="s">
        <v>265</v>
      </c>
      <c r="C242" s="439" t="s">
        <v>260</v>
      </c>
      <c r="D242" s="904">
        <f>авг18!D243+авг18!D244</f>
        <v>112.3</v>
      </c>
      <c r="E242" s="23">
        <f>6.7991-6.9269</f>
        <v>-0.12779999999999969</v>
      </c>
      <c r="F242" s="905"/>
      <c r="G242" s="22">
        <f>ROUND(D242*E242,2)</f>
        <v>-14.35</v>
      </c>
      <c r="H242" s="303"/>
      <c r="I242" s="23"/>
      <c r="J242" s="23"/>
      <c r="K242" s="304"/>
      <c r="L242" s="263">
        <f>SUM(G242:G244)</f>
        <v>1164.75</v>
      </c>
      <c r="M242" s="26">
        <v>1164.75</v>
      </c>
      <c r="N242" s="421"/>
      <c r="O242" s="77"/>
      <c r="P242" s="77"/>
      <c r="Q242" s="384"/>
      <c r="R242" s="422"/>
      <c r="S242" s="399"/>
      <c r="T242" s="399"/>
    </row>
    <row r="243" spans="1:20" s="81" customFormat="1" ht="15.75" customHeight="1">
      <c r="A243" s="468"/>
      <c r="B243" s="469"/>
      <c r="C243" s="48" t="s">
        <v>263</v>
      </c>
      <c r="D243" s="471">
        <v>0.42</v>
      </c>
      <c r="E243" s="41">
        <v>6.7991000000000001</v>
      </c>
      <c r="F243" s="473"/>
      <c r="G243" s="449">
        <f>ROUND(D243*E243,2)</f>
        <v>2.86</v>
      </c>
      <c r="H243" s="260"/>
      <c r="I243" s="261"/>
      <c r="J243" s="261"/>
      <c r="K243" s="262"/>
      <c r="L243" s="286"/>
      <c r="M243" s="90"/>
      <c r="N243" s="423"/>
      <c r="O243" s="406"/>
      <c r="P243" s="406"/>
      <c r="Q243" s="407"/>
      <c r="R243" s="422"/>
      <c r="S243" s="399"/>
      <c r="T243" s="399"/>
    </row>
    <row r="244" spans="1:20" s="81" customFormat="1" ht="15.75" customHeight="1" thickBot="1">
      <c r="A244" s="858"/>
      <c r="B244" s="859"/>
      <c r="C244" s="54" t="s">
        <v>29</v>
      </c>
      <c r="D244" s="860">
        <v>173</v>
      </c>
      <c r="E244" s="56">
        <v>6.7991000000000001</v>
      </c>
      <c r="F244" s="861"/>
      <c r="G244" s="414">
        <f t="shared" ref="G244" si="42">ROUND(D244*E244,2)</f>
        <v>1176.24</v>
      </c>
      <c r="H244" s="280"/>
      <c r="I244" s="281"/>
      <c r="J244" s="281"/>
      <c r="K244" s="282"/>
      <c r="L244" s="204"/>
      <c r="M244" s="371"/>
      <c r="N244" s="426"/>
      <c r="O244" s="416"/>
      <c r="P244" s="416"/>
      <c r="Q244" s="417"/>
      <c r="R244" s="422"/>
      <c r="S244" s="399"/>
      <c r="T244" s="399"/>
    </row>
    <row r="245" spans="1:20" s="81" customFormat="1" ht="15.75" customHeight="1">
      <c r="A245" s="902" t="s">
        <v>258</v>
      </c>
      <c r="B245" s="903" t="s">
        <v>267</v>
      </c>
      <c r="C245" s="439" t="s">
        <v>260</v>
      </c>
      <c r="D245" s="904">
        <f>авг18!D247+авг18!D246</f>
        <v>2</v>
      </c>
      <c r="E245" s="23">
        <f>6.7991-6.9269</f>
        <v>-0.12779999999999969</v>
      </c>
      <c r="F245" s="905"/>
      <c r="G245" s="22">
        <f>ROUND(D245*E245,2)+0.01</f>
        <v>-0.25</v>
      </c>
      <c r="H245" s="303"/>
      <c r="I245" s="23"/>
      <c r="J245" s="23"/>
      <c r="K245" s="304"/>
      <c r="L245" s="263">
        <f>SUM(G245:G247)</f>
        <v>940.27</v>
      </c>
      <c r="M245" s="26">
        <v>954.12</v>
      </c>
      <c r="N245" s="421"/>
      <c r="O245" s="1561" t="s">
        <v>283</v>
      </c>
      <c r="P245" s="1562"/>
      <c r="Q245" s="1563"/>
      <c r="R245" s="422"/>
      <c r="S245" s="399"/>
      <c r="T245" s="399"/>
    </row>
    <row r="246" spans="1:20" s="81" customFormat="1" ht="15.75" customHeight="1">
      <c r="A246" s="468"/>
      <c r="B246" s="469"/>
      <c r="C246" s="48" t="s">
        <v>263</v>
      </c>
      <c r="D246" s="471">
        <v>0.33</v>
      </c>
      <c r="E246" s="41">
        <v>6.7991000000000001</v>
      </c>
      <c r="F246" s="473"/>
      <c r="G246" s="449">
        <f>ROUND(D246*E246,2)</f>
        <v>2.2400000000000002</v>
      </c>
      <c r="H246" s="260"/>
      <c r="I246" s="261"/>
      <c r="J246" s="261"/>
      <c r="K246" s="262"/>
      <c r="L246" s="286"/>
      <c r="M246" s="90"/>
      <c r="N246" s="423"/>
      <c r="O246" s="406"/>
      <c r="P246" s="406"/>
      <c r="Q246" s="407"/>
      <c r="R246" s="422"/>
      <c r="S246" s="399"/>
      <c r="T246" s="399"/>
    </row>
    <row r="247" spans="1:20" s="81" customFormat="1" ht="15.75" customHeight="1" thickBot="1">
      <c r="A247" s="858"/>
      <c r="B247" s="859"/>
      <c r="C247" s="54" t="s">
        <v>29</v>
      </c>
      <c r="D247" s="860">
        <v>138</v>
      </c>
      <c r="E247" s="56">
        <v>6.7991000000000001</v>
      </c>
      <c r="F247" s="861"/>
      <c r="G247" s="414">
        <f t="shared" ref="G247" si="43">ROUND(D247*E247,2)</f>
        <v>938.28</v>
      </c>
      <c r="H247" s="280"/>
      <c r="I247" s="281"/>
      <c r="J247" s="281"/>
      <c r="K247" s="282"/>
      <c r="L247" s="204"/>
      <c r="M247" s="371"/>
      <c r="N247" s="426"/>
      <c r="O247" s="416"/>
      <c r="P247" s="416"/>
      <c r="Q247" s="417"/>
      <c r="R247" s="422"/>
      <c r="S247" s="399"/>
      <c r="T247" s="399"/>
    </row>
    <row r="248" spans="1:20" s="81" customFormat="1" ht="15.75" customHeight="1">
      <c r="A248" s="926"/>
      <c r="B248" s="927"/>
      <c r="C248" s="928"/>
      <c r="D248" s="904"/>
      <c r="E248" s="929"/>
      <c r="F248" s="905"/>
      <c r="G248" s="930"/>
      <c r="H248" s="905"/>
      <c r="I248" s="905"/>
      <c r="J248" s="905"/>
      <c r="K248" s="905"/>
      <c r="L248" s="905"/>
      <c r="M248" s="931"/>
      <c r="N248" s="387"/>
      <c r="O248" s="387"/>
      <c r="P248" s="387"/>
      <c r="Q248" s="387"/>
      <c r="R248" s="422"/>
      <c r="S248" s="399"/>
      <c r="T248" s="399"/>
    </row>
    <row r="249" spans="1:20" s="81" customFormat="1" ht="15" customHeight="1">
      <c r="A249" s="686"/>
      <c r="B249" s="469"/>
      <c r="C249" s="932"/>
      <c r="D249" s="471"/>
      <c r="E249" s="473"/>
      <c r="F249" s="473"/>
      <c r="G249" s="474"/>
      <c r="H249" s="473"/>
      <c r="I249" s="473"/>
      <c r="J249" s="473"/>
      <c r="K249" s="473"/>
      <c r="L249" s="473"/>
      <c r="M249" s="470"/>
      <c r="N249" s="399"/>
      <c r="O249" s="399"/>
      <c r="P249" s="399"/>
      <c r="Q249" s="399"/>
      <c r="R249" s="422"/>
      <c r="S249" s="399"/>
      <c r="T249" s="399"/>
    </row>
    <row r="250" spans="1:20" ht="21.75" thickBot="1">
      <c r="A250" s="171" t="s">
        <v>84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  <c r="N250" s="2"/>
      <c r="O250" s="2"/>
      <c r="P250" s="2"/>
      <c r="Q250" s="2"/>
      <c r="R250" s="2"/>
      <c r="S250" s="2"/>
      <c r="T250" s="2"/>
    </row>
    <row r="251" spans="1:20" ht="15.75" customHeight="1" thickTop="1" thickBot="1">
      <c r="A251" s="1540" t="s">
        <v>1</v>
      </c>
      <c r="B251" s="1542" t="s">
        <v>2</v>
      </c>
      <c r="C251" s="1544" t="s">
        <v>3</v>
      </c>
      <c r="D251" s="1546" t="s">
        <v>4</v>
      </c>
      <c r="E251" s="1546"/>
      <c r="F251" s="1546"/>
      <c r="G251" s="1546"/>
      <c r="H251" s="1547" t="s">
        <v>5</v>
      </c>
      <c r="I251" s="1548"/>
      <c r="J251" s="1548"/>
      <c r="K251" s="1549"/>
      <c r="L251" s="1524" t="s">
        <v>6</v>
      </c>
      <c r="M251" s="1511" t="s">
        <v>7</v>
      </c>
      <c r="N251" s="1551" t="s">
        <v>8</v>
      </c>
      <c r="O251" s="1551"/>
      <c r="P251" s="1551"/>
      <c r="Q251" s="1552" t="s">
        <v>18</v>
      </c>
      <c r="R251" s="481" t="s">
        <v>85</v>
      </c>
      <c r="S251" s="482" t="s">
        <v>20</v>
      </c>
      <c r="T251" s="482" t="s">
        <v>21</v>
      </c>
    </row>
    <row r="252" spans="1:20" ht="40.5" customHeight="1" thickTop="1" thickBot="1">
      <c r="A252" s="1541"/>
      <c r="B252" s="1543"/>
      <c r="C252" s="1545" t="s">
        <v>10</v>
      </c>
      <c r="D252" s="483" t="s">
        <v>11</v>
      </c>
      <c r="E252" s="484" t="s">
        <v>12</v>
      </c>
      <c r="F252" s="484" t="s">
        <v>13</v>
      </c>
      <c r="G252" s="485" t="s">
        <v>14</v>
      </c>
      <c r="H252" s="483" t="s">
        <v>11</v>
      </c>
      <c r="I252" s="486" t="s">
        <v>15</v>
      </c>
      <c r="J252" s="485"/>
      <c r="K252" s="487" t="s">
        <v>16</v>
      </c>
      <c r="L252" s="1525"/>
      <c r="M252" s="1550"/>
      <c r="N252" s="488" t="s">
        <v>14</v>
      </c>
      <c r="O252" s="485"/>
      <c r="P252" s="489" t="s">
        <v>18</v>
      </c>
      <c r="Q252" s="490" t="s">
        <v>19</v>
      </c>
      <c r="R252" s="491"/>
      <c r="S252" s="492"/>
      <c r="T252" s="492"/>
    </row>
    <row r="253" spans="1:20">
      <c r="A253" s="961" t="s">
        <v>228</v>
      </c>
      <c r="B253" s="602" t="s">
        <v>186</v>
      </c>
      <c r="C253" s="439" t="s">
        <v>260</v>
      </c>
      <c r="D253" s="184">
        <f>авг18!D254+авг18!D255</f>
        <v>151</v>
      </c>
      <c r="E253" s="41">
        <f>6.6439-6.7023</f>
        <v>-5.8399999999999785E-2</v>
      </c>
      <c r="F253" s="23"/>
      <c r="G253" s="185">
        <f>ROUND(D253*(E253),2)</f>
        <v>-8.82</v>
      </c>
      <c r="H253" s="620"/>
      <c r="I253" s="620"/>
      <c r="J253" s="620"/>
      <c r="K253" s="634"/>
      <c r="L253" s="603">
        <f>SUM(G253:G255)</f>
        <v>1385.73</v>
      </c>
      <c r="M253" s="187">
        <v>1385.73</v>
      </c>
      <c r="N253" s="615"/>
      <c r="O253" s="615"/>
      <c r="P253" s="615"/>
      <c r="Q253" s="615"/>
    </row>
    <row r="254" spans="1:20">
      <c r="A254" s="934"/>
      <c r="B254" s="506"/>
      <c r="C254" s="48" t="s">
        <v>263</v>
      </c>
      <c r="D254" s="49">
        <v>8.9</v>
      </c>
      <c r="E254" s="41">
        <v>6.6439000000000004</v>
      </c>
      <c r="F254" s="41">
        <f>+E254</f>
        <v>6.6439000000000004</v>
      </c>
      <c r="G254" s="50">
        <f>ROUND(D254*(E254),2)</f>
        <v>59.13</v>
      </c>
      <c r="H254" s="296"/>
      <c r="I254" s="298"/>
      <c r="J254" s="298"/>
      <c r="K254" s="637"/>
      <c r="L254" s="606"/>
      <c r="M254" s="935"/>
      <c r="N254" s="615"/>
      <c r="O254" s="615"/>
      <c r="P254" s="615"/>
      <c r="Q254" s="615"/>
    </row>
    <row r="255" spans="1:20" ht="15.75" thickBot="1">
      <c r="A255" s="934"/>
      <c r="B255" s="506"/>
      <c r="C255" s="54" t="s">
        <v>29</v>
      </c>
      <c r="D255" s="296">
        <v>201</v>
      </c>
      <c r="E255" s="56">
        <v>6.6439000000000004</v>
      </c>
      <c r="F255" s="41">
        <f>+E255</f>
        <v>6.6439000000000004</v>
      </c>
      <c r="G255" s="50">
        <f t="shared" ref="G255" si="44">ROUND(D255*(E255),2)</f>
        <v>1335.42</v>
      </c>
      <c r="H255" s="296"/>
      <c r="I255" s="298"/>
      <c r="J255" s="298"/>
      <c r="K255" s="637"/>
      <c r="L255" s="614"/>
      <c r="M255" s="935"/>
      <c r="N255" s="615"/>
      <c r="O255" s="615"/>
      <c r="P255" s="615"/>
      <c r="Q255" s="615"/>
    </row>
    <row r="256" spans="1:20">
      <c r="A256" s="961" t="s">
        <v>207</v>
      </c>
      <c r="B256" s="602" t="s">
        <v>184</v>
      </c>
      <c r="C256" s="439" t="s">
        <v>260</v>
      </c>
      <c r="D256" s="184">
        <f>авг18!D258+авг18!D257</f>
        <v>1.04</v>
      </c>
      <c r="E256" s="41">
        <f>6.6439-6.7023</f>
        <v>-5.8399999999999785E-2</v>
      </c>
      <c r="F256" s="23">
        <f>+E256</f>
        <v>-5.8399999999999785E-2</v>
      </c>
      <c r="G256" s="185">
        <f>ROUND(D256*(E256),2)</f>
        <v>-0.06</v>
      </c>
      <c r="H256" s="620"/>
      <c r="I256" s="620"/>
      <c r="J256" s="620"/>
      <c r="K256" s="634"/>
      <c r="L256" s="603">
        <f>SUM(G256:G258)</f>
        <v>-0.06</v>
      </c>
      <c r="M256" s="187"/>
      <c r="N256" s="615"/>
      <c r="O256" s="962" t="s">
        <v>277</v>
      </c>
      <c r="P256" s="615"/>
      <c r="Q256" s="615"/>
    </row>
    <row r="257" spans="1:21">
      <c r="A257" s="934"/>
      <c r="B257" s="506"/>
      <c r="C257" s="48" t="s">
        <v>263</v>
      </c>
      <c r="D257" s="49">
        <v>0</v>
      </c>
      <c r="E257" s="41">
        <v>6.6439000000000004</v>
      </c>
      <c r="F257" s="41">
        <f>+E257</f>
        <v>6.6439000000000004</v>
      </c>
      <c r="G257" s="50">
        <f>ROUND(D257*(E257),2)</f>
        <v>0</v>
      </c>
      <c r="H257" s="296"/>
      <c r="I257" s="298"/>
      <c r="J257" s="298"/>
      <c r="K257" s="637"/>
      <c r="L257" s="606"/>
      <c r="M257" s="935"/>
      <c r="N257" s="615"/>
      <c r="O257" s="615"/>
      <c r="P257" s="615"/>
      <c r="Q257" s="615"/>
    </row>
    <row r="258" spans="1:21" ht="15.75" thickBot="1">
      <c r="A258" s="934"/>
      <c r="B258" s="506"/>
      <c r="C258" s="54" t="s">
        <v>29</v>
      </c>
      <c r="D258" s="296">
        <v>0</v>
      </c>
      <c r="E258" s="56">
        <v>6.6439000000000004</v>
      </c>
      <c r="F258" s="41">
        <f>+E258</f>
        <v>6.6439000000000004</v>
      </c>
      <c r="G258" s="50">
        <f t="shared" ref="G258" si="45">ROUND(D258*(E258),2)</f>
        <v>0</v>
      </c>
      <c r="H258" s="296"/>
      <c r="I258" s="298"/>
      <c r="J258" s="298"/>
      <c r="K258" s="637"/>
      <c r="L258" s="614"/>
      <c r="M258" s="935"/>
      <c r="N258" s="615"/>
      <c r="O258" s="615"/>
      <c r="P258" s="615"/>
      <c r="Q258" s="615"/>
    </row>
    <row r="259" spans="1:21" ht="15.75" thickTop="1">
      <c r="A259" s="376">
        <v>100</v>
      </c>
      <c r="B259" s="494" t="s">
        <v>193</v>
      </c>
      <c r="C259" s="71" t="s">
        <v>243</v>
      </c>
      <c r="D259" s="495">
        <v>4</v>
      </c>
      <c r="E259" s="21">
        <v>40.556600000000003</v>
      </c>
      <c r="F259" s="21">
        <v>47.5304</v>
      </c>
      <c r="G259" s="185">
        <f>ROUND(D259*(E259+F259),2)</f>
        <v>352.35</v>
      </c>
      <c r="H259" s="496"/>
      <c r="I259" s="73"/>
      <c r="J259" s="73"/>
      <c r="K259" s="601"/>
      <c r="L259" s="498">
        <f>SUM(G259:G266)+SUM(J259:J265)</f>
        <v>19427.650000000001</v>
      </c>
      <c r="M259" s="26">
        <v>19427.650000000001</v>
      </c>
      <c r="N259" s="499"/>
      <c r="O259" s="500"/>
      <c r="P259" s="501" t="s">
        <v>87</v>
      </c>
      <c r="Q259" s="595" t="e">
        <f t="shared" ref="Q259" si="46">C259+G259+J259-M259-N259-O259</f>
        <v>#VALUE!</v>
      </c>
    </row>
    <row r="260" spans="1:21" ht="15.75" thickBot="1">
      <c r="A260" s="389"/>
      <c r="B260" s="506"/>
      <c r="C260" s="507" t="s">
        <v>96</v>
      </c>
      <c r="D260" s="234"/>
      <c r="E260" s="38"/>
      <c r="F260" s="38"/>
      <c r="G260" s="235">
        <f>ROUND(D260*(E260+F260),2)</f>
        <v>0</v>
      </c>
      <c r="H260" s="448"/>
      <c r="I260" s="509"/>
      <c r="J260" s="199"/>
      <c r="K260" s="517"/>
      <c r="L260" s="511"/>
      <c r="M260" s="512"/>
      <c r="N260" s="513"/>
      <c r="O260" s="514"/>
      <c r="P260" s="515"/>
      <c r="Q260" s="262"/>
      <c r="U260" s="33"/>
    </row>
    <row r="261" spans="1:21">
      <c r="A261" s="389"/>
      <c r="B261" s="516" t="s">
        <v>89</v>
      </c>
      <c r="C261" s="512" t="s">
        <v>90</v>
      </c>
      <c r="D261" s="508">
        <v>1</v>
      </c>
      <c r="E261" s="101">
        <v>237.98</v>
      </c>
      <c r="F261" s="21">
        <v>47.5304</v>
      </c>
      <c r="G261" s="50">
        <f>ROUND(D261*(E261+F261),2)</f>
        <v>285.51</v>
      </c>
      <c r="H261" s="270"/>
      <c r="I261" s="41"/>
      <c r="J261" s="207"/>
      <c r="K261" s="517"/>
      <c r="L261" s="517"/>
      <c r="M261" s="99"/>
      <c r="N261" s="518"/>
      <c r="O261" s="519"/>
      <c r="P261" s="515" t="s">
        <v>87</v>
      </c>
      <c r="Q261" s="271">
        <f>+G261+J261-M261-N261-O261</f>
        <v>285.51</v>
      </c>
    </row>
    <row r="262" spans="1:21">
      <c r="A262" s="389"/>
      <c r="B262" s="541"/>
      <c r="C262" s="84" t="s">
        <v>97</v>
      </c>
      <c r="D262" s="508"/>
      <c r="E262" s="41"/>
      <c r="F262" s="38"/>
      <c r="G262" s="50">
        <f>ROUND(D262*(E262+F262),2)</f>
        <v>0</v>
      </c>
      <c r="H262" s="432"/>
      <c r="I262" s="362"/>
      <c r="J262" s="207"/>
      <c r="K262" s="517"/>
      <c r="L262" s="517"/>
      <c r="M262" s="520"/>
      <c r="N262" s="521"/>
      <c r="O262" s="522"/>
      <c r="P262" s="523"/>
      <c r="Q262" s="362"/>
    </row>
    <row r="263" spans="1:21">
      <c r="A263" s="389"/>
      <c r="B263" s="541" t="s">
        <v>194</v>
      </c>
      <c r="C263" s="84"/>
      <c r="D263" s="508"/>
      <c r="E263" s="41"/>
      <c r="F263" s="41"/>
      <c r="G263" s="50"/>
      <c r="H263" s="432"/>
      <c r="I263" s="362"/>
      <c r="J263" s="207"/>
      <c r="K263" s="517"/>
      <c r="L263" s="517"/>
      <c r="M263" s="520"/>
      <c r="N263" s="521"/>
      <c r="O263" s="522"/>
      <c r="P263" s="523"/>
      <c r="Q263" s="362"/>
    </row>
    <row r="264" spans="1:21">
      <c r="A264" s="389"/>
      <c r="B264" s="506"/>
      <c r="C264" s="48" t="s">
        <v>260</v>
      </c>
      <c r="D264" s="37"/>
      <c r="E264" s="41"/>
      <c r="F264" s="41">
        <f>+E264</f>
        <v>0</v>
      </c>
      <c r="G264" s="39">
        <f>ROUND(D264*E264,2)</f>
        <v>0</v>
      </c>
      <c r="H264" s="432"/>
      <c r="I264" s="362"/>
      <c r="J264" s="207"/>
      <c r="K264" s="517"/>
      <c r="L264" s="517"/>
      <c r="M264" s="520"/>
      <c r="N264" s="521"/>
      <c r="O264" s="522"/>
      <c r="P264" s="523"/>
      <c r="Q264" s="362"/>
    </row>
    <row r="265" spans="1:21">
      <c r="A265" s="389"/>
      <c r="B265" s="506"/>
      <c r="C265" s="48" t="s">
        <v>263</v>
      </c>
      <c r="D265" s="37">
        <v>108.71</v>
      </c>
      <c r="E265" s="41">
        <v>7.3319999999999999</v>
      </c>
      <c r="F265" s="41">
        <f>+E265</f>
        <v>7.3319999999999999</v>
      </c>
      <c r="G265" s="39">
        <f>ROUND(D265*E265,2)</f>
        <v>797.06</v>
      </c>
      <c r="H265" s="432"/>
      <c r="I265" s="362"/>
      <c r="J265" s="207"/>
      <c r="K265" s="517"/>
      <c r="L265" s="517"/>
      <c r="M265" s="520"/>
      <c r="N265" s="521"/>
      <c r="O265" s="522"/>
      <c r="P265" s="523"/>
      <c r="Q265" s="362"/>
      <c r="U265" s="33"/>
    </row>
    <row r="266" spans="1:21" ht="15.75" thickBot="1">
      <c r="A266" s="411"/>
      <c r="B266" s="526"/>
      <c r="C266" s="99" t="s">
        <v>29</v>
      </c>
      <c r="D266" s="55">
        <v>2454</v>
      </c>
      <c r="E266" s="56">
        <v>7.3319999999999999</v>
      </c>
      <c r="F266" s="281">
        <f>+E266</f>
        <v>7.3319999999999999</v>
      </c>
      <c r="G266" s="58">
        <f>ROUND(D266*E266,2)</f>
        <v>17992.73</v>
      </c>
      <c r="H266" s="248"/>
      <c r="I266" s="203"/>
      <c r="J266" s="60"/>
      <c r="K266" s="61"/>
      <c r="L266" s="249"/>
      <c r="M266" s="54"/>
      <c r="N266" s="521"/>
      <c r="O266" s="528"/>
      <c r="P266" s="529" t="s">
        <v>87</v>
      </c>
      <c r="Q266" s="362">
        <f>+G266+J266-M266-N266-O266</f>
        <v>17992.73</v>
      </c>
    </row>
    <row r="267" spans="1:21" ht="15.75" collapsed="1" thickTop="1">
      <c r="A267" s="389">
        <v>113</v>
      </c>
      <c r="B267" s="494" t="s">
        <v>250</v>
      </c>
      <c r="C267" s="71" t="s">
        <v>73</v>
      </c>
      <c r="D267" s="495">
        <v>21</v>
      </c>
      <c r="E267" s="21">
        <v>40.556600000000003</v>
      </c>
      <c r="F267" s="21">
        <v>47.5304</v>
      </c>
      <c r="G267" s="185">
        <f>ROUND(D267*(E267+F267),2)</f>
        <v>1849.83</v>
      </c>
      <c r="H267" s="496"/>
      <c r="I267" s="73"/>
      <c r="J267" s="73"/>
      <c r="K267" s="497"/>
      <c r="L267" s="498">
        <f>SUM(G267:G273)+SUM(J267:J272)</f>
        <v>26147.54</v>
      </c>
      <c r="M267" s="26">
        <v>26147.54</v>
      </c>
      <c r="N267" s="594"/>
      <c r="O267" s="535"/>
      <c r="P267" s="536" t="s">
        <v>87</v>
      </c>
      <c r="Q267" s="595" t="e">
        <f>C267+G267+J267-M267-N267-O267</f>
        <v>#VALUE!</v>
      </c>
      <c r="R267" s="502" t="s">
        <v>88</v>
      </c>
      <c r="S267" s="503"/>
      <c r="T267" s="504"/>
      <c r="U267" s="33">
        <f>+M267-L267</f>
        <v>0</v>
      </c>
    </row>
    <row r="268" spans="1:21">
      <c r="A268" s="389"/>
      <c r="B268" s="506"/>
      <c r="C268" s="542" t="s">
        <v>264</v>
      </c>
      <c r="D268" s="508"/>
      <c r="E268" s="38"/>
      <c r="F268" s="38"/>
      <c r="G268" s="50">
        <f>ROUND(D268*(E268+F268),2)</f>
        <v>0</v>
      </c>
      <c r="H268" s="596"/>
      <c r="I268" s="409"/>
      <c r="J268" s="509"/>
      <c r="K268" s="543"/>
      <c r="L268" s="511"/>
      <c r="M268" s="99"/>
      <c r="N268" s="513"/>
      <c r="O268" s="514"/>
      <c r="P268" s="515"/>
      <c r="Q268" s="262"/>
      <c r="R268" s="502"/>
      <c r="S268" s="503"/>
      <c r="T268" s="504"/>
    </row>
    <row r="269" spans="1:21">
      <c r="A269" s="389"/>
      <c r="B269" s="516" t="s">
        <v>103</v>
      </c>
      <c r="C269" s="99" t="s">
        <v>90</v>
      </c>
      <c r="D269" s="508">
        <v>19</v>
      </c>
      <c r="E269" s="101">
        <v>237.98</v>
      </c>
      <c r="F269" s="38">
        <f>F267</f>
        <v>47.5304</v>
      </c>
      <c r="G269" s="50">
        <f>ROUND(D269*(E269+F269),2)</f>
        <v>5424.7</v>
      </c>
      <c r="H269" s="270"/>
      <c r="I269" s="41"/>
      <c r="J269" s="409"/>
      <c r="K269" s="510"/>
      <c r="L269" s="597"/>
      <c r="M269" s="99"/>
      <c r="N269" s="518"/>
      <c r="O269" s="519"/>
      <c r="P269" s="515" t="s">
        <v>87</v>
      </c>
      <c r="Q269" s="271">
        <f>+G269+J269-M269-N269-O269</f>
        <v>5424.7</v>
      </c>
      <c r="R269" s="502" t="s">
        <v>88</v>
      </c>
      <c r="S269" s="503"/>
      <c r="T269" s="504"/>
    </row>
    <row r="270" spans="1:21">
      <c r="A270" s="389"/>
      <c r="B270" s="506"/>
      <c r="C270" s="390" t="s">
        <v>97</v>
      </c>
      <c r="D270" s="508"/>
      <c r="E270" s="41"/>
      <c r="F270" s="38"/>
      <c r="G270" s="50">
        <f>D270*(E270+F270)</f>
        <v>0</v>
      </c>
      <c r="H270" s="432"/>
      <c r="I270" s="362"/>
      <c r="J270" s="41"/>
      <c r="K270" s="510"/>
      <c r="L270" s="597"/>
      <c r="M270" s="99"/>
      <c r="N270" s="521"/>
      <c r="O270" s="522"/>
      <c r="P270" s="523"/>
      <c r="Q270" s="362"/>
      <c r="R270" s="502"/>
      <c r="S270" s="503"/>
      <c r="T270" s="504"/>
    </row>
    <row r="271" spans="1:21">
      <c r="A271" s="389"/>
      <c r="B271" s="506"/>
      <c r="C271" s="48" t="s">
        <v>260</v>
      </c>
      <c r="D271" s="37">
        <f>авг18!D273+авг18!D272</f>
        <v>4259</v>
      </c>
      <c r="E271" s="41">
        <f>6.6439-6.7023</f>
        <v>-5.8399999999999785E-2</v>
      </c>
      <c r="F271" s="297">
        <f t="shared" ref="F271:F273" si="47">+E271</f>
        <v>-5.8399999999999785E-2</v>
      </c>
      <c r="G271" s="39">
        <f>ROUND(D271*(E271+F271)/2,2)</f>
        <v>-248.73</v>
      </c>
      <c r="H271" s="432"/>
      <c r="I271" s="362"/>
      <c r="J271" s="41"/>
      <c r="K271" s="510"/>
      <c r="L271" s="597"/>
      <c r="M271" s="99"/>
      <c r="N271" s="521"/>
      <c r="O271" s="522"/>
      <c r="P271" s="523"/>
      <c r="Q271" s="362"/>
      <c r="R271" s="502"/>
      <c r="S271" s="503"/>
      <c r="T271" s="504"/>
    </row>
    <row r="272" spans="1:21">
      <c r="A272" s="389"/>
      <c r="B272" s="506"/>
      <c r="C272" s="48" t="s">
        <v>263</v>
      </c>
      <c r="D272" s="37">
        <f>38.81+83.28</f>
        <v>122.09</v>
      </c>
      <c r="E272" s="41">
        <v>6.6439000000000004</v>
      </c>
      <c r="F272" s="298">
        <f t="shared" si="47"/>
        <v>6.6439000000000004</v>
      </c>
      <c r="G272" s="39">
        <f>ROUND(D272*E272,2)</f>
        <v>811.15</v>
      </c>
      <c r="H272" s="432"/>
      <c r="I272" s="362"/>
      <c r="J272" s="41"/>
      <c r="K272" s="510"/>
      <c r="L272" s="597"/>
      <c r="M272" s="99"/>
      <c r="N272" s="521"/>
      <c r="O272" s="522"/>
      <c r="P272" s="523"/>
      <c r="Q272" s="362"/>
      <c r="R272" s="502"/>
      <c r="S272" s="503"/>
      <c r="T272" s="504"/>
    </row>
    <row r="273" spans="1:20" ht="15.75" thickBot="1">
      <c r="A273" s="369"/>
      <c r="B273" s="526"/>
      <c r="C273" s="99" t="s">
        <v>29</v>
      </c>
      <c r="D273" s="55">
        <f>876+1880</f>
        <v>2756</v>
      </c>
      <c r="E273" s="56">
        <v>6.6439000000000004</v>
      </c>
      <c r="F273" s="57">
        <f t="shared" si="47"/>
        <v>6.6439000000000004</v>
      </c>
      <c r="G273" s="414">
        <f>ROUND(D273*E273,2)</f>
        <v>18310.59</v>
      </c>
      <c r="H273" s="248"/>
      <c r="I273" s="203"/>
      <c r="J273" s="60"/>
      <c r="K273" s="61"/>
      <c r="L273" s="249"/>
      <c r="M273" s="54"/>
      <c r="N273" s="527"/>
      <c r="O273" s="528"/>
      <c r="P273" s="529" t="s">
        <v>87</v>
      </c>
      <c r="Q273" s="58">
        <f>+G273+J273-M273-N273-O273</f>
        <v>18310.59</v>
      </c>
      <c r="R273" s="502" t="s">
        <v>88</v>
      </c>
      <c r="S273" s="598">
        <f>SUM(N267:N273)+O267:O273</f>
        <v>0</v>
      </c>
      <c r="T273" s="598" t="e">
        <f>SUM(Q267:Q273)</f>
        <v>#VALUE!</v>
      </c>
    </row>
    <row r="274" spans="1:20">
      <c r="A274" s="376" t="s">
        <v>208</v>
      </c>
      <c r="B274" s="602" t="s">
        <v>213</v>
      </c>
      <c r="C274" s="439" t="s">
        <v>260</v>
      </c>
      <c r="D274" s="184">
        <f>авг18!D275+авг18!D276</f>
        <v>188</v>
      </c>
      <c r="E274" s="41">
        <f>6.6439-6.7023</f>
        <v>-5.8399999999999785E-2</v>
      </c>
      <c r="F274" s="23">
        <f>+E274</f>
        <v>-5.8399999999999785E-2</v>
      </c>
      <c r="G274" s="185">
        <f>ROUND(D274*(E274),2)</f>
        <v>-10.98</v>
      </c>
      <c r="H274" s="620"/>
      <c r="I274" s="620"/>
      <c r="J274" s="620"/>
      <c r="K274" s="634"/>
      <c r="L274" s="603">
        <f>SUM(G274:G276)</f>
        <v>759.18000000000006</v>
      </c>
      <c r="M274" s="187">
        <v>759.18</v>
      </c>
      <c r="N274" s="615"/>
      <c r="O274" s="615"/>
      <c r="P274" s="615"/>
      <c r="Q274" s="615"/>
    </row>
    <row r="275" spans="1:20">
      <c r="A275" s="934"/>
      <c r="B275" s="506"/>
      <c r="C275" s="48" t="s">
        <v>263</v>
      </c>
      <c r="D275" s="49">
        <v>4.92</v>
      </c>
      <c r="E275" s="41">
        <v>6.6439000000000004</v>
      </c>
      <c r="F275" s="41">
        <f>+E275</f>
        <v>6.6439000000000004</v>
      </c>
      <c r="G275" s="50">
        <f>ROUND(D275*(E275),2)</f>
        <v>32.69</v>
      </c>
      <c r="H275" s="296"/>
      <c r="I275" s="298"/>
      <c r="J275" s="298"/>
      <c r="K275" s="637"/>
      <c r="L275" s="606"/>
      <c r="M275" s="935"/>
      <c r="N275" s="615"/>
      <c r="O275" s="615"/>
      <c r="P275" s="615"/>
      <c r="Q275" s="615"/>
    </row>
    <row r="276" spans="1:20" ht="15.75" thickBot="1">
      <c r="A276" s="934"/>
      <c r="B276" s="506"/>
      <c r="C276" s="54" t="s">
        <v>29</v>
      </c>
      <c r="D276" s="296">
        <v>111</v>
      </c>
      <c r="E276" s="56">
        <v>6.6439000000000004</v>
      </c>
      <c r="F276" s="41">
        <f>+E276</f>
        <v>6.6439000000000004</v>
      </c>
      <c r="G276" s="50">
        <f t="shared" ref="G276" si="48">ROUND(D276*(E276),2)</f>
        <v>737.47</v>
      </c>
      <c r="H276" s="296"/>
      <c r="I276" s="298"/>
      <c r="J276" s="298"/>
      <c r="K276" s="637"/>
      <c r="L276" s="614"/>
      <c r="M276" s="935"/>
      <c r="N276" s="615"/>
      <c r="O276" s="615"/>
      <c r="P276" s="615"/>
      <c r="Q276" s="615"/>
    </row>
    <row r="277" spans="1:20">
      <c r="A277" s="376">
        <v>201</v>
      </c>
      <c r="B277" s="602" t="s">
        <v>107</v>
      </c>
      <c r="C277" s="618" t="s">
        <v>73</v>
      </c>
      <c r="D277" s="619">
        <v>1</v>
      </c>
      <c r="E277" s="21">
        <v>40.556600000000003</v>
      </c>
      <c r="F277" s="21">
        <v>47.5304</v>
      </c>
      <c r="G277" s="185">
        <f>ROUND(D277*(E277+F277),2)</f>
        <v>88.09</v>
      </c>
      <c r="H277" s="620"/>
      <c r="I277" s="620"/>
      <c r="J277" s="620"/>
      <c r="K277" s="620"/>
      <c r="L277" s="603">
        <f>SUM(G277:G281,J277:J281)</f>
        <v>4121.0200000000004</v>
      </c>
      <c r="M277" s="187">
        <v>4121.0200000000004</v>
      </c>
      <c r="N277" s="621"/>
      <c r="O277" s="621"/>
      <c r="P277" s="621"/>
      <c r="Q277" s="622"/>
    </row>
    <row r="278" spans="1:20">
      <c r="A278" s="936"/>
      <c r="B278" s="612"/>
      <c r="C278" s="542" t="s">
        <v>96</v>
      </c>
      <c r="D278" s="234"/>
      <c r="E278" s="38"/>
      <c r="F278" s="38"/>
      <c r="G278" s="235">
        <f>ROUND(D278*(E278+F278),2)</f>
        <v>0</v>
      </c>
      <c r="H278" s="298"/>
      <c r="I278" s="298"/>
      <c r="J278" s="298"/>
      <c r="K278" s="298"/>
      <c r="L278" s="606"/>
      <c r="M278" s="935"/>
      <c r="N278" s="615"/>
      <c r="O278" s="615"/>
      <c r="P278" s="615"/>
      <c r="Q278" s="616"/>
    </row>
    <row r="279" spans="1:20">
      <c r="A279" s="936"/>
      <c r="B279" s="612"/>
      <c r="C279" s="48" t="s">
        <v>260</v>
      </c>
      <c r="D279" s="623">
        <f>авг18!D280+авг18!D281</f>
        <v>919</v>
      </c>
      <c r="E279" s="41">
        <f>6.6439-6.7023</f>
        <v>-5.8399999999999785E-2</v>
      </c>
      <c r="F279" s="41">
        <f t="shared" ref="F279:F287" si="49">+E279</f>
        <v>-5.8399999999999785E-2</v>
      </c>
      <c r="G279" s="50">
        <f>ROUND(D279*(E279),2)</f>
        <v>-53.67</v>
      </c>
      <c r="H279" s="298"/>
      <c r="I279" s="298"/>
      <c r="J279" s="298"/>
      <c r="K279" s="298"/>
      <c r="L279" s="614"/>
      <c r="M279" s="935"/>
      <c r="N279" s="615"/>
      <c r="O279" s="615"/>
      <c r="P279" s="615"/>
      <c r="Q279" s="616"/>
    </row>
    <row r="280" spans="1:20">
      <c r="A280" s="936"/>
      <c r="B280" s="612"/>
      <c r="C280" s="48" t="s">
        <v>263</v>
      </c>
      <c r="D280" s="623">
        <v>26.09</v>
      </c>
      <c r="E280" s="41">
        <v>6.6439000000000004</v>
      </c>
      <c r="F280" s="41">
        <f t="shared" si="49"/>
        <v>6.6439000000000004</v>
      </c>
      <c r="G280" s="39">
        <f t="shared" ref="G280:G290" si="50">ROUND(D280*(E280),2)</f>
        <v>173.34</v>
      </c>
      <c r="H280" s="298"/>
      <c r="I280" s="298"/>
      <c r="J280" s="298"/>
      <c r="K280" s="298"/>
      <c r="L280" s="614"/>
      <c r="M280" s="273"/>
      <c r="N280" s="615"/>
      <c r="O280" s="615"/>
      <c r="P280" s="615"/>
      <c r="Q280" s="616"/>
    </row>
    <row r="281" spans="1:20" ht="15.75" thickBot="1">
      <c r="A281" s="937"/>
      <c r="B281" s="526"/>
      <c r="C281" s="99" t="s">
        <v>29</v>
      </c>
      <c r="D281" s="625">
        <v>589</v>
      </c>
      <c r="E281" s="56">
        <v>6.6439000000000004</v>
      </c>
      <c r="F281" s="281">
        <f t="shared" si="49"/>
        <v>6.6439000000000004</v>
      </c>
      <c r="G281" s="414">
        <f t="shared" si="50"/>
        <v>3913.26</v>
      </c>
      <c r="H281" s="41"/>
      <c r="I281" s="41"/>
      <c r="J281" s="281"/>
      <c r="K281" s="281"/>
      <c r="L281" s="784"/>
      <c r="M281" s="938"/>
      <c r="N281" s="626"/>
      <c r="O281" s="626"/>
      <c r="P281" s="626"/>
      <c r="Q281" s="627"/>
    </row>
    <row r="282" spans="1:20">
      <c r="A282" s="376">
        <v>203</v>
      </c>
      <c r="B282" s="602" t="s">
        <v>255</v>
      </c>
      <c r="C282" s="439" t="s">
        <v>260</v>
      </c>
      <c r="D282" s="184">
        <f>авг18!D283+авг18!D284</f>
        <v>191</v>
      </c>
      <c r="E282" s="41">
        <f>6.6439-6.7023</f>
        <v>-5.8399999999999785E-2</v>
      </c>
      <c r="F282" s="23">
        <f t="shared" si="49"/>
        <v>-5.8399999999999785E-2</v>
      </c>
      <c r="G282" s="185">
        <f>ROUND(D282*(E282),2)</f>
        <v>-11.15</v>
      </c>
      <c r="H282" s="620"/>
      <c r="I282" s="620"/>
      <c r="J282" s="620"/>
      <c r="K282" s="634"/>
      <c r="L282" s="603">
        <f>SUM(G282:G284)</f>
        <v>828.37</v>
      </c>
      <c r="M282" s="187">
        <v>828.37</v>
      </c>
      <c r="N282" s="615"/>
      <c r="O282" s="615"/>
      <c r="P282" s="615"/>
      <c r="Q282" s="615"/>
    </row>
    <row r="283" spans="1:20">
      <c r="A283" s="934"/>
      <c r="B283" s="506"/>
      <c r="C283" s="48" t="s">
        <v>263</v>
      </c>
      <c r="D283" s="49">
        <v>5.36</v>
      </c>
      <c r="E283" s="41">
        <v>6.6439000000000004</v>
      </c>
      <c r="F283" s="41">
        <f t="shared" si="49"/>
        <v>6.6439000000000004</v>
      </c>
      <c r="G283" s="50">
        <f>ROUND(D283*(E283),2)</f>
        <v>35.61</v>
      </c>
      <c r="H283" s="296"/>
      <c r="I283" s="298"/>
      <c r="J283" s="298"/>
      <c r="K283" s="637"/>
      <c r="L283" s="606"/>
      <c r="M283" s="935"/>
      <c r="N283" s="615"/>
      <c r="O283" s="615"/>
      <c r="P283" s="615"/>
      <c r="Q283" s="615"/>
    </row>
    <row r="284" spans="1:20" ht="15.75" thickBot="1">
      <c r="A284" s="934"/>
      <c r="B284" s="506"/>
      <c r="C284" s="54" t="s">
        <v>29</v>
      </c>
      <c r="D284" s="296">
        <v>121</v>
      </c>
      <c r="E284" s="56">
        <v>6.6439000000000004</v>
      </c>
      <c r="F284" s="41">
        <f t="shared" si="49"/>
        <v>6.6439000000000004</v>
      </c>
      <c r="G284" s="50">
        <f t="shared" ref="G284" si="51">ROUND(D284*(E284),2)</f>
        <v>803.91</v>
      </c>
      <c r="H284" s="296"/>
      <c r="I284" s="298"/>
      <c r="J284" s="298"/>
      <c r="K284" s="637"/>
      <c r="L284" s="614"/>
      <c r="M284" s="935"/>
      <c r="N284" s="615"/>
      <c r="O284" s="615"/>
      <c r="P284" s="615"/>
      <c r="Q284" s="615"/>
    </row>
    <row r="285" spans="1:20">
      <c r="A285" s="376">
        <v>301</v>
      </c>
      <c r="B285" s="602" t="s">
        <v>106</v>
      </c>
      <c r="C285" s="48" t="s">
        <v>260</v>
      </c>
      <c r="D285" s="184">
        <f>авг18!D286+авг18!D287</f>
        <v>1126.8</v>
      </c>
      <c r="E285" s="41">
        <f>6.6439-6.7023</f>
        <v>-5.8399999999999785E-2</v>
      </c>
      <c r="F285" s="23">
        <f t="shared" si="49"/>
        <v>-5.8399999999999785E-2</v>
      </c>
      <c r="G285" s="185">
        <f>ROUND(D285*(E285),2)+0.01</f>
        <v>-65.8</v>
      </c>
      <c r="H285" s="23"/>
      <c r="I285" s="23"/>
      <c r="J285" s="23"/>
      <c r="K285" s="23"/>
      <c r="L285" s="603">
        <f>SUM(G285:G287)</f>
        <v>5006.0199999999995</v>
      </c>
      <c r="M285" s="187">
        <v>5006.0200000000004</v>
      </c>
      <c r="N285" s="604"/>
      <c r="O285" s="500"/>
      <c r="P285" s="501"/>
      <c r="Q285" s="605"/>
    </row>
    <row r="286" spans="1:20">
      <c r="A286" s="389"/>
      <c r="B286" s="506"/>
      <c r="C286" s="48" t="s">
        <v>263</v>
      </c>
      <c r="D286" s="49">
        <v>32.380000000000003</v>
      </c>
      <c r="E286" s="41">
        <v>6.6439000000000004</v>
      </c>
      <c r="F286" s="41">
        <f t="shared" si="49"/>
        <v>6.6439000000000004</v>
      </c>
      <c r="G286" s="50">
        <f t="shared" si="50"/>
        <v>215.13</v>
      </c>
      <c r="H286" s="41"/>
      <c r="I286" s="41"/>
      <c r="J286" s="41"/>
      <c r="K286" s="41"/>
      <c r="L286" s="606"/>
      <c r="M286" s="935"/>
      <c r="N286" s="607"/>
      <c r="O286" s="608"/>
      <c r="P286" s="609"/>
      <c r="Q286" s="610"/>
    </row>
    <row r="287" spans="1:20" ht="15.75" thickBot="1">
      <c r="A287" s="936"/>
      <c r="B287" s="612"/>
      <c r="C287" s="99" t="s">
        <v>29</v>
      </c>
      <c r="D287" s="613">
        <v>731</v>
      </c>
      <c r="E287" s="56">
        <v>6.6439000000000004</v>
      </c>
      <c r="F287" s="281">
        <f t="shared" si="49"/>
        <v>6.6439000000000004</v>
      </c>
      <c r="G287" s="58">
        <f t="shared" si="50"/>
        <v>4856.6899999999996</v>
      </c>
      <c r="H287" s="57"/>
      <c r="I287" s="57"/>
      <c r="J287" s="57"/>
      <c r="K287" s="57"/>
      <c r="L287" s="614"/>
      <c r="M287" s="935"/>
      <c r="N287" s="615"/>
      <c r="O287" s="615"/>
      <c r="P287" s="615"/>
      <c r="Q287" s="616"/>
    </row>
    <row r="288" spans="1:20">
      <c r="A288" s="447" t="s">
        <v>205</v>
      </c>
      <c r="B288" s="602" t="s">
        <v>183</v>
      </c>
      <c r="C288" s="439" t="s">
        <v>260</v>
      </c>
      <c r="D288" s="184">
        <f>авг18!D289+авг18!D290</f>
        <v>972</v>
      </c>
      <c r="E288" s="41">
        <f>6.6439-6.7023</f>
        <v>-5.8399999999999785E-2</v>
      </c>
      <c r="F288" s="23">
        <f>+E288</f>
        <v>-5.8399999999999785E-2</v>
      </c>
      <c r="G288" s="185">
        <f>ROUND(D288*(E288),2)-0.01</f>
        <v>-56.769999999999996</v>
      </c>
      <c r="H288" s="620"/>
      <c r="I288" s="620"/>
      <c r="J288" s="620"/>
      <c r="K288" s="634"/>
      <c r="L288" s="603">
        <f>SUM(G288:G290)</f>
        <v>2059.38</v>
      </c>
      <c r="M288" s="187">
        <v>2059.38</v>
      </c>
      <c r="N288" s="604"/>
      <c r="O288" s="635"/>
      <c r="P288" s="636"/>
      <c r="Q288" s="605"/>
    </row>
    <row r="289" spans="1:17">
      <c r="A289" s="450" t="s">
        <v>206</v>
      </c>
      <c r="B289" s="506"/>
      <c r="C289" s="48" t="s">
        <v>263</v>
      </c>
      <c r="D289" s="49">
        <f>3.41+9.92+0.18</f>
        <v>13.51</v>
      </c>
      <c r="E289" s="41">
        <v>6.6439000000000004</v>
      </c>
      <c r="F289" s="41">
        <f>+E289</f>
        <v>6.6439000000000004</v>
      </c>
      <c r="G289" s="50">
        <f t="shared" si="50"/>
        <v>89.76</v>
      </c>
      <c r="H289" s="296"/>
      <c r="I289" s="298"/>
      <c r="J289" s="298"/>
      <c r="K289" s="637"/>
      <c r="L289" s="606"/>
      <c r="M289" s="935"/>
      <c r="N289" s="607"/>
      <c r="O289" s="608"/>
      <c r="P289" s="609"/>
      <c r="Q289" s="610"/>
    </row>
    <row r="290" spans="1:17" ht="15.75" thickBot="1">
      <c r="A290" s="451">
        <v>305</v>
      </c>
      <c r="B290" s="506"/>
      <c r="C290" s="54" t="s">
        <v>29</v>
      </c>
      <c r="D290" s="296">
        <f>224+77+4</f>
        <v>305</v>
      </c>
      <c r="E290" s="56">
        <v>6.6439000000000004</v>
      </c>
      <c r="F290" s="41">
        <f t="shared" ref="F290:F291" si="52">+E290</f>
        <v>6.6439000000000004</v>
      </c>
      <c r="G290" s="50">
        <f t="shared" si="50"/>
        <v>2026.39</v>
      </c>
      <c r="H290" s="296"/>
      <c r="I290" s="298"/>
      <c r="J290" s="298"/>
      <c r="K290" s="637"/>
      <c r="L290" s="614"/>
      <c r="M290" s="935"/>
      <c r="N290" s="615"/>
      <c r="O290" s="615"/>
      <c r="P290" s="615"/>
      <c r="Q290" s="616"/>
    </row>
    <row r="291" spans="1:17" collapsed="1">
      <c r="A291" s="376">
        <v>307</v>
      </c>
      <c r="B291" s="602" t="s">
        <v>251</v>
      </c>
      <c r="C291" s="439" t="s">
        <v>260</v>
      </c>
      <c r="D291" s="184">
        <f>авг18!D292+авг18!D293</f>
        <v>504</v>
      </c>
      <c r="E291" s="23">
        <f>6.6439-6.7023</f>
        <v>-5.8399999999999785E-2</v>
      </c>
      <c r="F291" s="23">
        <f t="shared" si="52"/>
        <v>-5.8399999999999785E-2</v>
      </c>
      <c r="G291" s="185">
        <f>ROUND(D291*(E291),2)</f>
        <v>-29.43</v>
      </c>
      <c r="H291" s="669"/>
      <c r="I291" s="620"/>
      <c r="J291" s="620"/>
      <c r="K291" s="634"/>
      <c r="L291" s="603">
        <f>SUM(G291:G293)</f>
        <v>2301.7799999999997</v>
      </c>
      <c r="M291" s="187">
        <v>2301.7800000000002</v>
      </c>
      <c r="N291" s="604"/>
      <c r="O291" s="635"/>
      <c r="P291" s="636"/>
      <c r="Q291" s="605"/>
    </row>
    <row r="292" spans="1:17">
      <c r="A292" s="934"/>
      <c r="B292" s="506"/>
      <c r="C292" s="48" t="s">
        <v>263</v>
      </c>
      <c r="D292" s="49">
        <v>14.88</v>
      </c>
      <c r="E292" s="41">
        <v>6.6439000000000004</v>
      </c>
      <c r="F292" s="41">
        <f>+E292</f>
        <v>6.6439000000000004</v>
      </c>
      <c r="G292" s="50">
        <f>ROUND(D292*(E292),2)</f>
        <v>98.86</v>
      </c>
      <c r="H292" s="296"/>
      <c r="I292" s="298"/>
      <c r="J292" s="298"/>
      <c r="K292" s="637"/>
      <c r="L292" s="606"/>
      <c r="M292" s="935"/>
      <c r="N292" s="607"/>
      <c r="O292" s="608"/>
      <c r="P292" s="609"/>
      <c r="Q292" s="610"/>
    </row>
    <row r="293" spans="1:17" ht="15.75" thickBot="1">
      <c r="A293" s="960"/>
      <c r="B293" s="506"/>
      <c r="C293" s="54" t="s">
        <v>29</v>
      </c>
      <c r="D293" s="296">
        <v>336</v>
      </c>
      <c r="E293" s="56">
        <v>6.6439000000000004</v>
      </c>
      <c r="F293" s="41">
        <f t="shared" ref="F293:F297" si="53">+E293</f>
        <v>6.6439000000000004</v>
      </c>
      <c r="G293" s="50">
        <f t="shared" ref="G293" si="54">ROUND(D293*(E293),2)</f>
        <v>2232.35</v>
      </c>
      <c r="H293" s="296"/>
      <c r="I293" s="298"/>
      <c r="J293" s="298"/>
      <c r="K293" s="637"/>
      <c r="L293" s="614"/>
      <c r="M293" s="935"/>
      <c r="N293" s="615"/>
      <c r="O293" s="615"/>
      <c r="P293" s="615"/>
      <c r="Q293" s="616"/>
    </row>
    <row r="294" spans="1:17" collapsed="1">
      <c r="A294" s="376">
        <v>308</v>
      </c>
      <c r="B294" s="602" t="s">
        <v>247</v>
      </c>
      <c r="C294" s="439" t="s">
        <v>260</v>
      </c>
      <c r="D294" s="184">
        <f>авг18!D295+авг18!D296</f>
        <v>392</v>
      </c>
      <c r="E294" s="23">
        <f>6.6439-6.7023</f>
        <v>-5.8399999999999785E-2</v>
      </c>
      <c r="F294" s="23">
        <f t="shared" si="53"/>
        <v>-5.8399999999999785E-2</v>
      </c>
      <c r="G294" s="185">
        <f>ROUND(D294*(E294),2)+0.01</f>
        <v>-22.88</v>
      </c>
      <c r="H294" s="669"/>
      <c r="I294" s="620"/>
      <c r="J294" s="620"/>
      <c r="K294" s="634"/>
      <c r="L294" s="603">
        <f>SUM(G294:G296)</f>
        <v>1947.56</v>
      </c>
      <c r="M294" s="187">
        <v>1947.56</v>
      </c>
      <c r="N294" s="604"/>
      <c r="O294" s="635"/>
      <c r="P294" s="636"/>
      <c r="Q294" s="605"/>
    </row>
    <row r="295" spans="1:17">
      <c r="A295" s="934"/>
      <c r="B295" s="506"/>
      <c r="C295" s="48" t="s">
        <v>263</v>
      </c>
      <c r="D295" s="49">
        <v>12.58</v>
      </c>
      <c r="E295" s="41">
        <v>6.6439000000000004</v>
      </c>
      <c r="F295" s="41">
        <f>+E295</f>
        <v>6.6439000000000004</v>
      </c>
      <c r="G295" s="50">
        <f>ROUND(D295*(E295),2)-0.01</f>
        <v>83.57</v>
      </c>
      <c r="H295" s="296"/>
      <c r="I295" s="298"/>
      <c r="J295" s="298"/>
      <c r="K295" s="637"/>
      <c r="L295" s="606"/>
      <c r="M295" s="935"/>
      <c r="N295" s="607"/>
      <c r="O295" s="608"/>
      <c r="P295" s="609"/>
      <c r="Q295" s="610"/>
    </row>
    <row r="296" spans="1:17" ht="15.75" thickBot="1">
      <c r="A296" s="960"/>
      <c r="B296" s="506"/>
      <c r="C296" s="54" t="s">
        <v>29</v>
      </c>
      <c r="D296" s="296">
        <v>284</v>
      </c>
      <c r="E296" s="56">
        <v>6.6439000000000004</v>
      </c>
      <c r="F296" s="41">
        <f t="shared" ref="F296" si="55">+E296</f>
        <v>6.6439000000000004</v>
      </c>
      <c r="G296" s="50">
        <f t="shared" ref="G296" si="56">ROUND(D296*(E296),2)</f>
        <v>1886.87</v>
      </c>
      <c r="H296" s="296"/>
      <c r="I296" s="298"/>
      <c r="J296" s="298"/>
      <c r="K296" s="637"/>
      <c r="L296" s="614"/>
      <c r="M296" s="935"/>
      <c r="N296" s="615"/>
      <c r="O296" s="615"/>
      <c r="P296" s="615"/>
      <c r="Q296" s="616"/>
    </row>
    <row r="297" spans="1:17" collapsed="1">
      <c r="A297" s="376" t="s">
        <v>254</v>
      </c>
      <c r="B297" s="602" t="s">
        <v>235</v>
      </c>
      <c r="C297" s="439" t="s">
        <v>260</v>
      </c>
      <c r="D297" s="184">
        <f>авг18!D298+авг18!D299</f>
        <v>271</v>
      </c>
      <c r="E297" s="41">
        <f>6.6439-6.7023</f>
        <v>-5.8399999999999785E-2</v>
      </c>
      <c r="F297" s="23">
        <f t="shared" si="53"/>
        <v>-5.8399999999999785E-2</v>
      </c>
      <c r="G297" s="185">
        <f>ROUND(D297*(E297),2)</f>
        <v>-15.83</v>
      </c>
      <c r="H297" s="620"/>
      <c r="I297" s="620"/>
      <c r="J297" s="620"/>
      <c r="K297" s="634"/>
      <c r="L297" s="603">
        <f>SUM(G297:G299)</f>
        <v>657.2</v>
      </c>
      <c r="M297" s="187">
        <v>657.2</v>
      </c>
      <c r="N297" s="615"/>
      <c r="O297" s="615"/>
      <c r="P297" s="615"/>
      <c r="Q297" s="615"/>
    </row>
    <row r="298" spans="1:17">
      <c r="A298" s="934">
        <v>314</v>
      </c>
      <c r="B298" s="506"/>
      <c r="C298" s="48" t="s">
        <v>263</v>
      </c>
      <c r="D298" s="49">
        <f>3.99+0.31</f>
        <v>4.3</v>
      </c>
      <c r="E298" s="41">
        <v>6.6439000000000004</v>
      </c>
      <c r="F298" s="41">
        <f>+E298</f>
        <v>6.6439000000000004</v>
      </c>
      <c r="G298" s="50">
        <f>ROUND(D298*(E298),2)</f>
        <v>28.57</v>
      </c>
      <c r="H298" s="296"/>
      <c r="I298" s="298"/>
      <c r="J298" s="298"/>
      <c r="K298" s="637"/>
      <c r="L298" s="606"/>
      <c r="M298" s="935"/>
      <c r="N298" s="615"/>
      <c r="O298" s="615"/>
      <c r="P298" s="615"/>
      <c r="Q298" s="615"/>
    </row>
    <row r="299" spans="1:17" ht="15.75" thickBot="1">
      <c r="A299" s="934"/>
      <c r="B299" s="506"/>
      <c r="C299" s="54" t="s">
        <v>29</v>
      </c>
      <c r="D299" s="296">
        <v>97</v>
      </c>
      <c r="E299" s="56">
        <v>6.6439000000000004</v>
      </c>
      <c r="F299" s="41">
        <f t="shared" ref="F299:F302" si="57">+E299</f>
        <v>6.6439000000000004</v>
      </c>
      <c r="G299" s="50">
        <f t="shared" ref="G299" si="58">ROUND(D299*(E299),2)</f>
        <v>644.46</v>
      </c>
      <c r="H299" s="296"/>
      <c r="I299" s="298"/>
      <c r="J299" s="298"/>
      <c r="K299" s="637"/>
      <c r="L299" s="614"/>
      <c r="M299" s="935"/>
      <c r="N299" s="615"/>
      <c r="O299" s="615"/>
      <c r="P299" s="615"/>
      <c r="Q299" s="615"/>
    </row>
    <row r="300" spans="1:17" hidden="1">
      <c r="A300" s="376">
        <v>311</v>
      </c>
      <c r="B300" s="602" t="s">
        <v>204</v>
      </c>
      <c r="C300" s="439" t="s">
        <v>260</v>
      </c>
      <c r="D300" s="184"/>
      <c r="E300" s="41">
        <f>6.7023-6.509</f>
        <v>0.19329999999999981</v>
      </c>
      <c r="F300" s="23">
        <f t="shared" si="57"/>
        <v>0.19329999999999981</v>
      </c>
      <c r="G300" s="185">
        <f>ROUND(D300*(E300),2)-0.01</f>
        <v>-0.01</v>
      </c>
      <c r="H300" s="620"/>
      <c r="I300" s="620"/>
      <c r="J300" s="620"/>
      <c r="K300" s="634"/>
      <c r="L300" s="603">
        <f>SUM(G300:G303)</f>
        <v>-0.01</v>
      </c>
      <c r="M300" s="187"/>
      <c r="N300" s="604"/>
      <c r="O300" s="635" t="s">
        <v>274</v>
      </c>
      <c r="P300" s="636"/>
      <c r="Q300" s="605"/>
    </row>
    <row r="301" spans="1:17" hidden="1">
      <c r="A301" s="389"/>
      <c r="B301" s="939" t="s">
        <v>273</v>
      </c>
      <c r="C301" s="48" t="s">
        <v>263</v>
      </c>
      <c r="D301" s="49"/>
      <c r="E301" s="41">
        <v>6.7023000000000001</v>
      </c>
      <c r="F301" s="41">
        <f t="shared" si="57"/>
        <v>6.7023000000000001</v>
      </c>
      <c r="G301" s="50">
        <f>ROUND(D301*(E301),2)</f>
        <v>0</v>
      </c>
      <c r="H301" s="296"/>
      <c r="I301" s="298"/>
      <c r="J301" s="298"/>
      <c r="K301" s="637"/>
      <c r="L301" s="606"/>
      <c r="M301" s="935"/>
      <c r="N301" s="607"/>
      <c r="O301" s="608"/>
      <c r="P301" s="609"/>
      <c r="Q301" s="610"/>
    </row>
    <row r="302" spans="1:17" hidden="1">
      <c r="A302" s="936"/>
      <c r="B302" s="506"/>
      <c r="C302" s="99" t="s">
        <v>29</v>
      </c>
      <c r="D302" s="296"/>
      <c r="E302" s="101">
        <v>6.7023000000000001</v>
      </c>
      <c r="F302" s="41">
        <f t="shared" si="57"/>
        <v>6.7023000000000001</v>
      </c>
      <c r="G302" s="50">
        <f>ROUND(D302*(E302),2)</f>
        <v>0</v>
      </c>
      <c r="H302" s="296"/>
      <c r="I302" s="298"/>
      <c r="J302" s="298"/>
      <c r="K302" s="940"/>
      <c r="L302" s="614"/>
      <c r="M302" s="935"/>
      <c r="N302" s="615"/>
      <c r="O302" s="615"/>
      <c r="P302" s="615"/>
      <c r="Q302" s="616"/>
    </row>
    <row r="303" spans="1:17" ht="15.75" hidden="1" thickBot="1">
      <c r="A303" s="937"/>
      <c r="B303" s="278"/>
      <c r="C303" s="784"/>
      <c r="D303" s="941"/>
      <c r="E303" s="281"/>
      <c r="F303" s="57"/>
      <c r="G303" s="58">
        <f>ROUND(D303*(E303),2)</f>
        <v>0</v>
      </c>
      <c r="H303" s="613"/>
      <c r="I303" s="57"/>
      <c r="J303" s="57"/>
      <c r="K303" s="666"/>
      <c r="L303" s="784"/>
      <c r="M303" s="938"/>
      <c r="N303" s="626"/>
      <c r="O303" s="626"/>
      <c r="P303" s="626"/>
      <c r="Q303" s="626"/>
    </row>
    <row r="304" spans="1:17" collapsed="1">
      <c r="A304" s="376">
        <v>311</v>
      </c>
      <c r="B304" s="602" t="s">
        <v>278</v>
      </c>
      <c r="C304" s="439" t="s">
        <v>260</v>
      </c>
      <c r="D304" s="184"/>
      <c r="E304" s="41">
        <f>6.6439-6.7023</f>
        <v>-5.8399999999999785E-2</v>
      </c>
      <c r="F304" s="23">
        <f t="shared" ref="F304" si="59">+E304</f>
        <v>-5.8399999999999785E-2</v>
      </c>
      <c r="G304" s="185">
        <f>ROUND(D304*(E304),2)</f>
        <v>0</v>
      </c>
      <c r="H304" s="620"/>
      <c r="I304" s="620"/>
      <c r="J304" s="620"/>
      <c r="K304" s="634"/>
      <c r="L304" s="603">
        <f>SUM(G304:G306)</f>
        <v>228.95</v>
      </c>
      <c r="M304" s="187">
        <v>228.95</v>
      </c>
      <c r="N304" s="615"/>
      <c r="O304" s="615"/>
      <c r="P304" s="615"/>
      <c r="Q304" s="615"/>
    </row>
    <row r="305" spans="1:20">
      <c r="A305" s="934"/>
      <c r="B305" s="506"/>
      <c r="C305" s="48" t="s">
        <v>263</v>
      </c>
      <c r="D305" s="49">
        <v>1.46</v>
      </c>
      <c r="E305" s="41">
        <v>6.6439000000000004</v>
      </c>
      <c r="F305" s="41">
        <f>+E305</f>
        <v>6.6439000000000004</v>
      </c>
      <c r="G305" s="50">
        <f>ROUND(D305*(E305),2)</f>
        <v>9.6999999999999993</v>
      </c>
      <c r="H305" s="296"/>
      <c r="I305" s="298"/>
      <c r="J305" s="298"/>
      <c r="K305" s="637"/>
      <c r="L305" s="606"/>
      <c r="M305" s="935"/>
      <c r="N305" s="615"/>
      <c r="O305" s="615"/>
      <c r="P305" s="615"/>
      <c r="Q305" s="615"/>
    </row>
    <row r="306" spans="1:20" ht="15.75" thickBot="1">
      <c r="A306" s="934"/>
      <c r="B306" s="506"/>
      <c r="C306" s="54" t="s">
        <v>29</v>
      </c>
      <c r="D306" s="296">
        <v>33</v>
      </c>
      <c r="E306" s="56">
        <v>6.6439000000000004</v>
      </c>
      <c r="F306" s="41">
        <f t="shared" ref="F306" si="60">+E306</f>
        <v>6.6439000000000004</v>
      </c>
      <c r="G306" s="50">
        <f t="shared" ref="G306" si="61">ROUND(D306*(E306),2)</f>
        <v>219.25</v>
      </c>
      <c r="H306" s="296"/>
      <c r="I306" s="298"/>
      <c r="J306" s="298"/>
      <c r="K306" s="637"/>
      <c r="L306" s="614"/>
      <c r="M306" s="935"/>
      <c r="N306" s="615"/>
      <c r="O306" s="615"/>
      <c r="P306" s="615"/>
      <c r="Q306" s="615"/>
    </row>
    <row r="307" spans="1:20">
      <c r="A307" s="376">
        <v>312</v>
      </c>
      <c r="B307" s="602" t="s">
        <v>112</v>
      </c>
      <c r="C307" s="439" t="s">
        <v>260</v>
      </c>
      <c r="D307" s="184">
        <f>авг18!D305+авг18!D306</f>
        <v>855</v>
      </c>
      <c r="E307" s="23">
        <f>6.6439-6.7023</f>
        <v>-5.8399999999999785E-2</v>
      </c>
      <c r="F307" s="23">
        <f>+E307</f>
        <v>-5.8399999999999785E-2</v>
      </c>
      <c r="G307" s="185">
        <f>ROUND(D307*(E307),2)</f>
        <v>-49.93</v>
      </c>
      <c r="H307" s="620"/>
      <c r="I307" s="620"/>
      <c r="J307" s="620"/>
      <c r="K307" s="634"/>
      <c r="L307" s="603">
        <f>SUM(G307:G310)</f>
        <v>4001.99</v>
      </c>
      <c r="M307" s="187">
        <v>4001.99</v>
      </c>
      <c r="N307" s="604"/>
      <c r="O307" s="635"/>
      <c r="P307" s="636"/>
      <c r="Q307" s="605"/>
    </row>
    <row r="308" spans="1:20">
      <c r="A308" s="934"/>
      <c r="B308" s="506"/>
      <c r="C308" s="48" t="s">
        <v>263</v>
      </c>
      <c r="D308" s="49">
        <v>25.87</v>
      </c>
      <c r="E308" s="41">
        <v>6.6439000000000004</v>
      </c>
      <c r="F308" s="41">
        <f>+E308</f>
        <v>6.6439000000000004</v>
      </c>
      <c r="G308" s="50">
        <f t="shared" ref="G308:G309" si="62">ROUND(D308*(E308),2)</f>
        <v>171.88</v>
      </c>
      <c r="H308" s="296"/>
      <c r="I308" s="298"/>
      <c r="J308" s="298"/>
      <c r="K308" s="637"/>
      <c r="L308" s="606"/>
      <c r="M308" s="935"/>
      <c r="N308" s="607"/>
      <c r="O308" s="608"/>
      <c r="P308" s="609"/>
      <c r="Q308" s="610"/>
    </row>
    <row r="309" spans="1:20">
      <c r="A309" s="934"/>
      <c r="B309" s="506"/>
      <c r="C309" s="99" t="s">
        <v>29</v>
      </c>
      <c r="D309" s="296">
        <v>584</v>
      </c>
      <c r="E309" s="101">
        <v>6.6439000000000004</v>
      </c>
      <c r="F309" s="41">
        <f>+E309</f>
        <v>6.6439000000000004</v>
      </c>
      <c r="G309" s="50">
        <f t="shared" si="62"/>
        <v>3880.04</v>
      </c>
      <c r="H309" s="296"/>
      <c r="I309" s="298"/>
      <c r="J309" s="298"/>
      <c r="K309" s="637"/>
      <c r="L309" s="614"/>
      <c r="M309" s="935"/>
      <c r="N309" s="615"/>
      <c r="O309" s="615"/>
      <c r="P309" s="615"/>
      <c r="Q309" s="616"/>
    </row>
    <row r="310" spans="1:20" ht="15.75" thickBot="1">
      <c r="A310" s="942"/>
      <c r="B310" s="278"/>
      <c r="C310" s="54"/>
      <c r="D310" s="941"/>
      <c r="E310" s="281"/>
      <c r="F310" s="57"/>
      <c r="G310" s="58"/>
      <c r="H310" s="613"/>
      <c r="I310" s="57"/>
      <c r="J310" s="57"/>
      <c r="K310" s="943"/>
      <c r="L310" s="784"/>
      <c r="M310" s="938"/>
      <c r="N310" s="615"/>
      <c r="O310" s="615"/>
      <c r="P310" s="615"/>
      <c r="Q310" s="615"/>
    </row>
    <row r="311" spans="1:20" ht="15.75" hidden="1" collapsed="1" thickBot="1">
      <c r="A311" s="376">
        <v>314</v>
      </c>
      <c r="B311" s="602" t="s">
        <v>235</v>
      </c>
      <c r="C311" s="439" t="s">
        <v>149</v>
      </c>
      <c r="D311" s="184"/>
      <c r="E311" s="41">
        <f>6.509-6.4709</f>
        <v>3.8100000000000023E-2</v>
      </c>
      <c r="F311" s="23">
        <f t="shared" ref="F311" si="63">+E311</f>
        <v>3.8100000000000023E-2</v>
      </c>
      <c r="G311" s="185">
        <f>ROUND(D311*(E311),2)</f>
        <v>0</v>
      </c>
      <c r="H311" s="620"/>
      <c r="I311" s="620"/>
      <c r="J311" s="620"/>
      <c r="K311" s="634"/>
      <c r="L311" s="603">
        <f>SUM(G311:G313)</f>
        <v>0</v>
      </c>
      <c r="M311" s="187"/>
      <c r="N311" s="615"/>
      <c r="O311" s="967" t="s">
        <v>249</v>
      </c>
      <c r="P311" s="615"/>
      <c r="Q311" s="615"/>
    </row>
    <row r="312" spans="1:20" ht="15.75" hidden="1" thickBot="1">
      <c r="A312" s="934"/>
      <c r="B312" s="516" t="s">
        <v>246</v>
      </c>
      <c r="C312" s="48" t="s">
        <v>150</v>
      </c>
      <c r="D312" s="49"/>
      <c r="E312" s="41">
        <v>6.5090000000000003</v>
      </c>
      <c r="F312" s="41">
        <f>+E312</f>
        <v>6.5090000000000003</v>
      </c>
      <c r="G312" s="50">
        <f>ROUND(D312*(E312),2)</f>
        <v>0</v>
      </c>
      <c r="H312" s="296"/>
      <c r="I312" s="298"/>
      <c r="J312" s="298"/>
      <c r="K312" s="637"/>
      <c r="L312" s="606"/>
      <c r="M312" s="935"/>
      <c r="N312" s="615"/>
      <c r="O312" s="615"/>
      <c r="P312" s="615"/>
      <c r="Q312" s="615"/>
    </row>
    <row r="313" spans="1:20" ht="15.75" hidden="1" thickBot="1">
      <c r="A313" s="942"/>
      <c r="B313" s="982"/>
      <c r="C313" s="54" t="s">
        <v>29</v>
      </c>
      <c r="D313" s="613"/>
      <c r="E313" s="56">
        <v>6.5090000000000003</v>
      </c>
      <c r="F313" s="281">
        <f t="shared" ref="F313" si="64">+E313</f>
        <v>6.5090000000000003</v>
      </c>
      <c r="G313" s="58">
        <f t="shared" ref="G313" si="65">ROUND(D313*(E313),2)</f>
        <v>0</v>
      </c>
      <c r="H313" s="613"/>
      <c r="I313" s="57"/>
      <c r="J313" s="57"/>
      <c r="K313" s="943"/>
      <c r="L313" s="783"/>
      <c r="M313" s="938"/>
      <c r="N313" s="615"/>
      <c r="O313" s="615"/>
      <c r="P313" s="615"/>
      <c r="Q313" s="615"/>
    </row>
    <row r="314" spans="1:20">
      <c r="A314" s="376">
        <v>403</v>
      </c>
      <c r="B314" s="602" t="s">
        <v>279</v>
      </c>
      <c r="C314" s="618" t="s">
        <v>73</v>
      </c>
      <c r="D314" s="619">
        <v>1</v>
      </c>
      <c r="E314" s="21">
        <v>40.556600000000003</v>
      </c>
      <c r="F314" s="21">
        <v>47.5304</v>
      </c>
      <c r="G314" s="185">
        <f>ROUND(D314*(E314+F314),2)</f>
        <v>88.09</v>
      </c>
      <c r="H314" s="620"/>
      <c r="I314" s="620"/>
      <c r="J314" s="620"/>
      <c r="K314" s="620"/>
      <c r="L314" s="603">
        <f>SUM(G314:G318,J314:J318)</f>
        <v>379.49</v>
      </c>
      <c r="M314" s="187">
        <v>379.49</v>
      </c>
      <c r="N314" s="621"/>
      <c r="O314" s="621"/>
      <c r="P314" s="621"/>
      <c r="Q314" s="622"/>
    </row>
    <row r="315" spans="1:20">
      <c r="A315" s="936"/>
      <c r="B315" s="612"/>
      <c r="C315" s="542" t="s">
        <v>96</v>
      </c>
      <c r="D315" s="234"/>
      <c r="E315" s="38"/>
      <c r="F315" s="38"/>
      <c r="G315" s="235">
        <f>ROUND(D315*(E315+F315),2)</f>
        <v>0</v>
      </c>
      <c r="H315" s="298"/>
      <c r="I315" s="298"/>
      <c r="J315" s="298"/>
      <c r="K315" s="298"/>
      <c r="L315" s="606"/>
      <c r="M315" s="935"/>
      <c r="N315" s="615"/>
      <c r="O315" s="615"/>
      <c r="P315" s="615"/>
      <c r="Q315" s="616"/>
    </row>
    <row r="316" spans="1:20">
      <c r="A316" s="936"/>
      <c r="B316" s="612"/>
      <c r="C316" s="48" t="s">
        <v>260</v>
      </c>
      <c r="D316" s="623"/>
      <c r="E316" s="41">
        <f>6.6439-6.7023</f>
        <v>-5.8399999999999785E-2</v>
      </c>
      <c r="F316" s="41">
        <f t="shared" ref="F316:F318" si="66">+E316</f>
        <v>-5.8399999999999785E-2</v>
      </c>
      <c r="G316" s="50">
        <f>ROUND(D316*(E316),2)</f>
        <v>0</v>
      </c>
      <c r="H316" s="298"/>
      <c r="I316" s="298"/>
      <c r="J316" s="298"/>
      <c r="K316" s="298"/>
      <c r="L316" s="614"/>
      <c r="M316" s="935"/>
      <c r="N316" s="615"/>
      <c r="O316" s="615"/>
      <c r="P316" s="615"/>
      <c r="Q316" s="616"/>
    </row>
    <row r="317" spans="1:20">
      <c r="A317" s="936"/>
      <c r="B317" s="612"/>
      <c r="C317" s="48" t="s">
        <v>263</v>
      </c>
      <c r="D317" s="623">
        <v>1.86</v>
      </c>
      <c r="E317" s="41">
        <v>6.6439000000000004</v>
      </c>
      <c r="F317" s="41">
        <f t="shared" si="66"/>
        <v>6.6439000000000004</v>
      </c>
      <c r="G317" s="39">
        <f t="shared" ref="G317:G318" si="67">ROUND(D317*(E317),2)</f>
        <v>12.36</v>
      </c>
      <c r="H317" s="298"/>
      <c r="I317" s="298"/>
      <c r="J317" s="298"/>
      <c r="K317" s="298"/>
      <c r="L317" s="614"/>
      <c r="M317" s="273"/>
      <c r="N317" s="615"/>
      <c r="O317" s="615"/>
      <c r="P317" s="615"/>
      <c r="Q317" s="616"/>
    </row>
    <row r="318" spans="1:20" ht="15.75" thickBot="1">
      <c r="A318" s="937"/>
      <c r="B318" s="526"/>
      <c r="C318" s="99" t="s">
        <v>29</v>
      </c>
      <c r="D318" s="625">
        <v>42</v>
      </c>
      <c r="E318" s="56">
        <v>6.6439000000000004</v>
      </c>
      <c r="F318" s="281">
        <f t="shared" si="66"/>
        <v>6.6439000000000004</v>
      </c>
      <c r="G318" s="414">
        <f t="shared" si="67"/>
        <v>279.04000000000002</v>
      </c>
      <c r="H318" s="41"/>
      <c r="I318" s="41"/>
      <c r="J318" s="281"/>
      <c r="K318" s="281"/>
      <c r="L318" s="784"/>
      <c r="M318" s="938"/>
      <c r="N318" s="626"/>
      <c r="O318" s="626"/>
      <c r="P318" s="626"/>
      <c r="Q318" s="627"/>
    </row>
    <row r="319" spans="1:20" collapsed="1">
      <c r="A319" s="353" t="s">
        <v>203</v>
      </c>
      <c r="B319" s="494" t="s">
        <v>104</v>
      </c>
      <c r="C319" s="71" t="s">
        <v>243</v>
      </c>
      <c r="D319" s="495">
        <v>25</v>
      </c>
      <c r="E319" s="21">
        <v>40.556600000000003</v>
      </c>
      <c r="F319" s="21">
        <v>47.5304</v>
      </c>
      <c r="G319" s="185">
        <f>ROUND(D319*(E319+F319),2)</f>
        <v>2202.1799999999998</v>
      </c>
      <c r="H319" s="496"/>
      <c r="I319" s="73"/>
      <c r="J319" s="73"/>
      <c r="K319" s="497"/>
      <c r="L319" s="439">
        <f>SUM(G319:G326)+SUM(J319:J325)</f>
        <v>15382.09</v>
      </c>
      <c r="M319" s="26">
        <v>15382.09</v>
      </c>
      <c r="N319" s="499"/>
      <c r="O319" s="500"/>
      <c r="P319" s="501" t="s">
        <v>87</v>
      </c>
      <c r="Q319" s="185" t="e">
        <f t="shared" ref="Q319" si="68">C319+G319+J319-M319-N319-O319</f>
        <v>#VALUE!</v>
      </c>
      <c r="R319" s="502" t="s">
        <v>88</v>
      </c>
      <c r="S319" s="503"/>
      <c r="T319" s="504"/>
    </row>
    <row r="320" spans="1:20" ht="15.75" thickBot="1">
      <c r="A320" s="934">
        <v>417</v>
      </c>
      <c r="B320" s="506"/>
      <c r="C320" s="599" t="s">
        <v>96</v>
      </c>
      <c r="D320" s="234"/>
      <c r="E320" s="38"/>
      <c r="F320" s="38"/>
      <c r="G320" s="235">
        <f>ROUND(D320*(E320+F320),2)</f>
        <v>0</v>
      </c>
      <c r="H320" s="448"/>
      <c r="I320" s="509"/>
      <c r="J320" s="409"/>
      <c r="K320" s="510"/>
      <c r="L320" s="48"/>
      <c r="M320" s="512"/>
      <c r="N320" s="513"/>
      <c r="O320" s="514"/>
      <c r="P320" s="515"/>
      <c r="Q320" s="262"/>
      <c r="R320" s="502"/>
      <c r="S320" s="503"/>
      <c r="T320" s="504"/>
    </row>
    <row r="321" spans="1:21">
      <c r="A321" s="934"/>
      <c r="B321" s="516" t="s">
        <v>89</v>
      </c>
      <c r="C321" s="512" t="s">
        <v>90</v>
      </c>
      <c r="D321" s="508">
        <v>0</v>
      </c>
      <c r="E321" s="101">
        <v>237.98</v>
      </c>
      <c r="F321" s="21">
        <f>F30</f>
        <v>47.5304</v>
      </c>
      <c r="G321" s="50">
        <f>ROUND(D321*(E321+F321),2)</f>
        <v>0</v>
      </c>
      <c r="H321" s="270"/>
      <c r="I321" s="41"/>
      <c r="J321" s="409"/>
      <c r="K321" s="510"/>
      <c r="L321" s="600"/>
      <c r="M321" s="99"/>
      <c r="N321" s="518"/>
      <c r="O321" s="519"/>
      <c r="P321" s="515" t="s">
        <v>87</v>
      </c>
      <c r="Q321" s="271">
        <f>+G321+J321-M321-N321-O321</f>
        <v>0</v>
      </c>
      <c r="R321" s="502" t="s">
        <v>88</v>
      </c>
      <c r="S321" s="503"/>
      <c r="T321" s="504"/>
    </row>
    <row r="322" spans="1:21">
      <c r="A322" s="934"/>
      <c r="B322" s="541"/>
      <c r="C322" s="84" t="s">
        <v>97</v>
      </c>
      <c r="D322" s="508">
        <f>авг18!D313</f>
        <v>0</v>
      </c>
      <c r="E322" s="41"/>
      <c r="F322" s="38"/>
      <c r="G322" s="50">
        <f>ROUND(D322*(E322+F322),2)</f>
        <v>0</v>
      </c>
      <c r="H322" s="432"/>
      <c r="I322" s="362"/>
      <c r="J322" s="41"/>
      <c r="K322" s="510"/>
      <c r="L322" s="600"/>
      <c r="M322" s="520"/>
      <c r="N322" s="521"/>
      <c r="O322" s="522"/>
      <c r="P322" s="523"/>
      <c r="Q322" s="362"/>
      <c r="R322" s="502"/>
      <c r="S322" s="503"/>
      <c r="T322" s="504"/>
    </row>
    <row r="323" spans="1:21">
      <c r="A323" s="934"/>
      <c r="B323" s="541"/>
      <c r="C323" s="84" t="s">
        <v>97</v>
      </c>
      <c r="D323" s="508"/>
      <c r="E323" s="41"/>
      <c r="F323" s="41"/>
      <c r="G323" s="50">
        <f>D323*(E323+F323)</f>
        <v>0</v>
      </c>
      <c r="H323" s="432"/>
      <c r="I323" s="362"/>
      <c r="J323" s="41"/>
      <c r="K323" s="510"/>
      <c r="L323" s="600"/>
      <c r="M323" s="520"/>
      <c r="N323" s="521"/>
      <c r="O323" s="522"/>
      <c r="P323" s="523"/>
      <c r="Q323" s="362"/>
      <c r="R323" s="502"/>
      <c r="S323" s="503"/>
      <c r="T323" s="504"/>
    </row>
    <row r="324" spans="1:21">
      <c r="A324" s="934"/>
      <c r="B324" s="506"/>
      <c r="C324" s="48" t="s">
        <v>260</v>
      </c>
      <c r="D324" s="37">
        <f>авг18!D317+авг18!D318</f>
        <v>3017</v>
      </c>
      <c r="E324" s="41">
        <f>6.6439-6.7023</f>
        <v>-5.8399999999999785E-2</v>
      </c>
      <c r="F324" s="297">
        <f t="shared" ref="F324:F326" si="69">+E324</f>
        <v>-5.8399999999999785E-2</v>
      </c>
      <c r="G324" s="39">
        <f>ROUND(D324*(E324),2)</f>
        <v>-176.19</v>
      </c>
      <c r="H324" s="432"/>
      <c r="I324" s="362"/>
      <c r="J324" s="41"/>
      <c r="K324" s="510"/>
      <c r="L324" s="600"/>
      <c r="M324" s="520"/>
      <c r="N324" s="521"/>
      <c r="O324" s="522"/>
      <c r="P324" s="523"/>
      <c r="Q324" s="362"/>
      <c r="R324" s="502"/>
      <c r="S324" s="503"/>
      <c r="T324" s="504"/>
    </row>
    <row r="325" spans="1:21">
      <c r="A325" s="934"/>
      <c r="B325" s="506"/>
      <c r="C325" s="48" t="s">
        <v>263</v>
      </c>
      <c r="D325" s="37">
        <v>85.28</v>
      </c>
      <c r="E325" s="41">
        <v>6.6439000000000004</v>
      </c>
      <c r="F325" s="298">
        <f t="shared" si="69"/>
        <v>6.6439000000000004</v>
      </c>
      <c r="G325" s="39">
        <f>ROUND(D325*(E325),2)</f>
        <v>566.59</v>
      </c>
      <c r="H325" s="432"/>
      <c r="I325" s="362"/>
      <c r="J325" s="41"/>
      <c r="K325" s="510"/>
      <c r="L325" s="600"/>
      <c r="M325" s="520"/>
      <c r="N325" s="521"/>
      <c r="O325" s="522"/>
      <c r="P325" s="523"/>
      <c r="Q325" s="362"/>
      <c r="R325" s="502"/>
      <c r="S325" s="503"/>
      <c r="T325" s="504"/>
      <c r="U325" s="33"/>
    </row>
    <row r="326" spans="1:21" ht="15.75" thickBot="1">
      <c r="A326" s="934"/>
      <c r="B326" s="526"/>
      <c r="C326" s="99" t="s">
        <v>29</v>
      </c>
      <c r="D326" s="55">
        <v>1925</v>
      </c>
      <c r="E326" s="56">
        <v>6.6439000000000004</v>
      </c>
      <c r="F326" s="57">
        <f t="shared" si="69"/>
        <v>6.6439000000000004</v>
      </c>
      <c r="G326" s="414">
        <f>ROUND(D326*(E326),2)</f>
        <v>12789.51</v>
      </c>
      <c r="H326" s="248"/>
      <c r="I326" s="203"/>
      <c r="J326" s="60"/>
      <c r="K326" s="61"/>
      <c r="L326" s="204"/>
      <c r="M326" s="54"/>
      <c r="N326" s="527"/>
      <c r="O326" s="528"/>
      <c r="P326" s="529" t="s">
        <v>87</v>
      </c>
      <c r="Q326" s="362">
        <f>+G326+J326-M326-N326-O326</f>
        <v>12789.51</v>
      </c>
      <c r="R326" s="502" t="s">
        <v>88</v>
      </c>
      <c r="S326" s="598">
        <f>SUM(N319:N326)+O319:O326</f>
        <v>0</v>
      </c>
      <c r="T326" s="598" t="e">
        <f>SUM(Q319:Q326)</f>
        <v>#VALUE!</v>
      </c>
    </row>
    <row r="327" spans="1:21">
      <c r="A327" s="376">
        <v>407</v>
      </c>
      <c r="B327" s="494" t="s">
        <v>108</v>
      </c>
      <c r="C327" s="71">
        <f>+[1]дек!U87</f>
        <v>0</v>
      </c>
      <c r="D327" s="495">
        <v>4</v>
      </c>
      <c r="E327" s="21">
        <v>40.556600000000003</v>
      </c>
      <c r="F327" s="21">
        <v>47.5304</v>
      </c>
      <c r="G327" s="185">
        <f>ROUND(D327*(E327+F327),2)</f>
        <v>352.35</v>
      </c>
      <c r="H327" s="496"/>
      <c r="I327" s="73"/>
      <c r="J327" s="73"/>
      <c r="K327" s="497"/>
      <c r="L327" s="498">
        <f>SUM(G327:G333)+SUM(J327:J332)</f>
        <v>2570.3700000000003</v>
      </c>
      <c r="M327" s="26">
        <v>2570.37</v>
      </c>
      <c r="N327" s="499"/>
      <c r="O327" s="500"/>
      <c r="P327" s="501" t="s">
        <v>87</v>
      </c>
      <c r="Q327" s="304">
        <f t="shared" ref="Q327:Q329" si="70">C327+G327+J327-M327-N327-O327</f>
        <v>-2218.02</v>
      </c>
    </row>
    <row r="328" spans="1:21">
      <c r="A328" s="389"/>
      <c r="B328" s="506"/>
      <c r="C328" s="542" t="s">
        <v>96</v>
      </c>
      <c r="D328" s="234"/>
      <c r="E328" s="38"/>
      <c r="F328" s="38"/>
      <c r="G328" s="235">
        <f>ROUND(D328*(E328+F328),2)</f>
        <v>0</v>
      </c>
      <c r="H328" s="448"/>
      <c r="I328" s="509"/>
      <c r="J328" s="409"/>
      <c r="K328" s="510"/>
      <c r="L328" s="632"/>
      <c r="M328" s="512"/>
      <c r="N328" s="513"/>
      <c r="O328" s="514"/>
      <c r="P328" s="515"/>
      <c r="Q328" s="262"/>
    </row>
    <row r="329" spans="1:21">
      <c r="A329" s="389"/>
      <c r="B329" s="516" t="s">
        <v>109</v>
      </c>
      <c r="C329" s="633"/>
      <c r="D329" s="508">
        <v>0</v>
      </c>
      <c r="E329" s="101">
        <v>237.98</v>
      </c>
      <c r="F329" s="38">
        <f>F327</f>
        <v>47.5304</v>
      </c>
      <c r="G329" s="50">
        <f>D329*(E329+F329)</f>
        <v>0</v>
      </c>
      <c r="H329" s="270"/>
      <c r="I329" s="41"/>
      <c r="J329" s="409"/>
      <c r="K329" s="510"/>
      <c r="L329" s="597"/>
      <c r="M329" s="99"/>
      <c r="N329" s="518"/>
      <c r="O329" s="519"/>
      <c r="P329" s="515" t="s">
        <v>87</v>
      </c>
      <c r="Q329" s="271">
        <f t="shared" si="70"/>
        <v>0</v>
      </c>
    </row>
    <row r="330" spans="1:21">
      <c r="A330" s="389"/>
      <c r="B330" s="541"/>
      <c r="C330" s="84" t="s">
        <v>97</v>
      </c>
      <c r="D330" s="508">
        <f>авг18!D321</f>
        <v>0</v>
      </c>
      <c r="E330" s="41"/>
      <c r="F330" s="41"/>
      <c r="G330" s="50">
        <f>D330*(E330+F330)</f>
        <v>0</v>
      </c>
      <c r="H330" s="432"/>
      <c r="I330" s="362"/>
      <c r="J330" s="207"/>
      <c r="K330" s="510"/>
      <c r="L330" s="597"/>
      <c r="M330" s="520"/>
      <c r="N330" s="521"/>
      <c r="O330" s="522"/>
      <c r="P330" s="523"/>
      <c r="Q330" s="362"/>
    </row>
    <row r="331" spans="1:21">
      <c r="A331" s="389"/>
      <c r="B331" s="506"/>
      <c r="C331" s="48" t="s">
        <v>260</v>
      </c>
      <c r="D331" s="37">
        <f>авг18!D324+авг18!D325</f>
        <v>275</v>
      </c>
      <c r="E331" s="41">
        <f>6.6439-6.7023</f>
        <v>-5.8399999999999785E-2</v>
      </c>
      <c r="F331" s="41">
        <f>+E331</f>
        <v>-5.8399999999999785E-2</v>
      </c>
      <c r="G331" s="39">
        <f>ROUND(D331*(E331),2)</f>
        <v>-16.059999999999999</v>
      </c>
      <c r="H331" s="432"/>
      <c r="I331" s="362"/>
      <c r="J331" s="207"/>
      <c r="K331" s="510"/>
      <c r="L331" s="597"/>
      <c r="M331" s="520"/>
      <c r="N331" s="521"/>
      <c r="O331" s="522"/>
      <c r="P331" s="523"/>
      <c r="Q331" s="362"/>
    </row>
    <row r="332" spans="1:21">
      <c r="A332" s="389"/>
      <c r="B332" s="506"/>
      <c r="C332" s="48" t="s">
        <v>263</v>
      </c>
      <c r="D332" s="37">
        <v>14.26</v>
      </c>
      <c r="E332" s="41">
        <v>6.6439000000000004</v>
      </c>
      <c r="F332" s="41">
        <f>+E332</f>
        <v>6.6439000000000004</v>
      </c>
      <c r="G332" s="39">
        <f t="shared" ref="G332:G333" si="71">ROUND(D332*(E332),2)</f>
        <v>94.74</v>
      </c>
      <c r="H332" s="432"/>
      <c r="I332" s="362"/>
      <c r="J332" s="207"/>
      <c r="K332" s="510"/>
      <c r="L332" s="597"/>
      <c r="M332" s="520"/>
      <c r="N332" s="521"/>
      <c r="O332" s="522"/>
      <c r="P332" s="523"/>
      <c r="Q332" s="362"/>
    </row>
    <row r="333" spans="1:21" ht="15.75" thickBot="1">
      <c r="A333" s="411"/>
      <c r="B333" s="526"/>
      <c r="C333" s="54" t="s">
        <v>29</v>
      </c>
      <c r="D333" s="55">
        <v>322</v>
      </c>
      <c r="E333" s="56">
        <v>6.6439000000000004</v>
      </c>
      <c r="F333" s="281">
        <f>+E333</f>
        <v>6.6439000000000004</v>
      </c>
      <c r="G333" s="414">
        <f t="shared" si="71"/>
        <v>2139.34</v>
      </c>
      <c r="H333" s="248"/>
      <c r="I333" s="203"/>
      <c r="J333" s="60"/>
      <c r="K333" s="61"/>
      <c r="L333" s="249"/>
      <c r="M333" s="54"/>
      <c r="N333" s="527"/>
      <c r="O333" s="528"/>
      <c r="P333" s="529" t="s">
        <v>87</v>
      </c>
      <c r="Q333" s="282">
        <f>+G333+J333-M333-N333-O333</f>
        <v>2139.34</v>
      </c>
    </row>
    <row r="334" spans="1:21" collapsed="1">
      <c r="A334" s="376">
        <v>411</v>
      </c>
      <c r="B334" s="602" t="s">
        <v>127</v>
      </c>
      <c r="C334" s="439" t="s">
        <v>260</v>
      </c>
      <c r="D334" s="184">
        <f>авг18!D327+авг18!D328</f>
        <v>652.70000000000005</v>
      </c>
      <c r="E334" s="23">
        <f>6.6439-6.7023</f>
        <v>-5.8399999999999785E-2</v>
      </c>
      <c r="F334" s="23">
        <f t="shared" ref="F334" si="72">+E334</f>
        <v>-5.8399999999999785E-2</v>
      </c>
      <c r="G334" s="185">
        <f>ROUND(D334*(E334),2)</f>
        <v>-38.119999999999997</v>
      </c>
      <c r="H334" s="669"/>
      <c r="I334" s="620"/>
      <c r="J334" s="620"/>
      <c r="K334" s="634"/>
      <c r="L334" s="603">
        <f>SUM(G334:G337)</f>
        <v>2855.1000000000004</v>
      </c>
      <c r="M334" s="187">
        <v>2855.1</v>
      </c>
      <c r="N334" s="604"/>
      <c r="O334" s="635"/>
      <c r="P334" s="636"/>
      <c r="Q334" s="605"/>
    </row>
    <row r="335" spans="1:21">
      <c r="A335" s="934"/>
      <c r="B335" s="506"/>
      <c r="C335" s="48" t="s">
        <v>263</v>
      </c>
      <c r="D335" s="49">
        <v>18.47</v>
      </c>
      <c r="E335" s="41">
        <v>6.6439000000000004</v>
      </c>
      <c r="F335" s="41">
        <f>+E335</f>
        <v>6.6439000000000004</v>
      </c>
      <c r="G335" s="50">
        <f>ROUND(D335*(E335),2)</f>
        <v>122.71</v>
      </c>
      <c r="H335" s="296"/>
      <c r="I335" s="298"/>
      <c r="J335" s="298"/>
      <c r="K335" s="637"/>
      <c r="L335" s="606"/>
      <c r="M335" s="935"/>
      <c r="N335" s="607"/>
      <c r="O335" s="608"/>
      <c r="P335" s="609"/>
      <c r="Q335" s="610"/>
    </row>
    <row r="336" spans="1:21">
      <c r="A336" s="934"/>
      <c r="B336" s="506"/>
      <c r="C336" s="99" t="s">
        <v>29</v>
      </c>
      <c r="D336" s="296">
        <v>417</v>
      </c>
      <c r="E336" s="101">
        <v>6.6439000000000004</v>
      </c>
      <c r="F336" s="41">
        <f t="shared" ref="F336" si="73">+E336</f>
        <v>6.6439000000000004</v>
      </c>
      <c r="G336" s="50">
        <f t="shared" ref="G336" si="74">ROUND(D336*(E336),2)</f>
        <v>2770.51</v>
      </c>
      <c r="H336" s="296"/>
      <c r="I336" s="298"/>
      <c r="J336" s="298"/>
      <c r="K336" s="637"/>
      <c r="L336" s="606"/>
      <c r="M336" s="935"/>
      <c r="N336" s="615"/>
      <c r="O336" s="615"/>
      <c r="P336" s="615"/>
      <c r="Q336" s="616"/>
    </row>
    <row r="337" spans="1:21" ht="15.75" thickBot="1">
      <c r="A337" s="942"/>
      <c r="B337" s="278"/>
      <c r="C337" s="784"/>
      <c r="D337" s="941"/>
      <c r="E337" s="281"/>
      <c r="F337" s="57"/>
      <c r="G337" s="58"/>
      <c r="H337" s="613"/>
      <c r="I337" s="57"/>
      <c r="J337" s="57"/>
      <c r="K337" s="637"/>
      <c r="L337" s="606"/>
      <c r="M337" s="935"/>
      <c r="N337" s="615"/>
      <c r="O337" s="615"/>
      <c r="P337" s="615"/>
      <c r="Q337" s="615"/>
    </row>
    <row r="338" spans="1:21">
      <c r="A338" s="376">
        <v>501</v>
      </c>
      <c r="B338" s="494" t="s">
        <v>202</v>
      </c>
      <c r="C338" s="71"/>
      <c r="D338" s="495">
        <v>20</v>
      </c>
      <c r="E338" s="21">
        <v>40.556600000000003</v>
      </c>
      <c r="F338" s="21">
        <v>47.5304</v>
      </c>
      <c r="G338" s="185">
        <f>ROUND(D338*(E338+F338),2)</f>
        <v>1761.74</v>
      </c>
      <c r="H338" s="496"/>
      <c r="I338" s="73"/>
      <c r="J338" s="73"/>
      <c r="K338" s="497"/>
      <c r="L338" s="498">
        <f>+SUM(G338:G345,C345)+SUM(J338:J345)</f>
        <v>60085.892</v>
      </c>
      <c r="M338" s="26">
        <v>60085.89</v>
      </c>
      <c r="N338" s="499"/>
      <c r="O338" s="500"/>
      <c r="P338" s="501" t="s">
        <v>87</v>
      </c>
      <c r="Q338" s="304">
        <f t="shared" ref="Q338:Q355" si="75">C338+G338+J338-M338-N338-O338</f>
        <v>-58324.15</v>
      </c>
      <c r="R338" s="502" t="s">
        <v>88</v>
      </c>
      <c r="S338" s="503"/>
      <c r="T338" s="504"/>
      <c r="U338" s="33"/>
    </row>
    <row r="339" spans="1:21">
      <c r="A339" s="389"/>
      <c r="B339" s="506"/>
      <c r="C339" s="507" t="s">
        <v>264</v>
      </c>
      <c r="D339" s="508"/>
      <c r="E339" s="38"/>
      <c r="F339" s="38"/>
      <c r="G339" s="50">
        <f>ROUND(D339*(E339+F339),2)</f>
        <v>0</v>
      </c>
      <c r="H339" s="448"/>
      <c r="I339" s="509"/>
      <c r="J339" s="409"/>
      <c r="K339" s="510"/>
      <c r="L339" s="511"/>
      <c r="M339" s="512"/>
      <c r="N339" s="513"/>
      <c r="O339" s="514"/>
      <c r="P339" s="515"/>
      <c r="Q339" s="262"/>
      <c r="R339" s="502"/>
      <c r="S339" s="503"/>
      <c r="T339" s="504"/>
      <c r="U339" s="33"/>
    </row>
    <row r="340" spans="1:21">
      <c r="A340" s="389"/>
      <c r="B340" s="516" t="s">
        <v>89</v>
      </c>
      <c r="C340" s="512" t="s">
        <v>90</v>
      </c>
      <c r="D340" s="508">
        <v>5</v>
      </c>
      <c r="E340" s="101">
        <v>237.98</v>
      </c>
      <c r="F340" s="38">
        <f>F338</f>
        <v>47.5304</v>
      </c>
      <c r="G340" s="50">
        <f>D340*(E340+F340)</f>
        <v>1427.5520000000001</v>
      </c>
      <c r="H340" s="270"/>
      <c r="I340" s="41"/>
      <c r="J340" s="409"/>
      <c r="K340" s="510"/>
      <c r="L340" s="517"/>
      <c r="M340" s="99"/>
      <c r="N340" s="518"/>
      <c r="O340" s="519"/>
      <c r="P340" s="515" t="s">
        <v>87</v>
      </c>
      <c r="Q340" s="271">
        <f>+G340+J340-M340-N340-O340</f>
        <v>1427.5520000000001</v>
      </c>
      <c r="R340" s="502" t="s">
        <v>88</v>
      </c>
      <c r="S340" s="503"/>
      <c r="T340" s="504"/>
    </row>
    <row r="341" spans="1:21">
      <c r="A341" s="389"/>
      <c r="B341" s="506" t="s">
        <v>91</v>
      </c>
      <c r="C341" s="507"/>
      <c r="D341" s="508">
        <f>авг18!D332</f>
        <v>7</v>
      </c>
      <c r="E341" s="41"/>
      <c r="F341" s="38"/>
      <c r="G341" s="50">
        <f>ROUND(D341*(E341+F341),2)</f>
        <v>0</v>
      </c>
      <c r="H341" s="432"/>
      <c r="I341" s="362"/>
      <c r="J341" s="409"/>
      <c r="K341" s="510"/>
      <c r="L341" s="517"/>
      <c r="M341" s="520"/>
      <c r="N341" s="521"/>
      <c r="O341" s="522"/>
      <c r="P341" s="523"/>
      <c r="Q341" s="362"/>
      <c r="R341" s="502"/>
      <c r="S341" s="503"/>
      <c r="T341" s="504"/>
    </row>
    <row r="342" spans="1:21">
      <c r="A342" s="389"/>
      <c r="B342" s="506" t="s">
        <v>91</v>
      </c>
      <c r="C342" s="507"/>
      <c r="D342" s="508"/>
      <c r="E342" s="38"/>
      <c r="F342" s="41"/>
      <c r="G342" s="50">
        <f>D342*(E342+F342)</f>
        <v>0</v>
      </c>
      <c r="H342" s="432"/>
      <c r="I342" s="362"/>
      <c r="J342" s="409"/>
      <c r="K342" s="510"/>
      <c r="L342" s="517"/>
      <c r="M342" s="520"/>
      <c r="N342" s="521"/>
      <c r="O342" s="522"/>
      <c r="P342" s="523"/>
      <c r="Q342" s="362"/>
      <c r="R342" s="502"/>
      <c r="S342" s="503"/>
      <c r="T342" s="504"/>
    </row>
    <row r="343" spans="1:21">
      <c r="A343" s="389"/>
      <c r="B343" s="506" t="s">
        <v>92</v>
      </c>
      <c r="C343" s="48" t="s">
        <v>260</v>
      </c>
      <c r="D343" s="508">
        <f>авг18!D336+авг18!D337</f>
        <v>7550</v>
      </c>
      <c r="E343" s="41">
        <f>6.6439-6.7023</f>
        <v>-5.8399999999999785E-2</v>
      </c>
      <c r="F343" s="41">
        <f>+E343</f>
        <v>-5.8399999999999785E-2</v>
      </c>
      <c r="G343" s="39">
        <f>ROUNDDOWN(D343*E343,2)-0.01</f>
        <v>-440.92</v>
      </c>
      <c r="H343" s="432"/>
      <c r="I343" s="362"/>
      <c r="J343" s="41"/>
      <c r="K343" s="510"/>
      <c r="L343" s="517"/>
      <c r="M343" s="520"/>
      <c r="N343" s="521"/>
      <c r="O343" s="522"/>
      <c r="P343" s="523"/>
      <c r="Q343" s="362"/>
      <c r="R343" s="502"/>
      <c r="S343" s="503"/>
      <c r="T343" s="504"/>
    </row>
    <row r="344" spans="1:21">
      <c r="A344" s="389"/>
      <c r="B344" s="506"/>
      <c r="C344" s="48" t="s">
        <v>263</v>
      </c>
      <c r="D344" s="508">
        <v>366.1</v>
      </c>
      <c r="E344" s="41">
        <v>6.6439000000000004</v>
      </c>
      <c r="F344" s="41">
        <f>+E344</f>
        <v>6.6439000000000004</v>
      </c>
      <c r="G344" s="39">
        <f>ROUND(D344*E344,2)</f>
        <v>2432.33</v>
      </c>
      <c r="H344" s="432"/>
      <c r="I344" s="362"/>
      <c r="J344" s="207"/>
      <c r="K344" s="524"/>
      <c r="L344" s="517"/>
      <c r="M344" s="520"/>
      <c r="N344" s="521"/>
      <c r="O344" s="522"/>
      <c r="P344" s="523"/>
      <c r="Q344" s="362"/>
      <c r="R344" s="502"/>
      <c r="S344" s="503"/>
      <c r="T344" s="504"/>
    </row>
    <row r="345" spans="1:21" ht="15.75" thickBot="1">
      <c r="A345" s="411"/>
      <c r="B345" s="526"/>
      <c r="C345" s="99" t="s">
        <v>29</v>
      </c>
      <c r="D345" s="55">
        <v>8264</v>
      </c>
      <c r="E345" s="56">
        <v>6.6439000000000004</v>
      </c>
      <c r="F345" s="57">
        <f>+E345</f>
        <v>6.6439000000000004</v>
      </c>
      <c r="G345" s="58">
        <f>ROUND(D345*E345,2)</f>
        <v>54905.19</v>
      </c>
      <c r="H345" s="248"/>
      <c r="I345" s="203"/>
      <c r="J345" s="60"/>
      <c r="K345" s="61"/>
      <c r="L345" s="249"/>
      <c r="M345" s="54"/>
      <c r="N345" s="527"/>
      <c r="O345" s="528"/>
      <c r="P345" s="529" t="s">
        <v>87</v>
      </c>
      <c r="Q345" s="282">
        <f>+G345+J345-M345-N345-O345</f>
        <v>54905.19</v>
      </c>
      <c r="R345" s="530" t="s">
        <v>88</v>
      </c>
      <c r="S345" s="531">
        <f>SUM(N338:N345)+O338:O345</f>
        <v>0</v>
      </c>
      <c r="T345" s="531">
        <f>SUM(Q338:Q345)</f>
        <v>-1991.4079999999958</v>
      </c>
      <c r="U345" s="33"/>
    </row>
    <row r="346" spans="1:21" ht="15.75" thickTop="1">
      <c r="A346" s="339">
        <v>502</v>
      </c>
      <c r="B346" s="532" t="s">
        <v>192</v>
      </c>
      <c r="C346" s="71">
        <f>+[1]дек!U51</f>
        <v>-6.0000000303261913E-4</v>
      </c>
      <c r="D346" s="213">
        <v>30</v>
      </c>
      <c r="E346" s="21">
        <v>40.556600000000003</v>
      </c>
      <c r="F346" s="21">
        <v>47.5304</v>
      </c>
      <c r="G346" s="214">
        <f>ROUND(D346*(E346+F346),2)</f>
        <v>2642.61</v>
      </c>
      <c r="H346" s="496"/>
      <c r="I346" s="73"/>
      <c r="J346" s="73"/>
      <c r="K346" s="497"/>
      <c r="L346" s="533">
        <f>+SUM(G346:G353,)+SUM(J346:J353)</f>
        <v>34035.700000000004</v>
      </c>
      <c r="M346" s="26">
        <v>34035.699999999997</v>
      </c>
      <c r="N346" s="534"/>
      <c r="O346" s="535"/>
      <c r="P346" s="536" t="s">
        <v>87</v>
      </c>
      <c r="Q346" s="537">
        <f t="shared" si="75"/>
        <v>-31393.0906</v>
      </c>
      <c r="R346" s="538" t="s">
        <v>95</v>
      </c>
      <c r="S346" s="539"/>
      <c r="T346" s="540"/>
      <c r="U346" s="33"/>
    </row>
    <row r="347" spans="1:21">
      <c r="A347" s="353"/>
      <c r="B347" s="541"/>
      <c r="C347" s="542" t="s">
        <v>96</v>
      </c>
      <c r="D347" s="234"/>
      <c r="E347" s="38"/>
      <c r="F347" s="38"/>
      <c r="G347" s="235">
        <f>ROUND(D347*(E347+F347),2)</f>
        <v>0</v>
      </c>
      <c r="H347" s="448"/>
      <c r="I347" s="509"/>
      <c r="J347" s="509"/>
      <c r="K347" s="543"/>
      <c r="L347" s="544"/>
      <c r="M347" s="545"/>
      <c r="N347" s="546"/>
      <c r="O347" s="547"/>
      <c r="P347" s="548"/>
      <c r="Q347" s="549"/>
      <c r="R347" s="550"/>
      <c r="S347" s="551"/>
      <c r="T347" s="552"/>
      <c r="U347" s="33"/>
    </row>
    <row r="348" spans="1:21">
      <c r="A348" s="353"/>
      <c r="B348" s="516" t="s">
        <v>32</v>
      </c>
      <c r="C348" s="99" t="s">
        <v>90</v>
      </c>
      <c r="D348" s="234">
        <v>16</v>
      </c>
      <c r="E348" s="101">
        <v>237.98</v>
      </c>
      <c r="F348" s="38">
        <f>F346</f>
        <v>47.5304</v>
      </c>
      <c r="G348" s="235">
        <f>ROUND(D348*(E348+F348),2)</f>
        <v>4568.17</v>
      </c>
      <c r="H348" s="270"/>
      <c r="I348" s="41"/>
      <c r="J348" s="41"/>
      <c r="K348" s="510"/>
      <c r="L348" s="553"/>
      <c r="M348" s="554"/>
      <c r="N348" s="555"/>
      <c r="O348" s="556"/>
      <c r="P348" s="557" t="s">
        <v>87</v>
      </c>
      <c r="Q348" s="558">
        <f>+G348+J348-M348-N348-O348</f>
        <v>4568.17</v>
      </c>
      <c r="R348" s="550" t="s">
        <v>95</v>
      </c>
      <c r="S348" s="551"/>
      <c r="T348" s="552"/>
    </row>
    <row r="349" spans="1:21">
      <c r="A349" s="353"/>
      <c r="B349" s="541"/>
      <c r="C349" s="84" t="s">
        <v>97</v>
      </c>
      <c r="D349" s="234">
        <f>авг18!D340</f>
        <v>27</v>
      </c>
      <c r="E349" s="41"/>
      <c r="F349" s="38"/>
      <c r="G349" s="50">
        <f>ROUND(D349*(E349+F349),2)</f>
        <v>0</v>
      </c>
      <c r="H349" s="432"/>
      <c r="I349" s="362"/>
      <c r="J349" s="41"/>
      <c r="K349" s="510"/>
      <c r="L349" s="559"/>
      <c r="M349" s="560"/>
      <c r="N349" s="561"/>
      <c r="O349" s="562"/>
      <c r="P349" s="563"/>
      <c r="Q349" s="564"/>
      <c r="R349" s="550"/>
      <c r="S349" s="551"/>
      <c r="T349" s="552"/>
    </row>
    <row r="350" spans="1:21">
      <c r="A350" s="353"/>
      <c r="B350" s="541"/>
      <c r="C350" s="84" t="s">
        <v>97</v>
      </c>
      <c r="D350" s="234"/>
      <c r="E350" s="38"/>
      <c r="F350" s="240"/>
      <c r="G350" s="50">
        <f>D350*(E350+F350)</f>
        <v>0</v>
      </c>
      <c r="H350" s="432"/>
      <c r="I350" s="362"/>
      <c r="J350" s="41"/>
      <c r="K350" s="510"/>
      <c r="L350" s="559"/>
      <c r="M350" s="560"/>
      <c r="N350" s="561"/>
      <c r="O350" s="562"/>
      <c r="P350" s="563"/>
      <c r="Q350" s="564"/>
      <c r="R350" s="550"/>
      <c r="S350" s="551"/>
      <c r="T350" s="552"/>
    </row>
    <row r="351" spans="1:21">
      <c r="A351" s="353"/>
      <c r="B351" s="541"/>
      <c r="C351" s="48" t="s">
        <v>260</v>
      </c>
      <c r="D351" s="37">
        <f>авг18!D344+авг18!D345</f>
        <v>6742</v>
      </c>
      <c r="E351" s="41">
        <f>6.6439-6.7023</f>
        <v>-5.8399999999999785E-2</v>
      </c>
      <c r="F351" s="41">
        <f>+E351</f>
        <v>-5.8399999999999785E-2</v>
      </c>
      <c r="G351" s="235">
        <f>ROUND(D351*E351,2)-0.01</f>
        <v>-393.74</v>
      </c>
      <c r="H351" s="565"/>
      <c r="I351" s="564"/>
      <c r="J351" s="566"/>
      <c r="K351" s="567"/>
      <c r="L351" s="559"/>
      <c r="M351" s="560"/>
      <c r="N351" s="561"/>
      <c r="O351" s="562"/>
      <c r="P351" s="563"/>
      <c r="Q351" s="564"/>
      <c r="R351" s="550"/>
      <c r="S351" s="551"/>
      <c r="T351" s="552"/>
      <c r="U351" s="352"/>
    </row>
    <row r="352" spans="1:21">
      <c r="A352" s="353"/>
      <c r="B352" s="541"/>
      <c r="C352" s="48" t="s">
        <v>263</v>
      </c>
      <c r="D352" s="37">
        <v>173.79</v>
      </c>
      <c r="E352" s="41">
        <v>6.6439000000000004</v>
      </c>
      <c r="F352" s="41">
        <f>+E352</f>
        <v>6.6439000000000004</v>
      </c>
      <c r="G352" s="235">
        <f>ROUND(D352*E352,2)</f>
        <v>1154.6400000000001</v>
      </c>
      <c r="H352" s="565"/>
      <c r="I352" s="564"/>
      <c r="J352" s="566"/>
      <c r="K352" s="567"/>
      <c r="L352" s="559"/>
      <c r="M352" s="560"/>
      <c r="N352" s="561"/>
      <c r="O352" s="562"/>
      <c r="P352" s="563"/>
      <c r="Q352" s="564"/>
      <c r="R352" s="550"/>
      <c r="S352" s="551"/>
      <c r="T352" s="552"/>
      <c r="U352" s="33"/>
    </row>
    <row r="353" spans="1:20" ht="15.75" thickBot="1">
      <c r="A353" s="369"/>
      <c r="B353" s="568"/>
      <c r="C353" s="99" t="s">
        <v>29</v>
      </c>
      <c r="D353" s="246">
        <v>3923</v>
      </c>
      <c r="E353" s="56">
        <v>6.6439000000000004</v>
      </c>
      <c r="F353" s="57">
        <f>+E353</f>
        <v>6.6439000000000004</v>
      </c>
      <c r="G353" s="247">
        <f>ROUND(D353*E353,2)</f>
        <v>26064.02</v>
      </c>
      <c r="H353" s="248"/>
      <c r="I353" s="203"/>
      <c r="J353" s="60"/>
      <c r="K353" s="61"/>
      <c r="L353" s="204"/>
      <c r="M353" s="560"/>
      <c r="N353" s="561"/>
      <c r="O353" s="528"/>
      <c r="P353" s="529" t="s">
        <v>87</v>
      </c>
      <c r="Q353" s="564">
        <f>+G353+J353-M353-N353-O353</f>
        <v>26064.02</v>
      </c>
      <c r="R353" s="550" t="s">
        <v>95</v>
      </c>
      <c r="S353" s="569">
        <f>SUM(N346:N353)+O346:O353</f>
        <v>0</v>
      </c>
      <c r="T353" s="570">
        <f>SUM(Q348:Q353)</f>
        <v>30632.190000000002</v>
      </c>
    </row>
    <row r="354" spans="1:20" ht="15.75" hidden="1" outlineLevel="1" thickBot="1">
      <c r="A354" s="571"/>
      <c r="B354" s="572" t="s">
        <v>98</v>
      </c>
      <c r="C354" s="573" t="s">
        <v>99</v>
      </c>
      <c r="D354" s="574"/>
      <c r="E354" s="575">
        <f>3.193-2.9732</f>
        <v>0.21980000000000022</v>
      </c>
      <c r="F354" s="575">
        <f>3.193-2.9732</f>
        <v>0.21980000000000022</v>
      </c>
      <c r="G354" s="576">
        <f>D354*E354*70%+D354*F354*30%</f>
        <v>0</v>
      </c>
      <c r="H354" s="577"/>
      <c r="I354" s="578"/>
      <c r="J354" s="579"/>
      <c r="K354" s="579"/>
      <c r="L354" s="580"/>
      <c r="M354" s="581"/>
      <c r="N354" s="582"/>
      <c r="O354" s="535"/>
      <c r="P354" s="536"/>
      <c r="Q354" s="583"/>
      <c r="R354" s="584"/>
      <c r="S354" s="569"/>
      <c r="T354" s="585"/>
    </row>
    <row r="355" spans="1:20" s="81" customFormat="1" ht="16.5" hidden="1" customHeight="1" outlineLevel="1" thickBot="1">
      <c r="A355" s="933" t="s">
        <v>100</v>
      </c>
      <c r="B355" s="587" t="s">
        <v>98</v>
      </c>
      <c r="C355" s="588">
        <f>+[1]авг!C52</f>
        <v>0</v>
      </c>
      <c r="D355" s="589"/>
      <c r="E355" s="575">
        <v>3.1930000000000001</v>
      </c>
      <c r="F355" s="575">
        <f>+E355</f>
        <v>3.1930000000000001</v>
      </c>
      <c r="G355" s="576">
        <f>D355*E355*70%+D355*F355*30%</f>
        <v>0</v>
      </c>
      <c r="H355" s="579"/>
      <c r="I355" s="579"/>
      <c r="J355" s="579"/>
      <c r="K355" s="579"/>
      <c r="L355" s="579">
        <f>+C355+G355+G354</f>
        <v>0</v>
      </c>
      <c r="M355" s="590"/>
      <c r="N355" s="500"/>
      <c r="O355" s="528"/>
      <c r="P355" s="529" t="s">
        <v>87</v>
      </c>
      <c r="Q355" s="591">
        <f t="shared" si="75"/>
        <v>0</v>
      </c>
      <c r="R355" s="592" t="s">
        <v>101</v>
      </c>
      <c r="S355" s="77">
        <f>SUM(N355:N355)+SUM(O355:O355)</f>
        <v>0</v>
      </c>
      <c r="T355" s="593">
        <f>SUM(Q355:Q355)</f>
        <v>0</v>
      </c>
    </row>
    <row r="356" spans="1:20" ht="15.75" hidden="1" outlineLevel="1" thickBot="1">
      <c r="A356" s="944"/>
      <c r="B356" s="945" t="s">
        <v>128</v>
      </c>
      <c r="C356" s="573" t="s">
        <v>115</v>
      </c>
      <c r="D356" s="946"/>
      <c r="E356" s="579">
        <f>6.8021-6.8946</f>
        <v>-9.2499999999999361E-2</v>
      </c>
      <c r="F356" s="579">
        <f t="shared" ref="F356" si="76">+E356</f>
        <v>-9.2499999999999361E-2</v>
      </c>
      <c r="G356" s="947">
        <f>ROUND(D356*(E356),2)</f>
        <v>0</v>
      </c>
      <c r="H356" s="948"/>
      <c r="I356" s="949"/>
      <c r="J356" s="949"/>
      <c r="K356" s="950"/>
      <c r="L356" s="951"/>
      <c r="M356" s="952"/>
      <c r="N356" s="604"/>
      <c r="O356" s="635"/>
      <c r="P356" s="636"/>
      <c r="Q356" s="605"/>
    </row>
    <row r="357" spans="1:20" ht="15.75" hidden="1" outlineLevel="1" thickBot="1">
      <c r="A357" s="953"/>
      <c r="B357" s="954"/>
      <c r="C357" s="573" t="s">
        <v>114</v>
      </c>
      <c r="D357" s="946"/>
      <c r="E357" s="579">
        <v>6.8021000000000003</v>
      </c>
      <c r="F357" s="579">
        <f>+E357</f>
        <v>6.8021000000000003</v>
      </c>
      <c r="G357" s="947">
        <f>ROUND(D357*(E357),2)</f>
        <v>0</v>
      </c>
      <c r="H357" s="948"/>
      <c r="I357" s="949"/>
      <c r="J357" s="949"/>
      <c r="K357" s="950"/>
      <c r="L357" s="955"/>
      <c r="M357" s="956"/>
      <c r="N357" s="607"/>
      <c r="O357" s="608"/>
      <c r="P357" s="609"/>
      <c r="Q357" s="610"/>
    </row>
    <row r="358" spans="1:20" ht="15.75" hidden="1" outlineLevel="1" thickBot="1">
      <c r="A358" s="944"/>
      <c r="B358" s="954"/>
      <c r="C358" s="916" t="s">
        <v>29</v>
      </c>
      <c r="D358" s="948"/>
      <c r="E358" s="917">
        <v>6.8021000000000003</v>
      </c>
      <c r="F358" s="579">
        <f t="shared" ref="F358" si="77">+E358</f>
        <v>6.8021000000000003</v>
      </c>
      <c r="G358" s="947">
        <f t="shared" ref="G358" si="78">ROUND(D358*(E358),2)</f>
        <v>0</v>
      </c>
      <c r="H358" s="948"/>
      <c r="I358" s="949"/>
      <c r="J358" s="949"/>
      <c r="K358" s="950"/>
      <c r="L358" s="951"/>
      <c r="M358" s="956"/>
      <c r="N358" s="615"/>
      <c r="O358" s="615"/>
      <c r="P358" s="615"/>
      <c r="Q358" s="616"/>
    </row>
    <row r="359" spans="1:20" ht="15.75" hidden="1" outlineLevel="1" thickBot="1">
      <c r="A359" s="953"/>
      <c r="B359" s="955"/>
      <c r="C359" s="575"/>
      <c r="D359" s="957"/>
      <c r="E359" s="580"/>
      <c r="F359" s="575"/>
      <c r="G359" s="958"/>
      <c r="H359" s="959"/>
      <c r="I359" s="575"/>
      <c r="J359" s="575"/>
      <c r="K359" s="575"/>
      <c r="L359" s="955"/>
      <c r="M359" s="956"/>
      <c r="N359" s="615"/>
      <c r="O359" s="615"/>
      <c r="P359" s="615"/>
      <c r="Q359" s="615"/>
    </row>
    <row r="360" spans="1:20" collapsed="1">
      <c r="A360" s="963"/>
      <c r="B360" s="621"/>
      <c r="C360" s="621"/>
      <c r="D360" s="964"/>
      <c r="E360" s="905"/>
      <c r="F360" s="621"/>
      <c r="G360" s="905"/>
      <c r="H360" s="621"/>
      <c r="I360" s="621"/>
      <c r="J360" s="621"/>
      <c r="K360" s="621"/>
      <c r="L360" s="621"/>
      <c r="M360" s="965"/>
      <c r="N360" s="615"/>
      <c r="O360" s="615"/>
      <c r="P360" s="615"/>
      <c r="Q360" s="615"/>
    </row>
    <row r="361" spans="1:20" ht="15.75" thickBot="1">
      <c r="A361" s="966"/>
      <c r="B361" s="615"/>
      <c r="C361" s="615"/>
      <c r="D361" s="696"/>
      <c r="E361" s="473"/>
      <c r="F361" s="615"/>
      <c r="G361" s="473"/>
      <c r="H361" s="615"/>
      <c r="I361" s="615"/>
      <c r="J361" s="615"/>
      <c r="K361" s="615"/>
      <c r="L361" s="615"/>
      <c r="M361" s="967"/>
      <c r="N361" s="615"/>
      <c r="O361" s="615"/>
      <c r="P361" s="615"/>
      <c r="Q361" s="615"/>
    </row>
    <row r="362" spans="1:20" s="81" customFormat="1" ht="15" customHeight="1" thickTop="1">
      <c r="A362" s="476"/>
      <c r="B362" s="158"/>
      <c r="C362" s="322"/>
      <c r="D362" s="477"/>
      <c r="E362" s="163"/>
      <c r="F362" s="163"/>
      <c r="G362" s="478"/>
      <c r="H362" s="163"/>
      <c r="I362" s="163"/>
      <c r="J362" s="163"/>
      <c r="K362" s="163"/>
      <c r="L362" s="163"/>
      <c r="M362" s="164"/>
      <c r="N362" s="479"/>
      <c r="O362" s="479"/>
      <c r="P362" s="479"/>
      <c r="Q362" s="479"/>
      <c r="R362" s="422"/>
      <c r="S362"/>
      <c r="T362" s="399"/>
    </row>
    <row r="363" spans="1:20" ht="15.75" thickBot="1">
      <c r="A363" s="968" t="s">
        <v>113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3"/>
      <c r="N363" s="2"/>
      <c r="O363" s="2"/>
      <c r="P363" s="2"/>
      <c r="Q363" s="2"/>
    </row>
    <row r="364" spans="1:20" ht="15.75" customHeight="1" thickTop="1" thickBot="1">
      <c r="A364" s="1559" t="s">
        <v>1</v>
      </c>
      <c r="B364" s="1543" t="s">
        <v>2</v>
      </c>
      <c r="C364" s="1545" t="s">
        <v>3</v>
      </c>
      <c r="D364" s="1546" t="s">
        <v>4</v>
      </c>
      <c r="E364" s="1546"/>
      <c r="F364" s="1546"/>
      <c r="G364" s="1546"/>
      <c r="H364" s="1547"/>
      <c r="I364" s="1548"/>
      <c r="J364" s="1548"/>
      <c r="K364" s="1549"/>
      <c r="L364" s="1524" t="s">
        <v>6</v>
      </c>
      <c r="M364" s="1511" t="s">
        <v>7</v>
      </c>
      <c r="N364" s="1551" t="s">
        <v>8</v>
      </c>
      <c r="O364" s="1551"/>
      <c r="P364" s="1551"/>
      <c r="Q364" s="1552"/>
      <c r="R364" s="481"/>
      <c r="S364" s="482" t="s">
        <v>20</v>
      </c>
      <c r="T364" s="482" t="s">
        <v>21</v>
      </c>
    </row>
    <row r="365" spans="1:20" ht="26.25" thickBot="1">
      <c r="A365" s="1560"/>
      <c r="B365" s="1557"/>
      <c r="C365" s="1558" t="s">
        <v>10</v>
      </c>
      <c r="D365" s="483" t="s">
        <v>11</v>
      </c>
      <c r="E365" s="649" t="s">
        <v>12</v>
      </c>
      <c r="F365" s="649" t="s">
        <v>13</v>
      </c>
      <c r="G365" s="650" t="s">
        <v>14</v>
      </c>
      <c r="H365" s="651" t="s">
        <v>11</v>
      </c>
      <c r="I365" s="652" t="s">
        <v>15</v>
      </c>
      <c r="J365" s="653"/>
      <c r="K365" s="654" t="s">
        <v>16</v>
      </c>
      <c r="L365" s="1525"/>
      <c r="M365" s="1554"/>
      <c r="N365" s="655"/>
      <c r="O365" s="653"/>
      <c r="P365" s="656" t="s">
        <v>18</v>
      </c>
      <c r="Q365" s="657" t="s">
        <v>19</v>
      </c>
      <c r="R365" s="491"/>
      <c r="S365" s="492"/>
      <c r="T365" s="492"/>
    </row>
    <row r="366" spans="1:20">
      <c r="A366" s="961" t="s">
        <v>212</v>
      </c>
      <c r="B366" s="659" t="s">
        <v>116</v>
      </c>
      <c r="C366" s="668" t="s">
        <v>73</v>
      </c>
      <c r="D366" s="669">
        <v>5</v>
      </c>
      <c r="E366" s="21">
        <v>40.556600000000003</v>
      </c>
      <c r="F366" s="21">
        <v>47.5304</v>
      </c>
      <c r="G366" s="214">
        <f>+D366*(E366+F366)</f>
        <v>440.435</v>
      </c>
      <c r="H366" s="687">
        <f>июль18!D353</f>
        <v>5.59</v>
      </c>
      <c r="I366" s="688">
        <v>23.023900000000001</v>
      </c>
      <c r="J366" s="670">
        <f>ROUND(H366*I366,2)</f>
        <v>128.69999999999999</v>
      </c>
      <c r="K366" s="689">
        <v>43282</v>
      </c>
      <c r="L366" s="603">
        <f>SUM(G366:G372)+SUM(J366:J370)</f>
        <v>10243.225</v>
      </c>
      <c r="M366" s="187">
        <v>10243.23</v>
      </c>
      <c r="N366" s="670"/>
      <c r="O366" s="670"/>
      <c r="P366" s="670"/>
      <c r="Q366" s="670"/>
    </row>
    <row r="367" spans="1:20">
      <c r="A367" s="970"/>
      <c r="B367" s="672"/>
      <c r="C367" s="48" t="s">
        <v>264</v>
      </c>
      <c r="D367" s="673"/>
      <c r="E367" s="41"/>
      <c r="F367" s="298"/>
      <c r="G367" s="235">
        <f>+D367*(E367+F367)</f>
        <v>0</v>
      </c>
      <c r="H367" s="687"/>
      <c r="I367" s="688"/>
      <c r="J367" s="670"/>
      <c r="K367" s="689"/>
      <c r="L367" s="606"/>
      <c r="M367" s="935"/>
      <c r="N367" s="298"/>
      <c r="O367" s="298"/>
      <c r="P367" s="298"/>
      <c r="Q367" s="298"/>
    </row>
    <row r="368" spans="1:20">
      <c r="A368" s="970"/>
      <c r="B368" s="442"/>
      <c r="C368" s="48"/>
      <c r="D368" s="673"/>
      <c r="E368" s="41"/>
      <c r="F368" s="298"/>
      <c r="G368" s="235">
        <f t="shared" ref="G368:G381" si="79">ROUND(D368*E368,2)</f>
        <v>0</v>
      </c>
      <c r="H368" s="687"/>
      <c r="I368" s="688"/>
      <c r="J368" s="670"/>
      <c r="K368" s="850"/>
      <c r="L368" s="614"/>
      <c r="M368" s="935"/>
      <c r="N368" s="298"/>
      <c r="O368" s="298"/>
      <c r="P368" s="298"/>
      <c r="Q368" s="298"/>
    </row>
    <row r="369" spans="1:18">
      <c r="A369" s="970"/>
      <c r="B369" s="35"/>
      <c r="C369" s="606"/>
      <c r="D369" s="673"/>
      <c r="E369" s="41"/>
      <c r="F369" s="298"/>
      <c r="G369" s="235">
        <f t="shared" si="79"/>
        <v>0</v>
      </c>
      <c r="H369" s="270"/>
      <c r="I369" s="688"/>
      <c r="J369" s="670"/>
      <c r="K369" s="689"/>
      <c r="L369" s="614"/>
      <c r="M369" s="273"/>
      <c r="N369" s="298"/>
      <c r="O369" s="298"/>
      <c r="P369" s="298"/>
      <c r="Q369" s="298"/>
    </row>
    <row r="370" spans="1:18" ht="15.75">
      <c r="A370" s="971"/>
      <c r="B370" s="672"/>
      <c r="C370" s="48" t="s">
        <v>260</v>
      </c>
      <c r="D370" s="269">
        <f>авг18!D363+авг18!D364</f>
        <v>1567.1000000000001</v>
      </c>
      <c r="E370" s="41">
        <f>6.6439-6.7023</f>
        <v>-5.8399999999999785E-2</v>
      </c>
      <c r="F370" s="298">
        <f t="shared" ref="F370:F371" si="80">+E370</f>
        <v>-5.8399999999999785E-2</v>
      </c>
      <c r="G370" s="235">
        <f>ROUND(D370*E370,2)+0.01</f>
        <v>-91.509999999999991</v>
      </c>
      <c r="H370" s="270"/>
      <c r="I370" s="41"/>
      <c r="J370" s="670"/>
      <c r="K370" s="689"/>
      <c r="L370" s="606"/>
      <c r="M370" s="935"/>
      <c r="N370" s="663"/>
      <c r="O370" s="237"/>
      <c r="P370" s="275"/>
      <c r="Q370" s="237"/>
    </row>
    <row r="371" spans="1:18" ht="15.75">
      <c r="A371" s="972"/>
      <c r="B371" s="35"/>
      <c r="C371" s="48" t="s">
        <v>263</v>
      </c>
      <c r="D371" s="269">
        <v>49.16</v>
      </c>
      <c r="E371" s="41">
        <v>6.6439000000000004</v>
      </c>
      <c r="F371" s="298">
        <f t="shared" si="80"/>
        <v>6.6439000000000004</v>
      </c>
      <c r="G371" s="235">
        <f t="shared" si="79"/>
        <v>326.61</v>
      </c>
      <c r="H371" s="270"/>
      <c r="I371" s="41"/>
      <c r="J371" s="41"/>
      <c r="K371" s="41"/>
      <c r="L371" s="614"/>
      <c r="M371" s="935"/>
      <c r="N371" s="663"/>
      <c r="O371" s="237"/>
      <c r="P371" s="275"/>
      <c r="Q371" s="237"/>
    </row>
    <row r="372" spans="1:18" ht="15.75" thickBot="1">
      <c r="A372" s="973"/>
      <c r="B372" s="665"/>
      <c r="C372" s="54" t="s">
        <v>29</v>
      </c>
      <c r="D372" s="613">
        <v>1420.7</v>
      </c>
      <c r="E372" s="56">
        <v>6.6439000000000004</v>
      </c>
      <c r="F372" s="57"/>
      <c r="G372" s="247">
        <f t="shared" si="79"/>
        <v>9438.99</v>
      </c>
      <c r="H372" s="613"/>
      <c r="I372" s="57"/>
      <c r="J372" s="57"/>
      <c r="K372" s="57"/>
      <c r="L372" s="783"/>
      <c r="M372" s="250"/>
      <c r="N372" s="57"/>
      <c r="O372" s="57"/>
      <c r="P372" s="57"/>
      <c r="Q372" s="57"/>
      <c r="R372" s="615"/>
    </row>
    <row r="373" spans="1:18" ht="15.75">
      <c r="A373" s="658">
        <v>212</v>
      </c>
      <c r="B373" s="659" t="s">
        <v>148</v>
      </c>
      <c r="C373" s="786" t="s">
        <v>260</v>
      </c>
      <c r="D373" s="259">
        <f>авг18!D366+авг18!D367</f>
        <v>192.6</v>
      </c>
      <c r="E373" s="41">
        <f>6.6439-6.7023</f>
        <v>-5.8399999999999785E-2</v>
      </c>
      <c r="F373" s="691">
        <f>+E373</f>
        <v>-5.8399999999999785E-2</v>
      </c>
      <c r="G373" s="214">
        <f>ROUND(D373*E373,2)</f>
        <v>-11.25</v>
      </c>
      <c r="H373" s="303"/>
      <c r="I373" s="23"/>
      <c r="J373" s="23"/>
      <c r="K373" s="23"/>
      <c r="L373" s="603">
        <f>SUM(G373:G375)</f>
        <v>1141.46</v>
      </c>
      <c r="M373" s="187">
        <v>1141.46</v>
      </c>
      <c r="N373" s="660"/>
      <c r="O373" s="217"/>
      <c r="P373" s="661"/>
      <c r="Q373" s="219"/>
    </row>
    <row r="374" spans="1:18" ht="15.75">
      <c r="A374" s="662"/>
      <c r="B374" s="35"/>
      <c r="C374" s="48" t="s">
        <v>263</v>
      </c>
      <c r="D374" s="269">
        <v>5.8</v>
      </c>
      <c r="E374" s="41">
        <v>6.6439000000000004</v>
      </c>
      <c r="F374" s="298">
        <f t="shared" ref="F374" si="81">+E374</f>
        <v>6.6439000000000004</v>
      </c>
      <c r="G374" s="235">
        <f t="shared" si="79"/>
        <v>38.53</v>
      </c>
      <c r="H374" s="270"/>
      <c r="I374" s="41"/>
      <c r="J374" s="41"/>
      <c r="K374" s="41"/>
      <c r="L374" s="606"/>
      <c r="M374" s="935"/>
      <c r="N374" s="663"/>
      <c r="O374" s="237"/>
      <c r="P374" s="275"/>
      <c r="Q374" s="238"/>
    </row>
    <row r="375" spans="1:18" ht="15.75" thickBot="1">
      <c r="A375" s="975"/>
      <c r="B375" s="665"/>
      <c r="C375" s="99" t="s">
        <v>29</v>
      </c>
      <c r="D375" s="613">
        <v>167.7</v>
      </c>
      <c r="E375" s="56">
        <v>6.6439000000000004</v>
      </c>
      <c r="F375" s="57"/>
      <c r="G375" s="247">
        <f t="shared" si="79"/>
        <v>1114.18</v>
      </c>
      <c r="H375" s="613"/>
      <c r="I375" s="57"/>
      <c r="J375" s="57"/>
      <c r="K375" s="57"/>
      <c r="L375" s="614"/>
      <c r="M375" s="606"/>
      <c r="N375" s="57"/>
      <c r="O375" s="57"/>
      <c r="P375" s="57"/>
      <c r="Q375" s="666"/>
    </row>
    <row r="376" spans="1:18" ht="15.75">
      <c r="A376" s="658">
        <v>216</v>
      </c>
      <c r="B376" s="659" t="s">
        <v>240</v>
      </c>
      <c r="C376" s="786" t="s">
        <v>260</v>
      </c>
      <c r="D376" s="259">
        <f>авг18!D369+авг18!D370</f>
        <v>165.5</v>
      </c>
      <c r="E376" s="41">
        <f>6.6439-6.7023</f>
        <v>-5.8399999999999785E-2</v>
      </c>
      <c r="F376" s="691">
        <f>+E376</f>
        <v>-5.8399999999999785E-2</v>
      </c>
      <c r="G376" s="214">
        <f>ROUND(D376*E376,2)</f>
        <v>-9.67</v>
      </c>
      <c r="H376" s="303"/>
      <c r="I376" s="23"/>
      <c r="J376" s="23"/>
      <c r="K376" s="23"/>
      <c r="L376" s="603">
        <f>SUM(G376:G378)</f>
        <v>1090.1600000000001</v>
      </c>
      <c r="M376" s="187">
        <v>1090.1600000000001</v>
      </c>
      <c r="N376" s="660"/>
      <c r="O376" s="217"/>
      <c r="P376" s="661"/>
      <c r="Q376" s="219"/>
    </row>
    <row r="377" spans="1:18" ht="15.75">
      <c r="A377" s="662"/>
      <c r="B377" s="35"/>
      <c r="C377" s="48" t="s">
        <v>263</v>
      </c>
      <c r="D377" s="269">
        <v>5.54</v>
      </c>
      <c r="E377" s="41">
        <v>6.6439000000000004</v>
      </c>
      <c r="F377" s="298">
        <f t="shared" ref="F377" si="82">+E377</f>
        <v>6.6439000000000004</v>
      </c>
      <c r="G377" s="235">
        <f t="shared" ref="G377:G378" si="83">ROUND(D377*E377,2)</f>
        <v>36.81</v>
      </c>
      <c r="H377" s="270"/>
      <c r="I377" s="41"/>
      <c r="J377" s="41"/>
      <c r="K377" s="41"/>
      <c r="L377" s="606"/>
      <c r="M377" s="935"/>
      <c r="N377" s="663"/>
      <c r="O377" s="237"/>
      <c r="P377" s="275"/>
      <c r="Q377" s="238"/>
    </row>
    <row r="378" spans="1:18" ht="15.75" thickBot="1">
      <c r="A378" s="975"/>
      <c r="B378" s="665"/>
      <c r="C378" s="99" t="s">
        <v>29</v>
      </c>
      <c r="D378" s="613">
        <v>160</v>
      </c>
      <c r="E378" s="56">
        <v>6.6439000000000004</v>
      </c>
      <c r="F378" s="57"/>
      <c r="G378" s="247">
        <f t="shared" si="83"/>
        <v>1063.02</v>
      </c>
      <c r="H378" s="613"/>
      <c r="I378" s="57"/>
      <c r="J378" s="57"/>
      <c r="K378" s="57"/>
      <c r="L378" s="614"/>
      <c r="M378" s="606"/>
      <c r="N378" s="57"/>
      <c r="O378" s="57"/>
      <c r="P378" s="57"/>
      <c r="Q378" s="666"/>
    </row>
    <row r="379" spans="1:18" ht="15.75">
      <c r="A379" s="658">
        <v>218</v>
      </c>
      <c r="B379" s="659" t="s">
        <v>117</v>
      </c>
      <c r="C379" s="439" t="s">
        <v>260</v>
      </c>
      <c r="D379" s="259">
        <f>авг18!D372+авг18!D373</f>
        <v>299.3</v>
      </c>
      <c r="E379" s="23">
        <f>6.6439-6.7023</f>
        <v>-5.8399999999999785E-2</v>
      </c>
      <c r="F379" s="691">
        <f>+E379</f>
        <v>-5.8399999999999785E-2</v>
      </c>
      <c r="G379" s="214">
        <f>ROUND(D379*E379,2)</f>
        <v>-17.48</v>
      </c>
      <c r="H379" s="303"/>
      <c r="I379" s="23"/>
      <c r="J379" s="23"/>
      <c r="K379" s="23"/>
      <c r="L379" s="603">
        <f>SUM(G379:G381)</f>
        <v>2257.06</v>
      </c>
      <c r="M379" s="187">
        <v>2257.06</v>
      </c>
      <c r="N379" s="660"/>
      <c r="O379" s="217"/>
      <c r="P379" s="661"/>
      <c r="Q379" s="219"/>
      <c r="R379" s="615"/>
    </row>
    <row r="380" spans="1:18" ht="15.75">
      <c r="A380" s="662"/>
      <c r="B380" s="506"/>
      <c r="C380" s="48" t="s">
        <v>263</v>
      </c>
      <c r="D380" s="773">
        <v>11.45</v>
      </c>
      <c r="E380" s="41">
        <v>6.6439000000000004</v>
      </c>
      <c r="F380" s="774">
        <f t="shared" ref="F380" si="84">+E380</f>
        <v>6.6439000000000004</v>
      </c>
      <c r="G380" s="775">
        <f t="shared" si="79"/>
        <v>76.069999999999993</v>
      </c>
      <c r="H380" s="432"/>
      <c r="I380" s="207"/>
      <c r="J380" s="207"/>
      <c r="K380" s="207"/>
      <c r="L380" s="776"/>
      <c r="M380" s="974"/>
      <c r="N380" s="777"/>
      <c r="O380" s="778"/>
      <c r="P380" s="779"/>
      <c r="Q380" s="780"/>
    </row>
    <row r="381" spans="1:18" ht="15.75" thickBot="1">
      <c r="A381" s="975"/>
      <c r="B381" s="278"/>
      <c r="C381" s="54" t="s">
        <v>29</v>
      </c>
      <c r="D381" s="613">
        <v>330.9</v>
      </c>
      <c r="E381" s="56">
        <v>6.6439000000000004</v>
      </c>
      <c r="F381" s="57"/>
      <c r="G381" s="247">
        <f t="shared" si="79"/>
        <v>2198.4699999999998</v>
      </c>
      <c r="H381" s="613"/>
      <c r="I381" s="57"/>
      <c r="J381" s="57"/>
      <c r="K381" s="57"/>
      <c r="L381" s="783"/>
      <c r="M381" s="938"/>
      <c r="N381" s="57"/>
      <c r="O381" s="57"/>
      <c r="P381" s="57"/>
      <c r="Q381" s="666"/>
    </row>
    <row r="382" spans="1:18" ht="15.75">
      <c r="A382" s="658">
        <v>221</v>
      </c>
      <c r="B382" s="659" t="s">
        <v>284</v>
      </c>
      <c r="C382" s="786" t="s">
        <v>260</v>
      </c>
      <c r="D382" s="259"/>
      <c r="E382" s="41">
        <f>6.6439-6.7023</f>
        <v>-5.8399999999999785E-2</v>
      </c>
      <c r="F382" s="691">
        <f>+E382</f>
        <v>-5.8399999999999785E-2</v>
      </c>
      <c r="G382" s="214">
        <f>ROUND(D382*E382,2)</f>
        <v>0</v>
      </c>
      <c r="H382" s="303"/>
      <c r="I382" s="23"/>
      <c r="J382" s="23"/>
      <c r="K382" s="23"/>
      <c r="L382" s="603">
        <f>SUM(G382:G384)</f>
        <v>68.759999999999991</v>
      </c>
      <c r="M382" s="187"/>
      <c r="N382" s="660"/>
      <c r="O382" s="217" t="s">
        <v>285</v>
      </c>
      <c r="P382" s="661"/>
      <c r="Q382" s="219"/>
    </row>
    <row r="383" spans="1:18" ht="15.75">
      <c r="A383" s="662"/>
      <c r="B383" s="35"/>
      <c r="C383" s="48" t="s">
        <v>263</v>
      </c>
      <c r="D383" s="269">
        <v>0.35</v>
      </c>
      <c r="E383" s="41">
        <v>6.6439000000000004</v>
      </c>
      <c r="F383" s="298">
        <f t="shared" ref="F383" si="85">+E383</f>
        <v>6.6439000000000004</v>
      </c>
      <c r="G383" s="235">
        <f>ROUND(D383*E383,2)-0.01</f>
        <v>2.3200000000000003</v>
      </c>
      <c r="H383" s="270"/>
      <c r="I383" s="41"/>
      <c r="J383" s="41"/>
      <c r="K383" s="41"/>
      <c r="L383" s="606"/>
      <c r="M383" s="935"/>
      <c r="N383" s="663"/>
      <c r="O383" s="237"/>
      <c r="P383" s="275"/>
      <c r="Q383" s="238"/>
    </row>
    <row r="384" spans="1:18" ht="15.75" thickBot="1">
      <c r="A384" s="975"/>
      <c r="B384" s="665"/>
      <c r="C384" s="99" t="s">
        <v>29</v>
      </c>
      <c r="D384" s="613">
        <v>10</v>
      </c>
      <c r="E384" s="56">
        <v>6.6439000000000004</v>
      </c>
      <c r="F384" s="57"/>
      <c r="G384" s="247">
        <f>ROUND(D384*E384,2)</f>
        <v>66.44</v>
      </c>
      <c r="H384" s="613"/>
      <c r="I384" s="57"/>
      <c r="J384" s="57"/>
      <c r="K384" s="57"/>
      <c r="L384" s="614"/>
      <c r="M384" s="606"/>
      <c r="N384" s="57"/>
      <c r="O384" s="57"/>
      <c r="P384" s="57"/>
      <c r="Q384" s="666"/>
    </row>
    <row r="385" spans="1:17" ht="16.5" thickBot="1">
      <c r="A385" s="658">
        <v>311</v>
      </c>
      <c r="B385" s="602" t="s">
        <v>142</v>
      </c>
      <c r="C385" s="786" t="s">
        <v>73</v>
      </c>
      <c r="D385" s="787">
        <v>6</v>
      </c>
      <c r="E385" s="21">
        <v>40.556600000000003</v>
      </c>
      <c r="F385" s="21">
        <v>47.5304</v>
      </c>
      <c r="G385" s="214">
        <f>+D385*(E385+F385)</f>
        <v>528.52200000000005</v>
      </c>
      <c r="H385" s="687">
        <f>июль18!D369</f>
        <v>6.38</v>
      </c>
      <c r="I385" s="688">
        <v>23.023900000000001</v>
      </c>
      <c r="J385" s="670">
        <f>ROUND(H385*I385,2)</f>
        <v>146.88999999999999</v>
      </c>
      <c r="K385" s="850">
        <v>43282</v>
      </c>
      <c r="L385" s="603">
        <f>SUM(G385:G389,J385:J389)</f>
        <v>15015.712</v>
      </c>
      <c r="M385" s="187">
        <v>15015.71</v>
      </c>
      <c r="N385" s="788"/>
      <c r="O385" s="789"/>
      <c r="P385" s="790"/>
      <c r="Q385" s="791"/>
    </row>
    <row r="386" spans="1:17" ht="15.75">
      <c r="A386" s="658"/>
      <c r="B386" s="602"/>
      <c r="C386" s="786" t="s">
        <v>264</v>
      </c>
      <c r="D386" s="787"/>
      <c r="E386" s="21"/>
      <c r="F386" s="21"/>
      <c r="G386" s="214">
        <f>+D386*(E386+F386)</f>
        <v>0</v>
      </c>
      <c r="H386" s="687"/>
      <c r="I386" s="688"/>
      <c r="J386" s="670"/>
      <c r="K386" s="850"/>
      <c r="L386" s="603"/>
      <c r="M386" s="187"/>
      <c r="N386" s="788"/>
      <c r="O386" s="789"/>
      <c r="P386" s="790"/>
      <c r="Q386" s="791"/>
    </row>
    <row r="387" spans="1:17" ht="15.75">
      <c r="A387" s="662"/>
      <c r="B387" s="939"/>
      <c r="C387" s="48" t="s">
        <v>260</v>
      </c>
      <c r="D387" s="269">
        <f>авг18!D377+авг18!D378</f>
        <v>2792.3</v>
      </c>
      <c r="E387" s="41">
        <f>6.6439-6.7023</f>
        <v>-5.8399999999999785E-2</v>
      </c>
      <c r="F387" s="297">
        <f>+E387</f>
        <v>-5.8399999999999785E-2</v>
      </c>
      <c r="G387" s="235">
        <f>ROUND(D387*E387,2)+0.01</f>
        <v>-163.06</v>
      </c>
      <c r="H387" s="270"/>
      <c r="I387" s="688"/>
      <c r="J387" s="670"/>
      <c r="K387" s="689"/>
      <c r="L387" s="614"/>
      <c r="M387" s="273"/>
      <c r="N387" s="663"/>
      <c r="O387" s="237"/>
      <c r="P387" s="275"/>
      <c r="Q387" s="238"/>
    </row>
    <row r="388" spans="1:17" ht="15.75">
      <c r="A388" s="662"/>
      <c r="B388" s="506"/>
      <c r="C388" s="48" t="s">
        <v>263</v>
      </c>
      <c r="D388" s="269">
        <v>73</v>
      </c>
      <c r="E388" s="41">
        <v>6.6439000000000004</v>
      </c>
      <c r="F388" s="298">
        <f t="shared" ref="F388" si="86">+E388</f>
        <v>6.6439000000000004</v>
      </c>
      <c r="G388" s="235">
        <f t="shared" ref="G388:G389" si="87">ROUND(D388*E388,2)</f>
        <v>485</v>
      </c>
      <c r="H388" s="270"/>
      <c r="I388" s="41"/>
      <c r="J388" s="670"/>
      <c r="K388" s="689"/>
      <c r="L388" s="606"/>
      <c r="M388" s="935"/>
      <c r="N388" s="663"/>
      <c r="O388" s="237"/>
      <c r="P388" s="275"/>
      <c r="Q388" s="238"/>
    </row>
    <row r="389" spans="1:17" ht="15.75" thickBot="1">
      <c r="A389" s="975"/>
      <c r="B389" s="278"/>
      <c r="C389" s="54" t="s">
        <v>29</v>
      </c>
      <c r="D389" s="795">
        <v>2109.96</v>
      </c>
      <c r="E389" s="56">
        <v>6.6439000000000004</v>
      </c>
      <c r="F389" s="797"/>
      <c r="G389" s="798">
        <f t="shared" si="87"/>
        <v>14018.36</v>
      </c>
      <c r="H389" s="795"/>
      <c r="I389" s="797"/>
      <c r="J389" s="797"/>
      <c r="K389" s="797"/>
      <c r="L389" s="799"/>
      <c r="M389" s="976"/>
      <c r="N389" s="797"/>
      <c r="O389" s="797"/>
      <c r="P389" s="797"/>
      <c r="Q389" s="800"/>
    </row>
    <row r="390" spans="1:17" ht="15.75">
      <c r="A390" s="658">
        <v>500</v>
      </c>
      <c r="B390" s="659" t="s">
        <v>55</v>
      </c>
      <c r="C390" s="48" t="s">
        <v>260</v>
      </c>
      <c r="D390" s="259">
        <f>авг18!D380+авг18!D381</f>
        <v>2720.1</v>
      </c>
      <c r="E390" s="41">
        <f>6.6439-6.7023</f>
        <v>-5.8399999999999785E-2</v>
      </c>
      <c r="F390" s="691">
        <f>+E390</f>
        <v>-5.8399999999999785E-2</v>
      </c>
      <c r="G390" s="214">
        <f>ROUND(D390*E390,2)</f>
        <v>-158.85</v>
      </c>
      <c r="H390" s="303"/>
      <c r="I390" s="23"/>
      <c r="J390" s="23"/>
      <c r="K390" s="23"/>
      <c r="L390" s="603">
        <f>SUM(G390:G392)</f>
        <v>16428.309999999998</v>
      </c>
      <c r="M390" s="187">
        <v>16428.310000000001</v>
      </c>
      <c r="N390" s="660"/>
      <c r="O390" s="217"/>
      <c r="P390" s="661"/>
      <c r="Q390" s="219"/>
    </row>
    <row r="391" spans="1:17" ht="15.75">
      <c r="A391" s="662" t="s">
        <v>211</v>
      </c>
      <c r="B391" s="35"/>
      <c r="C391" s="48" t="s">
        <v>263</v>
      </c>
      <c r="D391" s="269">
        <v>83.49</v>
      </c>
      <c r="E391" s="41">
        <v>6.6439000000000004</v>
      </c>
      <c r="F391" s="298">
        <f t="shared" ref="F391" si="88">+E391</f>
        <v>6.6439000000000004</v>
      </c>
      <c r="G391" s="235">
        <f>ROUND(D391*E391,2)</f>
        <v>554.70000000000005</v>
      </c>
      <c r="H391" s="270"/>
      <c r="I391" s="41"/>
      <c r="J391" s="41"/>
      <c r="K391" s="41"/>
      <c r="L391" s="606"/>
      <c r="M391" s="935"/>
      <c r="N391" s="663"/>
      <c r="O391" s="237"/>
      <c r="P391" s="275"/>
      <c r="Q391" s="238"/>
    </row>
    <row r="392" spans="1:17" ht="15.75" thickBot="1">
      <c r="A392" s="969"/>
      <c r="B392" s="665"/>
      <c r="C392" s="99" t="s">
        <v>29</v>
      </c>
      <c r="D392" s="613">
        <v>2413.11</v>
      </c>
      <c r="E392" s="56">
        <v>6.6439000000000004</v>
      </c>
      <c r="F392" s="57"/>
      <c r="G392" s="247">
        <f>ROUND(D392*E392,2)</f>
        <v>16032.46</v>
      </c>
      <c r="H392" s="613"/>
      <c r="I392" s="57"/>
      <c r="J392" s="57"/>
      <c r="K392" s="57"/>
      <c r="L392" s="614"/>
      <c r="M392" s="935"/>
      <c r="N392" s="57"/>
      <c r="O392" s="57"/>
      <c r="P392" s="57"/>
      <c r="Q392" s="666"/>
    </row>
    <row r="393" spans="1:17">
      <c r="A393" s="977"/>
    </row>
    <row r="394" spans="1:17">
      <c r="A394" s="977"/>
    </row>
    <row r="395" spans="1:17">
      <c r="A395" s="977"/>
    </row>
  </sheetData>
  <mergeCells count="41">
    <mergeCell ref="N251:Q251"/>
    <mergeCell ref="A364:A365"/>
    <mergeCell ref="B364:B365"/>
    <mergeCell ref="C364:C365"/>
    <mergeCell ref="D364:G364"/>
    <mergeCell ref="H364:K364"/>
    <mergeCell ref="L364:L365"/>
    <mergeCell ref="M364:M365"/>
    <mergeCell ref="N364:Q364"/>
    <mergeCell ref="M111:M112"/>
    <mergeCell ref="N111:Q111"/>
    <mergeCell ref="O245:Q245"/>
    <mergeCell ref="A251:A252"/>
    <mergeCell ref="B251:B252"/>
    <mergeCell ref="C251:C252"/>
    <mergeCell ref="D251:G251"/>
    <mergeCell ref="H251:K251"/>
    <mergeCell ref="L251:L252"/>
    <mergeCell ref="M251:M252"/>
    <mergeCell ref="A111:A112"/>
    <mergeCell ref="B111:B112"/>
    <mergeCell ref="C111:C112"/>
    <mergeCell ref="D111:G111"/>
    <mergeCell ref="H111:K111"/>
    <mergeCell ref="L111:L112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406"/>
  <sheetViews>
    <sheetView topLeftCell="A380" workbookViewId="0">
      <pane xSplit="3" topLeftCell="D1" activePane="topRight" state="frozen"/>
      <selection pane="topRight" activeCell="M266" sqref="M266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48</v>
      </c>
      <c r="E4" s="21">
        <v>40.556600000000003</v>
      </c>
      <c r="F4" s="21">
        <v>47.5304</v>
      </c>
      <c r="G4" s="22">
        <f>ROUND(D4*(E4+F4),2)</f>
        <v>4228.18</v>
      </c>
      <c r="H4" s="20"/>
      <c r="I4" s="23"/>
      <c r="J4" s="23"/>
      <c r="K4" s="24"/>
      <c r="L4" s="25">
        <f>SUM(G4:G8,J4:J7)</f>
        <v>136017.96</v>
      </c>
      <c r="M4" s="26">
        <v>136017.96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131789.78</v>
      </c>
      <c r="S6" s="31"/>
      <c r="T6" s="32"/>
    </row>
    <row r="7" spans="1:22">
      <c r="A7" s="34"/>
      <c r="B7" s="35"/>
      <c r="C7" s="48" t="s">
        <v>263</v>
      </c>
      <c r="D7" s="49">
        <f>414+123.97</f>
        <v>537.97</v>
      </c>
      <c r="E7" s="41">
        <v>7.1352000000000002</v>
      </c>
      <c r="F7" s="41">
        <f>+E7</f>
        <v>7.1352000000000002</v>
      </c>
      <c r="G7" s="50">
        <f>ROUND(D7*E7,2)</f>
        <v>3838.52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131789.78</v>
      </c>
    </row>
    <row r="8" spans="1:22" ht="15.75" thickBot="1">
      <c r="A8" s="52"/>
      <c r="B8" s="53"/>
      <c r="C8" s="99" t="s">
        <v>29</v>
      </c>
      <c r="D8" s="55">
        <f>13800+4132.4</f>
        <v>17932.400000000001</v>
      </c>
      <c r="E8" s="56">
        <v>7.1352000000000002</v>
      </c>
      <c r="F8" s="57">
        <f>+E8</f>
        <v>7.1352000000000002</v>
      </c>
      <c r="G8" s="58">
        <f>ROUND(D8*E8,2)</f>
        <v>127951.26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127951.26</v>
      </c>
      <c r="R8" s="66" t="s">
        <v>25</v>
      </c>
      <c r="S8" s="67">
        <f>SUM(O4:O8)</f>
        <v>0</v>
      </c>
      <c r="T8" s="68">
        <f>SUM(Q4:Q8)</f>
        <v>127951.26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126</v>
      </c>
      <c r="E13" s="21">
        <v>40.556600000000003</v>
      </c>
      <c r="F13" s="21">
        <v>47.5304</v>
      </c>
      <c r="G13" s="22">
        <f>ROUND(D13*(E13+F13),2)</f>
        <v>11098.96</v>
      </c>
      <c r="H13" s="72"/>
      <c r="I13" s="21"/>
      <c r="J13" s="73"/>
      <c r="K13" s="24"/>
      <c r="L13" s="74">
        <f>SUM(G13:G20,J13:J19)</f>
        <v>60610.880000000005</v>
      </c>
      <c r="M13" s="26">
        <v>60610.879999999997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24</v>
      </c>
      <c r="E15" s="101">
        <v>237.98</v>
      </c>
      <c r="F15" s="38">
        <f>F13</f>
        <v>47.5304</v>
      </c>
      <c r="G15" s="39">
        <f>ROUND(D15*(E15+F15),2)</f>
        <v>6852.25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сент18!D15</f>
        <v>16</v>
      </c>
      <c r="E16" s="41"/>
      <c r="F16" s="38"/>
      <c r="G16" s="50">
        <f>+D16*(E16+F16)</f>
        <v>0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сент18!D19+сент18!D20</f>
        <v>5584.3499999999995</v>
      </c>
      <c r="E18" s="881">
        <f>7.332-6.6439</f>
        <v>0.68809999999999949</v>
      </c>
      <c r="F18" s="41">
        <f>+E18</f>
        <v>0.68809999999999949</v>
      </c>
      <c r="G18" s="50">
        <f>ROUND(D18*E18*70%+D18*F18*30%,2)+0.01</f>
        <v>3842.6000000000004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19.2+129.6+5.4</f>
        <v>154.19999999999999</v>
      </c>
      <c r="E19" s="41">
        <v>7.3319999999999999</v>
      </c>
      <c r="F19" s="41">
        <f>E19</f>
        <v>7.3319999999999999</v>
      </c>
      <c r="G19" s="50">
        <f>ROUND(D19*E19*70%+D19*F19*30%,2)</f>
        <v>1130.5899999999999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640+4320+180</f>
        <v>5140</v>
      </c>
      <c r="E20" s="56">
        <v>7.3319999999999999</v>
      </c>
      <c r="F20" s="109">
        <f>+E20</f>
        <v>7.3319999999999999</v>
      </c>
      <c r="G20" s="110">
        <f>ROUND(D20*E20*70%+D20*F20*30%,2)</f>
        <v>37686.480000000003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22.5" collapsed="1" thickTop="1" thickBot="1">
      <c r="A27" s="171" t="s">
        <v>43</v>
      </c>
      <c r="B27" s="2"/>
      <c r="C27" s="172"/>
      <c r="D27" s="173"/>
      <c r="E27" s="2"/>
      <c r="F27" s="2"/>
      <c r="G27" s="2"/>
      <c r="H27" s="2"/>
      <c r="I27" s="2"/>
      <c r="J27" s="2"/>
      <c r="K27" s="2"/>
      <c r="L27" s="2"/>
      <c r="M27" s="3"/>
      <c r="N27" s="2"/>
      <c r="O27" s="2"/>
      <c r="P27" s="2"/>
      <c r="Q27" s="2"/>
    </row>
    <row r="28" spans="1:21" ht="15" customHeight="1" thickTop="1">
      <c r="A28" s="1514" t="s">
        <v>1</v>
      </c>
      <c r="B28" s="1516" t="s">
        <v>2</v>
      </c>
      <c r="C28" s="1518" t="s">
        <v>3</v>
      </c>
      <c r="D28" s="1520" t="s">
        <v>4</v>
      </c>
      <c r="E28" s="1520"/>
      <c r="F28" s="1520"/>
      <c r="G28" s="1520"/>
      <c r="H28" s="1521" t="s">
        <v>5</v>
      </c>
      <c r="I28" s="1522"/>
      <c r="J28" s="1522"/>
      <c r="K28" s="1523"/>
      <c r="L28" s="1524" t="s">
        <v>6</v>
      </c>
      <c r="M28" s="1526" t="s">
        <v>7</v>
      </c>
      <c r="N28" s="1528" t="s">
        <v>8</v>
      </c>
      <c r="O28" s="1528"/>
      <c r="P28" s="1529"/>
      <c r="Q28" s="174" t="s">
        <v>9</v>
      </c>
      <c r="R28" s="5"/>
      <c r="S28" s="175"/>
      <c r="T28" s="176"/>
      <c r="U28" s="5"/>
    </row>
    <row r="29" spans="1:21" ht="26.25" thickBot="1">
      <c r="A29" s="1515"/>
      <c r="B29" s="1517"/>
      <c r="C29" s="1519" t="s">
        <v>10</v>
      </c>
      <c r="D29" s="6" t="s">
        <v>11</v>
      </c>
      <c r="E29" s="7" t="s">
        <v>12</v>
      </c>
      <c r="F29" s="7" t="s">
        <v>13</v>
      </c>
      <c r="G29" s="8" t="s">
        <v>14</v>
      </c>
      <c r="H29" s="9" t="s">
        <v>11</v>
      </c>
      <c r="I29" s="6" t="s">
        <v>15</v>
      </c>
      <c r="J29" s="177" t="s">
        <v>14</v>
      </c>
      <c r="K29" s="11" t="s">
        <v>16</v>
      </c>
      <c r="L29" s="1525"/>
      <c r="M29" s="1527"/>
      <c r="N29" s="178"/>
      <c r="O29" s="177" t="s">
        <v>44</v>
      </c>
      <c r="P29" s="13" t="s">
        <v>18</v>
      </c>
      <c r="Q29" s="179" t="s">
        <v>19</v>
      </c>
      <c r="R29" s="180"/>
      <c r="S29" s="181" t="s">
        <v>20</v>
      </c>
      <c r="T29" s="181" t="s">
        <v>21</v>
      </c>
    </row>
    <row r="30" spans="1:21">
      <c r="A30" s="888" t="s">
        <v>241</v>
      </c>
      <c r="B30" s="183" t="s">
        <v>242</v>
      </c>
      <c r="C30" s="439" t="s">
        <v>243</v>
      </c>
      <c r="D30" s="669">
        <v>2.4700000000000002</v>
      </c>
      <c r="E30" s="23">
        <v>40.556600000000003</v>
      </c>
      <c r="F30" s="23">
        <v>47.5304</v>
      </c>
      <c r="G30" s="214">
        <f>ROUND(D30*(E30+F30),2)+0.01</f>
        <v>217.57999999999998</v>
      </c>
      <c r="H30" s="303"/>
      <c r="I30" s="23"/>
      <c r="J30" s="23"/>
      <c r="K30" s="304"/>
      <c r="L30" s="343">
        <f>SUM(G30:G31)+J30:J31</f>
        <v>217.57999999999998</v>
      </c>
      <c r="M30" s="187">
        <v>217.58</v>
      </c>
      <c r="N30" s="274"/>
      <c r="O30" s="237"/>
      <c r="P30" s="275"/>
      <c r="Q30" s="237"/>
      <c r="R30" s="242"/>
      <c r="S30" s="266"/>
      <c r="T30" s="266"/>
    </row>
    <row r="31" spans="1:21" ht="15.75" thickBot="1">
      <c r="A31" s="986"/>
      <c r="B31" s="202"/>
      <c r="C31" s="987" t="s">
        <v>260</v>
      </c>
      <c r="D31" s="613"/>
      <c r="E31" s="281"/>
      <c r="F31" s="281"/>
      <c r="G31" s="247">
        <f>ROUND(D31*(E31+F31),2)</f>
        <v>0</v>
      </c>
      <c r="H31" s="280"/>
      <c r="I31" s="281"/>
      <c r="J31" s="281"/>
      <c r="K31" s="282"/>
      <c r="L31" s="988"/>
      <c r="M31" s="989"/>
      <c r="N31" s="274"/>
      <c r="O31" s="237"/>
      <c r="P31" s="275"/>
      <c r="Q31" s="237"/>
      <c r="R31" s="242"/>
      <c r="S31" s="266"/>
      <c r="T31" s="266"/>
    </row>
    <row r="32" spans="1:21">
      <c r="A32" s="896">
        <v>202</v>
      </c>
      <c r="B32" s="192" t="s">
        <v>159</v>
      </c>
      <c r="C32" s="700" t="s">
        <v>260</v>
      </c>
      <c r="D32" s="985">
        <f>сент18!D33+сент18!D34</f>
        <v>94.8</v>
      </c>
      <c r="E32" s="261">
        <f>7.332-6.6439</f>
        <v>0.68809999999999949</v>
      </c>
      <c r="F32" s="261">
        <f t="shared" ref="F32:F46" si="0">+E32</f>
        <v>0.68809999999999949</v>
      </c>
      <c r="G32" s="195">
        <f>ROUND(D32*E32,2)+0.01</f>
        <v>65.240000000000009</v>
      </c>
      <c r="H32" s="260"/>
      <c r="I32" s="261"/>
      <c r="J32" s="261"/>
      <c r="K32" s="262"/>
      <c r="L32" s="294">
        <f>SUM(G32:G34)</f>
        <v>927.04000000000008</v>
      </c>
      <c r="M32" s="227">
        <v>927.04</v>
      </c>
      <c r="N32" s="274"/>
      <c r="O32" s="237"/>
      <c r="P32" s="275"/>
      <c r="Q32" s="237"/>
      <c r="R32" s="242"/>
      <c r="S32" s="266"/>
      <c r="T32" s="266"/>
    </row>
    <row r="33" spans="1:21" ht="15.75">
      <c r="A33" s="896"/>
      <c r="B33" s="192"/>
      <c r="C33" s="48" t="s">
        <v>263</v>
      </c>
      <c r="D33" s="269">
        <v>1.24</v>
      </c>
      <c r="E33" s="41">
        <v>7.3319999999999999</v>
      </c>
      <c r="F33" s="41">
        <f t="shared" si="0"/>
        <v>7.3319999999999999</v>
      </c>
      <c r="G33" s="235">
        <f t="shared" ref="G33:G34" si="1">ROUND(D33*E33,2)</f>
        <v>9.09</v>
      </c>
      <c r="H33" s="270"/>
      <c r="I33" s="41"/>
      <c r="J33" s="41"/>
      <c r="K33" s="271"/>
      <c r="L33" s="272"/>
      <c r="M33" s="273"/>
      <c r="N33" s="274"/>
      <c r="O33" s="237"/>
      <c r="P33" s="275"/>
      <c r="Q33" s="237"/>
      <c r="R33" s="242"/>
      <c r="S33" s="266"/>
      <c r="T33" s="266"/>
    </row>
    <row r="34" spans="1:21" ht="16.5" thickBot="1">
      <c r="A34" s="891"/>
      <c r="B34" s="887"/>
      <c r="C34" s="54" t="s">
        <v>29</v>
      </c>
      <c r="D34" s="279">
        <v>116.3</v>
      </c>
      <c r="E34" s="56">
        <v>7.3319999999999999</v>
      </c>
      <c r="F34" s="57">
        <f t="shared" si="0"/>
        <v>7.3319999999999999</v>
      </c>
      <c r="G34" s="247">
        <f t="shared" si="1"/>
        <v>852.71</v>
      </c>
      <c r="H34" s="280"/>
      <c r="I34" s="281"/>
      <c r="J34" s="281"/>
      <c r="K34" s="282"/>
      <c r="L34" s="204"/>
      <c r="M34" s="250"/>
      <c r="N34" s="283"/>
      <c r="O34" s="252"/>
      <c r="P34" s="284"/>
      <c r="Q34" s="252"/>
      <c r="R34" s="242"/>
      <c r="S34" s="266"/>
      <c r="T34" s="266"/>
    </row>
    <row r="35" spans="1:21" hidden="1">
      <c r="A35" s="892">
        <v>204</v>
      </c>
      <c r="B35" s="183" t="s">
        <v>137</v>
      </c>
      <c r="C35" s="439" t="s">
        <v>260</v>
      </c>
      <c r="D35" s="296"/>
      <c r="E35" s="41">
        <f>6.6439-6.7023</f>
        <v>-5.8399999999999785E-2</v>
      </c>
      <c r="F35" s="41">
        <f t="shared" si="0"/>
        <v>-5.8399999999999785E-2</v>
      </c>
      <c r="G35" s="235">
        <f>ROUND(D35*E35,2)</f>
        <v>0</v>
      </c>
      <c r="H35" s="270"/>
      <c r="I35" s="41"/>
      <c r="J35" s="41"/>
      <c r="K35" s="271"/>
      <c r="L35" s="294">
        <f>SUM(G35:G37)</f>
        <v>0</v>
      </c>
      <c r="M35" s="227"/>
      <c r="N35" s="274"/>
      <c r="O35" s="237"/>
      <c r="P35" s="275"/>
      <c r="Q35" s="237"/>
      <c r="R35" s="242"/>
      <c r="S35" s="266"/>
      <c r="T35" s="266"/>
    </row>
    <row r="36" spans="1:21" ht="15.75" hidden="1">
      <c r="A36" s="896"/>
      <c r="B36" s="991" t="s">
        <v>275</v>
      </c>
      <c r="C36" s="48" t="s">
        <v>263</v>
      </c>
      <c r="D36" s="269"/>
      <c r="E36" s="41">
        <v>6.6439000000000004</v>
      </c>
      <c r="F36" s="41">
        <f t="shared" si="0"/>
        <v>6.6439000000000004</v>
      </c>
      <c r="G36" s="235">
        <f>ROUND(D36*E36,2)</f>
        <v>0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1" ht="16.5" hidden="1" thickBot="1">
      <c r="A37" s="891"/>
      <c r="B37" s="887"/>
      <c r="C37" s="54" t="s">
        <v>29</v>
      </c>
      <c r="D37" s="279"/>
      <c r="E37" s="56">
        <v>6.6439000000000004</v>
      </c>
      <c r="F37" s="57">
        <f t="shared" si="0"/>
        <v>6.6439000000000004</v>
      </c>
      <c r="G37" s="247">
        <f>ROUND(D37*E37,2)</f>
        <v>0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1">
      <c r="A38" s="892">
        <v>204</v>
      </c>
      <c r="B38" s="183" t="s">
        <v>289</v>
      </c>
      <c r="C38" s="439" t="s">
        <v>260</v>
      </c>
      <c r="D38" s="296"/>
      <c r="E38" s="41">
        <f>7.332-6.6439</f>
        <v>0.68809999999999949</v>
      </c>
      <c r="F38" s="41">
        <f t="shared" ref="F38:F40" si="2">+E38</f>
        <v>0.68809999999999949</v>
      </c>
      <c r="G38" s="235">
        <f>ROUND(D38*E38,2)</f>
        <v>0</v>
      </c>
      <c r="H38" s="270"/>
      <c r="I38" s="41"/>
      <c r="J38" s="41"/>
      <c r="K38" s="271"/>
      <c r="L38" s="294">
        <f>SUM(G38:G40)</f>
        <v>1099.73</v>
      </c>
      <c r="M38" s="227">
        <v>1099.73</v>
      </c>
      <c r="N38" s="274"/>
      <c r="O38" s="237"/>
      <c r="P38" s="275"/>
      <c r="Q38" s="237"/>
      <c r="R38" s="242"/>
      <c r="S38" s="266"/>
      <c r="T38" s="266"/>
    </row>
    <row r="39" spans="1:21" ht="15.75">
      <c r="A39" s="896"/>
      <c r="B39" s="192"/>
      <c r="C39" s="48" t="s">
        <v>263</v>
      </c>
      <c r="D39" s="269">
        <v>1.59</v>
      </c>
      <c r="E39" s="41">
        <v>7.3319999999999999</v>
      </c>
      <c r="F39" s="41">
        <f t="shared" si="2"/>
        <v>7.3319999999999999</v>
      </c>
      <c r="G39" s="235">
        <f>ROUND(D39*E39,2)</f>
        <v>11.66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1" ht="16.5" thickBot="1">
      <c r="A40" s="891"/>
      <c r="B40" s="887"/>
      <c r="C40" s="54" t="s">
        <v>29</v>
      </c>
      <c r="D40" s="279">
        <v>148.4</v>
      </c>
      <c r="E40" s="56">
        <v>7.3319999999999999</v>
      </c>
      <c r="F40" s="57">
        <f t="shared" si="2"/>
        <v>7.3319999999999999</v>
      </c>
      <c r="G40" s="247">
        <f t="shared" ref="G40" si="3">ROUND(D40*E40,2)</f>
        <v>1088.07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1">
      <c r="A41" s="892">
        <v>210</v>
      </c>
      <c r="B41" s="183" t="s">
        <v>245</v>
      </c>
      <c r="C41" s="439" t="s">
        <v>260</v>
      </c>
      <c r="D41" s="296">
        <f>сент18!D39+сент18!D40</f>
        <v>237.62</v>
      </c>
      <c r="E41" s="41">
        <f>7.332-6.6439</f>
        <v>0.68809999999999949</v>
      </c>
      <c r="F41" s="41">
        <f t="shared" si="0"/>
        <v>0.68809999999999949</v>
      </c>
      <c r="G41" s="235">
        <f>ROUND(D41*E41,2)</f>
        <v>163.51</v>
      </c>
      <c r="H41" s="270"/>
      <c r="I41" s="41"/>
      <c r="J41" s="41"/>
      <c r="K41" s="271"/>
      <c r="L41" s="294">
        <f>SUM(G41:G43)</f>
        <v>2249.54</v>
      </c>
      <c r="M41" s="227">
        <v>2249.54</v>
      </c>
      <c r="N41" s="274"/>
      <c r="O41" s="237"/>
      <c r="P41" s="275"/>
      <c r="Q41" s="237"/>
      <c r="R41" s="242"/>
      <c r="S41" s="266"/>
      <c r="T41" s="266"/>
    </row>
    <row r="42" spans="1:21" ht="15.75">
      <c r="A42" s="896"/>
      <c r="B42" s="192"/>
      <c r="C42" s="48" t="s">
        <v>263</v>
      </c>
      <c r="D42" s="269">
        <v>3.01</v>
      </c>
      <c r="E42" s="41">
        <v>7.3319999999999999</v>
      </c>
      <c r="F42" s="41">
        <f t="shared" si="0"/>
        <v>7.3319999999999999</v>
      </c>
      <c r="G42" s="235">
        <f>ROUND(D42*E42,2)</f>
        <v>22.07</v>
      </c>
      <c r="H42" s="270"/>
      <c r="I42" s="41"/>
      <c r="J42" s="41"/>
      <c r="K42" s="271"/>
      <c r="L42" s="272"/>
      <c r="M42" s="273"/>
      <c r="N42" s="274"/>
      <c r="O42" s="237"/>
      <c r="P42" s="275"/>
      <c r="Q42" s="237"/>
      <c r="R42" s="242"/>
      <c r="S42" s="266"/>
      <c r="T42" s="266"/>
    </row>
    <row r="43" spans="1:21" ht="16.5" thickBot="1">
      <c r="A43" s="891"/>
      <c r="B43" s="887"/>
      <c r="C43" s="54" t="s">
        <v>29</v>
      </c>
      <c r="D43" s="279">
        <v>281.5</v>
      </c>
      <c r="E43" s="56">
        <v>7.3319999999999999</v>
      </c>
      <c r="F43" s="57">
        <f t="shared" si="0"/>
        <v>7.3319999999999999</v>
      </c>
      <c r="G43" s="247">
        <f t="shared" ref="G43" si="4">ROUND(D43*E43,2)</f>
        <v>2063.96</v>
      </c>
      <c r="H43" s="280"/>
      <c r="I43" s="281"/>
      <c r="J43" s="281"/>
      <c r="K43" s="282"/>
      <c r="L43" s="204"/>
      <c r="M43" s="250"/>
      <c r="N43" s="283"/>
      <c r="O43" s="252"/>
      <c r="P43" s="284"/>
      <c r="Q43" s="252"/>
      <c r="R43" s="242"/>
      <c r="S43" s="266"/>
      <c r="T43" s="266"/>
    </row>
    <row r="44" spans="1:21">
      <c r="A44" s="892">
        <v>213</v>
      </c>
      <c r="B44" s="183" t="s">
        <v>262</v>
      </c>
      <c r="C44" s="439" t="s">
        <v>260</v>
      </c>
      <c r="D44" s="296">
        <f>сент18!D42+сент18!D43</f>
        <v>131.19</v>
      </c>
      <c r="E44" s="41">
        <f>7.332-6.6439</f>
        <v>0.68809999999999949</v>
      </c>
      <c r="F44" s="41">
        <f t="shared" si="0"/>
        <v>0.68809999999999949</v>
      </c>
      <c r="G44" s="235">
        <f>ROUND(D44*E44,2)+0.01</f>
        <v>90.28</v>
      </c>
      <c r="H44" s="270"/>
      <c r="I44" s="41"/>
      <c r="J44" s="41"/>
      <c r="K44" s="271"/>
      <c r="L44" s="294">
        <f>SUM(G44:G46)</f>
        <v>1215.96</v>
      </c>
      <c r="M44" s="227">
        <v>1215.96</v>
      </c>
      <c r="N44" s="274"/>
      <c r="O44" s="237"/>
      <c r="P44" s="275"/>
      <c r="Q44" s="237"/>
      <c r="R44" s="242"/>
      <c r="S44" s="266"/>
      <c r="T44" s="266"/>
    </row>
    <row r="45" spans="1:21" ht="15.75">
      <c r="A45" s="896"/>
      <c r="B45" s="192"/>
      <c r="C45" s="48" t="s">
        <v>263</v>
      </c>
      <c r="D45" s="269">
        <v>1.63</v>
      </c>
      <c r="E45" s="41">
        <v>7.3319999999999999</v>
      </c>
      <c r="F45" s="41">
        <f t="shared" si="0"/>
        <v>7.3319999999999999</v>
      </c>
      <c r="G45" s="235">
        <f>ROUND(D45*E45,2)</f>
        <v>11.95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1" ht="16.5" thickBot="1">
      <c r="A46" s="891"/>
      <c r="B46" s="887"/>
      <c r="C46" s="54" t="s">
        <v>29</v>
      </c>
      <c r="D46" s="279">
        <v>151.9</v>
      </c>
      <c r="E46" s="56">
        <v>7.3319999999999999</v>
      </c>
      <c r="F46" s="57">
        <f t="shared" si="0"/>
        <v>7.3319999999999999</v>
      </c>
      <c r="G46" s="247">
        <f t="shared" ref="G46" si="5">ROUND(D46*E46,2)</f>
        <v>1113.73</v>
      </c>
      <c r="H46" s="280"/>
      <c r="I46" s="281"/>
      <c r="J46" s="281"/>
      <c r="K46" s="282"/>
      <c r="L46" s="204"/>
      <c r="M46" s="250"/>
      <c r="N46" s="283"/>
      <c r="O46" s="252"/>
      <c r="P46" s="284"/>
      <c r="Q46" s="252"/>
      <c r="R46" s="242"/>
      <c r="S46" s="266"/>
      <c r="T46" s="266"/>
    </row>
    <row r="47" spans="1:21">
      <c r="A47" s="892">
        <v>215</v>
      </c>
      <c r="B47" s="183" t="s">
        <v>189</v>
      </c>
      <c r="C47" s="71" t="s">
        <v>243</v>
      </c>
      <c r="D47" s="213">
        <v>0</v>
      </c>
      <c r="E47" s="21">
        <v>40.556600000000003</v>
      </c>
      <c r="F47" s="21">
        <v>47.5304</v>
      </c>
      <c r="G47" s="214">
        <f>ROUND(D47*(E47+F47),2)</f>
        <v>0</v>
      </c>
      <c r="H47" s="213"/>
      <c r="I47" s="194"/>
      <c r="J47" s="215"/>
      <c r="K47" s="679"/>
      <c r="L47" s="216">
        <f>SUM(G47:G54)+SUM(J47:J54)</f>
        <v>3527.24</v>
      </c>
      <c r="M47" s="187">
        <v>3527.24</v>
      </c>
      <c r="N47" s="188"/>
      <c r="O47" s="217"/>
      <c r="P47" s="218"/>
      <c r="Q47" s="219"/>
      <c r="R47" s="220"/>
      <c r="S47" s="221"/>
      <c r="T47" s="222"/>
      <c r="U47" s="33"/>
    </row>
    <row r="48" spans="1:21">
      <c r="A48" s="890"/>
      <c r="B48" s="872"/>
      <c r="C48" s="84" t="s">
        <v>26</v>
      </c>
      <c r="D48" s="37"/>
      <c r="E48" s="38"/>
      <c r="F48" s="38"/>
      <c r="G48" s="39">
        <f>ROUND(D48*(E48+F48),2)</f>
        <v>0</v>
      </c>
      <c r="H48" s="225"/>
      <c r="I48" s="194"/>
      <c r="J48" s="194"/>
      <c r="K48" s="226"/>
      <c r="L48" s="196"/>
      <c r="M48" s="227"/>
      <c r="N48" s="228"/>
      <c r="O48" s="229"/>
      <c r="P48" s="230"/>
      <c r="Q48" s="231"/>
      <c r="R48" s="232"/>
      <c r="S48" s="233"/>
      <c r="T48" s="224"/>
      <c r="U48" s="33"/>
    </row>
    <row r="49" spans="1:21">
      <c r="A49" s="890"/>
      <c r="B49" s="873" t="s">
        <v>32</v>
      </c>
      <c r="C49" s="99" t="s">
        <v>33</v>
      </c>
      <c r="D49" s="234">
        <v>0</v>
      </c>
      <c r="E49" s="101">
        <v>148.66999999999999</v>
      </c>
      <c r="F49" s="38">
        <f>F47</f>
        <v>47.5304</v>
      </c>
      <c r="G49" s="235">
        <f>ROUND(D49*(E49+F49),2)</f>
        <v>0</v>
      </c>
      <c r="H49" s="234"/>
      <c r="I49" s="194"/>
      <c r="J49" s="194"/>
      <c r="K49" s="195"/>
      <c r="L49" s="196"/>
      <c r="M49" s="227"/>
      <c r="N49" s="236"/>
      <c r="O49" s="237"/>
      <c r="P49" s="230"/>
      <c r="Q49" s="238"/>
      <c r="R49" s="232"/>
      <c r="S49" s="233"/>
      <c r="T49" s="224"/>
    </row>
    <row r="50" spans="1:21">
      <c r="A50" s="890"/>
      <c r="B50" s="872" t="s">
        <v>33</v>
      </c>
      <c r="C50" s="239" t="s">
        <v>26</v>
      </c>
      <c r="D50" s="234">
        <f>сент18!D46</f>
        <v>0</v>
      </c>
      <c r="E50" s="240"/>
      <c r="F50" s="240"/>
      <c r="G50" s="235">
        <f>+ROUND(D50*E50,2)</f>
        <v>0</v>
      </c>
      <c r="H50" s="241"/>
      <c r="I50" s="194"/>
      <c r="J50" s="194"/>
      <c r="K50" s="195"/>
      <c r="L50" s="196"/>
      <c r="M50" s="227"/>
      <c r="N50" s="236"/>
      <c r="O50" s="237"/>
      <c r="P50" s="230"/>
      <c r="Q50" s="238"/>
      <c r="R50" s="242"/>
      <c r="S50" s="233"/>
      <c r="T50" s="224"/>
    </row>
    <row r="51" spans="1:21">
      <c r="A51" s="890"/>
      <c r="B51" s="872"/>
      <c r="C51" s="239" t="s">
        <v>26</v>
      </c>
      <c r="D51" s="234"/>
      <c r="E51" s="240"/>
      <c r="F51" s="41"/>
      <c r="G51" s="235">
        <f>+ROUND(D51*F51,2)</f>
        <v>0</v>
      </c>
      <c r="H51" s="241"/>
      <c r="I51" s="194"/>
      <c r="J51" s="194"/>
      <c r="K51" s="195"/>
      <c r="L51" s="196"/>
      <c r="M51" s="227"/>
      <c r="N51" s="236"/>
      <c r="O51" s="237"/>
      <c r="P51" s="230"/>
      <c r="Q51" s="238"/>
      <c r="R51" s="242"/>
      <c r="S51" s="233"/>
      <c r="T51" s="224"/>
    </row>
    <row r="52" spans="1:21">
      <c r="A52" s="890"/>
      <c r="B52" s="872"/>
      <c r="C52" s="48" t="s">
        <v>260</v>
      </c>
      <c r="D52" s="49">
        <f>сент18!D50+сент18!D51</f>
        <v>336.87</v>
      </c>
      <c r="E52" s="41">
        <f>7.332-6.6439</f>
        <v>0.68809999999999949</v>
      </c>
      <c r="F52" s="41">
        <f t="shared" ref="F52:F57" si="6">+E52</f>
        <v>0.68809999999999949</v>
      </c>
      <c r="G52" s="50">
        <f>ROUND(D52*E52,2)</f>
        <v>231.8</v>
      </c>
      <c r="H52" s="241"/>
      <c r="I52" s="194"/>
      <c r="J52" s="194"/>
      <c r="K52" s="195"/>
      <c r="L52" s="196"/>
      <c r="M52" s="227"/>
      <c r="N52" s="236"/>
      <c r="O52" s="237"/>
      <c r="P52" s="230"/>
      <c r="Q52" s="238"/>
      <c r="R52" s="242"/>
      <c r="S52" s="233"/>
      <c r="T52" s="224"/>
    </row>
    <row r="53" spans="1:21">
      <c r="A53" s="890"/>
      <c r="B53" s="872"/>
      <c r="C53" s="48" t="s">
        <v>263</v>
      </c>
      <c r="D53" s="49">
        <v>4.76</v>
      </c>
      <c r="E53" s="41">
        <v>7.3319999999999999</v>
      </c>
      <c r="F53" s="41">
        <f t="shared" si="6"/>
        <v>7.3319999999999999</v>
      </c>
      <c r="G53" s="50">
        <f>ROUND(D53*E53,2)</f>
        <v>34.9</v>
      </c>
      <c r="H53" s="241"/>
      <c r="I53" s="194"/>
      <c r="J53" s="243"/>
      <c r="K53" s="195"/>
      <c r="L53" s="196"/>
      <c r="M53" s="227"/>
      <c r="N53" s="236"/>
      <c r="O53" s="237"/>
      <c r="P53" s="230"/>
      <c r="Q53" s="238"/>
      <c r="R53" s="242"/>
      <c r="S53" s="233"/>
      <c r="T53" s="224"/>
      <c r="U53" s="33"/>
    </row>
    <row r="54" spans="1:21" ht="15.75" thickBot="1">
      <c r="A54" s="897"/>
      <c r="B54" s="875"/>
      <c r="C54" s="99" t="s">
        <v>29</v>
      </c>
      <c r="D54" s="246">
        <v>444.7</v>
      </c>
      <c r="E54" s="56">
        <v>7.3319999999999999</v>
      </c>
      <c r="F54" s="57">
        <f t="shared" si="6"/>
        <v>7.3319999999999999</v>
      </c>
      <c r="G54" s="247">
        <f>ROUND(D54*E54*70%+D54*F54*30%,2)</f>
        <v>3260.54</v>
      </c>
      <c r="H54" s="248"/>
      <c r="I54" s="203"/>
      <c r="J54" s="60"/>
      <c r="K54" s="61"/>
      <c r="L54" s="249"/>
      <c r="M54" s="250"/>
      <c r="N54" s="251"/>
      <c r="O54" s="252"/>
      <c r="P54" s="253"/>
      <c r="Q54" s="254"/>
      <c r="R54" s="255"/>
      <c r="S54" s="256"/>
      <c r="T54" s="256"/>
    </row>
    <row r="55" spans="1:21" ht="15.75" thickTop="1">
      <c r="A55" s="892">
        <v>217</v>
      </c>
      <c r="B55" s="183" t="s">
        <v>269</v>
      </c>
      <c r="C55" s="439" t="s">
        <v>260</v>
      </c>
      <c r="D55" s="296">
        <f>сент18!D53+сент18!D54</f>
        <v>17.079999999999998</v>
      </c>
      <c r="E55" s="41">
        <f>7.332-6.6439</f>
        <v>0.68809999999999949</v>
      </c>
      <c r="F55" s="41">
        <f t="shared" si="6"/>
        <v>0.68809999999999949</v>
      </c>
      <c r="G55" s="235">
        <f>ROUND(D55*E55,2)</f>
        <v>11.75</v>
      </c>
      <c r="H55" s="270"/>
      <c r="I55" s="41"/>
      <c r="J55" s="41"/>
      <c r="K55" s="271"/>
      <c r="L55" s="294">
        <f>SUM(G55:G57)</f>
        <v>222.17999999999998</v>
      </c>
      <c r="M55" s="227">
        <v>222.18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192"/>
      <c r="C56" s="48" t="s">
        <v>263</v>
      </c>
      <c r="D56" s="269">
        <v>0.3</v>
      </c>
      <c r="E56" s="41">
        <v>7.3319999999999999</v>
      </c>
      <c r="F56" s="41">
        <f t="shared" si="6"/>
        <v>7.3319999999999999</v>
      </c>
      <c r="G56" s="235">
        <f>ROUND(D56*E56,2)</f>
        <v>2.2000000000000002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887"/>
      <c r="C57" s="54" t="s">
        <v>29</v>
      </c>
      <c r="D57" s="279">
        <v>28.4</v>
      </c>
      <c r="E57" s="56">
        <v>7.3319999999999999</v>
      </c>
      <c r="F57" s="57">
        <f t="shared" si="6"/>
        <v>7.3319999999999999</v>
      </c>
      <c r="G57" s="247">
        <f t="shared" ref="G57" si="7">ROUND(D57*E57,2)</f>
        <v>208.23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 ht="15.75" collapsed="1" thickBot="1">
      <c r="A58" s="891">
        <v>309</v>
      </c>
      <c r="B58" s="887" t="s">
        <v>251</v>
      </c>
      <c r="C58" s="54" t="s">
        <v>260</v>
      </c>
      <c r="D58" s="296">
        <f>сент18!D56+сент18!D57</f>
        <v>328.68</v>
      </c>
      <c r="E58" s="41">
        <f>7.332-6.6439</f>
        <v>0.68809999999999949</v>
      </c>
      <c r="F58" s="41">
        <f>+E58</f>
        <v>0.68809999999999949</v>
      </c>
      <c r="G58" s="235">
        <f>ROUND(D58*E58,2)</f>
        <v>226.16</v>
      </c>
      <c r="H58" s="270"/>
      <c r="I58" s="41"/>
      <c r="J58" s="41"/>
      <c r="K58" s="271"/>
      <c r="L58" s="294">
        <f>SUM(G58:G60)</f>
        <v>3102.1400000000003</v>
      </c>
      <c r="M58" s="227">
        <v>3102.14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885"/>
      <c r="C59" s="48" t="s">
        <v>263</v>
      </c>
      <c r="D59" s="269">
        <v>4.1500000000000004</v>
      </c>
      <c r="E59" s="41">
        <v>7.3319999999999999</v>
      </c>
      <c r="F59" s="41">
        <f>+E59</f>
        <v>7.3319999999999999</v>
      </c>
      <c r="G59" s="235">
        <f t="shared" ref="G59:G60" si="8">ROUND(D59*E59,2)</f>
        <v>30.43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388.1</v>
      </c>
      <c r="E60" s="56">
        <v>7.3319999999999999</v>
      </c>
      <c r="F60" s="57">
        <f>+E60</f>
        <v>7.3319999999999999</v>
      </c>
      <c r="G60" s="247">
        <f t="shared" si="8"/>
        <v>2845.55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>
      <c r="A61" s="888">
        <v>314</v>
      </c>
      <c r="B61" s="889" t="s">
        <v>52</v>
      </c>
      <c r="C61" s="71">
        <v>0</v>
      </c>
      <c r="D61" s="213">
        <v>251.42</v>
      </c>
      <c r="E61" s="21">
        <v>40.556600000000003</v>
      </c>
      <c r="F61" s="21">
        <v>47.5304</v>
      </c>
      <c r="G61" s="214">
        <f>ROUND(D61*(E61+F61),2)</f>
        <v>22146.83</v>
      </c>
      <c r="H61" s="213"/>
      <c r="J61" s="215"/>
      <c r="K61" s="679"/>
      <c r="L61" s="216">
        <f>SUM(G61:G68)+SUM(J61:J68)</f>
        <v>107860.76999999999</v>
      </c>
      <c r="M61" s="187">
        <v>107860.77</v>
      </c>
      <c r="N61" s="188"/>
      <c r="O61" s="217">
        <v>4253.6899999999996</v>
      </c>
      <c r="P61" s="218" t="s">
        <v>47</v>
      </c>
      <c r="Q61" s="219">
        <f t="shared" ref="Q61" si="9">C61+G61+J61-M61-N61-O61</f>
        <v>-89967.63</v>
      </c>
      <c r="R61" s="220" t="s">
        <v>53</v>
      </c>
      <c r="S61" s="221"/>
      <c r="T61" s="222"/>
      <c r="U61" s="33">
        <f>+C61+L61-M61</f>
        <v>0</v>
      </c>
    </row>
    <row r="62" spans="1:21" ht="15.75" thickBot="1">
      <c r="A62" s="890"/>
      <c r="B62" s="872"/>
      <c r="C62" s="84" t="s">
        <v>26</v>
      </c>
      <c r="D62" s="37"/>
      <c r="E62" s="38"/>
      <c r="F62" s="38"/>
      <c r="G62" s="39">
        <f>ROUND(D62*(E62+F62),2)</f>
        <v>0</v>
      </c>
      <c r="H62" s="225"/>
      <c r="I62" s="194"/>
      <c r="J62" s="194"/>
      <c r="K62" s="226"/>
      <c r="L62" s="196"/>
      <c r="M62" s="227"/>
      <c r="N62" s="228"/>
      <c r="O62" s="229"/>
      <c r="P62" s="230"/>
      <c r="Q62" s="231"/>
      <c r="R62" s="232"/>
      <c r="S62" s="233"/>
      <c r="T62" s="224"/>
      <c r="U62" s="33"/>
    </row>
    <row r="63" spans="1:21">
      <c r="A63" s="890"/>
      <c r="B63" s="873" t="s">
        <v>32</v>
      </c>
      <c r="C63" s="99" t="s">
        <v>33</v>
      </c>
      <c r="D63" s="234">
        <v>0</v>
      </c>
      <c r="E63" s="101">
        <v>148.66999999999999</v>
      </c>
      <c r="F63" s="21">
        <v>47.5304</v>
      </c>
      <c r="G63" s="235">
        <f>ROUND(D63*(E63+F63),2)</f>
        <v>0</v>
      </c>
      <c r="H63" s="234"/>
      <c r="I63" s="194"/>
      <c r="J63" s="194"/>
      <c r="K63" s="195"/>
      <c r="L63" s="196"/>
      <c r="M63" s="227"/>
      <c r="N63" s="236"/>
      <c r="O63" s="237">
        <v>5456.6</v>
      </c>
      <c r="P63" s="230" t="s">
        <v>47</v>
      </c>
      <c r="Q63" s="238">
        <f>+G63+J63-M63-N63-O63</f>
        <v>-5456.6</v>
      </c>
      <c r="R63" s="232"/>
      <c r="S63" s="233"/>
      <c r="T63" s="224"/>
    </row>
    <row r="64" spans="1:21">
      <c r="A64" s="890"/>
      <c r="B64" s="872" t="s">
        <v>33</v>
      </c>
      <c r="C64" s="239" t="s">
        <v>26</v>
      </c>
      <c r="D64" s="234">
        <f>сент18!D60</f>
        <v>0</v>
      </c>
      <c r="E64" s="240"/>
      <c r="F64" s="240"/>
      <c r="G64" s="235">
        <f>+ROUND(D64*E64,2)</f>
        <v>0</v>
      </c>
      <c r="H64" s="241"/>
      <c r="I64" s="194"/>
      <c r="J64" s="194"/>
      <c r="K64" s="195"/>
      <c r="L64" s="196"/>
      <c r="M64" s="227"/>
      <c r="N64" s="236"/>
      <c r="O64" s="237"/>
      <c r="P64" s="230"/>
      <c r="Q64" s="238"/>
      <c r="R64" s="242"/>
      <c r="S64" s="233"/>
      <c r="T64" s="224"/>
    </row>
    <row r="65" spans="1:21">
      <c r="A65" s="890"/>
      <c r="B65" s="872"/>
      <c r="C65" s="239" t="s">
        <v>26</v>
      </c>
      <c r="D65" s="234"/>
      <c r="E65" s="240"/>
      <c r="F65" s="41"/>
      <c r="G65" s="235">
        <f>+ROUND(D65*F65,2)</f>
        <v>0</v>
      </c>
      <c r="H65" s="241"/>
      <c r="I65" s="194"/>
      <c r="J65" s="194"/>
      <c r="K65" s="195"/>
      <c r="L65" s="196"/>
      <c r="M65" s="227"/>
      <c r="N65" s="236"/>
      <c r="O65" s="237"/>
      <c r="P65" s="230"/>
      <c r="Q65" s="238"/>
      <c r="R65" s="242"/>
      <c r="S65" s="233"/>
      <c r="T65" s="224"/>
    </row>
    <row r="66" spans="1:21">
      <c r="A66" s="890"/>
      <c r="B66" s="872"/>
      <c r="C66" s="48" t="s">
        <v>260</v>
      </c>
      <c r="D66" s="49">
        <f>сент18!D64+сент18!D65</f>
        <v>8771.9700000000012</v>
      </c>
      <c r="E66" s="41">
        <f>7.332-6.6439</f>
        <v>0.68809999999999949</v>
      </c>
      <c r="F66" s="41">
        <f t="shared" ref="F66:F106" si="10">+E66</f>
        <v>0.68809999999999949</v>
      </c>
      <c r="G66" s="50">
        <f>ROUND(D66*E66,2)</f>
        <v>6035.99</v>
      </c>
      <c r="H66" s="241"/>
      <c r="I66" s="194"/>
      <c r="J66" s="194"/>
      <c r="K66" s="195"/>
      <c r="L66" s="196"/>
      <c r="M66" s="227"/>
      <c r="N66" s="236"/>
      <c r="O66" s="237"/>
      <c r="P66" s="230"/>
      <c r="Q66" s="238"/>
      <c r="R66" s="242"/>
      <c r="S66" s="233"/>
      <c r="T66" s="224"/>
    </row>
    <row r="67" spans="1:21">
      <c r="A67" s="890"/>
      <c r="B67" s="872"/>
      <c r="C67" s="48" t="s">
        <v>263</v>
      </c>
      <c r="D67" s="49">
        <v>115.05</v>
      </c>
      <c r="E67" s="41">
        <v>7.3319999999999999</v>
      </c>
      <c r="F67" s="41">
        <f t="shared" si="10"/>
        <v>7.3319999999999999</v>
      </c>
      <c r="G67" s="50">
        <f>ROUND(D67*E67,2)</f>
        <v>843.55</v>
      </c>
      <c r="H67" s="241"/>
      <c r="I67" s="194"/>
      <c r="J67" s="243"/>
      <c r="K67" s="195"/>
      <c r="L67" s="196"/>
      <c r="M67" s="227"/>
      <c r="N67" s="236"/>
      <c r="O67" s="237"/>
      <c r="P67" s="230"/>
      <c r="Q67" s="238"/>
      <c r="R67" s="242"/>
      <c r="S67" s="233"/>
      <c r="T67" s="224"/>
      <c r="U67" s="33"/>
    </row>
    <row r="68" spans="1:21" ht="15.75" thickBot="1">
      <c r="A68" s="891"/>
      <c r="B68" s="887"/>
      <c r="C68" s="54" t="s">
        <v>29</v>
      </c>
      <c r="D68" s="246">
        <v>10752.1</v>
      </c>
      <c r="E68" s="56">
        <v>7.3319999999999999</v>
      </c>
      <c r="F68" s="57">
        <f t="shared" si="10"/>
        <v>7.3319999999999999</v>
      </c>
      <c r="G68" s="247">
        <f>ROUND(D68*E68*70%+D68*F68*30%,2)</f>
        <v>78834.399999999994</v>
      </c>
      <c r="H68" s="248"/>
      <c r="I68" s="203"/>
      <c r="J68" s="60"/>
      <c r="K68" s="61"/>
      <c r="L68" s="249"/>
      <c r="M68" s="250"/>
      <c r="N68" s="251"/>
      <c r="O68" s="252">
        <v>15777.9</v>
      </c>
      <c r="P68" s="253" t="s">
        <v>47</v>
      </c>
      <c r="Q68" s="254">
        <f>+G68+J68-M68-N68-O68</f>
        <v>63056.499999999993</v>
      </c>
      <c r="R68" s="255" t="s">
        <v>54</v>
      </c>
      <c r="S68" s="256">
        <f>SUM(O61:O68)</f>
        <v>25488.190000000002</v>
      </c>
      <c r="T68" s="256">
        <f>SUM(Q61:Q68)</f>
        <v>-32367.730000000018</v>
      </c>
    </row>
    <row r="69" spans="1:21">
      <c r="A69" s="892">
        <v>402</v>
      </c>
      <c r="B69" s="183" t="s">
        <v>178</v>
      </c>
      <c r="C69" s="439" t="s">
        <v>260</v>
      </c>
      <c r="D69" s="296">
        <f>сент18!D67+сент18!D68</f>
        <v>149.44000000000003</v>
      </c>
      <c r="E69" s="41">
        <f>7.332-6.6439</f>
        <v>0.68809999999999949</v>
      </c>
      <c r="F69" s="41">
        <f t="shared" si="10"/>
        <v>0.68809999999999949</v>
      </c>
      <c r="G69" s="235">
        <f>ROUND(D69*E69,2)+0.01</f>
        <v>102.84</v>
      </c>
      <c r="H69" s="270"/>
      <c r="I69" s="41"/>
      <c r="J69" s="41"/>
      <c r="K69" s="271"/>
      <c r="L69" s="294">
        <f>SUM(G69:G71)</f>
        <v>1467.83</v>
      </c>
      <c r="M69" s="227">
        <v>1467.83</v>
      </c>
      <c r="N69" s="274"/>
      <c r="O69" s="237"/>
      <c r="P69" s="275"/>
      <c r="Q69" s="237"/>
      <c r="R69" s="242"/>
      <c r="S69" s="266"/>
      <c r="T69" s="266"/>
    </row>
    <row r="70" spans="1:21" ht="15.75">
      <c r="A70" s="896"/>
      <c r="B70" s="192"/>
      <c r="C70" s="48" t="s">
        <v>263</v>
      </c>
      <c r="D70" s="269">
        <v>1.97</v>
      </c>
      <c r="E70" s="41">
        <v>7.3319999999999999</v>
      </c>
      <c r="F70" s="41">
        <f t="shared" si="10"/>
        <v>7.3319999999999999</v>
      </c>
      <c r="G70" s="235">
        <f t="shared" ref="G70:G83" si="11">ROUND(D70*E70,2)</f>
        <v>14.44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1" ht="16.5" thickBot="1">
      <c r="A71" s="891"/>
      <c r="B71" s="202"/>
      <c r="C71" s="54" t="s">
        <v>29</v>
      </c>
      <c r="D71" s="279">
        <v>184.2</v>
      </c>
      <c r="E71" s="56">
        <v>7.3319999999999999</v>
      </c>
      <c r="F71" s="57">
        <f t="shared" si="10"/>
        <v>7.3319999999999999</v>
      </c>
      <c r="G71" s="247">
        <f t="shared" si="11"/>
        <v>1350.55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1">
      <c r="A72" s="892">
        <v>403</v>
      </c>
      <c r="B72" s="183" t="s">
        <v>290</v>
      </c>
      <c r="C72" s="439" t="s">
        <v>260</v>
      </c>
      <c r="D72" s="296"/>
      <c r="E72" s="41">
        <f>7.332-6.6439</f>
        <v>0.68809999999999949</v>
      </c>
      <c r="F72" s="41">
        <f t="shared" ref="F72:F74" si="12">+E72</f>
        <v>0.68809999999999949</v>
      </c>
      <c r="G72" s="235">
        <f>ROUND(D72*E72,2)</f>
        <v>0</v>
      </c>
      <c r="H72" s="270"/>
      <c r="I72" s="41"/>
      <c r="J72" s="41"/>
      <c r="K72" s="271"/>
      <c r="L72" s="294">
        <f>SUM(G72:G74)</f>
        <v>490.58</v>
      </c>
      <c r="M72" s="992">
        <v>490.58</v>
      </c>
      <c r="N72" s="993"/>
      <c r="O72" s="994" t="s">
        <v>291</v>
      </c>
      <c r="P72" s="275"/>
      <c r="Q72" s="237"/>
      <c r="R72" s="242"/>
      <c r="S72" s="266"/>
      <c r="T72" s="266"/>
    </row>
    <row r="73" spans="1:21" ht="15.75">
      <c r="A73" s="896"/>
      <c r="B73" s="192"/>
      <c r="C73" s="48" t="s">
        <v>263</v>
      </c>
      <c r="D73" s="269">
        <v>0.71</v>
      </c>
      <c r="E73" s="41">
        <v>7.3319999999999999</v>
      </c>
      <c r="F73" s="41">
        <f t="shared" si="12"/>
        <v>7.3319999999999999</v>
      </c>
      <c r="G73" s="235">
        <f>ROUND(D73*E73,2)-0.01</f>
        <v>5.2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1" ht="16.5" thickBot="1">
      <c r="A74" s="891"/>
      <c r="B74" s="202"/>
      <c r="C74" s="54" t="s">
        <v>29</v>
      </c>
      <c r="D74" s="279">
        <v>66.2</v>
      </c>
      <c r="E74" s="56">
        <v>7.3319999999999999</v>
      </c>
      <c r="F74" s="57">
        <f t="shared" si="12"/>
        <v>7.3319999999999999</v>
      </c>
      <c r="G74" s="247">
        <f t="shared" ref="G74" si="13">ROUND(D74*E74,2)</f>
        <v>485.38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1">
      <c r="A75" s="892">
        <v>409</v>
      </c>
      <c r="B75" s="183" t="s">
        <v>218</v>
      </c>
      <c r="C75" s="439" t="s">
        <v>260</v>
      </c>
      <c r="D75" s="296">
        <f>сент18!D70+сент18!D71</f>
        <v>147.87</v>
      </c>
      <c r="E75" s="41">
        <f>7.332-6.6439</f>
        <v>0.68809999999999949</v>
      </c>
      <c r="F75" s="41">
        <f t="shared" si="10"/>
        <v>0.68809999999999949</v>
      </c>
      <c r="G75" s="235">
        <f>ROUND(D75*E75,2)</f>
        <v>101.75</v>
      </c>
      <c r="H75" s="270"/>
      <c r="I75" s="41"/>
      <c r="J75" s="41"/>
      <c r="K75" s="271"/>
      <c r="L75" s="294">
        <f>SUM(G75:G77)</f>
        <v>1514.92</v>
      </c>
      <c r="M75" s="227">
        <v>1514.92</v>
      </c>
      <c r="N75" s="274"/>
      <c r="O75" s="237"/>
      <c r="P75" s="275"/>
      <c r="Q75" s="237"/>
      <c r="R75" s="242"/>
      <c r="S75" s="266"/>
      <c r="T75" s="266"/>
    </row>
    <row r="76" spans="1:21" ht="15.75">
      <c r="A76" s="896"/>
      <c r="B76" s="192"/>
      <c r="C76" s="48" t="s">
        <v>263</v>
      </c>
      <c r="D76" s="269">
        <v>2.04</v>
      </c>
      <c r="E76" s="41">
        <v>7.3319999999999999</v>
      </c>
      <c r="F76" s="41">
        <f t="shared" si="10"/>
        <v>7.3319999999999999</v>
      </c>
      <c r="G76" s="235">
        <f t="shared" si="11"/>
        <v>14.96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1" ht="16.5" thickBot="1">
      <c r="A77" s="891"/>
      <c r="B77" s="887"/>
      <c r="C77" s="54" t="s">
        <v>29</v>
      </c>
      <c r="D77" s="279">
        <v>190.7</v>
      </c>
      <c r="E77" s="56">
        <v>7.3319999999999999</v>
      </c>
      <c r="F77" s="57">
        <f t="shared" si="10"/>
        <v>7.3319999999999999</v>
      </c>
      <c r="G77" s="247">
        <f t="shared" si="11"/>
        <v>1398.21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1">
      <c r="A78" s="892">
        <v>410</v>
      </c>
      <c r="B78" s="183" t="s">
        <v>138</v>
      </c>
      <c r="C78" s="439" t="s">
        <v>260</v>
      </c>
      <c r="D78" s="296">
        <f>сент18!D73+сент18!D74</f>
        <v>213.26</v>
      </c>
      <c r="E78" s="41">
        <f>7.332-6.6439</f>
        <v>0.68809999999999949</v>
      </c>
      <c r="F78" s="41">
        <f t="shared" si="10"/>
        <v>0.68809999999999949</v>
      </c>
      <c r="G78" s="235">
        <f>ROUND(D78*E78,2)</f>
        <v>146.74</v>
      </c>
      <c r="H78" s="270"/>
      <c r="I78" s="41"/>
      <c r="J78" s="41"/>
      <c r="K78" s="271"/>
      <c r="L78" s="294">
        <f>SUM(G78:G80)</f>
        <v>1926.73</v>
      </c>
      <c r="M78" s="227">
        <v>1926.73</v>
      </c>
      <c r="N78" s="274"/>
      <c r="O78" s="237"/>
      <c r="P78" s="275"/>
      <c r="Q78" s="237"/>
      <c r="R78" s="242"/>
      <c r="S78" s="266"/>
      <c r="T78" s="266"/>
    </row>
    <row r="79" spans="1:21" ht="15.75">
      <c r="A79" s="896"/>
      <c r="B79" s="192"/>
      <c r="C79" s="48" t="s">
        <v>263</v>
      </c>
      <c r="D79" s="269">
        <v>2.57</v>
      </c>
      <c r="E79" s="41">
        <v>7.3319999999999999</v>
      </c>
      <c r="F79" s="41">
        <f t="shared" si="10"/>
        <v>7.3319999999999999</v>
      </c>
      <c r="G79" s="235">
        <f t="shared" si="11"/>
        <v>18.84</v>
      </c>
      <c r="H79" s="270"/>
      <c r="I79" s="41"/>
      <c r="J79" s="41"/>
      <c r="K79" s="271"/>
      <c r="L79" s="272"/>
      <c r="M79" s="273"/>
      <c r="N79" s="274"/>
      <c r="O79" s="237"/>
      <c r="P79" s="275"/>
      <c r="Q79" s="237"/>
      <c r="R79" s="242"/>
      <c r="S79" s="266"/>
      <c r="T79" s="266"/>
    </row>
    <row r="80" spans="1:21" ht="16.5" thickBot="1">
      <c r="A80" s="891"/>
      <c r="B80" s="887"/>
      <c r="C80" s="54" t="s">
        <v>29</v>
      </c>
      <c r="D80" s="279">
        <v>240.2</v>
      </c>
      <c r="E80" s="56">
        <v>7.3319999999999999</v>
      </c>
      <c r="F80" s="57">
        <f t="shared" si="10"/>
        <v>7.3319999999999999</v>
      </c>
      <c r="G80" s="247">
        <f t="shared" si="11"/>
        <v>1761.15</v>
      </c>
      <c r="H80" s="280"/>
      <c r="I80" s="281"/>
      <c r="J80" s="281"/>
      <c r="K80" s="282"/>
      <c r="L80" s="204"/>
      <c r="M80" s="250"/>
      <c r="N80" s="283"/>
      <c r="O80" s="252"/>
      <c r="P80" s="284"/>
      <c r="Q80" s="252"/>
      <c r="R80" s="242"/>
      <c r="S80" s="266"/>
      <c r="T80" s="266"/>
    </row>
    <row r="81" spans="1:20" ht="15.75" hidden="1" thickBot="1">
      <c r="A81" s="892">
        <v>411</v>
      </c>
      <c r="B81" s="183" t="s">
        <v>229</v>
      </c>
      <c r="C81" s="439" t="s">
        <v>260</v>
      </c>
      <c r="D81" s="296"/>
      <c r="E81" s="41">
        <f>6.6439-6.7023</f>
        <v>-5.8399999999999785E-2</v>
      </c>
      <c r="F81" s="41">
        <f t="shared" si="10"/>
        <v>-5.8399999999999785E-2</v>
      </c>
      <c r="G81" s="235">
        <f t="shared" si="11"/>
        <v>0</v>
      </c>
      <c r="H81" s="270"/>
      <c r="I81" s="41"/>
      <c r="J81" s="41"/>
      <c r="K81" s="271"/>
      <c r="L81" s="294">
        <f>SUM(G81:G83)</f>
        <v>0</v>
      </c>
      <c r="M81" s="227"/>
      <c r="N81" s="274"/>
      <c r="O81" s="983" t="s">
        <v>271</v>
      </c>
      <c r="P81" s="275"/>
      <c r="Q81" s="237"/>
      <c r="R81" s="242"/>
      <c r="S81" s="266"/>
      <c r="T81" s="266"/>
    </row>
    <row r="82" spans="1:20" ht="16.5" hidden="1" thickBot="1">
      <c r="A82" s="896"/>
      <c r="B82" s="192"/>
      <c r="C82" s="48" t="s">
        <v>263</v>
      </c>
      <c r="D82" s="269"/>
      <c r="E82" s="41">
        <v>6.6439000000000004</v>
      </c>
      <c r="F82" s="41">
        <f t="shared" si="10"/>
        <v>6.6439000000000004</v>
      </c>
      <c r="G82" s="235">
        <f>ROUND(D82*E82,2)</f>
        <v>0</v>
      </c>
      <c r="H82" s="270"/>
      <c r="I82" s="41"/>
      <c r="J82" s="41"/>
      <c r="K82" s="271"/>
      <c r="L82" s="272"/>
      <c r="M82" s="273"/>
      <c r="N82" s="274"/>
      <c r="O82" s="237"/>
      <c r="P82" s="275"/>
      <c r="Q82" s="237"/>
      <c r="R82" s="242"/>
      <c r="S82" s="266"/>
      <c r="T82" s="266"/>
    </row>
    <row r="83" spans="1:20" ht="16.5" hidden="1" thickBot="1">
      <c r="A83" s="891"/>
      <c r="B83" s="887"/>
      <c r="C83" s="54" t="s">
        <v>29</v>
      </c>
      <c r="D83" s="279"/>
      <c r="E83" s="56">
        <v>6.6439000000000004</v>
      </c>
      <c r="F83" s="57">
        <f t="shared" si="10"/>
        <v>6.6439000000000004</v>
      </c>
      <c r="G83" s="247">
        <f t="shared" si="11"/>
        <v>0</v>
      </c>
      <c r="H83" s="280"/>
      <c r="I83" s="281"/>
      <c r="J83" s="281"/>
      <c r="K83" s="282"/>
      <c r="L83" s="204"/>
      <c r="M83" s="250"/>
      <c r="N83" s="283"/>
      <c r="O83" s="252"/>
      <c r="P83" s="284"/>
      <c r="Q83" s="252"/>
      <c r="R83" s="242"/>
      <c r="S83" s="266"/>
      <c r="T83" s="266"/>
    </row>
    <row r="84" spans="1:20" ht="16.5" collapsed="1" thickBot="1">
      <c r="A84" s="891">
        <v>412</v>
      </c>
      <c r="B84" s="887" t="s">
        <v>58</v>
      </c>
      <c r="C84" s="54" t="s">
        <v>59</v>
      </c>
      <c r="D84" s="822">
        <v>0.45</v>
      </c>
      <c r="E84" s="21">
        <v>40.556600000000003</v>
      </c>
      <c r="F84" s="21">
        <v>47.5304</v>
      </c>
      <c r="G84" s="214">
        <f>ROUND(D84*(E84+F84),2)</f>
        <v>39.64</v>
      </c>
      <c r="H84" s="213"/>
      <c r="I84" s="41"/>
      <c r="J84" s="215"/>
      <c r="K84" s="679"/>
      <c r="L84" s="294">
        <f>SUM(G84:G88)</f>
        <v>1686.49</v>
      </c>
      <c r="M84" s="227">
        <v>1686.49</v>
      </c>
      <c r="N84" s="264"/>
      <c r="O84" s="229"/>
      <c r="P84" s="265"/>
      <c r="Q84" s="229"/>
      <c r="R84" s="242"/>
      <c r="S84" s="266"/>
      <c r="T84" s="266"/>
    </row>
    <row r="85" spans="1:20" ht="15.75">
      <c r="A85" s="896"/>
      <c r="B85" s="885"/>
      <c r="C85" s="292" t="s">
        <v>264</v>
      </c>
      <c r="D85" s="269"/>
      <c r="E85" s="38"/>
      <c r="F85" s="38"/>
      <c r="G85" s="235">
        <f>ROUND(D85*(E85+F85),2)</f>
        <v>0</v>
      </c>
      <c r="H85" s="225"/>
      <c r="I85" s="41"/>
      <c r="J85" s="194"/>
      <c r="K85" s="295"/>
      <c r="L85" s="294"/>
      <c r="M85" s="227"/>
      <c r="N85" s="264"/>
      <c r="O85" s="229"/>
      <c r="P85" s="265"/>
      <c r="Q85" s="229"/>
      <c r="R85" s="242"/>
      <c r="S85" s="266"/>
      <c r="T85" s="266"/>
    </row>
    <row r="86" spans="1:20">
      <c r="A86" s="896"/>
      <c r="B86" s="885"/>
      <c r="C86" s="48" t="s">
        <v>260</v>
      </c>
      <c r="D86" s="296">
        <f>сент18!D81+сент18!D82</f>
        <v>194.26</v>
      </c>
      <c r="E86" s="41">
        <f>7.332-6.6439</f>
        <v>0.68809999999999949</v>
      </c>
      <c r="F86" s="41">
        <f t="shared" ref="F86:F103" si="14">+E86</f>
        <v>0.68809999999999949</v>
      </c>
      <c r="G86" s="235">
        <f>ROUND(D86*E86,2)+0.01</f>
        <v>133.67999999999998</v>
      </c>
      <c r="H86" s="270"/>
      <c r="I86" s="41"/>
      <c r="J86" s="41"/>
      <c r="K86" s="271"/>
      <c r="L86" s="272"/>
      <c r="M86" s="273"/>
      <c r="N86" s="274"/>
      <c r="O86" s="237"/>
      <c r="P86" s="275"/>
      <c r="Q86" s="237"/>
      <c r="R86" s="242"/>
      <c r="S86" s="266"/>
      <c r="T86" s="266"/>
    </row>
    <row r="87" spans="1:20" ht="15.75">
      <c r="A87" s="896"/>
      <c r="B87" s="885"/>
      <c r="C87" s="48" t="s">
        <v>263</v>
      </c>
      <c r="D87" s="269">
        <v>2.1800000000000002</v>
      </c>
      <c r="E87" s="41">
        <v>7.3319999999999999</v>
      </c>
      <c r="F87" s="41">
        <f t="shared" si="14"/>
        <v>7.3319999999999999</v>
      </c>
      <c r="G87" s="235">
        <f t="shared" ref="G87:G88" si="15">ROUND(D87*E87,2)</f>
        <v>15.98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0" ht="16.5" thickBot="1">
      <c r="A88" s="891"/>
      <c r="B88" s="887"/>
      <c r="C88" s="54" t="s">
        <v>29</v>
      </c>
      <c r="D88" s="279">
        <v>204.2</v>
      </c>
      <c r="E88" s="56">
        <v>7.3319999999999999</v>
      </c>
      <c r="F88" s="57">
        <f t="shared" si="14"/>
        <v>7.3319999999999999</v>
      </c>
      <c r="G88" s="247">
        <f t="shared" si="15"/>
        <v>1497.19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0" ht="15" customHeight="1">
      <c r="A89" s="892">
        <v>413</v>
      </c>
      <c r="B89" s="883" t="s">
        <v>56</v>
      </c>
      <c r="C89" s="439" t="s">
        <v>260</v>
      </c>
      <c r="D89" s="894">
        <f>сент18!D84+сент18!D85</f>
        <v>121.79</v>
      </c>
      <c r="E89" s="41">
        <f>7.332-6.6439</f>
        <v>0.68809999999999949</v>
      </c>
      <c r="F89" s="41">
        <f t="shared" si="14"/>
        <v>0.68809999999999949</v>
      </c>
      <c r="G89" s="214">
        <f>ROUND(D89*E89,2)</f>
        <v>83.8</v>
      </c>
      <c r="H89" s="260"/>
      <c r="I89" s="261"/>
      <c r="J89" s="261"/>
      <c r="K89" s="262"/>
      <c r="L89" s="286">
        <f>SUM(G89:G91)</f>
        <v>2351.3700000000003</v>
      </c>
      <c r="M89" s="227">
        <v>2351.37</v>
      </c>
      <c r="N89" s="264"/>
      <c r="O89" s="229"/>
      <c r="P89" s="265"/>
      <c r="Q89" s="229"/>
      <c r="R89" s="287"/>
      <c r="S89" s="288"/>
      <c r="T89" s="288"/>
    </row>
    <row r="90" spans="1:20" ht="15.75">
      <c r="A90" s="893"/>
      <c r="B90" s="885"/>
      <c r="C90" s="48" t="s">
        <v>263</v>
      </c>
      <c r="D90" s="895">
        <v>3.27</v>
      </c>
      <c r="E90" s="41">
        <v>7.3319999999999999</v>
      </c>
      <c r="F90" s="41">
        <f t="shared" si="14"/>
        <v>7.3319999999999999</v>
      </c>
      <c r="G90" s="235">
        <f t="shared" ref="G90:G94" si="16">ROUND(D90*E90,2)</f>
        <v>23.98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87"/>
      <c r="S90" s="288"/>
      <c r="T90" s="288"/>
    </row>
    <row r="91" spans="1:20" ht="16.5" thickBot="1">
      <c r="A91" s="891"/>
      <c r="B91" s="887"/>
      <c r="C91" s="54" t="s">
        <v>29</v>
      </c>
      <c r="D91" s="279">
        <v>306</v>
      </c>
      <c r="E91" s="56">
        <v>7.3319999999999999</v>
      </c>
      <c r="F91" s="57">
        <f t="shared" si="14"/>
        <v>7.3319999999999999</v>
      </c>
      <c r="G91" s="247">
        <f t="shared" si="16"/>
        <v>2243.59</v>
      </c>
      <c r="H91" s="280"/>
      <c r="I91" s="281"/>
      <c r="J91" s="281"/>
      <c r="K91" s="682"/>
      <c r="L91" s="204"/>
      <c r="M91" s="250"/>
      <c r="N91" s="283"/>
      <c r="O91" s="252"/>
      <c r="P91" s="284"/>
      <c r="Q91" s="252"/>
      <c r="R91" s="287"/>
      <c r="S91" s="288"/>
      <c r="T91" s="288"/>
    </row>
    <row r="92" spans="1:20">
      <c r="A92" s="892">
        <v>414</v>
      </c>
      <c r="B92" s="183" t="s">
        <v>179</v>
      </c>
      <c r="C92" s="439" t="s">
        <v>260</v>
      </c>
      <c r="D92" s="296">
        <f>сент18!D87+сент18!D88</f>
        <v>22.24</v>
      </c>
      <c r="E92" s="41">
        <f>7.332-6.6439</f>
        <v>0.68809999999999949</v>
      </c>
      <c r="F92" s="41">
        <f t="shared" si="14"/>
        <v>0.68809999999999949</v>
      </c>
      <c r="G92" s="235">
        <f>ROUND(D92*E92,2)</f>
        <v>15.3</v>
      </c>
      <c r="H92" s="270"/>
      <c r="I92" s="41"/>
      <c r="J92" s="41"/>
      <c r="K92" s="271"/>
      <c r="L92" s="294">
        <f>SUM(G92:G94)</f>
        <v>396.93</v>
      </c>
      <c r="M92" s="227">
        <v>396.93</v>
      </c>
      <c r="N92" s="274"/>
      <c r="O92" s="237"/>
      <c r="P92" s="275"/>
      <c r="Q92" s="237"/>
      <c r="R92" s="242"/>
      <c r="S92" s="266"/>
      <c r="T92" s="266"/>
    </row>
    <row r="93" spans="1:20" ht="15.75">
      <c r="A93" s="896"/>
      <c r="B93" s="192"/>
      <c r="C93" s="48" t="s">
        <v>263</v>
      </c>
      <c r="D93" s="269">
        <v>0.55000000000000004</v>
      </c>
      <c r="E93" s="41">
        <v>7.3319999999999999</v>
      </c>
      <c r="F93" s="41">
        <f t="shared" si="14"/>
        <v>7.3319999999999999</v>
      </c>
      <c r="G93" s="235">
        <f t="shared" si="16"/>
        <v>4.03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0" ht="16.5" thickBot="1">
      <c r="A94" s="891"/>
      <c r="B94" s="887"/>
      <c r="C94" s="99" t="s">
        <v>29</v>
      </c>
      <c r="D94" s="279">
        <v>51.5</v>
      </c>
      <c r="E94" s="56">
        <v>7.3319999999999999</v>
      </c>
      <c r="F94" s="57">
        <f t="shared" si="14"/>
        <v>7.3319999999999999</v>
      </c>
      <c r="G94" s="247">
        <f t="shared" si="16"/>
        <v>377.6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0" collapsed="1">
      <c r="A95" s="892">
        <v>415</v>
      </c>
      <c r="B95" s="183" t="s">
        <v>166</v>
      </c>
      <c r="C95" s="439" t="s">
        <v>260</v>
      </c>
      <c r="D95" s="296">
        <f>сент18!D90+сент18!D91</f>
        <v>174.04</v>
      </c>
      <c r="E95" s="41">
        <f>7.332-6.6439</f>
        <v>0.68809999999999949</v>
      </c>
      <c r="F95" s="41">
        <f t="shared" si="14"/>
        <v>0.68809999999999949</v>
      </c>
      <c r="G95" s="235">
        <f>ROUND(D95*E95,2)-0.01</f>
        <v>119.75</v>
      </c>
      <c r="H95" s="270"/>
      <c r="I95" s="41"/>
      <c r="J95" s="41"/>
      <c r="K95" s="271"/>
      <c r="L95" s="294">
        <f>SUM(G95:G97)</f>
        <v>1959.79</v>
      </c>
      <c r="M95" s="227">
        <v>1959.79</v>
      </c>
      <c r="N95" s="274"/>
      <c r="O95" s="237"/>
      <c r="P95" s="275"/>
      <c r="Q95" s="237"/>
      <c r="R95" s="242"/>
      <c r="S95" s="266"/>
      <c r="T95" s="266"/>
    </row>
    <row r="96" spans="1:20" ht="15.75">
      <c r="A96" s="896"/>
      <c r="B96" s="192"/>
      <c r="C96" s="48" t="s">
        <v>263</v>
      </c>
      <c r="D96" s="269">
        <v>2.66</v>
      </c>
      <c r="E96" s="41">
        <v>7.3319999999999999</v>
      </c>
      <c r="F96" s="41">
        <f t="shared" si="14"/>
        <v>7.3319999999999999</v>
      </c>
      <c r="G96" s="235">
        <f t="shared" ref="G96:G97" si="17">ROUND(D96*E96,2)</f>
        <v>19.5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0" ht="16.5" thickBot="1">
      <c r="A97" s="891"/>
      <c r="B97" s="887"/>
      <c r="C97" s="54" t="s">
        <v>29</v>
      </c>
      <c r="D97" s="279">
        <v>248.3</v>
      </c>
      <c r="E97" s="56">
        <v>7.3319999999999999</v>
      </c>
      <c r="F97" s="57">
        <f t="shared" si="14"/>
        <v>7.3319999999999999</v>
      </c>
      <c r="G97" s="247">
        <f t="shared" si="17"/>
        <v>1820.54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0" ht="15.75" hidden="1" thickBot="1">
      <c r="A98" s="892">
        <v>416</v>
      </c>
      <c r="B98" s="183" t="s">
        <v>173</v>
      </c>
      <c r="C98" s="439" t="s">
        <v>260</v>
      </c>
      <c r="D98" s="296"/>
      <c r="E98" s="41">
        <f>6.7023-6.509</f>
        <v>0.19329999999999981</v>
      </c>
      <c r="F98" s="41">
        <f t="shared" si="14"/>
        <v>0.19329999999999981</v>
      </c>
      <c r="G98" s="235">
        <f>ROUND(D98*E98,2)+0.01</f>
        <v>0.01</v>
      </c>
      <c r="H98" s="270"/>
      <c r="I98" s="41"/>
      <c r="J98" s="41"/>
      <c r="K98" s="271"/>
      <c r="L98" s="294">
        <f>SUM(G98:G100)</f>
        <v>0.01</v>
      </c>
      <c r="M98" s="227"/>
      <c r="N98" s="274"/>
      <c r="O98" s="237"/>
      <c r="P98" s="275"/>
      <c r="Q98" s="237"/>
      <c r="R98" s="242"/>
      <c r="S98" s="266"/>
      <c r="T98" s="266"/>
    </row>
    <row r="99" spans="1:20" ht="16.5" hidden="1" thickBot="1">
      <c r="A99" s="896"/>
      <c r="B99" s="192"/>
      <c r="C99" s="48" t="s">
        <v>263</v>
      </c>
      <c r="D99" s="269"/>
      <c r="E99" s="41">
        <v>6.7023000000000001</v>
      </c>
      <c r="F99" s="41">
        <f t="shared" si="14"/>
        <v>6.7023000000000001</v>
      </c>
      <c r="G99" s="235">
        <f>ROUND(D99*E99,2)</f>
        <v>0</v>
      </c>
      <c r="H99" s="270"/>
      <c r="I99" s="41"/>
      <c r="J99" s="41"/>
      <c r="K99" s="271"/>
      <c r="L99" s="272"/>
      <c r="M99" s="273"/>
      <c r="N99" s="274"/>
      <c r="O99" s="237"/>
      <c r="P99" s="275"/>
      <c r="Q99" s="237"/>
      <c r="R99" s="242"/>
      <c r="S99" s="266"/>
      <c r="T99" s="266"/>
    </row>
    <row r="100" spans="1:20" ht="16.5" hidden="1" thickBot="1">
      <c r="A100" s="891"/>
      <c r="B100" s="887"/>
      <c r="C100" s="54" t="s">
        <v>29</v>
      </c>
      <c r="D100" s="279"/>
      <c r="E100" s="56">
        <v>6.7023000000000001</v>
      </c>
      <c r="F100" s="57">
        <f t="shared" si="14"/>
        <v>6.7023000000000001</v>
      </c>
      <c r="G100" s="247">
        <f>ROUND(D100*E100,2)</f>
        <v>0</v>
      </c>
      <c r="H100" s="280"/>
      <c r="I100" s="281"/>
      <c r="J100" s="281"/>
      <c r="K100" s="282"/>
      <c r="L100" s="204"/>
      <c r="M100" s="250"/>
      <c r="N100" s="283"/>
      <c r="O100" s="252"/>
      <c r="P100" s="284"/>
      <c r="Q100" s="252"/>
      <c r="R100" s="242"/>
      <c r="S100" s="266"/>
      <c r="T100" s="266"/>
    </row>
    <row r="101" spans="1:20">
      <c r="A101" s="892">
        <v>417</v>
      </c>
      <c r="B101" s="183" t="s">
        <v>174</v>
      </c>
      <c r="C101" s="439" t="s">
        <v>260</v>
      </c>
      <c r="D101" s="296">
        <f>сент18!D96+сент18!D97</f>
        <v>155.33999999999997</v>
      </c>
      <c r="E101" s="41">
        <f>7.332-6.6439</f>
        <v>0.68809999999999949</v>
      </c>
      <c r="F101" s="41">
        <f t="shared" si="14"/>
        <v>0.68809999999999949</v>
      </c>
      <c r="G101" s="235">
        <f>ROUND(D101*E101,2)</f>
        <v>106.89</v>
      </c>
      <c r="H101" s="270"/>
      <c r="I101" s="41"/>
      <c r="J101" s="41"/>
      <c r="K101" s="271"/>
      <c r="L101" s="294">
        <f>SUM(G101:G103)</f>
        <v>2003.97</v>
      </c>
      <c r="M101" s="227">
        <v>2003.97</v>
      </c>
      <c r="N101" s="274"/>
      <c r="O101" s="237"/>
      <c r="P101" s="275"/>
      <c r="Q101" s="237"/>
      <c r="R101" s="242"/>
      <c r="S101" s="266"/>
      <c r="T101" s="266"/>
    </row>
    <row r="102" spans="1:20" ht="15.75">
      <c r="A102" s="896"/>
      <c r="B102" s="192"/>
      <c r="C102" s="48" t="s">
        <v>263</v>
      </c>
      <c r="D102" s="269">
        <v>2.74</v>
      </c>
      <c r="E102" s="41">
        <v>7.3319999999999999</v>
      </c>
      <c r="F102" s="41">
        <f t="shared" si="14"/>
        <v>7.3319999999999999</v>
      </c>
      <c r="G102" s="235">
        <f t="shared" ref="G102:G103" si="18">ROUND(D102*E102,2)</f>
        <v>20.09</v>
      </c>
      <c r="H102" s="270"/>
      <c r="I102" s="41"/>
      <c r="J102" s="41"/>
      <c r="K102" s="271"/>
      <c r="L102" s="272"/>
      <c r="M102" s="273"/>
      <c r="N102" s="274"/>
      <c r="O102" s="237"/>
      <c r="P102" s="275"/>
      <c r="Q102" s="237"/>
      <c r="R102" s="242"/>
      <c r="S102" s="266"/>
      <c r="T102" s="266"/>
    </row>
    <row r="103" spans="1:20" ht="16.5" thickBot="1">
      <c r="A103" s="891"/>
      <c r="B103" s="202"/>
      <c r="C103" s="54" t="s">
        <v>29</v>
      </c>
      <c r="D103" s="279">
        <v>256</v>
      </c>
      <c r="E103" s="56">
        <v>7.3319999999999999</v>
      </c>
      <c r="F103" s="57">
        <f t="shared" si="14"/>
        <v>7.3319999999999999</v>
      </c>
      <c r="G103" s="247">
        <f t="shared" si="18"/>
        <v>1876.99</v>
      </c>
      <c r="H103" s="280"/>
      <c r="I103" s="281"/>
      <c r="J103" s="281"/>
      <c r="K103" s="282"/>
      <c r="L103" s="204"/>
      <c r="M103" s="250"/>
      <c r="N103" s="283"/>
      <c r="O103" s="252"/>
      <c r="P103" s="284"/>
      <c r="Q103" s="252"/>
      <c r="R103" s="242"/>
      <c r="S103" s="266"/>
      <c r="T103" s="266"/>
    </row>
    <row r="104" spans="1:20" ht="15.75">
      <c r="A104" s="892">
        <v>500</v>
      </c>
      <c r="B104" s="883" t="s">
        <v>55</v>
      </c>
      <c r="C104" s="439" t="s">
        <v>260</v>
      </c>
      <c r="D104" s="259">
        <f>сент18!D99+сент18!D100</f>
        <v>2429.62</v>
      </c>
      <c r="E104" s="41">
        <f>7.332-6.6439</f>
        <v>0.68809999999999949</v>
      </c>
      <c r="F104" s="41">
        <f t="shared" si="10"/>
        <v>0.68809999999999949</v>
      </c>
      <c r="G104" s="214">
        <f>ROUND(D104*E104,2)+0.01</f>
        <v>1671.83</v>
      </c>
      <c r="H104" s="260"/>
      <c r="I104" s="261"/>
      <c r="J104" s="261"/>
      <c r="K104" s="262"/>
      <c r="L104" s="263">
        <f>SUM(G104:G106)</f>
        <v>23076.94</v>
      </c>
      <c r="M104" s="187">
        <v>23076.94</v>
      </c>
      <c r="N104" s="264"/>
      <c r="O104" s="229"/>
      <c r="P104" s="265"/>
      <c r="Q104" s="229"/>
      <c r="R104" s="242"/>
      <c r="S104" s="266"/>
      <c r="T104" s="266"/>
    </row>
    <row r="105" spans="1:20" ht="15.75">
      <c r="A105" s="893" t="s">
        <v>197</v>
      </c>
      <c r="B105" s="885"/>
      <c r="C105" s="48" t="s">
        <v>263</v>
      </c>
      <c r="D105" s="269">
        <v>30.91</v>
      </c>
      <c r="E105" s="41">
        <v>7.3319999999999999</v>
      </c>
      <c r="F105" s="41">
        <f t="shared" si="10"/>
        <v>7.3319999999999999</v>
      </c>
      <c r="G105" s="235">
        <f>ROUND(D105*E105,2)</f>
        <v>226.63</v>
      </c>
      <c r="H105" s="270"/>
      <c r="I105" s="41"/>
      <c r="J105" s="41"/>
      <c r="K105" s="271"/>
      <c r="L105" s="272"/>
      <c r="M105" s="273"/>
      <c r="N105" s="274"/>
      <c r="O105" s="237"/>
      <c r="P105" s="275"/>
      <c r="Q105" s="237"/>
      <c r="R105" s="242"/>
      <c r="S105" s="266"/>
      <c r="T105" s="266"/>
    </row>
    <row r="106" spans="1:20" ht="16.5" thickBot="1">
      <c r="A106" s="891"/>
      <c r="B106" s="887"/>
      <c r="C106" s="54" t="s">
        <v>29</v>
      </c>
      <c r="D106" s="279">
        <v>2888.5</v>
      </c>
      <c r="E106" s="56">
        <v>7.3319999999999999</v>
      </c>
      <c r="F106" s="57">
        <f t="shared" si="10"/>
        <v>7.3319999999999999</v>
      </c>
      <c r="G106" s="247">
        <f t="shared" ref="G106" si="19">ROUND(D106*E106,2)</f>
        <v>21178.48</v>
      </c>
      <c r="H106" s="280"/>
      <c r="I106" s="281"/>
      <c r="J106" s="281"/>
      <c r="K106" s="282"/>
      <c r="L106" s="204"/>
      <c r="M106" s="250"/>
      <c r="N106" s="283"/>
      <c r="O106" s="252"/>
      <c r="P106" s="284"/>
      <c r="Q106" s="252"/>
      <c r="R106" s="242"/>
      <c r="S106" s="266"/>
      <c r="T106" s="266"/>
    </row>
    <row r="107" spans="1:20" ht="16.5" hidden="1" outlineLevel="1" thickBot="1">
      <c r="A107" s="892"/>
      <c r="B107" s="883" t="s">
        <v>57</v>
      </c>
      <c r="C107" s="439"/>
      <c r="D107" s="259"/>
      <c r="E107" s="21">
        <v>36.214199999999998</v>
      </c>
      <c r="F107" s="21">
        <v>42.4328</v>
      </c>
      <c r="G107" s="214">
        <f>ROUND(D107*(E107+F107),2)</f>
        <v>0</v>
      </c>
      <c r="H107" s="213">
        <v>0</v>
      </c>
      <c r="I107">
        <v>22.478999999999999</v>
      </c>
      <c r="J107" s="215">
        <f t="shared" ref="J107" si="20">H107*I107</f>
        <v>0</v>
      </c>
      <c r="K107" s="679">
        <v>42705</v>
      </c>
      <c r="L107" s="294">
        <f>SUM(G107:G111)+J107+J109</f>
        <v>0</v>
      </c>
      <c r="M107" s="227"/>
      <c r="N107" s="264"/>
      <c r="O107" s="229"/>
      <c r="P107" s="265"/>
      <c r="Q107" s="229"/>
      <c r="R107" s="242"/>
      <c r="S107" s="266"/>
      <c r="T107" s="266"/>
    </row>
    <row r="108" spans="1:20" ht="16.5" hidden="1" outlineLevel="1" thickBot="1">
      <c r="A108" s="891"/>
      <c r="B108" s="887"/>
      <c r="C108" s="54"/>
      <c r="D108" s="269"/>
      <c r="E108" s="38">
        <f>32.332-28.8628</f>
        <v>3.4692000000000007</v>
      </c>
      <c r="F108" s="38">
        <f>37.8898-33.8306</f>
        <v>4.0592000000000041</v>
      </c>
      <c r="G108" s="235">
        <f>ROUND(D108*(E108+F108),2)</f>
        <v>0</v>
      </c>
      <c r="H108" s="225"/>
      <c r="J108" s="194"/>
      <c r="K108" s="683"/>
      <c r="L108" s="294"/>
      <c r="M108" s="227"/>
      <c r="N108" s="264"/>
      <c r="O108" s="229"/>
      <c r="P108" s="265"/>
      <c r="Q108" s="229"/>
      <c r="R108" s="242"/>
      <c r="S108" s="266"/>
      <c r="T108" s="266"/>
    </row>
    <row r="109" spans="1:20" ht="15.75" hidden="1" outlineLevel="1" thickBot="1">
      <c r="A109" s="892"/>
      <c r="B109" s="883"/>
      <c r="C109" s="439" t="s">
        <v>170</v>
      </c>
      <c r="D109" s="296"/>
      <c r="E109" s="41">
        <f>7.0207-6.6426</f>
        <v>0.37809999999999988</v>
      </c>
      <c r="F109" s="41">
        <f>+E109</f>
        <v>0.37809999999999988</v>
      </c>
      <c r="G109" s="235">
        <f>ROUND(D109*E109,2)</f>
        <v>0</v>
      </c>
      <c r="H109" s="270"/>
      <c r="I109" s="41"/>
      <c r="J109" s="41"/>
      <c r="K109" s="684"/>
      <c r="L109" s="272"/>
      <c r="M109" s="273"/>
      <c r="N109" s="274"/>
      <c r="O109" s="237"/>
      <c r="P109" s="275"/>
      <c r="Q109" s="237"/>
      <c r="R109" s="242"/>
      <c r="S109" s="266"/>
      <c r="T109" s="266"/>
    </row>
    <row r="110" spans="1:20" ht="16.5" hidden="1" outlineLevel="1" thickBot="1">
      <c r="A110" s="891"/>
      <c r="B110" s="887"/>
      <c r="C110" s="54" t="s">
        <v>171</v>
      </c>
      <c r="D110" s="269"/>
      <c r="E110" s="41">
        <v>7.0206999999999997</v>
      </c>
      <c r="F110" s="41">
        <f>+E110</f>
        <v>7.0206999999999997</v>
      </c>
      <c r="G110" s="235">
        <f>ROUND(D110*E110,2)</f>
        <v>0</v>
      </c>
      <c r="H110" s="270"/>
      <c r="I110" s="41"/>
      <c r="J110" s="41"/>
      <c r="K110" s="684"/>
      <c r="L110" s="272"/>
      <c r="M110" s="273"/>
      <c r="N110" s="274"/>
      <c r="O110" s="237"/>
      <c r="P110" s="275"/>
      <c r="Q110" s="237"/>
      <c r="R110" s="242"/>
      <c r="S110" s="266"/>
      <c r="T110" s="266"/>
    </row>
    <row r="111" spans="1:20" ht="16.5" hidden="1" outlineLevel="1" thickBot="1">
      <c r="A111" s="892"/>
      <c r="B111" s="883"/>
      <c r="C111" s="439" t="s">
        <v>29</v>
      </c>
      <c r="D111" s="279"/>
      <c r="E111" s="56">
        <v>7.0206999999999997</v>
      </c>
      <c r="F111" s="57">
        <f>+E111</f>
        <v>7.0206999999999997</v>
      </c>
      <c r="G111" s="247">
        <f>ROUND(D111*E111,2)</f>
        <v>0</v>
      </c>
      <c r="H111" s="280"/>
      <c r="I111" s="281"/>
      <c r="J111" s="281"/>
      <c r="K111" s="682"/>
      <c r="L111" s="204"/>
      <c r="M111" s="250"/>
      <c r="N111" s="283"/>
      <c r="O111" s="252"/>
      <c r="P111" s="284"/>
      <c r="Q111" s="252"/>
      <c r="R111" s="242"/>
      <c r="S111" s="266"/>
      <c r="T111" s="266"/>
    </row>
    <row r="112" spans="1:20" ht="15.75" hidden="1" outlineLevel="1" thickBot="1">
      <c r="A112" s="892"/>
      <c r="B112" s="183" t="s">
        <v>145</v>
      </c>
      <c r="C112" s="439" t="s">
        <v>170</v>
      </c>
      <c r="D112" s="296"/>
      <c r="E112" s="41">
        <f>7.0207-6.6426</f>
        <v>0.37809999999999988</v>
      </c>
      <c r="F112" s="41">
        <f t="shared" ref="F112:F114" si="21">+E112</f>
        <v>0.37809999999999988</v>
      </c>
      <c r="G112" s="235">
        <f>ROUND(D112*E112,2)</f>
        <v>0</v>
      </c>
      <c r="H112" s="270"/>
      <c r="I112" s="41"/>
      <c r="J112" s="41"/>
      <c r="K112" s="271"/>
      <c r="L112" s="294">
        <f>SUM(G112:G114)</f>
        <v>0</v>
      </c>
      <c r="M112" s="227"/>
      <c r="N112" s="274"/>
      <c r="O112" s="237"/>
      <c r="P112" s="275"/>
      <c r="Q112" s="237"/>
      <c r="R112" s="242"/>
      <c r="S112" s="266"/>
      <c r="T112" s="266"/>
    </row>
    <row r="113" spans="1:21" ht="16.5" hidden="1" outlineLevel="1" thickBot="1">
      <c r="A113" s="891"/>
      <c r="B113" s="887"/>
      <c r="C113" s="54" t="s">
        <v>171</v>
      </c>
      <c r="D113" s="269"/>
      <c r="E113" s="41">
        <v>7.0206999999999997</v>
      </c>
      <c r="F113" s="41">
        <f t="shared" si="21"/>
        <v>7.0206999999999997</v>
      </c>
      <c r="G113" s="235">
        <f t="shared" ref="G113:G114" si="22">ROUND(D113*E113,2)</f>
        <v>0</v>
      </c>
      <c r="H113" s="270"/>
      <c r="I113" s="41"/>
      <c r="J113" s="41"/>
      <c r="K113" s="271"/>
      <c r="L113" s="272"/>
      <c r="M113" s="273"/>
      <c r="N113" s="274"/>
      <c r="O113" s="237"/>
      <c r="P113" s="275"/>
      <c r="Q113" s="237"/>
      <c r="R113" s="242"/>
      <c r="S113" s="266"/>
      <c r="T113" s="266"/>
    </row>
    <row r="114" spans="1:21" ht="16.5" hidden="1" outlineLevel="1" thickBot="1">
      <c r="A114" s="892"/>
      <c r="B114" s="183"/>
      <c r="C114" s="439" t="s">
        <v>29</v>
      </c>
      <c r="D114" s="279"/>
      <c r="E114" s="56">
        <v>7.0206999999999997</v>
      </c>
      <c r="F114" s="57">
        <f t="shared" si="21"/>
        <v>7.0206999999999997</v>
      </c>
      <c r="G114" s="247">
        <f t="shared" si="22"/>
        <v>0</v>
      </c>
      <c r="H114" s="280"/>
      <c r="I114" s="281"/>
      <c r="J114" s="281"/>
      <c r="K114" s="282"/>
      <c r="L114" s="204"/>
      <c r="M114" s="250"/>
      <c r="N114" s="283"/>
      <c r="O114" s="252"/>
      <c r="P114" s="284"/>
      <c r="Q114" s="252"/>
      <c r="R114" s="242"/>
      <c r="S114" s="266"/>
      <c r="T114" s="266"/>
    </row>
    <row r="115" spans="1:21" ht="16.5" collapsed="1" thickTop="1">
      <c r="A115" s="898"/>
      <c r="B115" s="321"/>
      <c r="C115" s="322"/>
      <c r="D115" s="323"/>
      <c r="E115" s="163"/>
      <c r="F115" s="324"/>
      <c r="G115" s="325"/>
      <c r="H115" s="163"/>
      <c r="I115" s="163"/>
      <c r="J115" s="163"/>
      <c r="K115" s="163"/>
      <c r="L115" s="163"/>
      <c r="M115" s="326"/>
      <c r="N115" s="327"/>
      <c r="O115" s="328"/>
      <c r="P115" s="329"/>
      <c r="Q115" s="328"/>
      <c r="R115" s="330"/>
      <c r="S115" s="331"/>
      <c r="T115" s="266"/>
    </row>
    <row r="116" spans="1:21" ht="21.75" thickBot="1">
      <c r="A116" s="171" t="s">
        <v>60</v>
      </c>
      <c r="B116" s="2"/>
      <c r="C116" s="3"/>
      <c r="D116" s="2"/>
      <c r="E116" s="2"/>
      <c r="F116" s="2"/>
      <c r="G116" s="332"/>
      <c r="H116" s="332"/>
      <c r="I116" s="332"/>
      <c r="J116" s="2"/>
      <c r="K116" s="2"/>
      <c r="L116" s="2"/>
      <c r="M116" s="3"/>
      <c r="N116" s="2"/>
      <c r="O116" s="2"/>
      <c r="P116" s="2"/>
      <c r="Q116" s="2"/>
      <c r="R116" s="2"/>
      <c r="S116" s="2"/>
    </row>
    <row r="117" spans="1:21" ht="15" customHeight="1" thickTop="1">
      <c r="A117" s="1553" t="s">
        <v>1</v>
      </c>
      <c r="B117" s="1516" t="s">
        <v>2</v>
      </c>
      <c r="C117" s="1518" t="s">
        <v>3</v>
      </c>
      <c r="D117" s="1532" t="s">
        <v>4</v>
      </c>
      <c r="E117" s="1532"/>
      <c r="F117" s="1532"/>
      <c r="G117" s="1532"/>
      <c r="H117" s="1533" t="s">
        <v>5</v>
      </c>
      <c r="I117" s="1534"/>
      <c r="J117" s="1534"/>
      <c r="K117" s="1534"/>
      <c r="L117" s="1524" t="s">
        <v>6</v>
      </c>
      <c r="M117" s="1537" t="s">
        <v>7</v>
      </c>
      <c r="N117" s="1538" t="s">
        <v>8</v>
      </c>
      <c r="O117" s="1538"/>
      <c r="P117" s="1538"/>
      <c r="Q117" s="1539"/>
      <c r="R117" s="5"/>
      <c r="S117" s="5"/>
      <c r="T117" s="5" t="s">
        <v>61</v>
      </c>
      <c r="U117" t="s">
        <v>21</v>
      </c>
    </row>
    <row r="118" spans="1:21" ht="27" customHeight="1" thickBot="1">
      <c r="A118" s="1531"/>
      <c r="B118" s="1517"/>
      <c r="C118" s="1519" t="s">
        <v>10</v>
      </c>
      <c r="D118" s="333" t="s">
        <v>11</v>
      </c>
      <c r="E118" s="7" t="s">
        <v>12</v>
      </c>
      <c r="F118" s="7" t="s">
        <v>13</v>
      </c>
      <c r="G118" s="334" t="s">
        <v>14</v>
      </c>
      <c r="H118" s="335" t="s">
        <v>11</v>
      </c>
      <c r="I118" s="333" t="s">
        <v>15</v>
      </c>
      <c r="J118" s="336" t="s">
        <v>14</v>
      </c>
      <c r="K118" s="11" t="s">
        <v>16</v>
      </c>
      <c r="L118" s="1525"/>
      <c r="M118" s="1511"/>
      <c r="N118" s="337" t="s">
        <v>62</v>
      </c>
      <c r="O118" s="338" t="s">
        <v>44</v>
      </c>
      <c r="P118" s="13" t="s">
        <v>18</v>
      </c>
      <c r="Q118" s="14" t="s">
        <v>19</v>
      </c>
    </row>
    <row r="119" spans="1:21" ht="14.25" customHeight="1">
      <c r="A119" s="339" t="s">
        <v>63</v>
      </c>
      <c r="B119" s="18" t="s">
        <v>64</v>
      </c>
      <c r="C119" s="71" t="s">
        <v>243</v>
      </c>
      <c r="D119" s="340">
        <v>30</v>
      </c>
      <c r="E119" s="21">
        <v>40.556600000000003</v>
      </c>
      <c r="F119" s="21">
        <v>47.5304</v>
      </c>
      <c r="G119" s="185">
        <f>ROUND(D119*(E119+F119),2)</f>
        <v>2642.61</v>
      </c>
      <c r="H119" s="184"/>
      <c r="I119" s="23"/>
      <c r="J119" s="341"/>
      <c r="K119" s="342"/>
      <c r="L119" s="343">
        <f>SUM(G119:G124,J119:J123)</f>
        <v>271984.02</v>
      </c>
      <c r="M119" s="344">
        <v>271984.02</v>
      </c>
      <c r="N119" s="345"/>
      <c r="O119" s="346">
        <v>7157.88</v>
      </c>
      <c r="P119" s="347" t="s">
        <v>24</v>
      </c>
      <c r="Q119" s="348" t="e">
        <f t="shared" ref="Q119:Q192" si="23">C119+G119+J119-M119-N119-O119</f>
        <v>#VALUE!</v>
      </c>
      <c r="R119" s="349" t="s">
        <v>65</v>
      </c>
      <c r="S119" s="350" t="s">
        <v>20</v>
      </c>
      <c r="T119" s="351" t="s">
        <v>21</v>
      </c>
      <c r="U119" s="352" t="e">
        <f>+L119-M119+C119</f>
        <v>#VALUE!</v>
      </c>
    </row>
    <row r="120" spans="1:21" ht="14.25" customHeight="1">
      <c r="A120" s="353"/>
      <c r="B120" s="35"/>
      <c r="C120" s="84" t="s">
        <v>26</v>
      </c>
      <c r="D120" s="37"/>
      <c r="E120" s="38"/>
      <c r="F120" s="38"/>
      <c r="G120" s="39">
        <f>ROUND(D120*(E120+F120),2)</f>
        <v>0</v>
      </c>
      <c r="H120" s="49"/>
      <c r="I120" s="271"/>
      <c r="J120" s="101"/>
      <c r="K120" s="354"/>
      <c r="L120" s="355"/>
      <c r="M120" s="356"/>
      <c r="N120" s="357"/>
      <c r="O120" s="358"/>
      <c r="P120" s="359"/>
      <c r="Q120" s="358"/>
      <c r="R120" s="349"/>
      <c r="S120" s="350"/>
      <c r="T120" s="351"/>
      <c r="U120" s="352"/>
    </row>
    <row r="121" spans="1:21">
      <c r="A121" s="353"/>
      <c r="B121" s="35"/>
      <c r="C121" s="48"/>
      <c r="D121" s="49"/>
      <c r="E121" s="41"/>
      <c r="F121" s="41"/>
      <c r="G121" s="50">
        <f>ROUND(D121*E121*70%+D121*F121*30%,2)</f>
        <v>0</v>
      </c>
      <c r="H121" s="49"/>
      <c r="I121" s="271"/>
      <c r="J121" s="41"/>
      <c r="K121" s="354"/>
      <c r="L121" s="355"/>
      <c r="M121" s="356"/>
      <c r="N121" s="357"/>
      <c r="O121" s="358"/>
      <c r="P121" s="359"/>
      <c r="Q121" s="358"/>
      <c r="R121" s="349"/>
      <c r="S121" s="350"/>
      <c r="T121" s="351"/>
      <c r="U121" s="352"/>
    </row>
    <row r="122" spans="1:21">
      <c r="A122" s="353"/>
      <c r="B122" s="35"/>
      <c r="C122" s="48" t="s">
        <v>260</v>
      </c>
      <c r="D122" s="49"/>
      <c r="E122" s="41"/>
      <c r="F122" s="38"/>
      <c r="G122" s="50">
        <f>ROUND(+D122*E122,2)</f>
        <v>0</v>
      </c>
      <c r="H122" s="49"/>
      <c r="I122" s="271"/>
      <c r="J122" s="41"/>
      <c r="K122" s="354"/>
      <c r="L122" s="355"/>
      <c r="M122" s="356"/>
      <c r="N122" s="357"/>
      <c r="O122" s="358"/>
      <c r="P122" s="359"/>
      <c r="Q122" s="358"/>
      <c r="R122" s="349"/>
      <c r="S122" s="350"/>
      <c r="T122" s="351"/>
      <c r="U122" s="352"/>
    </row>
    <row r="123" spans="1:21">
      <c r="A123" s="353"/>
      <c r="B123" s="35"/>
      <c r="C123" s="48" t="s">
        <v>263</v>
      </c>
      <c r="D123" s="49">
        <f>61.97+19.3+8.64</f>
        <v>89.91</v>
      </c>
      <c r="E123" s="41">
        <v>7.1726999999999999</v>
      </c>
      <c r="F123" s="41">
        <f>+E123</f>
        <v>7.1726999999999999</v>
      </c>
      <c r="G123" s="50">
        <f>ROUND(D123*E123,2)</f>
        <v>644.9</v>
      </c>
      <c r="H123" s="361"/>
      <c r="I123" s="362"/>
      <c r="J123" s="207"/>
      <c r="K123" s="363"/>
      <c r="L123" s="364"/>
      <c r="M123" s="365"/>
      <c r="N123" s="366"/>
      <c r="O123" s="367"/>
      <c r="P123" s="368"/>
      <c r="Q123" s="358"/>
      <c r="R123" s="349"/>
      <c r="S123" s="350"/>
      <c r="T123" s="351"/>
      <c r="U123" s="352"/>
    </row>
    <row r="124" spans="1:21" ht="15.75" thickBot="1">
      <c r="A124" s="369"/>
      <c r="B124" s="53" t="s">
        <v>66</v>
      </c>
      <c r="C124" s="99" t="s">
        <v>29</v>
      </c>
      <c r="D124" s="55">
        <f>25821+8040+3600</f>
        <v>37461</v>
      </c>
      <c r="E124" s="56">
        <v>7.1726999999999999</v>
      </c>
      <c r="F124" s="370">
        <f>+E124</f>
        <v>7.1726999999999999</v>
      </c>
      <c r="G124" s="58">
        <f>ROUND(D124*E124,2)</f>
        <v>268696.51</v>
      </c>
      <c r="H124" s="248"/>
      <c r="I124" s="203"/>
      <c r="J124" s="60"/>
      <c r="K124" s="203"/>
      <c r="L124" s="204"/>
      <c r="M124" s="371"/>
      <c r="N124" s="372"/>
      <c r="O124" s="373">
        <v>165882.5</v>
      </c>
      <c r="P124" s="374" t="s">
        <v>24</v>
      </c>
      <c r="Q124" s="373">
        <f>G124+J124-M124-N124-O124</f>
        <v>102814.01000000001</v>
      </c>
      <c r="R124" s="349" t="s">
        <v>65</v>
      </c>
      <c r="S124" s="375">
        <f>SUM(O119:O124)</f>
        <v>173040.38</v>
      </c>
      <c r="T124" s="375" t="e">
        <f>SUM(Q119:Q124)</f>
        <v>#VALUE!</v>
      </c>
    </row>
    <row r="125" spans="1:21" s="81" customFormat="1" ht="15" customHeight="1">
      <c r="A125" s="437">
        <v>101</v>
      </c>
      <c r="B125" s="438" t="s">
        <v>82</v>
      </c>
      <c r="C125" s="377" t="s">
        <v>73</v>
      </c>
      <c r="D125" s="378">
        <v>33</v>
      </c>
      <c r="E125" s="21">
        <v>40.556600000000003</v>
      </c>
      <c r="F125" s="21">
        <v>47.5304</v>
      </c>
      <c r="G125" s="22">
        <f>+D125*(E125+F125)</f>
        <v>2906.8710000000001</v>
      </c>
      <c r="H125" s="303"/>
      <c r="I125" s="381"/>
      <c r="J125" s="381"/>
      <c r="K125" s="342"/>
      <c r="L125" s="263">
        <f>SUM(G125:G129,J125:J129)</f>
        <v>108076.04100000001</v>
      </c>
      <c r="M125" s="26">
        <v>108076.04</v>
      </c>
      <c r="N125" s="421"/>
      <c r="O125" s="77"/>
      <c r="P125" s="77"/>
      <c r="Q125" s="384"/>
      <c r="R125" s="422"/>
      <c r="S125" s="399"/>
      <c r="T125" s="399"/>
    </row>
    <row r="126" spans="1:21" s="81" customFormat="1" ht="15" customHeight="1">
      <c r="A126" s="441"/>
      <c r="B126" s="442"/>
      <c r="C126" s="36" t="s">
        <v>26</v>
      </c>
      <c r="D126" s="37"/>
      <c r="E126" s="38"/>
      <c r="F126" s="38"/>
      <c r="G126" s="39">
        <f>ROUND(D126*(E126+F126),2)</f>
        <v>0</v>
      </c>
      <c r="H126" s="457"/>
      <c r="I126" s="392"/>
      <c r="J126" s="402"/>
      <c r="K126" s="393"/>
      <c r="L126" s="459"/>
      <c r="M126" s="44"/>
      <c r="N126" s="430"/>
      <c r="O126" s="435"/>
      <c r="P126" s="435"/>
      <c r="Q126" s="425"/>
      <c r="R126" s="422"/>
      <c r="S126" s="399"/>
      <c r="T126" s="399"/>
    </row>
    <row r="127" spans="1:21" s="81" customFormat="1" ht="15" customHeight="1">
      <c r="A127" s="441"/>
      <c r="B127" s="442"/>
      <c r="C127" s="48" t="s">
        <v>260</v>
      </c>
      <c r="D127" s="37">
        <f>сент18!D122+сент18!D123</f>
        <v>11884.45</v>
      </c>
      <c r="E127" s="41">
        <f>7.0999-6.7991</f>
        <v>0.30079999999999973</v>
      </c>
      <c r="F127" s="38"/>
      <c r="G127" s="39">
        <f>ROUND(D127*(E127),2)+0.02</f>
        <v>3574.86</v>
      </c>
      <c r="H127" s="270"/>
      <c r="I127" s="41"/>
      <c r="J127" s="41"/>
      <c r="K127" s="271"/>
      <c r="L127" s="272"/>
      <c r="M127" s="102"/>
      <c r="N127" s="430"/>
      <c r="O127" s="435"/>
      <c r="P127" s="435"/>
      <c r="Q127" s="425"/>
      <c r="R127" s="422"/>
      <c r="S127" s="399"/>
      <c r="T127" s="399"/>
    </row>
    <row r="128" spans="1:21" s="81" customFormat="1" ht="15" customHeight="1">
      <c r="A128" s="441"/>
      <c r="B128" s="442"/>
      <c r="C128" s="48" t="s">
        <v>263</v>
      </c>
      <c r="D128" s="37">
        <v>34.26</v>
      </c>
      <c r="E128" s="41">
        <v>7.0998999999999999</v>
      </c>
      <c r="F128" s="38"/>
      <c r="G128" s="39">
        <f>ROUND(D128*(E128),2)</f>
        <v>243.24</v>
      </c>
      <c r="H128" s="270"/>
      <c r="I128" s="41"/>
      <c r="J128" s="41"/>
      <c r="K128" s="271"/>
      <c r="L128" s="272"/>
      <c r="M128" s="102"/>
      <c r="N128" s="434"/>
      <c r="O128" s="435"/>
      <c r="P128" s="435"/>
      <c r="Q128" s="425"/>
      <c r="R128" s="422"/>
      <c r="S128" s="399"/>
      <c r="T128" s="399"/>
    </row>
    <row r="129" spans="1:20" s="81" customFormat="1" ht="15" customHeight="1" thickBot="1">
      <c r="A129" s="445"/>
      <c r="B129" s="446"/>
      <c r="C129" s="54" t="s">
        <v>29</v>
      </c>
      <c r="D129" s="413">
        <v>14275</v>
      </c>
      <c r="E129" s="56">
        <v>7.0998999999999999</v>
      </c>
      <c r="F129" s="281"/>
      <c r="G129" s="414">
        <f>ROUND(D129*(E129),2)</f>
        <v>101351.07</v>
      </c>
      <c r="H129" s="280"/>
      <c r="I129" s="281"/>
      <c r="J129" s="281"/>
      <c r="K129" s="282"/>
      <c r="L129" s="204"/>
      <c r="M129" s="371"/>
      <c r="N129" s="426"/>
      <c r="O129" s="416"/>
      <c r="P129" s="416"/>
      <c r="Q129" s="417"/>
      <c r="R129" s="899"/>
      <c r="S129" s="399"/>
      <c r="T129" s="399"/>
    </row>
    <row r="130" spans="1:20" s="81" customFormat="1" ht="15.75" customHeight="1">
      <c r="A130" s="902">
        <v>105</v>
      </c>
      <c r="B130" s="903" t="s">
        <v>256</v>
      </c>
      <c r="C130" s="439" t="s">
        <v>260</v>
      </c>
      <c r="D130" s="904">
        <f>сент18!D125+сент18!D126</f>
        <v>1566.75</v>
      </c>
      <c r="E130" s="23">
        <f>7.0999-6.7991</f>
        <v>0.30079999999999973</v>
      </c>
      <c r="F130" s="905"/>
      <c r="G130" s="22">
        <f>ROUND(D130*E130,2)</f>
        <v>471.28</v>
      </c>
      <c r="H130" s="303"/>
      <c r="I130" s="23"/>
      <c r="J130" s="23"/>
      <c r="K130" s="304"/>
      <c r="L130" s="263">
        <f>SUM(G130:G132)</f>
        <v>11502.54</v>
      </c>
      <c r="M130" s="26">
        <v>11502.54</v>
      </c>
      <c r="N130" s="421"/>
      <c r="O130" s="77"/>
      <c r="P130" s="77"/>
      <c r="Q130" s="384"/>
      <c r="R130" s="422"/>
      <c r="S130" s="399"/>
      <c r="T130" s="399"/>
    </row>
    <row r="131" spans="1:20" s="81" customFormat="1" ht="15.75" customHeight="1">
      <c r="A131" s="468"/>
      <c r="B131" s="469"/>
      <c r="C131" s="48" t="s">
        <v>263</v>
      </c>
      <c r="D131" s="471">
        <v>3.72</v>
      </c>
      <c r="E131" s="41">
        <v>7.0998999999999999</v>
      </c>
      <c r="F131" s="473"/>
      <c r="G131" s="449">
        <f>ROUND(D131*E131,2)</f>
        <v>26.41</v>
      </c>
      <c r="H131" s="260"/>
      <c r="I131" s="261"/>
      <c r="J131" s="261"/>
      <c r="K131" s="262"/>
      <c r="L131" s="286"/>
      <c r="M131" s="90"/>
      <c r="N131" s="423"/>
      <c r="O131" s="406"/>
      <c r="P131" s="406"/>
      <c r="Q131" s="407"/>
      <c r="R131" s="422"/>
      <c r="S131" s="399"/>
      <c r="T131" s="399"/>
    </row>
    <row r="132" spans="1:20" s="81" customFormat="1" ht="15.75" customHeight="1" thickBot="1">
      <c r="A132" s="858"/>
      <c r="B132" s="859"/>
      <c r="C132" s="54" t="s">
        <v>29</v>
      </c>
      <c r="D132" s="860">
        <v>1550</v>
      </c>
      <c r="E132" s="56">
        <v>7.0998999999999999</v>
      </c>
      <c r="F132" s="861"/>
      <c r="G132" s="414">
        <f t="shared" ref="G132" si="24">ROUND(D132*E132,2)</f>
        <v>11004.85</v>
      </c>
      <c r="H132" s="280"/>
      <c r="I132" s="281"/>
      <c r="J132" s="281"/>
      <c r="K132" s="282"/>
      <c r="L132" s="204"/>
      <c r="M132" s="371"/>
      <c r="N132" s="426"/>
      <c r="O132" s="416"/>
      <c r="P132" s="416"/>
      <c r="Q132" s="417"/>
      <c r="R132" s="422"/>
      <c r="S132" s="399"/>
      <c r="T132" s="399"/>
    </row>
    <row r="133" spans="1:20" s="81" customFormat="1" ht="15.75" customHeight="1">
      <c r="A133" s="902">
        <v>107</v>
      </c>
      <c r="B133" s="903" t="s">
        <v>239</v>
      </c>
      <c r="C133" s="439" t="s">
        <v>260</v>
      </c>
      <c r="D133" s="904">
        <f>сент18!D128+сент18!D129</f>
        <v>422.01</v>
      </c>
      <c r="E133" s="23">
        <f>7.0999-6.7991</f>
        <v>0.30079999999999973</v>
      </c>
      <c r="F133" s="905"/>
      <c r="G133" s="22">
        <f>ROUND(D133*E133,2)</f>
        <v>126.94</v>
      </c>
      <c r="H133" s="303"/>
      <c r="I133" s="23"/>
      <c r="J133" s="23"/>
      <c r="K133" s="304"/>
      <c r="L133" s="263">
        <f>SUM(G133:G135)</f>
        <v>2724.65</v>
      </c>
      <c r="M133" s="26">
        <v>2724.65</v>
      </c>
      <c r="N133" s="421"/>
      <c r="O133" s="77"/>
      <c r="P133" s="77"/>
      <c r="Q133" s="384"/>
      <c r="R133" s="422"/>
      <c r="S133" s="399"/>
      <c r="T133" s="399"/>
    </row>
    <row r="134" spans="1:20" s="81" customFormat="1" ht="15.75" customHeight="1">
      <c r="A134" s="468"/>
      <c r="B134" s="469"/>
      <c r="C134" s="48" t="s">
        <v>263</v>
      </c>
      <c r="D134" s="471">
        <v>0.88</v>
      </c>
      <c r="E134" s="41">
        <v>7.0998999999999999</v>
      </c>
      <c r="F134" s="473"/>
      <c r="G134" s="449">
        <f>ROUND(D134*E134,2)</f>
        <v>6.25</v>
      </c>
      <c r="H134" s="260"/>
      <c r="I134" s="261"/>
      <c r="J134" s="261"/>
      <c r="K134" s="262"/>
      <c r="L134" s="286"/>
      <c r="M134" s="90"/>
      <c r="N134" s="423"/>
      <c r="O134" s="406"/>
      <c r="P134" s="406"/>
      <c r="Q134" s="407"/>
      <c r="R134" s="422"/>
      <c r="S134" s="399"/>
      <c r="T134" s="399"/>
    </row>
    <row r="135" spans="1:20" s="81" customFormat="1" ht="15.75" customHeight="1" thickBot="1">
      <c r="A135" s="858"/>
      <c r="B135" s="859"/>
      <c r="C135" s="54" t="s">
        <v>29</v>
      </c>
      <c r="D135" s="860">
        <v>365</v>
      </c>
      <c r="E135" s="56">
        <v>7.0998999999999999</v>
      </c>
      <c r="F135" s="861"/>
      <c r="G135" s="414">
        <f t="shared" ref="G135" si="25">ROUND(D135*E135,2)</f>
        <v>2591.46</v>
      </c>
      <c r="H135" s="280"/>
      <c r="I135" s="281"/>
      <c r="J135" s="281"/>
      <c r="K135" s="282"/>
      <c r="L135" s="204"/>
      <c r="M135" s="371"/>
      <c r="N135" s="426"/>
      <c r="O135" s="416"/>
      <c r="P135" s="416"/>
      <c r="Q135" s="417"/>
      <c r="R135" s="422"/>
      <c r="S135" s="399"/>
      <c r="T135" s="399"/>
    </row>
    <row r="136" spans="1:20" s="81" customFormat="1" ht="15.75" customHeight="1">
      <c r="A136" s="902">
        <v>108</v>
      </c>
      <c r="B136" s="903" t="s">
        <v>168</v>
      </c>
      <c r="C136" s="439" t="s">
        <v>260</v>
      </c>
      <c r="D136" s="904">
        <f>сент18!D131+сент18!D132</f>
        <v>198.48</v>
      </c>
      <c r="E136" s="23">
        <f>7.0999-6.7991</f>
        <v>0.30079999999999973</v>
      </c>
      <c r="F136" s="905"/>
      <c r="G136" s="22">
        <f>ROUND(D136*E136,2)</f>
        <v>59.7</v>
      </c>
      <c r="H136" s="303"/>
      <c r="I136" s="23"/>
      <c r="J136" s="23"/>
      <c r="K136" s="304"/>
      <c r="L136" s="263">
        <f>SUM(G136:G138)</f>
        <v>1831.8400000000001</v>
      </c>
      <c r="M136" s="26">
        <v>1831.84</v>
      </c>
      <c r="N136" s="421"/>
      <c r="O136" s="77"/>
      <c r="P136" s="77"/>
      <c r="Q136" s="384"/>
      <c r="R136" s="422"/>
      <c r="S136" s="399"/>
      <c r="T136" s="399"/>
    </row>
    <row r="137" spans="1:20" s="81" customFormat="1" ht="15.75" customHeight="1">
      <c r="A137" s="468"/>
      <c r="B137" s="469"/>
      <c r="C137" s="48" t="s">
        <v>263</v>
      </c>
      <c r="D137" s="471">
        <v>0.6</v>
      </c>
      <c r="E137" s="41">
        <v>7.0998999999999999</v>
      </c>
      <c r="F137" s="473"/>
      <c r="G137" s="449">
        <f>ROUND(D137*E137,2)</f>
        <v>4.26</v>
      </c>
      <c r="H137" s="260"/>
      <c r="I137" s="261"/>
      <c r="J137" s="261"/>
      <c r="K137" s="262"/>
      <c r="L137" s="286"/>
      <c r="M137" s="90"/>
      <c r="N137" s="423"/>
      <c r="O137" s="406"/>
      <c r="P137" s="406"/>
      <c r="Q137" s="407"/>
      <c r="R137" s="422"/>
      <c r="S137" s="399"/>
      <c r="T137" s="399"/>
    </row>
    <row r="138" spans="1:20" s="81" customFormat="1" ht="15.75" customHeight="1" thickBot="1">
      <c r="A138" s="858"/>
      <c r="B138" s="859"/>
      <c r="C138" s="520" t="s">
        <v>29</v>
      </c>
      <c r="D138" s="471">
        <v>249</v>
      </c>
      <c r="E138" s="876">
        <v>7.0998999999999999</v>
      </c>
      <c r="F138" s="473"/>
      <c r="G138" s="453">
        <f t="shared" ref="G138" si="26">ROUND(D138*E138,2)</f>
        <v>1767.88</v>
      </c>
      <c r="H138" s="432"/>
      <c r="I138" s="207"/>
      <c r="J138" s="207"/>
      <c r="K138" s="362"/>
      <c r="L138" s="433"/>
      <c r="M138" s="371"/>
      <c r="N138" s="426"/>
      <c r="O138" s="416"/>
      <c r="P138" s="416"/>
      <c r="Q138" s="417"/>
      <c r="R138" s="422"/>
      <c r="S138" s="399"/>
      <c r="T138" s="399"/>
    </row>
    <row r="139" spans="1:20" s="81" customFormat="1" ht="15.75" customHeight="1">
      <c r="A139" s="376">
        <v>109</v>
      </c>
      <c r="B139" s="924" t="s">
        <v>175</v>
      </c>
      <c r="C139" s="439" t="s">
        <v>260</v>
      </c>
      <c r="D139" s="378">
        <f>сент18!D134+сент18!D135</f>
        <v>831.99</v>
      </c>
      <c r="E139" s="23">
        <f>7.0999-6.7991</f>
        <v>0.30079999999999973</v>
      </c>
      <c r="F139" s="23"/>
      <c r="G139" s="22">
        <f>ROUND(D139*E139,2)+0.01</f>
        <v>250.26999999999998</v>
      </c>
      <c r="H139" s="303"/>
      <c r="I139" s="23"/>
      <c r="J139" s="23"/>
      <c r="K139" s="185"/>
      <c r="L139" s="263">
        <f>SUM(G139:G143)+SUM(J139:J143)</f>
        <v>7329.884</v>
      </c>
      <c r="M139" s="877">
        <v>7329.88</v>
      </c>
      <c r="N139" s="443"/>
      <c r="O139" s="94"/>
      <c r="P139" s="94"/>
      <c r="Q139" s="396"/>
      <c r="R139" s="422"/>
      <c r="S139" s="399"/>
      <c r="T139" s="399"/>
    </row>
    <row r="140" spans="1:20" s="81" customFormat="1" ht="15.75" customHeight="1">
      <c r="A140" s="389"/>
      <c r="B140" s="920"/>
      <c r="C140" s="48" t="s">
        <v>263</v>
      </c>
      <c r="D140" s="37">
        <v>2.33</v>
      </c>
      <c r="E140" s="41">
        <v>7.0998999999999999</v>
      </c>
      <c r="F140" s="41"/>
      <c r="G140" s="39">
        <f>ROUND(D140*E140,2)</f>
        <v>16.54</v>
      </c>
      <c r="H140" s="270"/>
      <c r="I140" s="41"/>
      <c r="J140" s="41"/>
      <c r="K140" s="50"/>
      <c r="L140" s="272"/>
      <c r="M140" s="990"/>
      <c r="N140" s="423"/>
      <c r="O140" s="406"/>
      <c r="P140" s="406"/>
      <c r="Q140" s="407"/>
      <c r="R140" s="422"/>
      <c r="S140" s="399"/>
      <c r="T140" s="399"/>
    </row>
    <row r="141" spans="1:20" s="81" customFormat="1" ht="15.75" customHeight="1">
      <c r="A141" s="389"/>
      <c r="B141" s="920"/>
      <c r="C141" s="99" t="s">
        <v>29</v>
      </c>
      <c r="D141" s="37">
        <v>970</v>
      </c>
      <c r="E141" s="101">
        <v>7.0998999999999999</v>
      </c>
      <c r="F141" s="41"/>
      <c r="G141" s="39">
        <f t="shared" ref="G141" si="27">ROUND(D141*E141,2)</f>
        <v>6886.9</v>
      </c>
      <c r="H141" s="270"/>
      <c r="I141" s="41"/>
      <c r="J141" s="41"/>
      <c r="K141" s="50"/>
      <c r="L141" s="272"/>
      <c r="M141" s="990"/>
      <c r="N141" s="423"/>
      <c r="O141" s="406"/>
      <c r="P141" s="406"/>
      <c r="Q141" s="407"/>
      <c r="R141" s="422"/>
      <c r="S141" s="399"/>
      <c r="T141" s="399"/>
    </row>
    <row r="142" spans="1:20" s="81" customFormat="1" ht="15.75" customHeight="1" thickBot="1">
      <c r="A142" s="389"/>
      <c r="B142" s="920"/>
      <c r="C142" s="99" t="s">
        <v>73</v>
      </c>
      <c r="D142" s="37">
        <v>2</v>
      </c>
      <c r="E142" s="101">
        <v>40.556600000000003</v>
      </c>
      <c r="F142" s="41">
        <v>47.5304</v>
      </c>
      <c r="G142" s="39">
        <f>+D142*(E142+F142)</f>
        <v>176.17400000000001</v>
      </c>
      <c r="H142" s="270"/>
      <c r="I142" s="41"/>
      <c r="J142" s="41"/>
      <c r="K142" s="50"/>
      <c r="L142" s="272"/>
      <c r="M142" s="880"/>
      <c r="N142" s="426"/>
      <c r="O142" s="416"/>
      <c r="P142" s="416"/>
      <c r="Q142" s="417"/>
      <c r="R142" s="422"/>
      <c r="S142" s="399"/>
      <c r="T142" s="399"/>
    </row>
    <row r="143" spans="1:20" s="81" customFormat="1" ht="15.75" customHeight="1" thickBot="1">
      <c r="A143" s="411"/>
      <c r="B143" s="921"/>
      <c r="C143" s="54" t="s">
        <v>264</v>
      </c>
      <c r="D143" s="413"/>
      <c r="E143" s="56"/>
      <c r="F143" s="281"/>
      <c r="G143" s="414">
        <f>+D143*(E143+F143)</f>
        <v>0</v>
      </c>
      <c r="H143" s="280"/>
      <c r="I143" s="281"/>
      <c r="J143" s="281"/>
      <c r="K143" s="58"/>
      <c r="L143" s="204"/>
      <c r="M143" s="880"/>
      <c r="N143" s="426"/>
      <c r="O143" s="416"/>
      <c r="P143" s="416"/>
      <c r="Q143" s="417"/>
      <c r="R143" s="422"/>
      <c r="S143" s="399"/>
      <c r="T143" s="399"/>
    </row>
    <row r="144" spans="1:20" s="81" customFormat="1" ht="15.75" customHeight="1">
      <c r="A144" s="376">
        <v>117</v>
      </c>
      <c r="B144" s="420" t="s">
        <v>72</v>
      </c>
      <c r="C144" s="390" t="s">
        <v>73</v>
      </c>
      <c r="D144" s="869">
        <v>101</v>
      </c>
      <c r="E144" s="86">
        <v>40.556600000000003</v>
      </c>
      <c r="F144" s="86">
        <v>47.5304</v>
      </c>
      <c r="G144" s="449">
        <f>+D144*(E144+F144)</f>
        <v>8896.7870000000003</v>
      </c>
      <c r="H144" s="260"/>
      <c r="I144" s="392"/>
      <c r="J144" s="392"/>
      <c r="K144" s="870"/>
      <c r="L144" s="286">
        <f>SUM(G144:G148,J144:J148)</f>
        <v>240996.87700000001</v>
      </c>
      <c r="M144" s="26">
        <v>240996.88</v>
      </c>
      <c r="N144" s="421"/>
      <c r="O144" s="77"/>
      <c r="P144" s="77"/>
      <c r="Q144" s="384"/>
      <c r="R144" s="422"/>
      <c r="S144" s="399"/>
      <c r="T144" s="399"/>
    </row>
    <row r="145" spans="1:20" s="81" customFormat="1" ht="15.75" customHeight="1">
      <c r="A145" s="389"/>
      <c r="B145" s="83"/>
      <c r="C145" s="84" t="s">
        <v>26</v>
      </c>
      <c r="D145" s="37"/>
      <c r="E145" s="38"/>
      <c r="F145" s="38"/>
      <c r="G145" s="39">
        <f>ROUND(D145*(E145+F145),2)</f>
        <v>0</v>
      </c>
      <c r="H145" s="270"/>
      <c r="I145" s="392"/>
      <c r="J145" s="402"/>
      <c r="K145" s="393"/>
      <c r="L145" s="272"/>
      <c r="M145" s="102"/>
      <c r="N145" s="423"/>
      <c r="O145" s="406"/>
      <c r="P145" s="406"/>
      <c r="Q145" s="407"/>
      <c r="R145" s="422"/>
      <c r="S145" s="399"/>
      <c r="T145" s="399"/>
    </row>
    <row r="146" spans="1:20" s="81" customFormat="1" ht="15.75" customHeight="1">
      <c r="A146" s="389"/>
      <c r="B146" s="83"/>
      <c r="C146" s="48" t="s">
        <v>260</v>
      </c>
      <c r="D146" s="37">
        <f>сент18!D141+сент18!D142</f>
        <v>31996.61</v>
      </c>
      <c r="E146" s="41">
        <f>7.0999-6.7991</f>
        <v>0.30079999999999973</v>
      </c>
      <c r="F146" s="38"/>
      <c r="G146" s="39">
        <f>ROUND(D146*(E146),2)+0.01</f>
        <v>9624.59</v>
      </c>
      <c r="H146" s="270"/>
      <c r="I146" s="41"/>
      <c r="J146" s="41"/>
      <c r="K146" s="271"/>
      <c r="L146" s="272"/>
      <c r="M146" s="102"/>
      <c r="N146" s="423"/>
      <c r="O146" s="406"/>
      <c r="P146" s="406"/>
      <c r="Q146" s="407"/>
      <c r="R146" s="422"/>
      <c r="S146" s="399"/>
      <c r="T146" s="399"/>
    </row>
    <row r="147" spans="1:20" s="81" customFormat="1" ht="15.75" customHeight="1">
      <c r="A147" s="389"/>
      <c r="B147" s="83"/>
      <c r="C147" s="48" t="s">
        <v>263</v>
      </c>
      <c r="D147" s="37">
        <v>75.02</v>
      </c>
      <c r="E147" s="41">
        <v>7.0998999999999999</v>
      </c>
      <c r="F147" s="38"/>
      <c r="G147" s="39">
        <f>ROUND(D147*(E147),2)</f>
        <v>532.63</v>
      </c>
      <c r="H147" s="270"/>
      <c r="I147" s="41"/>
      <c r="J147" s="41"/>
      <c r="K147" s="271"/>
      <c r="L147" s="272"/>
      <c r="M147" s="102"/>
      <c r="N147" s="423"/>
      <c r="O147" s="406"/>
      <c r="P147" s="406"/>
      <c r="Q147" s="425"/>
      <c r="R147" s="422"/>
      <c r="S147" s="399"/>
      <c r="T147" s="399"/>
    </row>
    <row r="148" spans="1:20" s="81" customFormat="1" ht="15.75" customHeight="1" thickBot="1">
      <c r="A148" s="411"/>
      <c r="B148" s="412"/>
      <c r="C148" s="99" t="s">
        <v>29</v>
      </c>
      <c r="D148" s="413">
        <v>31260</v>
      </c>
      <c r="E148" s="56">
        <v>7.0998999999999999</v>
      </c>
      <c r="F148" s="281"/>
      <c r="G148" s="414">
        <f>ROUND(D148*(E148),2)</f>
        <v>221942.87</v>
      </c>
      <c r="H148" s="280"/>
      <c r="I148" s="281"/>
      <c r="J148" s="281"/>
      <c r="K148" s="282"/>
      <c r="L148" s="204"/>
      <c r="M148" s="371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>
      <c r="A149" s="376">
        <v>118</v>
      </c>
      <c r="B149" s="924" t="s">
        <v>215</v>
      </c>
      <c r="C149" s="377" t="s">
        <v>73</v>
      </c>
      <c r="D149" s="378">
        <v>70</v>
      </c>
      <c r="E149" s="21">
        <v>40.556600000000003</v>
      </c>
      <c r="F149" s="21">
        <v>47.5304</v>
      </c>
      <c r="G149" s="22">
        <f>+D149*(E149+F149)</f>
        <v>6166.09</v>
      </c>
      <c r="H149" s="303"/>
      <c r="I149" s="381"/>
      <c r="J149" s="41"/>
      <c r="K149" s="342"/>
      <c r="L149" s="263">
        <f>SUM(G149:G153,J149:J153)</f>
        <v>80399.59</v>
      </c>
      <c r="M149" s="26">
        <v>80399.59</v>
      </c>
      <c r="N149" s="421"/>
      <c r="O149" s="77"/>
      <c r="P149" s="77"/>
      <c r="Q149" s="384"/>
      <c r="R149" s="422"/>
      <c r="S149" s="399"/>
      <c r="T149" s="399"/>
    </row>
    <row r="150" spans="1:20" s="81" customFormat="1" ht="15.75" customHeight="1">
      <c r="A150" s="389"/>
      <c r="B150" s="920"/>
      <c r="C150" s="36" t="s">
        <v>26</v>
      </c>
      <c r="D150" s="37"/>
      <c r="E150" s="38"/>
      <c r="F150" s="38"/>
      <c r="G150" s="39">
        <f>ROUND(D150*(E150+F150),2)</f>
        <v>0</v>
      </c>
      <c r="H150" s="457"/>
      <c r="I150" s="392"/>
      <c r="J150" s="41"/>
      <c r="K150" s="393"/>
      <c r="L150" s="459"/>
      <c r="M150" s="44"/>
      <c r="N150" s="430"/>
      <c r="O150" s="406"/>
      <c r="P150" s="406"/>
      <c r="Q150" s="407"/>
      <c r="R150" s="422"/>
      <c r="S150" s="399"/>
      <c r="T150" s="399"/>
    </row>
    <row r="151" spans="1:20" s="81" customFormat="1" ht="15.75" customHeight="1">
      <c r="A151" s="389"/>
      <c r="B151" s="920"/>
      <c r="C151" s="48" t="s">
        <v>260</v>
      </c>
      <c r="D151" s="37">
        <f>сент18!D146+сент18!D147</f>
        <v>10257.56</v>
      </c>
      <c r="E151" s="41">
        <f>7.0999-6.7991</f>
        <v>0.30079999999999973</v>
      </c>
      <c r="F151" s="38"/>
      <c r="G151" s="39">
        <f>ROUND(D151*(E151),2)</f>
        <v>3085.47</v>
      </c>
      <c r="H151" s="270"/>
      <c r="I151" s="41"/>
      <c r="J151" s="41"/>
      <c r="K151" s="271"/>
      <c r="L151" s="272"/>
      <c r="M151" s="102"/>
      <c r="N151" s="430"/>
      <c r="O151" s="406"/>
      <c r="P151" s="406"/>
      <c r="Q151" s="407"/>
      <c r="R151" s="422"/>
      <c r="S151" s="399"/>
      <c r="T151" s="399"/>
    </row>
    <row r="152" spans="1:20" s="81" customFormat="1" ht="15.75" customHeight="1">
      <c r="A152" s="389"/>
      <c r="B152" s="920"/>
      <c r="C152" s="48" t="s">
        <v>263</v>
      </c>
      <c r="D152" s="37">
        <v>23.99</v>
      </c>
      <c r="E152" s="41">
        <v>7.0998999999999999</v>
      </c>
      <c r="F152" s="38"/>
      <c r="G152" s="39">
        <f>ROUND(D152*(E152),2)</f>
        <v>170.33</v>
      </c>
      <c r="H152" s="270"/>
      <c r="I152" s="41"/>
      <c r="J152" s="41"/>
      <c r="K152" s="271"/>
      <c r="L152" s="272"/>
      <c r="M152" s="102"/>
      <c r="N152" s="434"/>
      <c r="O152" s="435"/>
      <c r="P152" s="435"/>
      <c r="Q152" s="425"/>
      <c r="R152" s="422"/>
      <c r="S152" s="399"/>
      <c r="T152" s="399"/>
    </row>
    <row r="153" spans="1:20" s="81" customFormat="1" ht="15.75" customHeight="1" thickBot="1">
      <c r="A153" s="411"/>
      <c r="B153" s="921"/>
      <c r="C153" s="54" t="s">
        <v>29</v>
      </c>
      <c r="D153" s="413">
        <v>9997</v>
      </c>
      <c r="E153" s="56">
        <v>7.0998999999999999</v>
      </c>
      <c r="F153" s="281"/>
      <c r="G153" s="414">
        <f>ROUND(D153*(E153),2)</f>
        <v>70977.7</v>
      </c>
      <c r="H153" s="432"/>
      <c r="I153" s="207"/>
      <c r="J153" s="207"/>
      <c r="K153" s="362"/>
      <c r="L153" s="433"/>
      <c r="M153" s="63"/>
      <c r="N153" s="434"/>
      <c r="O153" s="435"/>
      <c r="P153" s="435"/>
      <c r="Q153" s="425"/>
      <c r="R153" s="422"/>
      <c r="S153" s="399"/>
      <c r="T153" s="399"/>
    </row>
    <row r="154" spans="1:20" s="81" customFormat="1" ht="15.75" customHeight="1">
      <c r="A154" s="468">
        <v>121</v>
      </c>
      <c r="B154" s="699" t="s">
        <v>154</v>
      </c>
      <c r="C154" s="700" t="s">
        <v>260</v>
      </c>
      <c r="D154" s="471">
        <f>сент18!D149+сент18!D150</f>
        <v>307.74</v>
      </c>
      <c r="E154" s="261">
        <f>7.0999-6.7991</f>
        <v>0.30079999999999973</v>
      </c>
      <c r="F154" s="473"/>
      <c r="G154" s="449">
        <f>ROUND(D154*E154,2)</f>
        <v>92.57</v>
      </c>
      <c r="H154" s="303"/>
      <c r="I154" s="23"/>
      <c r="J154" s="23"/>
      <c r="K154" s="304"/>
      <c r="L154" s="263">
        <f>SUM(G154:G156)</f>
        <v>2170.71</v>
      </c>
      <c r="M154" s="26">
        <v>2170.71</v>
      </c>
      <c r="N154" s="421"/>
      <c r="O154" s="77"/>
      <c r="P154" s="77"/>
      <c r="Q154" s="384"/>
      <c r="R154" s="422"/>
      <c r="S154" s="399"/>
      <c r="T154" s="399"/>
    </row>
    <row r="155" spans="1:20" s="81" customFormat="1" ht="15.75" customHeight="1">
      <c r="A155" s="468"/>
      <c r="B155" s="469"/>
      <c r="C155" s="48" t="s">
        <v>263</v>
      </c>
      <c r="D155" s="471">
        <v>0.7</v>
      </c>
      <c r="E155" s="41">
        <v>7.0998999999999999</v>
      </c>
      <c r="F155" s="473"/>
      <c r="G155" s="449">
        <f>ROUND(D155*E155,2)</f>
        <v>4.97</v>
      </c>
      <c r="H155" s="260"/>
      <c r="I155" s="261"/>
      <c r="J155" s="261"/>
      <c r="K155" s="262"/>
      <c r="L155" s="286"/>
      <c r="M155" s="90"/>
      <c r="N155" s="423"/>
      <c r="O155" s="406"/>
      <c r="P155" s="406"/>
      <c r="Q155" s="407"/>
      <c r="R155" s="422"/>
      <c r="S155" s="399"/>
      <c r="T155" s="399"/>
    </row>
    <row r="156" spans="1:20" s="81" customFormat="1" ht="15.75" customHeight="1" thickBot="1">
      <c r="A156" s="858"/>
      <c r="B156" s="859"/>
      <c r="C156" s="54" t="s">
        <v>29</v>
      </c>
      <c r="D156" s="860">
        <v>292</v>
      </c>
      <c r="E156" s="56">
        <v>7.0998999999999999</v>
      </c>
      <c r="F156" s="861"/>
      <c r="G156" s="414">
        <f t="shared" ref="G156" si="28">ROUND(D156*E156,2)</f>
        <v>2073.17</v>
      </c>
      <c r="H156" s="280"/>
      <c r="I156" s="281"/>
      <c r="J156" s="281"/>
      <c r="K156" s="282"/>
      <c r="L156" s="204"/>
      <c r="M156" s="371"/>
      <c r="N156" s="426"/>
      <c r="O156" s="416"/>
      <c r="P156" s="416"/>
      <c r="Q156" s="417"/>
      <c r="R156" s="422"/>
      <c r="S156" s="399"/>
      <c r="T156" s="399"/>
    </row>
    <row r="157" spans="1:20" s="81" customFormat="1" ht="15.75" customHeight="1">
      <c r="A157" s="376">
        <v>202</v>
      </c>
      <c r="B157" s="420" t="s">
        <v>74</v>
      </c>
      <c r="C157" s="377" t="s">
        <v>73</v>
      </c>
      <c r="D157" s="378">
        <v>14</v>
      </c>
      <c r="E157" s="21">
        <v>40.556600000000003</v>
      </c>
      <c r="F157" s="21">
        <v>47.5304</v>
      </c>
      <c r="G157" s="22">
        <f>ROUND(D157*(E157+F157),2)</f>
        <v>1233.22</v>
      </c>
      <c r="H157" s="303"/>
      <c r="I157" s="381"/>
      <c r="J157" s="381"/>
      <c r="K157" s="342"/>
      <c r="L157" s="263">
        <f>SUM(G157:G163,J157:J163)</f>
        <v>22805.43</v>
      </c>
      <c r="M157" s="26">
        <v>22805.43</v>
      </c>
      <c r="N157" s="421"/>
      <c r="O157" s="77"/>
      <c r="P157" s="77"/>
      <c r="Q157" s="384"/>
      <c r="R157" s="422"/>
      <c r="S157" s="399"/>
      <c r="T157" s="399"/>
    </row>
    <row r="158" spans="1:20" s="81" customFormat="1" ht="15.75" customHeight="1">
      <c r="A158" s="389"/>
      <c r="B158" s="98"/>
      <c r="C158" s="84" t="s">
        <v>26</v>
      </c>
      <c r="D158" s="37"/>
      <c r="E158" s="38"/>
      <c r="F158" s="38"/>
      <c r="G158" s="39">
        <f>ROUND(D158*(E158+F158),2)</f>
        <v>0</v>
      </c>
      <c r="H158" s="270"/>
      <c r="I158" s="392"/>
      <c r="J158" s="402"/>
      <c r="K158" s="393"/>
      <c r="L158" s="272"/>
      <c r="M158" s="102"/>
      <c r="N158" s="423"/>
      <c r="O158" s="406"/>
      <c r="P158" s="406"/>
      <c r="Q158" s="407"/>
      <c r="R158" s="422"/>
      <c r="S158" s="399"/>
      <c r="T158" s="399"/>
    </row>
    <row r="159" spans="1:20" s="81" customFormat="1" ht="15.75" customHeight="1">
      <c r="A159" s="389"/>
      <c r="B159" s="98" t="s">
        <v>32</v>
      </c>
      <c r="C159" s="99" t="s">
        <v>33</v>
      </c>
      <c r="D159" s="428">
        <v>6</v>
      </c>
      <c r="E159" s="101">
        <v>237.98</v>
      </c>
      <c r="F159" s="38">
        <f>F157</f>
        <v>47.5304</v>
      </c>
      <c r="G159" s="39">
        <f>ROUND(D159*(E159+F159),2)</f>
        <v>1713.06</v>
      </c>
      <c r="H159" s="270"/>
      <c r="I159" s="41"/>
      <c r="J159" s="41"/>
      <c r="K159" s="271"/>
      <c r="L159" s="272"/>
      <c r="M159" s="102"/>
      <c r="N159" s="423"/>
      <c r="O159" s="406"/>
      <c r="P159" s="406"/>
      <c r="Q159" s="407"/>
      <c r="R159" s="422"/>
      <c r="S159" s="399"/>
      <c r="T159" s="399"/>
    </row>
    <row r="160" spans="1:20" s="81" customFormat="1" ht="15.75" customHeight="1">
      <c r="A160" s="389"/>
      <c r="B160" s="83"/>
      <c r="C160" s="48" t="s">
        <v>76</v>
      </c>
      <c r="D160" s="37">
        <f>сент18!D153</f>
        <v>6</v>
      </c>
      <c r="E160" s="41"/>
      <c r="F160" s="38"/>
      <c r="G160" s="39">
        <f>ROUND(D160*(E160+F160),2)+0.01</f>
        <v>0.01</v>
      </c>
      <c r="H160" s="270"/>
      <c r="I160" s="41"/>
      <c r="J160" s="41"/>
      <c r="K160" s="271"/>
      <c r="L160" s="272"/>
      <c r="M160" s="102"/>
      <c r="N160" s="423"/>
      <c r="O160" s="406"/>
      <c r="P160" s="406"/>
      <c r="Q160" s="407"/>
      <c r="R160" s="422"/>
      <c r="S160" s="399"/>
      <c r="T160" s="399"/>
    </row>
    <row r="161" spans="1:20" s="81" customFormat="1" ht="15.75" customHeight="1">
      <c r="A161" s="389"/>
      <c r="B161" s="83"/>
      <c r="C161" s="48" t="s">
        <v>260</v>
      </c>
      <c r="D161" s="37">
        <f>сент18!D156+сент18!D157</f>
        <v>2612.25</v>
      </c>
      <c r="E161" s="41">
        <f>7.0999-6.7991</f>
        <v>0.30079999999999973</v>
      </c>
      <c r="F161" s="38"/>
      <c r="G161" s="39">
        <f>ROUND(D161*(E161+F161),2)</f>
        <v>785.76</v>
      </c>
      <c r="H161" s="270"/>
      <c r="I161" s="41"/>
      <c r="J161" s="41"/>
      <c r="K161" s="271"/>
      <c r="L161" s="272"/>
      <c r="M161" s="102"/>
      <c r="N161" s="423"/>
      <c r="O161" s="406"/>
      <c r="P161" s="406"/>
      <c r="Q161" s="407"/>
      <c r="R161" s="422"/>
      <c r="S161" s="399"/>
      <c r="T161" s="399"/>
    </row>
    <row r="162" spans="1:20" s="81" customFormat="1" ht="15.75" customHeight="1">
      <c r="A162" s="389"/>
      <c r="B162" s="83"/>
      <c r="C162" s="48" t="s">
        <v>263</v>
      </c>
      <c r="D162" s="37">
        <v>6.43</v>
      </c>
      <c r="E162" s="41">
        <v>7.0998999999999999</v>
      </c>
      <c r="F162" s="38"/>
      <c r="G162" s="39">
        <f>ROUND(D162*E162,2)</f>
        <v>45.65</v>
      </c>
      <c r="H162" s="270"/>
      <c r="I162" s="41"/>
      <c r="J162" s="41"/>
      <c r="K162" s="271"/>
      <c r="L162" s="272"/>
      <c r="M162" s="102"/>
      <c r="N162" s="423"/>
      <c r="O162" s="406"/>
      <c r="P162" s="406"/>
      <c r="Q162" s="425"/>
      <c r="R162" s="422"/>
      <c r="S162" s="399"/>
      <c r="T162" s="399"/>
    </row>
    <row r="163" spans="1:20" s="81" customFormat="1" ht="15" customHeight="1" thickBot="1">
      <c r="A163" s="411"/>
      <c r="B163" s="412"/>
      <c r="C163" s="99" t="s">
        <v>29</v>
      </c>
      <c r="D163" s="413">
        <v>2680</v>
      </c>
      <c r="E163" s="56">
        <v>7.0998999999999999</v>
      </c>
      <c r="F163" s="281"/>
      <c r="G163" s="414">
        <f>ROUND(D163*(E163+F163),2)</f>
        <v>19027.73</v>
      </c>
      <c r="H163" s="280"/>
      <c r="I163" s="281"/>
      <c r="J163" s="281"/>
      <c r="K163" s="282"/>
      <c r="L163" s="204"/>
      <c r="M163" s="371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902">
        <v>203</v>
      </c>
      <c r="B164" s="903" t="s">
        <v>230</v>
      </c>
      <c r="C164" s="439" t="s">
        <v>260</v>
      </c>
      <c r="D164" s="904">
        <f>сент18!D159+сент18!D160</f>
        <v>0</v>
      </c>
      <c r="E164" s="23">
        <f>7.0999-6.7991</f>
        <v>0.30079999999999973</v>
      </c>
      <c r="F164" s="905"/>
      <c r="G164" s="22">
        <f>ROUND(D164*E164,2)</f>
        <v>0</v>
      </c>
      <c r="H164" s="303"/>
      <c r="I164" s="23"/>
      <c r="J164" s="23"/>
      <c r="K164" s="304"/>
      <c r="L164" s="263">
        <f>SUM(G164:G166)</f>
        <v>35.57</v>
      </c>
      <c r="M164" s="26"/>
      <c r="N164" s="421"/>
      <c r="O164" s="77" t="s">
        <v>287</v>
      </c>
      <c r="P164" s="77"/>
      <c r="Q164" s="384"/>
      <c r="R164" s="422"/>
      <c r="S164" s="399"/>
      <c r="T164" s="399"/>
    </row>
    <row r="165" spans="1:20" s="81" customFormat="1" ht="15.75" customHeight="1">
      <c r="A165" s="468"/>
      <c r="B165" s="469"/>
      <c r="C165" s="48" t="s">
        <v>263</v>
      </c>
      <c r="D165" s="471">
        <v>0.01</v>
      </c>
      <c r="E165" s="41">
        <v>7.0998999999999999</v>
      </c>
      <c r="F165" s="473"/>
      <c r="G165" s="449">
        <f>ROUND(D165*E165,2)</f>
        <v>7.0000000000000007E-2</v>
      </c>
      <c r="H165" s="260"/>
      <c r="I165" s="261"/>
      <c r="J165" s="261"/>
      <c r="K165" s="262"/>
      <c r="L165" s="286"/>
      <c r="M165" s="90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 thickBot="1">
      <c r="A166" s="858"/>
      <c r="B166" s="859"/>
      <c r="C166" s="54" t="s">
        <v>29</v>
      </c>
      <c r="D166" s="860">
        <v>5</v>
      </c>
      <c r="E166" s="56">
        <v>7.0998999999999999</v>
      </c>
      <c r="F166" s="861"/>
      <c r="G166" s="414">
        <f t="shared" ref="G166" si="29">ROUND(D166*E166,2)</f>
        <v>35.5</v>
      </c>
      <c r="H166" s="280"/>
      <c r="I166" s="281"/>
      <c r="J166" s="207"/>
      <c r="K166" s="362"/>
      <c r="L166" s="433"/>
      <c r="M166" s="63"/>
      <c r="N166" s="426"/>
      <c r="O166" s="416"/>
      <c r="P166" s="416"/>
      <c r="Q166" s="417"/>
      <c r="R166" s="422"/>
      <c r="S166" s="399"/>
      <c r="T166" s="399"/>
    </row>
    <row r="167" spans="1:20" s="81" customFormat="1" ht="15.75" customHeight="1">
      <c r="A167" s="902">
        <v>204</v>
      </c>
      <c r="B167" s="903" t="s">
        <v>257</v>
      </c>
      <c r="C167" s="439" t="s">
        <v>260</v>
      </c>
      <c r="D167" s="904">
        <f>сент18!D162+сент18!D163</f>
        <v>73.180000000000007</v>
      </c>
      <c r="E167" s="23">
        <f>7.0999-6.7991</f>
        <v>0.30079999999999973</v>
      </c>
      <c r="F167" s="905"/>
      <c r="G167" s="22">
        <f>ROUND(D167*E167,2)</f>
        <v>22.01</v>
      </c>
      <c r="H167" s="303"/>
      <c r="I167" s="23"/>
      <c r="J167" s="23"/>
      <c r="K167" s="304"/>
      <c r="L167" s="263">
        <f>SUM(G167:G169)</f>
        <v>555.78</v>
      </c>
      <c r="M167" s="26">
        <v>555.78</v>
      </c>
      <c r="N167" s="421"/>
      <c r="O167" s="77"/>
      <c r="P167" s="77"/>
      <c r="Q167" s="384"/>
      <c r="R167" s="422"/>
      <c r="S167" s="399"/>
      <c r="T167" s="399"/>
    </row>
    <row r="168" spans="1:20" s="81" customFormat="1" ht="15.75" customHeight="1">
      <c r="A168" s="468"/>
      <c r="B168" s="469"/>
      <c r="C168" s="48" t="s">
        <v>263</v>
      </c>
      <c r="D168" s="471">
        <v>0.18</v>
      </c>
      <c r="E168" s="41">
        <v>7.0998999999999999</v>
      </c>
      <c r="F168" s="473"/>
      <c r="G168" s="449">
        <f>ROUND(D168*E168,2)</f>
        <v>1.28</v>
      </c>
      <c r="H168" s="260"/>
      <c r="I168" s="261"/>
      <c r="J168" s="261"/>
      <c r="K168" s="262"/>
      <c r="L168" s="286"/>
      <c r="M168" s="90"/>
      <c r="N168" s="423"/>
      <c r="O168" s="406"/>
      <c r="P168" s="406"/>
      <c r="Q168" s="407"/>
      <c r="R168" s="422"/>
      <c r="S168" s="399"/>
      <c r="T168" s="399"/>
    </row>
    <row r="169" spans="1:20" s="81" customFormat="1" ht="15.75" customHeight="1" thickBot="1">
      <c r="A169" s="858"/>
      <c r="B169" s="859"/>
      <c r="C169" s="54" t="s">
        <v>29</v>
      </c>
      <c r="D169" s="860">
        <v>75</v>
      </c>
      <c r="E169" s="56">
        <v>7.0998999999999999</v>
      </c>
      <c r="F169" s="861"/>
      <c r="G169" s="414">
        <f t="shared" ref="G169" si="30">ROUND(D169*E169,2)</f>
        <v>532.49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customHeight="1">
      <c r="A170" s="902">
        <v>207</v>
      </c>
      <c r="B170" s="903" t="s">
        <v>248</v>
      </c>
      <c r="C170" s="439" t="s">
        <v>260</v>
      </c>
      <c r="D170" s="904">
        <f>сент18!D165+сент18!D166</f>
        <v>367.88</v>
      </c>
      <c r="E170" s="23">
        <f>7.0999-6.7991</f>
        <v>0.30079999999999973</v>
      </c>
      <c r="F170" s="905"/>
      <c r="G170" s="22">
        <f>ROUND(D170*E170,2)</f>
        <v>110.66</v>
      </c>
      <c r="H170" s="303"/>
      <c r="I170" s="23"/>
      <c r="J170" s="23"/>
      <c r="K170" s="304"/>
      <c r="L170" s="263">
        <f>SUM(G170:G172)</f>
        <v>5818.41</v>
      </c>
      <c r="M170" s="26">
        <v>5818.41</v>
      </c>
      <c r="N170" s="421"/>
      <c r="O170" s="77"/>
      <c r="P170" s="77"/>
      <c r="Q170" s="384"/>
      <c r="R170" s="422"/>
      <c r="S170" s="399"/>
      <c r="T170" s="399"/>
    </row>
    <row r="171" spans="1:20" s="81" customFormat="1" ht="15.75" customHeight="1">
      <c r="A171" s="468"/>
      <c r="B171" s="469"/>
      <c r="C171" s="48" t="s">
        <v>263</v>
      </c>
      <c r="D171" s="471">
        <v>1.92</v>
      </c>
      <c r="E171" s="41">
        <v>7.0998999999999999</v>
      </c>
      <c r="F171" s="473"/>
      <c r="G171" s="449">
        <f>ROUND(D171*E171,2)</f>
        <v>13.63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858"/>
      <c r="B172" s="859"/>
      <c r="C172" s="54" t="s">
        <v>29</v>
      </c>
      <c r="D172" s="860">
        <v>802</v>
      </c>
      <c r="E172" s="56">
        <v>7.0998999999999999</v>
      </c>
      <c r="F172" s="861"/>
      <c r="G172" s="414">
        <f t="shared" ref="G172" si="31">ROUND(D172*E172,2)</f>
        <v>5694.12</v>
      </c>
      <c r="H172" s="280"/>
      <c r="I172" s="281"/>
      <c r="J172" s="207"/>
      <c r="K172" s="362"/>
      <c r="L172" s="433"/>
      <c r="M172" s="63"/>
      <c r="N172" s="426"/>
      <c r="O172" s="416"/>
      <c r="P172" s="416"/>
      <c r="Q172" s="417"/>
      <c r="R172" s="422"/>
      <c r="S172" s="399"/>
      <c r="T172" s="399"/>
    </row>
    <row r="173" spans="1:20" s="81" customFormat="1" ht="15" customHeight="1">
      <c r="A173" s="376">
        <v>210</v>
      </c>
      <c r="B173" s="420" t="s">
        <v>77</v>
      </c>
      <c r="C173" s="377" t="s">
        <v>73</v>
      </c>
      <c r="D173" s="378">
        <v>1</v>
      </c>
      <c r="E173" s="21">
        <v>40.556600000000003</v>
      </c>
      <c r="F173" s="21">
        <v>47.5304</v>
      </c>
      <c r="G173" s="22">
        <f t="shared" ref="G173:G179" si="32">ROUND(D173*(E173+F173),2)</f>
        <v>88.09</v>
      </c>
      <c r="H173" s="303"/>
      <c r="I173" s="381"/>
      <c r="J173" s="381"/>
      <c r="K173" s="342"/>
      <c r="L173" s="382">
        <f>+SUM(G173:G179,J173:J179)</f>
        <v>2599.14</v>
      </c>
      <c r="M173" s="26">
        <v>2599.14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" customHeight="1">
      <c r="A174" s="389"/>
      <c r="B174" s="83"/>
      <c r="C174" s="84" t="s">
        <v>26</v>
      </c>
      <c r="D174" s="37"/>
      <c r="E174" s="38"/>
      <c r="F174" s="38"/>
      <c r="G174" s="39">
        <f t="shared" si="32"/>
        <v>0</v>
      </c>
      <c r="H174" s="270"/>
      <c r="I174" s="392"/>
      <c r="J174" s="402"/>
      <c r="K174" s="393"/>
      <c r="L174" s="429"/>
      <c r="M174" s="102"/>
      <c r="N174" s="430"/>
      <c r="O174" s="406"/>
      <c r="P174" s="406"/>
      <c r="Q174" s="407"/>
      <c r="R174" s="422"/>
      <c r="S174" s="399"/>
      <c r="T174" s="399"/>
    </row>
    <row r="175" spans="1:20" s="81" customFormat="1" ht="15" customHeight="1">
      <c r="A175" s="389"/>
      <c r="B175" s="98" t="s">
        <v>32</v>
      </c>
      <c r="C175" s="99" t="s">
        <v>33</v>
      </c>
      <c r="D175" s="37">
        <v>1</v>
      </c>
      <c r="E175" s="101">
        <v>237.98</v>
      </c>
      <c r="F175" s="38">
        <f>F173</f>
        <v>47.5304</v>
      </c>
      <c r="G175" s="39">
        <f t="shared" si="32"/>
        <v>285.51</v>
      </c>
      <c r="H175" s="270"/>
      <c r="I175" s="41"/>
      <c r="J175" s="41"/>
      <c r="K175" s="271"/>
      <c r="L175" s="272"/>
      <c r="M175" s="102"/>
      <c r="N175" s="430"/>
      <c r="O175" s="406"/>
      <c r="P175" s="406"/>
      <c r="Q175" s="407"/>
      <c r="R175" s="422"/>
      <c r="S175" s="399"/>
      <c r="T175" s="399"/>
    </row>
    <row r="176" spans="1:20" s="81" customFormat="1" ht="15" customHeight="1">
      <c r="A176" s="389"/>
      <c r="B176" s="83"/>
      <c r="C176" s="48" t="s">
        <v>190</v>
      </c>
      <c r="D176" s="37">
        <f>сент18!D169</f>
        <v>3</v>
      </c>
      <c r="E176" s="41"/>
      <c r="F176" s="38"/>
      <c r="G176" s="39">
        <f>ROUND(D176*(E176+F176),2)</f>
        <v>0</v>
      </c>
      <c r="H176" s="270"/>
      <c r="I176" s="41"/>
      <c r="J176" s="41"/>
      <c r="K176" s="271"/>
      <c r="L176" s="272"/>
      <c r="M176" s="102"/>
      <c r="N176" s="430"/>
      <c r="O176" s="406"/>
      <c r="P176" s="406"/>
      <c r="Q176" s="407"/>
      <c r="R176" s="422"/>
      <c r="S176" s="399"/>
      <c r="T176" s="399"/>
    </row>
    <row r="177" spans="1:21" s="81" customFormat="1" ht="15" customHeight="1">
      <c r="A177" s="389"/>
      <c r="B177" s="83"/>
      <c r="C177" s="48" t="s">
        <v>260</v>
      </c>
      <c r="D177" s="37">
        <f>сент18!D172+сент18!D173</f>
        <v>300.72000000000003</v>
      </c>
      <c r="E177" s="41">
        <f>7.0999-6.7991</f>
        <v>0.30079999999999973</v>
      </c>
      <c r="F177" s="38"/>
      <c r="G177" s="39">
        <f>ROUND(D177*(E177+F177),2)</f>
        <v>90.46</v>
      </c>
      <c r="H177" s="270"/>
      <c r="I177" s="41"/>
      <c r="J177" s="41"/>
      <c r="K177" s="271"/>
      <c r="L177" s="272"/>
      <c r="M177" s="102"/>
      <c r="N177" s="430"/>
      <c r="O177" s="406"/>
      <c r="P177" s="406"/>
      <c r="Q177" s="407"/>
      <c r="R177" s="899"/>
      <c r="S177" s="399"/>
      <c r="T177" s="399"/>
    </row>
    <row r="178" spans="1:21" s="81" customFormat="1" ht="15" customHeight="1">
      <c r="A178" s="389"/>
      <c r="B178" s="83"/>
      <c r="C178" s="48" t="s">
        <v>263</v>
      </c>
      <c r="D178" s="37">
        <v>0.72</v>
      </c>
      <c r="E178" s="41">
        <v>7.0998999999999999</v>
      </c>
      <c r="F178" s="38"/>
      <c r="G178" s="39">
        <f t="shared" si="32"/>
        <v>5.1100000000000003</v>
      </c>
      <c r="H178" s="432"/>
      <c r="I178" s="207"/>
      <c r="J178" s="207"/>
      <c r="K178" s="362"/>
      <c r="L178" s="433"/>
      <c r="M178" s="63"/>
      <c r="N178" s="434"/>
      <c r="O178" s="435"/>
      <c r="P178" s="435"/>
      <c r="Q178" s="425"/>
      <c r="R178" s="899"/>
      <c r="S178" s="399"/>
      <c r="T178" s="399"/>
    </row>
    <row r="179" spans="1:21" s="81" customFormat="1" ht="15" customHeight="1" thickBot="1">
      <c r="A179" s="411"/>
      <c r="B179" s="412"/>
      <c r="C179" s="99" t="s">
        <v>29</v>
      </c>
      <c r="D179" s="413">
        <v>300</v>
      </c>
      <c r="E179" s="56">
        <v>7.0998999999999999</v>
      </c>
      <c r="F179" s="281"/>
      <c r="G179" s="414">
        <f t="shared" si="32"/>
        <v>2129.9699999999998</v>
      </c>
      <c r="H179" s="280"/>
      <c r="I179" s="281"/>
      <c r="J179" s="281"/>
      <c r="K179" s="282"/>
      <c r="L179" s="204"/>
      <c r="M179" s="371"/>
      <c r="N179" s="426"/>
      <c r="O179" s="416"/>
      <c r="P179" s="416"/>
      <c r="Q179" s="417"/>
      <c r="R179" s="899"/>
      <c r="S179" s="399"/>
      <c r="T179" s="399"/>
    </row>
    <row r="180" spans="1:21" s="81" customFormat="1" ht="15.75" customHeight="1">
      <c r="A180" s="902">
        <v>211</v>
      </c>
      <c r="B180" s="903" t="s">
        <v>231</v>
      </c>
      <c r="C180" s="439" t="s">
        <v>260</v>
      </c>
      <c r="D180" s="904">
        <f>сент18!D175+сент18!D176</f>
        <v>273.66000000000003</v>
      </c>
      <c r="E180" s="23">
        <f>7.0999-6.7991</f>
        <v>0.30079999999999973</v>
      </c>
      <c r="F180" s="905"/>
      <c r="G180" s="22">
        <f>ROUND(D180*E180,2)+0.01</f>
        <v>82.33</v>
      </c>
      <c r="H180" s="303"/>
      <c r="I180" s="23"/>
      <c r="J180" s="23"/>
      <c r="K180" s="304"/>
      <c r="L180" s="263">
        <f>SUM(G180:G182)</f>
        <v>1961.1699999999998</v>
      </c>
      <c r="M180" s="26">
        <v>1961.17</v>
      </c>
      <c r="N180" s="421"/>
      <c r="O180" s="77"/>
      <c r="P180" s="77"/>
      <c r="Q180" s="384"/>
      <c r="R180" s="422"/>
      <c r="S180" s="399"/>
      <c r="T180" s="399"/>
    </row>
    <row r="181" spans="1:21" s="81" customFormat="1" ht="15.75" customHeight="1">
      <c r="A181" s="468"/>
      <c r="B181" s="469"/>
      <c r="C181" s="48" t="s">
        <v>263</v>
      </c>
      <c r="D181" s="471">
        <v>0.63</v>
      </c>
      <c r="E181" s="41">
        <v>7.0998999999999999</v>
      </c>
      <c r="F181" s="473"/>
      <c r="G181" s="449">
        <f>ROUND(D181*E181,2)</f>
        <v>4.47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1" s="81" customFormat="1" ht="15.75" customHeight="1" thickBot="1">
      <c r="A182" s="858"/>
      <c r="B182" s="859"/>
      <c r="C182" s="54" t="s">
        <v>29</v>
      </c>
      <c r="D182" s="860">
        <v>264</v>
      </c>
      <c r="E182" s="56">
        <v>7.0998999999999999</v>
      </c>
      <c r="F182" s="861"/>
      <c r="G182" s="414">
        <f t="shared" ref="G182" si="33">ROUND(D182*E182,2)</f>
        <v>1874.37</v>
      </c>
      <c r="H182" s="280"/>
      <c r="I182" s="281"/>
      <c r="J182" s="207"/>
      <c r="K182" s="362"/>
      <c r="L182" s="433"/>
      <c r="M182" s="63"/>
      <c r="N182" s="426"/>
      <c r="O182" s="416"/>
      <c r="P182" s="416"/>
      <c r="Q182" s="417"/>
      <c r="R182" s="422"/>
      <c r="S182" s="399"/>
      <c r="T182" s="399"/>
    </row>
    <row r="183" spans="1:21" s="81" customFormat="1" ht="15.75" customHeight="1">
      <c r="A183" s="902">
        <v>212</v>
      </c>
      <c r="B183" s="903" t="s">
        <v>140</v>
      </c>
      <c r="C183" s="439" t="s">
        <v>260</v>
      </c>
      <c r="D183" s="904">
        <f>сент18!D178+сент18!D179</f>
        <v>629.51</v>
      </c>
      <c r="E183" s="23">
        <f>7.0999-6.7991</f>
        <v>0.30079999999999973</v>
      </c>
      <c r="F183" s="905"/>
      <c r="G183" s="22">
        <f>ROUND(D183*E183,2)</f>
        <v>189.36</v>
      </c>
      <c r="H183" s="303"/>
      <c r="I183" s="23"/>
      <c r="J183" s="23"/>
      <c r="K183" s="304"/>
      <c r="L183" s="263">
        <f>SUM(G183:G185)</f>
        <v>4452.42</v>
      </c>
      <c r="M183" s="26">
        <v>4452.42</v>
      </c>
      <c r="N183" s="421"/>
      <c r="O183" s="77"/>
      <c r="P183" s="77"/>
      <c r="Q183" s="384"/>
      <c r="R183" s="422"/>
      <c r="S183" s="399"/>
      <c r="T183" s="399"/>
    </row>
    <row r="184" spans="1:21" s="81" customFormat="1" ht="15.75" customHeight="1">
      <c r="A184" s="468"/>
      <c r="B184" s="469"/>
      <c r="C184" s="48" t="s">
        <v>263</v>
      </c>
      <c r="D184" s="471">
        <v>1.44</v>
      </c>
      <c r="E184" s="41">
        <v>7.0998999999999999</v>
      </c>
      <c r="F184" s="473"/>
      <c r="G184" s="449">
        <f>ROUND(D184*E184,2)</f>
        <v>10.220000000000001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1" s="81" customFormat="1" ht="15.75" customHeight="1" thickBot="1">
      <c r="A185" s="858"/>
      <c r="B185" s="859"/>
      <c r="C185" s="54" t="s">
        <v>29</v>
      </c>
      <c r="D185" s="860">
        <v>599</v>
      </c>
      <c r="E185" s="56">
        <v>7.0998999999999999</v>
      </c>
      <c r="F185" s="861"/>
      <c r="G185" s="414">
        <f t="shared" ref="G185" si="34">ROUND(D185*E185,2)</f>
        <v>4252.84</v>
      </c>
      <c r="H185" s="280"/>
      <c r="I185" s="281"/>
      <c r="J185" s="207"/>
      <c r="K185" s="362"/>
      <c r="L185" s="433"/>
      <c r="M185" s="63"/>
      <c r="N185" s="426"/>
      <c r="O185" s="416"/>
      <c r="P185" s="416"/>
      <c r="Q185" s="417"/>
      <c r="R185" s="422"/>
      <c r="S185" s="399"/>
      <c r="T185" s="399"/>
    </row>
    <row r="186" spans="1:21" s="81" customFormat="1" ht="15.75" hidden="1" customHeight="1">
      <c r="A186" s="902">
        <v>213</v>
      </c>
      <c r="B186" s="903" t="s">
        <v>134</v>
      </c>
      <c r="C186" s="439" t="s">
        <v>260</v>
      </c>
      <c r="D186" s="904"/>
      <c r="E186" s="23">
        <f>7.0999-6.7991</f>
        <v>0.30079999999999973</v>
      </c>
      <c r="F186" s="905"/>
      <c r="G186" s="22">
        <f>ROUND(D186*E186,2)-0.01</f>
        <v>-0.01</v>
      </c>
      <c r="H186" s="303"/>
      <c r="I186" s="23"/>
      <c r="J186" s="23"/>
      <c r="K186" s="304"/>
      <c r="L186" s="263">
        <f>SUM(G186:G188)</f>
        <v>-0.01</v>
      </c>
      <c r="M186" s="26"/>
      <c r="N186" s="421"/>
      <c r="O186" s="77"/>
      <c r="P186" s="77"/>
      <c r="Q186" s="384"/>
      <c r="R186" s="422"/>
      <c r="S186" s="399"/>
      <c r="T186" s="399"/>
    </row>
    <row r="187" spans="1:21" s="81" customFormat="1" ht="15.75" hidden="1" customHeight="1">
      <c r="A187" s="468"/>
      <c r="B187" s="469"/>
      <c r="C187" s="48" t="s">
        <v>263</v>
      </c>
      <c r="D187" s="471"/>
      <c r="E187" s="41">
        <v>7.0998999999999999</v>
      </c>
      <c r="F187" s="473"/>
      <c r="G187" s="449">
        <f t="shared" ref="G187:G188" si="35">ROUND(D187*E187,2)</f>
        <v>0</v>
      </c>
      <c r="H187" s="260"/>
      <c r="I187" s="261"/>
      <c r="J187" s="261"/>
      <c r="K187" s="262"/>
      <c r="L187" s="286"/>
      <c r="M187" s="90"/>
      <c r="N187" s="423"/>
      <c r="O187" s="406"/>
      <c r="P187" s="406"/>
      <c r="Q187" s="407"/>
      <c r="R187" s="422"/>
      <c r="S187" s="399"/>
      <c r="T187" s="399"/>
    </row>
    <row r="188" spans="1:21" s="81" customFormat="1" ht="15.75" hidden="1" customHeight="1" thickBot="1">
      <c r="A188" s="858"/>
      <c r="B188" s="859"/>
      <c r="C188" s="54" t="s">
        <v>29</v>
      </c>
      <c r="D188" s="860"/>
      <c r="E188" s="56">
        <v>7.0998999999999999</v>
      </c>
      <c r="F188" s="861"/>
      <c r="G188" s="414">
        <f t="shared" si="35"/>
        <v>0</v>
      </c>
      <c r="H188" s="280"/>
      <c r="I188" s="281"/>
      <c r="J188" s="281"/>
      <c r="K188" s="282"/>
      <c r="L188" s="204"/>
      <c r="M188" s="371"/>
      <c r="N188" s="426"/>
      <c r="O188" s="416"/>
      <c r="P188" s="416"/>
      <c r="Q188" s="417"/>
      <c r="R188" s="422"/>
      <c r="S188" s="399"/>
      <c r="T188" s="399"/>
    </row>
    <row r="189" spans="1:21" s="81" customFormat="1" ht="15.75" customHeight="1">
      <c r="A189" s="902">
        <v>215</v>
      </c>
      <c r="B189" s="903" t="s">
        <v>220</v>
      </c>
      <c r="C189" s="439"/>
      <c r="D189" s="904"/>
      <c r="E189" s="23"/>
      <c r="F189" s="905"/>
      <c r="G189" s="22">
        <f>ROUND(D189*E189,2)</f>
        <v>0</v>
      </c>
      <c r="H189" s="303"/>
      <c r="I189" s="23"/>
      <c r="J189" s="23"/>
      <c r="K189" s="304"/>
      <c r="L189" s="263">
        <f>SUM(G189:G191)</f>
        <v>4091.09</v>
      </c>
      <c r="M189" s="26">
        <v>4091.09</v>
      </c>
      <c r="N189" s="421"/>
      <c r="O189" s="77"/>
      <c r="P189" s="77"/>
      <c r="Q189" s="384"/>
      <c r="R189" s="422"/>
      <c r="S189" s="399"/>
      <c r="T189" s="399"/>
    </row>
    <row r="190" spans="1:21" s="81" customFormat="1" ht="15.75" customHeight="1">
      <c r="A190" s="468"/>
      <c r="B190" s="981" t="s">
        <v>221</v>
      </c>
      <c r="C190" s="48" t="s">
        <v>263</v>
      </c>
      <c r="D190" s="471">
        <v>1.37</v>
      </c>
      <c r="E190" s="41">
        <v>7.1726999999999999</v>
      </c>
      <c r="F190" s="473"/>
      <c r="G190" s="449">
        <f>ROUND(D190*E190,2)-0.01</f>
        <v>9.82</v>
      </c>
      <c r="H190" s="260"/>
      <c r="I190" s="261"/>
      <c r="J190" s="261"/>
      <c r="K190" s="262"/>
      <c r="L190" s="286"/>
      <c r="M190" s="90"/>
      <c r="N190" s="423"/>
      <c r="O190" s="406"/>
      <c r="P190" s="406"/>
      <c r="Q190" s="407"/>
      <c r="R190" s="422"/>
      <c r="S190" s="399"/>
      <c r="T190" s="399"/>
    </row>
    <row r="191" spans="1:21" s="81" customFormat="1" ht="15.75" customHeight="1" thickBot="1">
      <c r="A191" s="858"/>
      <c r="B191" s="859"/>
      <c r="C191" s="54" t="s">
        <v>29</v>
      </c>
      <c r="D191" s="860">
        <v>569</v>
      </c>
      <c r="E191" s="56">
        <v>7.1726999999999999</v>
      </c>
      <c r="F191" s="861"/>
      <c r="G191" s="414">
        <f t="shared" ref="G191" si="36">ROUND(D191*E191,2)</f>
        <v>4081.27</v>
      </c>
      <c r="H191" s="280"/>
      <c r="I191" s="281"/>
      <c r="J191" s="281"/>
      <c r="K191" s="282"/>
      <c r="L191" s="204"/>
      <c r="M191" s="371"/>
      <c r="N191" s="426"/>
      <c r="O191" s="416"/>
      <c r="P191" s="416"/>
      <c r="Q191" s="417"/>
      <c r="R191" s="422"/>
      <c r="S191" s="399"/>
      <c r="T191" s="399"/>
    </row>
    <row r="192" spans="1:21" s="81" customFormat="1" ht="15" customHeight="1">
      <c r="A192" s="376">
        <v>301</v>
      </c>
      <c r="B192" s="70" t="s">
        <v>67</v>
      </c>
      <c r="C192" s="377" t="s">
        <v>243</v>
      </c>
      <c r="D192" s="378">
        <v>644</v>
      </c>
      <c r="E192" s="21">
        <v>40.556600000000003</v>
      </c>
      <c r="F192" s="21">
        <v>47.5304</v>
      </c>
      <c r="G192" s="379">
        <f>ROUND(D192*(E192+F192),2)</f>
        <v>56728.03</v>
      </c>
      <c r="H192" s="380"/>
      <c r="I192" s="381"/>
      <c r="J192" s="381"/>
      <c r="K192" s="342"/>
      <c r="L192" s="382">
        <f>+SUM(G192:G201,J192:J200)</f>
        <v>159278.99</v>
      </c>
      <c r="M192" s="26">
        <v>159278.99</v>
      </c>
      <c r="N192" s="383"/>
      <c r="O192" s="77"/>
      <c r="P192" s="77" t="s">
        <v>68</v>
      </c>
      <c r="Q192" s="384" t="e">
        <f t="shared" si="23"/>
        <v>#VALUE!</v>
      </c>
      <c r="R192" s="385" t="s">
        <v>69</v>
      </c>
      <c r="S192" s="386"/>
      <c r="T192" s="387"/>
      <c r="U192" s="388"/>
    </row>
    <row r="193" spans="1:20" s="81" customFormat="1" ht="12.75">
      <c r="A193" s="389"/>
      <c r="B193" s="83"/>
      <c r="C193" s="390" t="s">
        <v>26</v>
      </c>
      <c r="D193" s="37"/>
      <c r="E193" s="38"/>
      <c r="F193" s="38"/>
      <c r="G193" s="39">
        <f>ROUND(D193*(E193+F193),2)</f>
        <v>0</v>
      </c>
      <c r="H193" s="391"/>
      <c r="I193" s="392"/>
      <c r="J193" s="402"/>
      <c r="K193" s="393"/>
      <c r="L193" s="394"/>
      <c r="M193" s="90"/>
      <c r="N193" s="395"/>
      <c r="O193" s="94"/>
      <c r="P193" s="94"/>
      <c r="Q193" s="396"/>
      <c r="R193" s="397"/>
      <c r="S193" s="398"/>
      <c r="T193" s="399"/>
    </row>
    <row r="194" spans="1:20" s="81" customFormat="1" ht="12.75">
      <c r="A194" s="389"/>
      <c r="B194" s="98" t="s">
        <v>32</v>
      </c>
      <c r="C194" s="99" t="s">
        <v>33</v>
      </c>
      <c r="D194" s="37">
        <v>72</v>
      </c>
      <c r="E194" s="101">
        <v>237.98</v>
      </c>
      <c r="F194" s="38">
        <f>F192</f>
        <v>47.5304</v>
      </c>
      <c r="G194" s="400">
        <f>ROUND(D194*(E194+F194),2)</f>
        <v>20556.75</v>
      </c>
      <c r="H194" s="401"/>
      <c r="I194" s="402"/>
      <c r="J194" s="402"/>
      <c r="K194" s="403"/>
      <c r="L194" s="404"/>
      <c r="M194" s="102"/>
      <c r="N194" s="405"/>
      <c r="O194" s="406"/>
      <c r="P194" s="406" t="s">
        <v>68</v>
      </c>
      <c r="Q194" s="407">
        <f>+G194+J194-M194-N194-O194</f>
        <v>20556.75</v>
      </c>
      <c r="R194" s="397" t="s">
        <v>69</v>
      </c>
      <c r="S194" s="398"/>
      <c r="T194" s="399"/>
    </row>
    <row r="195" spans="1:20" s="81" customFormat="1" ht="15" customHeight="1">
      <c r="A195" s="389"/>
      <c r="B195" s="98"/>
      <c r="C195" s="84" t="s">
        <v>26</v>
      </c>
      <c r="D195" s="37">
        <f>сент18!D188</f>
        <v>59</v>
      </c>
      <c r="E195" s="41"/>
      <c r="F195" s="38"/>
      <c r="G195" s="400">
        <f>+D195*(E195+F195)</f>
        <v>0</v>
      </c>
      <c r="H195" s="401"/>
      <c r="I195" s="402"/>
      <c r="J195" s="402"/>
      <c r="K195" s="408"/>
      <c r="L195" s="404"/>
      <c r="M195" s="102"/>
      <c r="N195" s="405"/>
      <c r="O195" s="406"/>
      <c r="P195" s="406"/>
      <c r="Q195" s="407"/>
      <c r="R195" s="397"/>
      <c r="S195" s="398"/>
      <c r="T195" s="399"/>
    </row>
    <row r="196" spans="1:20" s="81" customFormat="1" ht="15" customHeight="1">
      <c r="A196" s="389"/>
      <c r="B196" s="83"/>
      <c r="C196" s="84"/>
      <c r="D196" s="37"/>
      <c r="E196" s="41"/>
      <c r="F196" s="38"/>
      <c r="G196" s="400"/>
      <c r="H196" s="401"/>
      <c r="I196" s="402"/>
      <c r="J196" s="402"/>
      <c r="K196" s="408"/>
      <c r="L196" s="404"/>
      <c r="M196" s="102"/>
      <c r="N196" s="405"/>
      <c r="O196" s="406"/>
      <c r="P196" s="406"/>
      <c r="Q196" s="407"/>
      <c r="R196" s="397"/>
      <c r="S196" s="398"/>
      <c r="T196" s="399"/>
    </row>
    <row r="197" spans="1:20" s="81" customFormat="1" ht="15" customHeight="1">
      <c r="A197" s="389"/>
      <c r="B197" s="83" t="s">
        <v>70</v>
      </c>
      <c r="C197" s="84"/>
      <c r="D197" s="37"/>
      <c r="E197" s="41"/>
      <c r="F197" s="38"/>
      <c r="G197" s="400"/>
      <c r="H197" s="401"/>
      <c r="I197" s="402"/>
      <c r="J197" s="402"/>
      <c r="K197" s="408"/>
      <c r="L197" s="404"/>
      <c r="M197" s="102"/>
      <c r="N197" s="405"/>
      <c r="O197" s="406"/>
      <c r="P197" s="406"/>
      <c r="Q197" s="407"/>
      <c r="R197" s="397"/>
      <c r="S197" s="398"/>
      <c r="T197" s="399"/>
    </row>
    <row r="198" spans="1:20" s="81" customFormat="1" ht="15" customHeight="1">
      <c r="A198" s="389"/>
      <c r="B198" s="83"/>
      <c r="C198" s="48"/>
      <c r="D198" s="37"/>
      <c r="E198" s="41">
        <f>4.4128-4.4153</f>
        <v>-2.5000000000003908E-3</v>
      </c>
      <c r="F198" s="38"/>
      <c r="G198" s="39">
        <f>ROUND(D198*(E198+F198),2)</f>
        <v>0</v>
      </c>
      <c r="H198" s="37"/>
      <c r="I198" s="409"/>
      <c r="J198" s="409"/>
      <c r="K198" s="408"/>
      <c r="L198" s="404"/>
      <c r="M198" s="102"/>
      <c r="N198" s="405"/>
      <c r="O198" s="406"/>
      <c r="P198" s="406"/>
      <c r="Q198" s="407"/>
      <c r="R198" s="397"/>
      <c r="S198" s="398"/>
      <c r="T198" s="399"/>
    </row>
    <row r="199" spans="1:20" s="81" customFormat="1" ht="15" customHeight="1">
      <c r="A199" s="389"/>
      <c r="B199" s="83"/>
      <c r="C199" s="48" t="s">
        <v>260</v>
      </c>
      <c r="D199" s="37">
        <f>сент18!D194+сент18!D195</f>
        <v>11806.27</v>
      </c>
      <c r="E199" s="41">
        <f>7.0999-6.7991</f>
        <v>0.30079999999999973</v>
      </c>
      <c r="F199" s="38">
        <f>+E199</f>
        <v>0.30079999999999973</v>
      </c>
      <c r="G199" s="39">
        <f>ROUND(D199*E199,2)-0.01</f>
        <v>3551.3199999999997</v>
      </c>
      <c r="H199" s="37"/>
      <c r="I199" s="409"/>
      <c r="J199" s="409"/>
      <c r="K199" s="408"/>
      <c r="L199" s="404"/>
      <c r="M199" s="102"/>
      <c r="N199" s="405"/>
      <c r="O199" s="406"/>
      <c r="P199" s="406"/>
      <c r="Q199" s="407"/>
      <c r="R199" s="397"/>
      <c r="S199" s="398"/>
      <c r="T199" s="399"/>
    </row>
    <row r="200" spans="1:20" s="81" customFormat="1" ht="15" customHeight="1">
      <c r="A200" s="389"/>
      <c r="B200" s="83"/>
      <c r="C200" s="48" t="s">
        <v>263</v>
      </c>
      <c r="D200" s="37">
        <f>26.45</f>
        <v>26.45</v>
      </c>
      <c r="E200" s="41">
        <v>7.0998999999999999</v>
      </c>
      <c r="F200" s="41">
        <f>+E200</f>
        <v>7.0998999999999999</v>
      </c>
      <c r="G200" s="39">
        <f>ROUND(D200*E200,2)</f>
        <v>187.79</v>
      </c>
      <c r="H200" s="37"/>
      <c r="I200" s="409"/>
      <c r="J200" s="409"/>
      <c r="K200" s="410"/>
      <c r="L200" s="404"/>
      <c r="M200" s="102"/>
      <c r="N200" s="405"/>
      <c r="O200" s="406"/>
      <c r="P200" s="406"/>
      <c r="Q200" s="407"/>
      <c r="R200" s="397"/>
      <c r="S200" s="398"/>
      <c r="T200" s="399"/>
    </row>
    <row r="201" spans="1:20" s="81" customFormat="1" ht="15.75" customHeight="1" thickBot="1">
      <c r="A201" s="411"/>
      <c r="B201" s="412"/>
      <c r="C201" s="99" t="s">
        <v>29</v>
      </c>
      <c r="D201" s="413">
        <v>11022</v>
      </c>
      <c r="E201" s="56">
        <v>7.0998999999999999</v>
      </c>
      <c r="F201" s="41">
        <f>+E201</f>
        <v>7.0998999999999999</v>
      </c>
      <c r="G201" s="414">
        <f>ROUND(D201*E201,2)</f>
        <v>78255.100000000006</v>
      </c>
      <c r="H201" s="248"/>
      <c r="I201" s="60"/>
      <c r="J201" s="60"/>
      <c r="K201" s="203"/>
      <c r="L201" s="204"/>
      <c r="M201" s="371"/>
      <c r="N201" s="415"/>
      <c r="O201" s="416"/>
      <c r="P201" s="416" t="s">
        <v>68</v>
      </c>
      <c r="Q201" s="417">
        <f>+G201+J201-M201-N201-O201</f>
        <v>78255.100000000006</v>
      </c>
      <c r="R201" s="418" t="s">
        <v>69</v>
      </c>
      <c r="S201" s="419">
        <f>SUM(O192:O201)</f>
        <v>0</v>
      </c>
      <c r="T201" s="419" t="e">
        <f>SUM(Q192:Q201)</f>
        <v>#VALUE!</v>
      </c>
    </row>
    <row r="202" spans="1:20" s="81" customFormat="1" ht="15.75" customHeight="1">
      <c r="A202" s="902">
        <v>303</v>
      </c>
      <c r="B202" s="903" t="s">
        <v>227</v>
      </c>
      <c r="C202" s="439" t="s">
        <v>260</v>
      </c>
      <c r="D202" s="904">
        <f>сент18!D197+сент18!D198</f>
        <v>581.39</v>
      </c>
      <c r="E202" s="23">
        <f>7.0999-6.7991</f>
        <v>0.30079999999999973</v>
      </c>
      <c r="F202" s="905"/>
      <c r="G202" s="22">
        <f>ROUND(D202*E202,2)</f>
        <v>174.88</v>
      </c>
      <c r="H202" s="303"/>
      <c r="I202" s="23"/>
      <c r="J202" s="23"/>
      <c r="K202" s="304"/>
      <c r="L202" s="263">
        <f>SUM(G202:G204)</f>
        <v>4338.2599999999993</v>
      </c>
      <c r="M202" s="26">
        <v>4338.26</v>
      </c>
      <c r="N202" s="421"/>
      <c r="O202" s="77"/>
      <c r="P202" s="77"/>
      <c r="Q202" s="384"/>
      <c r="R202" s="422"/>
      <c r="S202" s="399"/>
      <c r="T202" s="399"/>
    </row>
    <row r="203" spans="1:20" s="81" customFormat="1" ht="15.75" customHeight="1">
      <c r="A203" s="468"/>
      <c r="B203" s="469"/>
      <c r="C203" s="48" t="s">
        <v>263</v>
      </c>
      <c r="D203" s="471">
        <v>1.4</v>
      </c>
      <c r="E203" s="41">
        <v>7.0998999999999999</v>
      </c>
      <c r="F203" s="473"/>
      <c r="G203" s="449">
        <f>ROUND(D203*E203,2)</f>
        <v>9.94</v>
      </c>
      <c r="H203" s="260"/>
      <c r="I203" s="261"/>
      <c r="J203" s="261"/>
      <c r="K203" s="262"/>
      <c r="L203" s="286"/>
      <c r="M203" s="90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858"/>
      <c r="B204" s="859"/>
      <c r="C204" s="54" t="s">
        <v>29</v>
      </c>
      <c r="D204" s="860">
        <v>585</v>
      </c>
      <c r="E204" s="56">
        <v>7.0998999999999999</v>
      </c>
      <c r="F204" s="861"/>
      <c r="G204" s="414">
        <f t="shared" ref="G204" si="37">ROUND(D204*E204,2)</f>
        <v>4153.4399999999996</v>
      </c>
      <c r="H204" s="280"/>
      <c r="I204" s="281"/>
      <c r="J204" s="281"/>
      <c r="K204" s="282"/>
      <c r="L204" s="204"/>
      <c r="M204" s="371"/>
      <c r="N204" s="426"/>
      <c r="O204" s="416"/>
      <c r="P204" s="416"/>
      <c r="Q204" s="417"/>
      <c r="R204" s="422"/>
      <c r="S204" s="399"/>
      <c r="T204" s="399"/>
    </row>
    <row r="205" spans="1:20" s="81" customFormat="1" ht="15" customHeight="1">
      <c r="A205" s="437">
        <v>304</v>
      </c>
      <c r="B205" s="438" t="s">
        <v>83</v>
      </c>
      <c r="C205" s="377" t="s">
        <v>73</v>
      </c>
      <c r="D205" s="378">
        <v>1</v>
      </c>
      <c r="E205" s="21">
        <v>40.556600000000003</v>
      </c>
      <c r="F205" s="21">
        <v>47.5304</v>
      </c>
      <c r="G205" s="22">
        <f>+D205*(E205+F205)</f>
        <v>88.087000000000003</v>
      </c>
      <c r="H205" s="303"/>
      <c r="I205" s="381"/>
      <c r="J205" s="381"/>
      <c r="K205" s="342"/>
      <c r="L205" s="263">
        <f>SUM(G205:G209,J205:J209)</f>
        <v>537.99699999999996</v>
      </c>
      <c r="M205" s="26">
        <v>538</v>
      </c>
      <c r="N205" s="421"/>
      <c r="O205" s="77"/>
      <c r="P205" s="77"/>
      <c r="Q205" s="384"/>
      <c r="R205" s="899"/>
      <c r="S205" s="399"/>
      <c r="T205" s="399"/>
    </row>
    <row r="206" spans="1:20" s="81" customFormat="1" ht="15" customHeight="1">
      <c r="A206" s="441"/>
      <c r="B206" s="442"/>
      <c r="C206" s="36" t="s">
        <v>26</v>
      </c>
      <c r="D206" s="37"/>
      <c r="E206" s="38"/>
      <c r="F206" s="38"/>
      <c r="G206" s="39">
        <f>ROUND(D206*(E206+F206),2)</f>
        <v>0</v>
      </c>
      <c r="H206" s="457"/>
      <c r="I206" s="392"/>
      <c r="J206" s="402"/>
      <c r="K206" s="393"/>
      <c r="L206" s="459"/>
      <c r="M206" s="44"/>
      <c r="N206" s="430"/>
      <c r="O206" s="435"/>
      <c r="P206" s="435"/>
      <c r="Q206" s="425"/>
      <c r="R206" s="422"/>
      <c r="S206" s="399"/>
      <c r="T206" s="399"/>
    </row>
    <row r="207" spans="1:20" s="81" customFormat="1" ht="15" customHeight="1">
      <c r="A207" s="441"/>
      <c r="B207" s="442"/>
      <c r="C207" s="48" t="s">
        <v>260</v>
      </c>
      <c r="D207" s="37">
        <f>сент18!D202+сент18!D203</f>
        <v>76.180000000000007</v>
      </c>
      <c r="E207" s="41">
        <f>7.0999-6.7991</f>
        <v>0.30079999999999973</v>
      </c>
      <c r="F207" s="38"/>
      <c r="G207" s="39">
        <f>ROUND(D207*(E207),2)+0.02</f>
        <v>22.93</v>
      </c>
      <c r="H207" s="270"/>
      <c r="I207" s="41"/>
      <c r="J207" s="41"/>
      <c r="K207" s="271"/>
      <c r="L207" s="272"/>
      <c r="M207" s="102"/>
      <c r="N207" s="430"/>
      <c r="O207" s="435"/>
      <c r="P207" s="435"/>
      <c r="Q207" s="425"/>
      <c r="R207" s="422"/>
      <c r="S207" s="399"/>
      <c r="T207" s="399"/>
    </row>
    <row r="208" spans="1:20" s="81" customFormat="1" ht="15" customHeight="1">
      <c r="A208" s="441"/>
      <c r="B208" s="442"/>
      <c r="C208" s="48" t="s">
        <v>263</v>
      </c>
      <c r="D208" s="37">
        <v>0.14000000000000001</v>
      </c>
      <c r="E208" s="41">
        <v>7.0998999999999999</v>
      </c>
      <c r="F208" s="38"/>
      <c r="G208" s="39">
        <f>ROUND(D208*(E208),2)</f>
        <v>0.99</v>
      </c>
      <c r="H208" s="270"/>
      <c r="I208" s="41"/>
      <c r="J208" s="41"/>
      <c r="K208" s="271"/>
      <c r="L208" s="272"/>
      <c r="M208" s="102"/>
      <c r="N208" s="434"/>
      <c r="O208" s="435"/>
      <c r="P208" s="435"/>
      <c r="Q208" s="425"/>
      <c r="R208" s="422"/>
      <c r="S208" s="399"/>
      <c r="T208" s="399"/>
    </row>
    <row r="209" spans="1:20" s="81" customFormat="1" ht="15.75" customHeight="1" thickBot="1">
      <c r="A209" s="445"/>
      <c r="B209" s="446"/>
      <c r="C209" s="54" t="s">
        <v>29</v>
      </c>
      <c r="D209" s="413">
        <v>60</v>
      </c>
      <c r="E209" s="56">
        <v>7.0998999999999999</v>
      </c>
      <c r="F209" s="281"/>
      <c r="G209" s="414">
        <f>ROUND(D209*(E209),2)</f>
        <v>425.99</v>
      </c>
      <c r="H209" s="280"/>
      <c r="I209" s="281"/>
      <c r="J209" s="281"/>
      <c r="K209" s="282"/>
      <c r="L209" s="204"/>
      <c r="M209" s="371"/>
      <c r="N209" s="426"/>
      <c r="O209" s="416"/>
      <c r="P209" s="416"/>
      <c r="Q209" s="417"/>
      <c r="R209" s="422"/>
      <c r="S209" s="399"/>
      <c r="T209" s="399"/>
    </row>
    <row r="210" spans="1:20" s="81" customFormat="1" ht="15" customHeight="1">
      <c r="A210" s="447">
        <v>400</v>
      </c>
      <c r="B210" s="903" t="s">
        <v>238</v>
      </c>
      <c r="C210" s="377" t="s">
        <v>73</v>
      </c>
      <c r="D210" s="378">
        <v>3</v>
      </c>
      <c r="E210" s="21">
        <v>40.556600000000003</v>
      </c>
      <c r="F210" s="21">
        <v>47.5304</v>
      </c>
      <c r="G210" s="22">
        <f>+D210*(E210+F210)</f>
        <v>264.26100000000002</v>
      </c>
      <c r="H210" s="303"/>
      <c r="I210" s="381"/>
      <c r="J210" s="381"/>
      <c r="K210" s="342"/>
      <c r="L210" s="263">
        <f>SUM(G210:G214,J210:J214)</f>
        <v>53491.421000000002</v>
      </c>
      <c r="M210" s="26">
        <v>53491.42</v>
      </c>
      <c r="N210" s="421"/>
      <c r="O210" s="77"/>
      <c r="P210" s="77"/>
      <c r="Q210" s="384"/>
      <c r="R210" s="899"/>
      <c r="S210" s="399"/>
      <c r="T210" s="399"/>
    </row>
    <row r="211" spans="1:20" s="81" customFormat="1" ht="15" customHeight="1" thickBot="1">
      <c r="A211" s="450"/>
      <c r="B211" s="469"/>
      <c r="C211" s="36" t="s">
        <v>26</v>
      </c>
      <c r="D211" s="37"/>
      <c r="E211" s="38"/>
      <c r="F211" s="38"/>
      <c r="G211" s="39">
        <f>ROUND(D211*(E211+F211),2)</f>
        <v>0</v>
      </c>
      <c r="H211" s="457"/>
      <c r="I211" s="392"/>
      <c r="J211" s="402"/>
      <c r="K211" s="393"/>
      <c r="L211" s="459"/>
      <c r="M211" s="44"/>
      <c r="N211" s="430"/>
      <c r="O211" s="435"/>
      <c r="P211" s="435"/>
      <c r="Q211" s="425"/>
      <c r="R211" s="422"/>
      <c r="S211" s="399"/>
      <c r="T211" s="399"/>
    </row>
    <row r="212" spans="1:20" s="81" customFormat="1" ht="15.75" customHeight="1">
      <c r="A212" s="984"/>
      <c r="C212" s="439" t="s">
        <v>260</v>
      </c>
      <c r="D212" s="904">
        <f>сент18!D207+сент18!D208</f>
        <v>8137.49</v>
      </c>
      <c r="E212" s="23">
        <f>7.0999-6.7991</f>
        <v>0.30079999999999973</v>
      </c>
      <c r="F212" s="905"/>
      <c r="G212" s="22">
        <f>ROUND(D212*E212,2)-0.01</f>
        <v>2447.75</v>
      </c>
      <c r="H212" s="303"/>
      <c r="I212" s="23"/>
      <c r="J212" s="23"/>
      <c r="K212" s="304"/>
      <c r="L212" s="263"/>
      <c r="M212" s="26"/>
      <c r="N212" s="421"/>
      <c r="O212" s="77"/>
      <c r="P212" s="77"/>
      <c r="Q212" s="384"/>
      <c r="R212" s="422"/>
      <c r="S212" s="399"/>
      <c r="T212" s="399"/>
    </row>
    <row r="213" spans="1:20" s="81" customFormat="1" ht="15.75" customHeight="1">
      <c r="A213" s="450"/>
      <c r="B213" s="469"/>
      <c r="C213" s="48" t="s">
        <v>263</v>
      </c>
      <c r="D213" s="471">
        <f>12.04+0.18+4.91</f>
        <v>17.13</v>
      </c>
      <c r="E213" s="41">
        <v>7.0998999999999999</v>
      </c>
      <c r="F213" s="473"/>
      <c r="G213" s="449">
        <f>ROUND(D213*E213,2)</f>
        <v>121.62</v>
      </c>
      <c r="H213" s="260"/>
      <c r="I213" s="261"/>
      <c r="J213" s="261"/>
      <c r="K213" s="262"/>
      <c r="L213" s="286"/>
      <c r="M213" s="90"/>
      <c r="N213" s="423"/>
      <c r="O213" s="406"/>
      <c r="P213" s="406"/>
      <c r="Q213" s="407"/>
      <c r="R213" s="422"/>
      <c r="S213" s="399"/>
      <c r="T213" s="399"/>
    </row>
    <row r="214" spans="1:20" s="81" customFormat="1" ht="15.75" customHeight="1" thickBot="1">
      <c r="A214" s="451"/>
      <c r="B214" s="859"/>
      <c r="C214" s="54" t="s">
        <v>29</v>
      </c>
      <c r="D214" s="860">
        <f>5015+75+2045</f>
        <v>7135</v>
      </c>
      <c r="E214" s="56">
        <v>7.0998999999999999</v>
      </c>
      <c r="F214" s="861"/>
      <c r="G214" s="414">
        <f t="shared" ref="G214" si="38">ROUND(D214*E214,2)</f>
        <v>50657.79</v>
      </c>
      <c r="H214" s="280"/>
      <c r="I214" s="281"/>
      <c r="J214" s="281"/>
      <c r="K214" s="282"/>
      <c r="L214" s="204"/>
      <c r="M214" s="371"/>
      <c r="N214" s="426"/>
      <c r="O214" s="416"/>
      <c r="P214" s="416"/>
      <c r="Q214" s="417"/>
      <c r="R214" s="422"/>
      <c r="S214" s="399"/>
      <c r="T214" s="399"/>
    </row>
    <row r="215" spans="1:20" s="81" customFormat="1" ht="15" customHeight="1">
      <c r="A215" s="437">
        <v>402</v>
      </c>
      <c r="B215" s="438" t="s">
        <v>122</v>
      </c>
      <c r="C215" s="439"/>
      <c r="D215" s="378"/>
      <c r="E215" s="23"/>
      <c r="F215" s="23"/>
      <c r="G215" s="22"/>
      <c r="H215" s="303"/>
      <c r="I215" s="23"/>
      <c r="J215" s="23"/>
      <c r="K215" s="304"/>
      <c r="L215" s="382">
        <f>+SUM(G215:G218,J215:J218)</f>
        <v>2848.38</v>
      </c>
      <c r="M215" s="26">
        <v>2848.38</v>
      </c>
      <c r="N215" s="421"/>
      <c r="O215" s="77"/>
      <c r="P215" s="77"/>
      <c r="Q215" s="384"/>
      <c r="R215" s="899"/>
      <c r="S215" s="399"/>
      <c r="T215" s="399"/>
    </row>
    <row r="216" spans="1:20" s="81" customFormat="1" ht="15" customHeight="1" thickBot="1">
      <c r="A216" s="441"/>
      <c r="B216" s="442"/>
      <c r="C216" s="48" t="s">
        <v>260</v>
      </c>
      <c r="D216" s="37">
        <f>сент18!D211+сент18!D212</f>
        <v>383.92</v>
      </c>
      <c r="E216" s="41">
        <f>7.0999-6.7991</f>
        <v>0.30079999999999973</v>
      </c>
      <c r="F216" s="41"/>
      <c r="G216" s="414">
        <f>ROUND(D216*E216,2)+0.01</f>
        <v>115.49000000000001</v>
      </c>
      <c r="H216" s="260"/>
      <c r="I216" s="261"/>
      <c r="J216" s="261"/>
      <c r="K216" s="262"/>
      <c r="L216" s="394"/>
      <c r="M216" s="90"/>
      <c r="N216" s="443"/>
      <c r="O216" s="94"/>
      <c r="P216" s="94"/>
      <c r="Q216" s="396"/>
      <c r="R216" s="899"/>
      <c r="S216" s="399"/>
      <c r="T216" s="399"/>
    </row>
    <row r="217" spans="1:20" s="81" customFormat="1" ht="15" customHeight="1" thickBot="1">
      <c r="A217" s="441"/>
      <c r="B217" s="444"/>
      <c r="C217" s="48" t="s">
        <v>263</v>
      </c>
      <c r="D217" s="37">
        <f>0.77+0.15</f>
        <v>0.92</v>
      </c>
      <c r="E217" s="41">
        <v>7.0998999999999999</v>
      </c>
      <c r="F217" s="41"/>
      <c r="G217" s="414">
        <f>ROUND(D217*E217,2)</f>
        <v>6.53</v>
      </c>
      <c r="H217" s="432"/>
      <c r="I217" s="207"/>
      <c r="J217" s="207"/>
      <c r="K217" s="362"/>
      <c r="L217" s="433"/>
      <c r="M217" s="63"/>
      <c r="N217" s="423"/>
      <c r="O217" s="406"/>
      <c r="P217" s="406"/>
      <c r="Q217" s="407"/>
      <c r="R217" s="899"/>
      <c r="S217" s="399"/>
      <c r="T217" s="399"/>
    </row>
    <row r="218" spans="1:20" s="81" customFormat="1" ht="15" customHeight="1" thickBot="1">
      <c r="A218" s="445"/>
      <c r="B218" s="446"/>
      <c r="C218" s="99" t="s">
        <v>29</v>
      </c>
      <c r="D218" s="413">
        <f>320+64</f>
        <v>384</v>
      </c>
      <c r="E218" s="56">
        <v>7.0998999999999999</v>
      </c>
      <c r="F218" s="281"/>
      <c r="G218" s="414">
        <f>ROUND(D218*E218,2)</f>
        <v>2726.36</v>
      </c>
      <c r="H218" s="280"/>
      <c r="I218" s="281"/>
      <c r="J218" s="281"/>
      <c r="K218" s="282"/>
      <c r="L218" s="204"/>
      <c r="M218" s="371"/>
      <c r="N218" s="434"/>
      <c r="O218" s="435"/>
      <c r="P218" s="435"/>
      <c r="Q218" s="425"/>
      <c r="R218" s="899"/>
      <c r="S218" s="399"/>
      <c r="T218" s="399"/>
    </row>
    <row r="219" spans="1:20" s="81" customFormat="1" ht="15.75" customHeight="1">
      <c r="A219" s="447">
        <v>403</v>
      </c>
      <c r="B219" s="438" t="s">
        <v>126</v>
      </c>
      <c r="C219" s="439" t="s">
        <v>260</v>
      </c>
      <c r="D219" s="900">
        <f>сент18!D214+сент18!D215</f>
        <v>100.24</v>
      </c>
      <c r="E219" s="23">
        <f>7.0999-6.7991</f>
        <v>0.30079999999999973</v>
      </c>
      <c r="F219" s="23"/>
      <c r="G219" s="22">
        <f>ROUND(D219*E219,2)</f>
        <v>30.15</v>
      </c>
      <c r="H219" s="303"/>
      <c r="I219" s="23"/>
      <c r="J219" s="23"/>
      <c r="K219" s="304"/>
      <c r="L219" s="263">
        <f>SUM(G219:G221)</f>
        <v>898.40000000000009</v>
      </c>
      <c r="M219" s="26">
        <v>898.4</v>
      </c>
      <c r="N219" s="421"/>
      <c r="O219" s="77"/>
      <c r="P219" s="77"/>
      <c r="Q219" s="384"/>
      <c r="R219" s="422"/>
      <c r="S219" s="399"/>
      <c r="T219" s="399"/>
    </row>
    <row r="220" spans="1:20" s="81" customFormat="1" ht="15.75" customHeight="1">
      <c r="A220" s="450"/>
      <c r="B220" s="442"/>
      <c r="C220" s="48" t="s">
        <v>263</v>
      </c>
      <c r="D220" s="448">
        <v>0.28999999999999998</v>
      </c>
      <c r="E220" s="41">
        <v>7.0998999999999999</v>
      </c>
      <c r="F220" s="261"/>
      <c r="G220" s="449">
        <f t="shared" ref="G220:G221" si="39">ROUND(D220*E220,2)</f>
        <v>2.06</v>
      </c>
      <c r="H220" s="260"/>
      <c r="I220" s="261"/>
      <c r="J220" s="261"/>
      <c r="K220" s="262"/>
      <c r="L220" s="286"/>
      <c r="M220" s="90"/>
      <c r="N220" s="423"/>
      <c r="O220" s="406"/>
      <c r="P220" s="406"/>
      <c r="Q220" s="407"/>
      <c r="R220" s="422"/>
      <c r="S220" s="399"/>
      <c r="T220" s="399"/>
    </row>
    <row r="221" spans="1:20" s="81" customFormat="1" ht="15.75" customHeight="1" thickBot="1">
      <c r="A221" s="451"/>
      <c r="B221" s="446"/>
      <c r="C221" s="54" t="s">
        <v>29</v>
      </c>
      <c r="D221" s="901">
        <v>122</v>
      </c>
      <c r="E221" s="56">
        <v>7.0998999999999999</v>
      </c>
      <c r="F221" s="281"/>
      <c r="G221" s="414">
        <f t="shared" si="39"/>
        <v>866.19</v>
      </c>
      <c r="H221" s="280"/>
      <c r="I221" s="281"/>
      <c r="J221" s="281"/>
      <c r="K221" s="282"/>
      <c r="L221" s="204"/>
      <c r="M221" s="371"/>
      <c r="N221" s="426"/>
      <c r="O221" s="416"/>
      <c r="P221" s="416"/>
      <c r="Q221" s="417"/>
      <c r="R221" s="422"/>
      <c r="S221" s="399"/>
      <c r="T221" s="399"/>
    </row>
    <row r="222" spans="1:20" s="81" customFormat="1" ht="15.75" customHeight="1">
      <c r="A222" s="906">
        <v>404</v>
      </c>
      <c r="B222" s="903" t="s">
        <v>191</v>
      </c>
      <c r="C222" s="48" t="s">
        <v>260</v>
      </c>
      <c r="D222" s="471">
        <f>сент18!D217+сент18!D218</f>
        <v>492.18</v>
      </c>
      <c r="E222" s="41">
        <f>7.0999-6.7991</f>
        <v>0.30079999999999973</v>
      </c>
      <c r="F222" s="473"/>
      <c r="G222" s="862">
        <f>ROUND(D222*E222,2)</f>
        <v>148.05000000000001</v>
      </c>
      <c r="H222" s="270"/>
      <c r="I222" s="41"/>
      <c r="J222" s="41"/>
      <c r="K222" s="271"/>
      <c r="L222" s="263">
        <f>SUM(G222:G224)</f>
        <v>3820.4</v>
      </c>
      <c r="M222" s="878">
        <v>3820.4</v>
      </c>
      <c r="N222" s="421"/>
      <c r="O222" s="406"/>
      <c r="P222" s="406"/>
      <c r="Q222" s="407"/>
      <c r="R222" s="422"/>
      <c r="S222" s="399"/>
      <c r="T222" s="399"/>
    </row>
    <row r="223" spans="1:20" s="81" customFormat="1" ht="15.75" customHeight="1">
      <c r="A223" s="468"/>
      <c r="B223" s="469"/>
      <c r="C223" s="48" t="s">
        <v>263</v>
      </c>
      <c r="D223" s="471">
        <v>1.24</v>
      </c>
      <c r="E223" s="41">
        <v>7.0998999999999999</v>
      </c>
      <c r="F223" s="473"/>
      <c r="G223" s="862">
        <f>ROUND(D223*E223,2)</f>
        <v>8.8000000000000007</v>
      </c>
      <c r="H223" s="270"/>
      <c r="I223" s="41"/>
      <c r="J223" s="41"/>
      <c r="K223" s="271"/>
      <c r="L223" s="272"/>
      <c r="M223" s="878"/>
      <c r="N223" s="423"/>
      <c r="O223" s="406"/>
      <c r="P223" s="406"/>
      <c r="Q223" s="407"/>
      <c r="R223" s="422"/>
      <c r="S223" s="399"/>
      <c r="T223" s="399"/>
    </row>
    <row r="224" spans="1:20" s="81" customFormat="1" ht="15.75" customHeight="1" thickBot="1">
      <c r="A224" s="858"/>
      <c r="B224" s="859"/>
      <c r="C224" s="54" t="s">
        <v>29</v>
      </c>
      <c r="D224" s="860">
        <v>516</v>
      </c>
      <c r="E224" s="56">
        <v>7.0998999999999999</v>
      </c>
      <c r="F224" s="861"/>
      <c r="G224" s="866">
        <f t="shared" ref="G224" si="40">ROUND(D224*E224,2)</f>
        <v>3663.55</v>
      </c>
      <c r="H224" s="280"/>
      <c r="I224" s="281"/>
      <c r="J224" s="281"/>
      <c r="K224" s="282"/>
      <c r="L224" s="204"/>
      <c r="M224" s="880"/>
      <c r="N224" s="426"/>
      <c r="O224" s="416"/>
      <c r="P224" s="416"/>
      <c r="Q224" s="417"/>
      <c r="R224" s="422"/>
      <c r="S224" s="399"/>
      <c r="T224" s="399"/>
    </row>
    <row r="225" spans="1:20" s="81" customFormat="1" ht="15.75" customHeight="1">
      <c r="A225" s="902">
        <v>405</v>
      </c>
      <c r="B225" s="903" t="s">
        <v>147</v>
      </c>
      <c r="C225" s="439" t="s">
        <v>260</v>
      </c>
      <c r="D225" s="904">
        <f>сент18!D220+сент18!D221</f>
        <v>171.41</v>
      </c>
      <c r="E225" s="23">
        <f>7.0999-6.7991</f>
        <v>0.30079999999999973</v>
      </c>
      <c r="F225" s="905"/>
      <c r="G225" s="22">
        <f>ROUND(D225*E225,2)</f>
        <v>51.56</v>
      </c>
      <c r="H225" s="303"/>
      <c r="I225" s="261"/>
      <c r="J225" s="261"/>
      <c r="K225" s="262"/>
      <c r="L225" s="286">
        <f>SUM(G225:G227)</f>
        <v>1197.4099999999999</v>
      </c>
      <c r="M225" s="90">
        <v>1197.4100000000001</v>
      </c>
      <c r="N225" s="421"/>
      <c r="O225" s="77"/>
      <c r="P225" s="77"/>
      <c r="Q225" s="384"/>
      <c r="R225" s="422"/>
      <c r="S225" s="399"/>
      <c r="T225" s="399"/>
    </row>
    <row r="226" spans="1:20" s="81" customFormat="1" ht="15.75" customHeight="1">
      <c r="A226" s="468"/>
      <c r="B226" s="469"/>
      <c r="C226" s="48" t="s">
        <v>263</v>
      </c>
      <c r="D226" s="471">
        <v>0.39</v>
      </c>
      <c r="E226" s="41">
        <v>7.0998999999999999</v>
      </c>
      <c r="F226" s="473"/>
      <c r="G226" s="449">
        <f>ROUND(D226*E226,2)</f>
        <v>2.77</v>
      </c>
      <c r="H226" s="260"/>
      <c r="I226" s="261"/>
      <c r="J226" s="261"/>
      <c r="K226" s="262"/>
      <c r="L226" s="286"/>
      <c r="M226" s="90"/>
      <c r="N226" s="423"/>
      <c r="O226" s="406"/>
      <c r="P226" s="406"/>
      <c r="Q226" s="407"/>
      <c r="R226" s="422"/>
      <c r="S226" s="399"/>
      <c r="T226" s="399"/>
    </row>
    <row r="227" spans="1:20" s="81" customFormat="1" ht="15.75" customHeight="1" thickBot="1">
      <c r="A227" s="701"/>
      <c r="B227" s="702"/>
      <c r="C227" s="99" t="s">
        <v>29</v>
      </c>
      <c r="D227" s="703">
        <v>161</v>
      </c>
      <c r="E227" s="56">
        <v>7.0998999999999999</v>
      </c>
      <c r="F227" s="704"/>
      <c r="G227" s="39">
        <f t="shared" ref="G227" si="41">ROUND(D227*E227,2)</f>
        <v>1143.08</v>
      </c>
      <c r="H227" s="280"/>
      <c r="I227" s="281"/>
      <c r="J227" s="281"/>
      <c r="K227" s="282"/>
      <c r="L227" s="204"/>
      <c r="M227" s="371"/>
      <c r="N227" s="426"/>
      <c r="O227" s="416"/>
      <c r="P227" s="416"/>
      <c r="Q227" s="417"/>
      <c r="R227" s="422"/>
      <c r="S227" s="399"/>
      <c r="T227" s="399"/>
    </row>
    <row r="228" spans="1:20" s="81" customFormat="1" ht="15.75" hidden="1" customHeight="1" outlineLevel="1" thickBot="1">
      <c r="A228" s="910"/>
      <c r="B228" s="911" t="s">
        <v>155</v>
      </c>
      <c r="C228" s="573" t="s">
        <v>115</v>
      </c>
      <c r="D228" s="912"/>
      <c r="E228" s="579">
        <f>7.0379-7.0426</f>
        <v>-4.7000000000005926E-3</v>
      </c>
      <c r="F228" s="580"/>
      <c r="G228" s="913">
        <f>ROUND(D228*E228,2)</f>
        <v>0</v>
      </c>
      <c r="H228" s="914"/>
      <c r="I228" s="23"/>
      <c r="J228" s="23"/>
      <c r="K228" s="304"/>
      <c r="L228" s="263">
        <f>SUM(G228:G230)</f>
        <v>0</v>
      </c>
      <c r="M228" s="26"/>
      <c r="N228" s="421"/>
      <c r="O228" s="77"/>
      <c r="P228" s="77"/>
      <c r="Q228" s="384"/>
      <c r="R228" s="422"/>
      <c r="S228" s="399"/>
      <c r="T228" s="399"/>
    </row>
    <row r="229" spans="1:20" s="81" customFormat="1" ht="15.75" hidden="1" customHeight="1" outlineLevel="1" thickBot="1">
      <c r="A229" s="910"/>
      <c r="B229" s="915"/>
      <c r="C229" s="573" t="s">
        <v>114</v>
      </c>
      <c r="D229" s="912"/>
      <c r="E229" s="579">
        <v>7.0378999999999996</v>
      </c>
      <c r="F229" s="580"/>
      <c r="G229" s="913">
        <f>ROUND(D229*E229,2)</f>
        <v>0</v>
      </c>
      <c r="H229" s="914"/>
      <c r="I229" s="261"/>
      <c r="J229" s="261"/>
      <c r="K229" s="262"/>
      <c r="L229" s="286"/>
      <c r="M229" s="90"/>
      <c r="N229" s="423"/>
      <c r="O229" s="406"/>
      <c r="P229" s="406"/>
      <c r="Q229" s="407"/>
      <c r="R229" s="422"/>
      <c r="S229" s="399"/>
      <c r="T229" s="399"/>
    </row>
    <row r="230" spans="1:20" s="81" customFormat="1" ht="15.75" hidden="1" customHeight="1" outlineLevel="1" thickBot="1">
      <c r="A230" s="910"/>
      <c r="B230" s="915"/>
      <c r="C230" s="916" t="s">
        <v>29</v>
      </c>
      <c r="D230" s="912"/>
      <c r="E230" s="917">
        <v>7.0378999999999996</v>
      </c>
      <c r="F230" s="580"/>
      <c r="G230" s="913">
        <f t="shared" ref="G230" si="42">ROUND(D230*E230,2)</f>
        <v>0</v>
      </c>
      <c r="H230" s="914"/>
      <c r="I230" s="281"/>
      <c r="J230" s="281"/>
      <c r="K230" s="282"/>
      <c r="L230" s="204"/>
      <c r="M230" s="371"/>
      <c r="N230" s="426"/>
      <c r="O230" s="416"/>
      <c r="P230" s="416"/>
      <c r="Q230" s="417"/>
      <c r="R230" s="422"/>
      <c r="S230" s="399"/>
      <c r="T230" s="399"/>
    </row>
    <row r="231" spans="1:20" s="81" customFormat="1" ht="15.75" customHeight="1" collapsed="1">
      <c r="A231" s="902">
        <v>407</v>
      </c>
      <c r="B231" s="903" t="s">
        <v>160</v>
      </c>
      <c r="C231" s="439" t="s">
        <v>260</v>
      </c>
      <c r="D231" s="904">
        <f>сент18!D226+сент18!D227</f>
        <v>14.03</v>
      </c>
      <c r="E231" s="23">
        <f>7.0999-6.7991</f>
        <v>0.30079999999999973</v>
      </c>
      <c r="F231" s="905"/>
      <c r="G231" s="22">
        <f>ROUND(D231*E231,2)-0.01</f>
        <v>4.21</v>
      </c>
      <c r="H231" s="303"/>
      <c r="I231" s="23"/>
      <c r="J231" s="23"/>
      <c r="K231" s="304"/>
      <c r="L231" s="263">
        <f>SUM(G231:G233)</f>
        <v>189.23999999999998</v>
      </c>
      <c r="M231" s="26">
        <v>189.24</v>
      </c>
      <c r="N231" s="421"/>
      <c r="O231" s="77"/>
      <c r="P231" s="77"/>
      <c r="Q231" s="384"/>
      <c r="R231" s="422"/>
      <c r="S231" s="399"/>
      <c r="T231" s="399"/>
    </row>
    <row r="232" spans="1:20" s="81" customFormat="1" ht="15.75" customHeight="1">
      <c r="A232" s="468"/>
      <c r="B232" s="469"/>
      <c r="C232" s="48" t="s">
        <v>263</v>
      </c>
      <c r="D232" s="471">
        <v>0.06</v>
      </c>
      <c r="E232" s="41">
        <v>7.0998999999999999</v>
      </c>
      <c r="F232" s="473"/>
      <c r="G232" s="449">
        <f>ROUND(D232*E232,2)</f>
        <v>0.43</v>
      </c>
      <c r="H232" s="260"/>
      <c r="I232" s="261"/>
      <c r="J232" s="261"/>
      <c r="K232" s="262"/>
      <c r="L232" s="286"/>
      <c r="M232" s="90"/>
      <c r="N232" s="423"/>
      <c r="O232" s="406"/>
      <c r="P232" s="406"/>
      <c r="Q232" s="407"/>
      <c r="R232" s="422"/>
      <c r="S232" s="399"/>
      <c r="T232" s="399"/>
    </row>
    <row r="233" spans="1:20" s="81" customFormat="1" ht="15.75" customHeight="1" thickBot="1">
      <c r="A233" s="858"/>
      <c r="B233" s="859"/>
      <c r="C233" s="54" t="s">
        <v>29</v>
      </c>
      <c r="D233" s="860">
        <v>26</v>
      </c>
      <c r="E233" s="56">
        <v>7.0998999999999999</v>
      </c>
      <c r="F233" s="861"/>
      <c r="G233" s="414">
        <f t="shared" ref="G233" si="43">ROUND(D233*E233,2)</f>
        <v>184.6</v>
      </c>
      <c r="H233" s="280"/>
      <c r="I233" s="281"/>
      <c r="J233" s="281"/>
      <c r="K233" s="282"/>
      <c r="L233" s="204"/>
      <c r="M233" s="371"/>
      <c r="N233" s="426"/>
      <c r="O233" s="416"/>
      <c r="P233" s="416"/>
      <c r="Q233" s="417"/>
      <c r="R233" s="422"/>
      <c r="S233" s="399"/>
      <c r="T233" s="399"/>
    </row>
    <row r="234" spans="1:20" s="81" customFormat="1" ht="15.75" customHeight="1">
      <c r="A234" s="906">
        <v>408</v>
      </c>
      <c r="B234" s="903" t="s">
        <v>253</v>
      </c>
      <c r="C234" s="382" t="s">
        <v>73</v>
      </c>
      <c r="D234" s="904">
        <v>35</v>
      </c>
      <c r="E234" s="907">
        <v>40.556600000000003</v>
      </c>
      <c r="F234" s="905">
        <v>47.5304</v>
      </c>
      <c r="G234" s="908">
        <f>ROUND(D234*E234+D234*F234,2)</f>
        <v>3083.05</v>
      </c>
      <c r="H234" s="303"/>
      <c r="I234" s="23"/>
      <c r="J234" s="23"/>
      <c r="K234" s="304"/>
      <c r="L234" s="263">
        <f>SUM(G234:G238)</f>
        <v>11837.119999999999</v>
      </c>
      <c r="M234" s="877">
        <v>11837.12</v>
      </c>
      <c r="N234" s="430"/>
      <c r="O234" s="77"/>
      <c r="P234" s="77"/>
      <c r="Q234" s="384"/>
      <c r="R234" s="422"/>
      <c r="S234" s="399"/>
      <c r="T234" s="399"/>
    </row>
    <row r="235" spans="1:20" s="81" customFormat="1" ht="15.75" customHeight="1" thickBot="1">
      <c r="A235" s="909"/>
      <c r="B235" s="469"/>
      <c r="C235" s="429" t="s">
        <v>26</v>
      </c>
      <c r="D235" s="471"/>
      <c r="E235" s="876"/>
      <c r="F235" s="473"/>
      <c r="G235" s="862">
        <f>ROUND(D235*E235+D235*F235,2)</f>
        <v>0</v>
      </c>
      <c r="H235" s="270"/>
      <c r="I235" s="41"/>
      <c r="J235" s="41"/>
      <c r="K235" s="271"/>
      <c r="L235" s="272"/>
      <c r="M235" s="878"/>
      <c r="N235" s="430"/>
      <c r="O235" s="406"/>
      <c r="P235" s="406"/>
      <c r="Q235" s="407"/>
      <c r="R235" s="422"/>
      <c r="S235" s="399"/>
      <c r="T235" s="399"/>
    </row>
    <row r="236" spans="1:20" s="81" customFormat="1" ht="15.75" customHeight="1">
      <c r="A236" s="468"/>
      <c r="B236" s="699"/>
      <c r="C236" s="48" t="s">
        <v>260</v>
      </c>
      <c r="D236" s="471">
        <f>сент18!D231+сент18!D232</f>
        <v>1183.8399999999999</v>
      </c>
      <c r="E236" s="41">
        <f>7.0999-6.7991</f>
        <v>0.30079999999999973</v>
      </c>
      <c r="F236" s="473"/>
      <c r="G236" s="862">
        <f>ROUND(D236*E236,2)</f>
        <v>356.1</v>
      </c>
      <c r="H236" s="270"/>
      <c r="I236" s="41"/>
      <c r="J236" s="41"/>
      <c r="K236" s="271"/>
      <c r="L236" s="272"/>
      <c r="M236" s="878"/>
      <c r="N236" s="421"/>
      <c r="O236" s="406"/>
      <c r="P236" s="406"/>
      <c r="Q236" s="407"/>
      <c r="R236" s="422"/>
      <c r="S236" s="399"/>
      <c r="T236" s="399"/>
    </row>
    <row r="237" spans="1:20" s="81" customFormat="1" ht="15.75" customHeight="1">
      <c r="A237" s="468"/>
      <c r="B237" s="469"/>
      <c r="C237" s="48" t="s">
        <v>263</v>
      </c>
      <c r="D237" s="471">
        <f>2.63+0.2</f>
        <v>2.83</v>
      </c>
      <c r="E237" s="41">
        <v>7.0998999999999999</v>
      </c>
      <c r="F237" s="473"/>
      <c r="G237" s="862">
        <f>ROUND(D237*E237,2)</f>
        <v>20.09</v>
      </c>
      <c r="H237" s="270"/>
      <c r="I237" s="41"/>
      <c r="J237" s="41"/>
      <c r="K237" s="271"/>
      <c r="L237" s="272"/>
      <c r="M237" s="878"/>
      <c r="N237" s="423"/>
      <c r="O237" s="406"/>
      <c r="P237" s="406"/>
      <c r="Q237" s="407"/>
      <c r="R237" s="422"/>
      <c r="S237" s="399"/>
      <c r="T237" s="399"/>
    </row>
    <row r="238" spans="1:20" s="81" customFormat="1" ht="15.75" customHeight="1" thickBot="1">
      <c r="A238" s="858"/>
      <c r="B238" s="859"/>
      <c r="C238" s="54" t="s">
        <v>29</v>
      </c>
      <c r="D238" s="860">
        <f>1095+85</f>
        <v>1180</v>
      </c>
      <c r="E238" s="56">
        <v>7.0998999999999999</v>
      </c>
      <c r="F238" s="861"/>
      <c r="G238" s="866">
        <f t="shared" ref="G238" si="44">ROUND(D238*E238,2)</f>
        <v>8377.8799999999992</v>
      </c>
      <c r="H238" s="280"/>
      <c r="I238" s="281"/>
      <c r="J238" s="281"/>
      <c r="K238" s="282"/>
      <c r="L238" s="204"/>
      <c r="M238" s="880"/>
      <c r="N238" s="426"/>
      <c r="O238" s="416"/>
      <c r="P238" s="416"/>
      <c r="Q238" s="417"/>
      <c r="R238" s="422"/>
      <c r="S238" s="399"/>
      <c r="T238" s="399"/>
    </row>
    <row r="239" spans="1:20" s="81" customFormat="1" ht="15" hidden="1" customHeight="1">
      <c r="A239" s="437">
        <v>129</v>
      </c>
      <c r="B239" s="438" t="s">
        <v>38</v>
      </c>
      <c r="C239" s="439"/>
      <c r="D239" s="378"/>
      <c r="E239" s="23"/>
      <c r="F239" s="23"/>
      <c r="G239" s="22"/>
      <c r="H239" s="303"/>
      <c r="I239" s="23"/>
      <c r="J239" s="23"/>
      <c r="K239" s="304"/>
      <c r="L239" s="382">
        <f>+SUM(G239:G242,J239:J242)</f>
        <v>0</v>
      </c>
      <c r="M239" s="26"/>
      <c r="N239" s="421"/>
      <c r="O239" s="77"/>
      <c r="P239" s="77"/>
      <c r="Q239" s="384">
        <f>+L239-M239</f>
        <v>0</v>
      </c>
      <c r="R239" s="899"/>
      <c r="S239" s="399"/>
      <c r="T239" s="399"/>
    </row>
    <row r="240" spans="1:20" s="81" customFormat="1" ht="15" hidden="1" customHeight="1">
      <c r="A240" s="441"/>
      <c r="B240" s="442" t="s">
        <v>198</v>
      </c>
      <c r="C240" s="48" t="s">
        <v>118</v>
      </c>
      <c r="D240" s="37"/>
      <c r="E240" s="41">
        <f>6.8416-6.7432</f>
        <v>9.8399999999999821E-2</v>
      </c>
      <c r="F240" s="41"/>
      <c r="G240" s="39">
        <f>ROUND(D240*E240,2)</f>
        <v>0</v>
      </c>
      <c r="H240" s="260"/>
      <c r="I240" s="261"/>
      <c r="J240" s="261"/>
      <c r="K240" s="262"/>
      <c r="L240" s="394"/>
      <c r="M240" s="90"/>
      <c r="N240" s="443"/>
      <c r="O240" s="94"/>
      <c r="P240" s="94"/>
      <c r="Q240" s="396"/>
      <c r="R240" s="899"/>
      <c r="S240" s="399"/>
      <c r="T240" s="399"/>
    </row>
    <row r="241" spans="1:20" s="81" customFormat="1" ht="15.75" hidden="1" thickBot="1">
      <c r="A241" s="441"/>
      <c r="B241" s="444"/>
      <c r="C241" s="48" t="s">
        <v>119</v>
      </c>
      <c r="D241" s="37"/>
      <c r="E241" s="41">
        <v>6.8415999999999997</v>
      </c>
      <c r="F241" s="41"/>
      <c r="G241" s="39">
        <f t="shared" ref="G241:G242" si="45">ROUND(D241*E241,2)</f>
        <v>0</v>
      </c>
      <c r="H241" s="432"/>
      <c r="I241" s="207"/>
      <c r="J241" s="207"/>
      <c r="K241" s="362"/>
      <c r="L241" s="433"/>
      <c r="M241" s="63"/>
      <c r="N241" s="423"/>
      <c r="O241" s="406"/>
      <c r="P241" s="406"/>
      <c r="Q241" s="407"/>
      <c r="R241" s="899"/>
      <c r="S241" s="399"/>
      <c r="T241" s="399"/>
    </row>
    <row r="242" spans="1:20" s="81" customFormat="1" ht="15" hidden="1" customHeight="1" thickBot="1">
      <c r="A242" s="445"/>
      <c r="B242" s="446"/>
      <c r="C242" s="99" t="s">
        <v>29</v>
      </c>
      <c r="D242" s="413"/>
      <c r="E242" s="56">
        <v>6.8415999999999997</v>
      </c>
      <c r="F242" s="281"/>
      <c r="G242" s="414">
        <f t="shared" si="45"/>
        <v>0</v>
      </c>
      <c r="H242" s="280"/>
      <c r="I242" s="281"/>
      <c r="J242" s="281"/>
      <c r="K242" s="282"/>
      <c r="L242" s="204"/>
      <c r="M242" s="371"/>
      <c r="N242" s="434"/>
      <c r="O242" s="435"/>
      <c r="P242" s="435"/>
      <c r="Q242" s="425"/>
      <c r="R242" s="899"/>
      <c r="S242" s="399"/>
      <c r="T242" s="399"/>
    </row>
    <row r="243" spans="1:20" s="81" customFormat="1" ht="15.75" hidden="1" customHeight="1">
      <c r="A243" s="902">
        <v>118</v>
      </c>
      <c r="B243" s="924" t="s">
        <v>200</v>
      </c>
      <c r="C243" s="390" t="s">
        <v>73</v>
      </c>
      <c r="D243" s="869"/>
      <c r="E243" s="86">
        <v>36.214199999999998</v>
      </c>
      <c r="F243" s="86">
        <v>42.4328</v>
      </c>
      <c r="G243" s="449">
        <f>+D243*(E243+F243)</f>
        <v>0</v>
      </c>
      <c r="H243" s="260"/>
      <c r="I243" s="392"/>
      <c r="J243" s="41"/>
      <c r="K243" s="870"/>
      <c r="L243" s="286">
        <f>SUM(G243:G247,J243:J247)</f>
        <v>0</v>
      </c>
      <c r="M243" s="90"/>
      <c r="N243" s="443"/>
      <c r="O243" s="94"/>
      <c r="P243" s="94"/>
      <c r="Q243" s="396"/>
      <c r="R243" s="422"/>
      <c r="S243" s="399"/>
      <c r="T243" s="399"/>
    </row>
    <row r="244" spans="1:20" s="81" customFormat="1" ht="15.75" hidden="1" customHeight="1">
      <c r="A244" s="468"/>
      <c r="B244" s="920"/>
      <c r="C244" s="36" t="s">
        <v>26</v>
      </c>
      <c r="D244" s="37"/>
      <c r="E244" s="38"/>
      <c r="F244" s="38"/>
      <c r="G244" s="39">
        <f>ROUND(D244*(E244+F244),2)</f>
        <v>0</v>
      </c>
      <c r="H244" s="457"/>
      <c r="I244" s="392"/>
      <c r="J244" s="41"/>
      <c r="K244" s="393"/>
      <c r="L244" s="459"/>
      <c r="M244" s="44"/>
      <c r="N244" s="430"/>
      <c r="O244" s="406"/>
      <c r="P244" s="406"/>
      <c r="Q244" s="407"/>
      <c r="R244" s="422"/>
      <c r="S244" s="399"/>
      <c r="T244" s="399"/>
    </row>
    <row r="245" spans="1:20" s="81" customFormat="1" ht="15.75" hidden="1" customHeight="1">
      <c r="A245" s="468"/>
      <c r="B245" s="920"/>
      <c r="C245" s="48" t="s">
        <v>124</v>
      </c>
      <c r="D245" s="37"/>
      <c r="E245" s="41"/>
      <c r="F245" s="38"/>
      <c r="G245" s="39">
        <f>ROUND(D245*(E245),2)</f>
        <v>0</v>
      </c>
      <c r="H245" s="270"/>
      <c r="I245" s="41"/>
      <c r="J245" s="41"/>
      <c r="K245" s="271"/>
      <c r="L245" s="272"/>
      <c r="M245" s="102"/>
      <c r="N245" s="430"/>
      <c r="O245" s="406"/>
      <c r="P245" s="406"/>
      <c r="Q245" s="407"/>
      <c r="R245" s="422"/>
      <c r="S245" s="399"/>
      <c r="T245" s="399"/>
    </row>
    <row r="246" spans="1:20" s="81" customFormat="1" ht="15.75" hidden="1" customHeight="1">
      <c r="A246" s="468"/>
      <c r="B246" s="920"/>
      <c r="C246" s="48" t="s">
        <v>125</v>
      </c>
      <c r="D246" s="37"/>
      <c r="E246" s="41">
        <v>6.7431999999999999</v>
      </c>
      <c r="F246" s="38"/>
      <c r="G246" s="39">
        <f>ROUND(D246*(E246),2)</f>
        <v>0</v>
      </c>
      <c r="H246" s="270"/>
      <c r="I246" s="41"/>
      <c r="J246" s="41"/>
      <c r="K246" s="271"/>
      <c r="L246" s="272"/>
      <c r="M246" s="102"/>
      <c r="N246" s="434"/>
      <c r="O246" s="435"/>
      <c r="P246" s="435"/>
      <c r="Q246" s="425"/>
      <c r="R246" s="422"/>
      <c r="S246" s="399"/>
      <c r="T246" s="399"/>
    </row>
    <row r="247" spans="1:20" s="81" customFormat="1" ht="15.75" hidden="1" customHeight="1" thickBot="1">
      <c r="A247" s="858"/>
      <c r="B247" s="921"/>
      <c r="C247" s="54" t="s">
        <v>29</v>
      </c>
      <c r="D247" s="413"/>
      <c r="E247" s="56">
        <v>6.7431999999999999</v>
      </c>
      <c r="F247" s="281"/>
      <c r="G247" s="414">
        <f>ROUND(D247*(E247),2)</f>
        <v>0</v>
      </c>
      <c r="H247" s="280"/>
      <c r="I247" s="281"/>
      <c r="J247" s="281"/>
      <c r="K247" s="282"/>
      <c r="L247" s="204"/>
      <c r="M247" s="371"/>
      <c r="N247" s="426"/>
      <c r="O247" s="416"/>
      <c r="P247" s="416"/>
      <c r="Q247" s="417"/>
      <c r="R247" s="422"/>
      <c r="S247" s="399"/>
      <c r="T247" s="399"/>
    </row>
    <row r="248" spans="1:20" s="81" customFormat="1" ht="15.75" customHeight="1">
      <c r="A248" s="902" t="s">
        <v>258</v>
      </c>
      <c r="B248" s="903" t="s">
        <v>265</v>
      </c>
      <c r="C248" s="439" t="s">
        <v>260</v>
      </c>
      <c r="D248" s="904">
        <f>сент18!D244+сент18!D243</f>
        <v>173.42</v>
      </c>
      <c r="E248" s="23">
        <f>7.0999-6.7991</f>
        <v>0.30079999999999973</v>
      </c>
      <c r="F248" s="905"/>
      <c r="G248" s="22">
        <f>ROUND(D248*E248,2)</f>
        <v>52.16</v>
      </c>
      <c r="H248" s="303"/>
      <c r="I248" s="23"/>
      <c r="J248" s="23"/>
      <c r="K248" s="304"/>
      <c r="L248" s="263">
        <f>SUM(G248:G250)</f>
        <v>4165.7699999999995</v>
      </c>
      <c r="M248" s="26">
        <v>4165.7700000000004</v>
      </c>
      <c r="N248" s="421"/>
      <c r="O248" s="77"/>
      <c r="P248" s="77"/>
      <c r="Q248" s="384"/>
      <c r="R248" s="422"/>
      <c r="S248" s="399"/>
      <c r="T248" s="399"/>
    </row>
    <row r="249" spans="1:20" s="81" customFormat="1" ht="15.75" customHeight="1">
      <c r="A249" s="468"/>
      <c r="B249" s="469"/>
      <c r="C249" s="48" t="s">
        <v>263</v>
      </c>
      <c r="D249" s="471">
        <v>1.39</v>
      </c>
      <c r="E249" s="41">
        <v>7.0998999999999999</v>
      </c>
      <c r="F249" s="473"/>
      <c r="G249" s="449">
        <f>ROUND(D249*E249,2)</f>
        <v>9.8699999999999992</v>
      </c>
      <c r="H249" s="260"/>
      <c r="I249" s="261"/>
      <c r="J249" s="261"/>
      <c r="K249" s="262"/>
      <c r="L249" s="286"/>
      <c r="M249" s="90"/>
      <c r="N249" s="423"/>
      <c r="O249" s="406"/>
      <c r="P249" s="406"/>
      <c r="Q249" s="407"/>
      <c r="R249" s="422"/>
      <c r="S249" s="399"/>
      <c r="T249" s="399"/>
    </row>
    <row r="250" spans="1:20" s="81" customFormat="1" ht="15.75" customHeight="1" thickBot="1">
      <c r="A250" s="858"/>
      <c r="B250" s="859"/>
      <c r="C250" s="54" t="s">
        <v>29</v>
      </c>
      <c r="D250" s="860">
        <v>578</v>
      </c>
      <c r="E250" s="56">
        <v>7.0998999999999999</v>
      </c>
      <c r="F250" s="861"/>
      <c r="G250" s="414">
        <f t="shared" ref="G250" si="46">ROUND(D250*E250,2)</f>
        <v>4103.74</v>
      </c>
      <c r="H250" s="280"/>
      <c r="I250" s="281"/>
      <c r="J250" s="281"/>
      <c r="K250" s="282"/>
      <c r="L250" s="204"/>
      <c r="M250" s="371"/>
      <c r="N250" s="426"/>
      <c r="O250" s="416"/>
      <c r="P250" s="416"/>
      <c r="Q250" s="417"/>
      <c r="R250" s="422"/>
      <c r="S250" s="399"/>
      <c r="T250" s="399"/>
    </row>
    <row r="251" spans="1:20" s="81" customFormat="1" ht="15.75" customHeight="1">
      <c r="A251" s="902" t="s">
        <v>258</v>
      </c>
      <c r="B251" s="903" t="s">
        <v>267</v>
      </c>
      <c r="C251" s="439" t="s">
        <v>260</v>
      </c>
      <c r="D251" s="904">
        <f>сент18!D246+сент18!D247</f>
        <v>138.33000000000001</v>
      </c>
      <c r="E251" s="23">
        <f>7.0999-6.7991</f>
        <v>0.30079999999999973</v>
      </c>
      <c r="F251" s="905"/>
      <c r="G251" s="22">
        <f>ROUND(D251*E251,2)</f>
        <v>41.61</v>
      </c>
      <c r="H251" s="303"/>
      <c r="I251" s="23"/>
      <c r="J251" s="23"/>
      <c r="K251" s="304"/>
      <c r="L251" s="263">
        <f>SUM(G251:G253)</f>
        <v>945.43000000000006</v>
      </c>
      <c r="M251" s="26">
        <v>945.43</v>
      </c>
      <c r="N251" s="421"/>
      <c r="O251" s="1561"/>
      <c r="P251" s="1562"/>
      <c r="Q251" s="1563"/>
      <c r="R251" s="422"/>
      <c r="S251" s="399"/>
      <c r="T251" s="399"/>
    </row>
    <row r="252" spans="1:20" s="81" customFormat="1" ht="15.75" customHeight="1">
      <c r="A252" s="468"/>
      <c r="B252" s="469"/>
      <c r="C252" s="48" t="s">
        <v>263</v>
      </c>
      <c r="D252" s="471">
        <v>0.3</v>
      </c>
      <c r="E252" s="41">
        <v>7.0998999999999999</v>
      </c>
      <c r="F252" s="473"/>
      <c r="G252" s="449">
        <f>ROUND(D252*E252,2)</f>
        <v>2.13</v>
      </c>
      <c r="H252" s="260"/>
      <c r="I252" s="261"/>
      <c r="J252" s="261"/>
      <c r="K252" s="262"/>
      <c r="L252" s="286"/>
      <c r="M252" s="90"/>
      <c r="N252" s="423"/>
      <c r="O252" s="406"/>
      <c r="P252" s="406"/>
      <c r="Q252" s="407"/>
      <c r="R252" s="422"/>
      <c r="S252" s="399"/>
      <c r="T252" s="399"/>
    </row>
    <row r="253" spans="1:20" s="81" customFormat="1" ht="15.75" customHeight="1" thickBot="1">
      <c r="A253" s="858"/>
      <c r="B253" s="859"/>
      <c r="C253" s="54" t="s">
        <v>29</v>
      </c>
      <c r="D253" s="860">
        <v>127</v>
      </c>
      <c r="E253" s="56">
        <v>7.0998999999999999</v>
      </c>
      <c r="F253" s="861"/>
      <c r="G253" s="414">
        <f t="shared" ref="G253" si="47">ROUND(D253*E253,2)</f>
        <v>901.69</v>
      </c>
      <c r="H253" s="280"/>
      <c r="I253" s="281"/>
      <c r="J253" s="281"/>
      <c r="K253" s="282"/>
      <c r="L253" s="204"/>
      <c r="M253" s="371"/>
      <c r="N253" s="426"/>
      <c r="O253" s="416"/>
      <c r="P253" s="416"/>
      <c r="Q253" s="417"/>
      <c r="R253" s="422"/>
      <c r="S253" s="399"/>
      <c r="T253" s="399"/>
    </row>
    <row r="254" spans="1:20" s="81" customFormat="1" ht="15.75" customHeight="1">
      <c r="A254" s="926"/>
      <c r="B254" s="927"/>
      <c r="C254" s="928"/>
      <c r="D254" s="904"/>
      <c r="E254" s="929"/>
      <c r="F254" s="905"/>
      <c r="G254" s="930"/>
      <c r="H254" s="905"/>
      <c r="I254" s="905"/>
      <c r="J254" s="905"/>
      <c r="K254" s="905"/>
      <c r="L254" s="905"/>
      <c r="M254" s="931"/>
      <c r="N254" s="387"/>
      <c r="O254" s="387"/>
      <c r="P254" s="387"/>
      <c r="Q254" s="387"/>
      <c r="R254" s="422"/>
      <c r="S254" s="399"/>
      <c r="T254" s="399"/>
    </row>
    <row r="255" spans="1:20" s="81" customFormat="1" ht="15" customHeight="1">
      <c r="A255" s="686"/>
      <c r="B255" s="469"/>
      <c r="C255" s="932"/>
      <c r="D255" s="471"/>
      <c r="E255" s="473"/>
      <c r="F255" s="473"/>
      <c r="G255" s="474"/>
      <c r="H255" s="473"/>
      <c r="I255" s="473"/>
      <c r="J255" s="473"/>
      <c r="K255" s="473"/>
      <c r="L255" s="473"/>
      <c r="M255" s="470"/>
      <c r="N255" s="399"/>
      <c r="O255" s="399"/>
      <c r="P255" s="399"/>
      <c r="Q255" s="399"/>
      <c r="R255" s="422"/>
      <c r="S255" s="399"/>
      <c r="T255" s="399"/>
    </row>
    <row r="256" spans="1:20" ht="21.75" thickBot="1">
      <c r="A256" s="171" t="s">
        <v>84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  <c r="N256" s="2"/>
      <c r="O256" s="2"/>
      <c r="P256" s="2"/>
      <c r="Q256" s="2"/>
      <c r="R256" s="2"/>
      <c r="S256" s="2"/>
      <c r="T256" s="2"/>
    </row>
    <row r="257" spans="1:21" ht="15.75" customHeight="1" thickTop="1" thickBot="1">
      <c r="A257" s="1540" t="s">
        <v>1</v>
      </c>
      <c r="B257" s="1542" t="s">
        <v>2</v>
      </c>
      <c r="C257" s="1544" t="s">
        <v>3</v>
      </c>
      <c r="D257" s="1546" t="s">
        <v>4</v>
      </c>
      <c r="E257" s="1546"/>
      <c r="F257" s="1546"/>
      <c r="G257" s="1546"/>
      <c r="H257" s="1547" t="s">
        <v>5</v>
      </c>
      <c r="I257" s="1548"/>
      <c r="J257" s="1548"/>
      <c r="K257" s="1549"/>
      <c r="L257" s="1524" t="s">
        <v>6</v>
      </c>
      <c r="M257" s="1511" t="s">
        <v>7</v>
      </c>
      <c r="N257" s="1551" t="s">
        <v>8</v>
      </c>
      <c r="O257" s="1551"/>
      <c r="P257" s="1551"/>
      <c r="Q257" s="1552" t="s">
        <v>18</v>
      </c>
      <c r="R257" s="481" t="s">
        <v>85</v>
      </c>
      <c r="S257" s="482" t="s">
        <v>20</v>
      </c>
      <c r="T257" s="482" t="s">
        <v>21</v>
      </c>
    </row>
    <row r="258" spans="1:21" ht="40.5" customHeight="1" thickTop="1" thickBot="1">
      <c r="A258" s="1541"/>
      <c r="B258" s="1543"/>
      <c r="C258" s="1545" t="s">
        <v>10</v>
      </c>
      <c r="D258" s="483" t="s">
        <v>11</v>
      </c>
      <c r="E258" s="484" t="s">
        <v>12</v>
      </c>
      <c r="F258" s="484" t="s">
        <v>13</v>
      </c>
      <c r="G258" s="485" t="s">
        <v>14</v>
      </c>
      <c r="H258" s="483" t="s">
        <v>11</v>
      </c>
      <c r="I258" s="486" t="s">
        <v>15</v>
      </c>
      <c r="J258" s="485"/>
      <c r="K258" s="487" t="s">
        <v>16</v>
      </c>
      <c r="L258" s="1525"/>
      <c r="M258" s="1550"/>
      <c r="N258" s="488" t="s">
        <v>14</v>
      </c>
      <c r="O258" s="485"/>
      <c r="P258" s="489" t="s">
        <v>18</v>
      </c>
      <c r="Q258" s="490" t="s">
        <v>19</v>
      </c>
      <c r="R258" s="491"/>
      <c r="S258" s="492"/>
      <c r="T258" s="492"/>
    </row>
    <row r="259" spans="1:21">
      <c r="A259" s="961" t="s">
        <v>228</v>
      </c>
      <c r="B259" s="602" t="s">
        <v>186</v>
      </c>
      <c r="C259" s="439" t="s">
        <v>260</v>
      </c>
      <c r="D259" s="184">
        <f>сент18!D254+сент18!D255</f>
        <v>209.9</v>
      </c>
      <c r="E259" s="41">
        <f>7.332-6.6439</f>
        <v>0.68809999999999949</v>
      </c>
      <c r="F259" s="23"/>
      <c r="G259" s="185">
        <f>ROUND(D259*(E259),2)+0.01</f>
        <v>144.44</v>
      </c>
      <c r="H259" s="620"/>
      <c r="I259" s="620"/>
      <c r="J259" s="620"/>
      <c r="K259" s="634"/>
      <c r="L259" s="603">
        <f>SUM(G259:G261)</f>
        <v>1698.75</v>
      </c>
      <c r="M259" s="187">
        <v>1698.75</v>
      </c>
      <c r="N259" s="615"/>
      <c r="O259" s="615"/>
      <c r="P259" s="615"/>
      <c r="Q259" s="615"/>
    </row>
    <row r="260" spans="1:21">
      <c r="A260" s="934"/>
      <c r="B260" s="506"/>
      <c r="C260" s="48" t="s">
        <v>263</v>
      </c>
      <c r="D260" s="49">
        <v>8.99</v>
      </c>
      <c r="E260" s="41">
        <v>7.3319999999999999</v>
      </c>
      <c r="F260" s="41">
        <f>+E260</f>
        <v>7.3319999999999999</v>
      </c>
      <c r="G260" s="50">
        <f>ROUND(D260*(E260),2)</f>
        <v>65.91</v>
      </c>
      <c r="H260" s="296"/>
      <c r="I260" s="298"/>
      <c r="J260" s="298"/>
      <c r="K260" s="637"/>
      <c r="L260" s="606"/>
      <c r="M260" s="935"/>
      <c r="N260" s="615"/>
      <c r="O260" s="615"/>
      <c r="P260" s="615"/>
      <c r="Q260" s="615"/>
    </row>
    <row r="261" spans="1:21" ht="15.75" thickBot="1">
      <c r="A261" s="934"/>
      <c r="B261" s="506"/>
      <c r="C261" s="54" t="s">
        <v>29</v>
      </c>
      <c r="D261" s="296">
        <v>203</v>
      </c>
      <c r="E261" s="56">
        <v>7.3319999999999999</v>
      </c>
      <c r="F261" s="41">
        <f>+E261</f>
        <v>7.3319999999999999</v>
      </c>
      <c r="G261" s="50">
        <f t="shared" ref="G261" si="48">ROUND(D261*(E261),2)</f>
        <v>1488.4</v>
      </c>
      <c r="H261" s="296"/>
      <c r="I261" s="298"/>
      <c r="J261" s="298"/>
      <c r="K261" s="637"/>
      <c r="L261" s="614"/>
      <c r="M261" s="935"/>
      <c r="N261" s="615"/>
      <c r="O261" s="615"/>
      <c r="P261" s="615"/>
      <c r="Q261" s="615"/>
    </row>
    <row r="262" spans="1:21">
      <c r="A262" s="961" t="s">
        <v>207</v>
      </c>
      <c r="B262" s="602" t="s">
        <v>184</v>
      </c>
      <c r="C262" s="439" t="s">
        <v>260</v>
      </c>
      <c r="D262" s="184">
        <f>сент18!D257+сент18!D258</f>
        <v>0</v>
      </c>
      <c r="E262" s="41">
        <f>7.332-6.6439</f>
        <v>0.68809999999999949</v>
      </c>
      <c r="F262" s="23">
        <f>+E262</f>
        <v>0.68809999999999949</v>
      </c>
      <c r="G262" s="185">
        <f>ROUND(D262*(E262),2)</f>
        <v>0</v>
      </c>
      <c r="H262" s="620"/>
      <c r="I262" s="620"/>
      <c r="J262" s="620"/>
      <c r="K262" s="634"/>
      <c r="L262" s="603">
        <f>SUM(G262:G264)</f>
        <v>0</v>
      </c>
      <c r="M262" s="187"/>
      <c r="N262" s="615"/>
      <c r="O262" s="962" t="s">
        <v>277</v>
      </c>
      <c r="P262" s="615"/>
      <c r="Q262" s="615"/>
    </row>
    <row r="263" spans="1:21">
      <c r="A263" s="934"/>
      <c r="B263" s="506"/>
      <c r="C263" s="48" t="s">
        <v>263</v>
      </c>
      <c r="D263" s="49">
        <v>0</v>
      </c>
      <c r="E263" s="41">
        <v>7.3319999999999999</v>
      </c>
      <c r="F263" s="41">
        <f>+E263</f>
        <v>7.3319999999999999</v>
      </c>
      <c r="G263" s="50">
        <f>ROUND(D263*(E263),2)</f>
        <v>0</v>
      </c>
      <c r="H263" s="296"/>
      <c r="I263" s="298"/>
      <c r="J263" s="298"/>
      <c r="K263" s="637"/>
      <c r="L263" s="606"/>
      <c r="M263" s="935"/>
      <c r="N263" s="615"/>
      <c r="O263" s="615"/>
      <c r="P263" s="615"/>
      <c r="Q263" s="615"/>
    </row>
    <row r="264" spans="1:21" ht="15.75" thickBot="1">
      <c r="A264" s="934"/>
      <c r="B264" s="506"/>
      <c r="C264" s="54" t="s">
        <v>29</v>
      </c>
      <c r="D264" s="296">
        <v>0</v>
      </c>
      <c r="E264" s="56">
        <v>7.3319999999999999</v>
      </c>
      <c r="F264" s="41">
        <f>+E264</f>
        <v>7.3319999999999999</v>
      </c>
      <c r="G264" s="50">
        <f t="shared" ref="G264" si="49">ROUND(D264*(E264),2)</f>
        <v>0</v>
      </c>
      <c r="H264" s="296"/>
      <c r="I264" s="298"/>
      <c r="J264" s="298"/>
      <c r="K264" s="637"/>
      <c r="L264" s="614"/>
      <c r="M264" s="935"/>
      <c r="N264" s="615"/>
      <c r="O264" s="615"/>
      <c r="P264" s="615"/>
      <c r="Q264" s="615"/>
    </row>
    <row r="265" spans="1:21" ht="15.75" thickTop="1">
      <c r="A265" s="376">
        <v>100</v>
      </c>
      <c r="B265" s="494" t="s">
        <v>193</v>
      </c>
      <c r="C265" s="71" t="s">
        <v>243</v>
      </c>
      <c r="D265" s="495">
        <v>9</v>
      </c>
      <c r="E265" s="21">
        <v>40.556600000000003</v>
      </c>
      <c r="F265" s="21">
        <v>47.5304</v>
      </c>
      <c r="G265" s="185">
        <f>ROUND(D265*(E265+F265),2)</f>
        <v>792.78</v>
      </c>
      <c r="H265" s="496"/>
      <c r="I265" s="73"/>
      <c r="J265" s="73"/>
      <c r="K265" s="601"/>
      <c r="L265" s="498">
        <f>SUM(G265:G272)+SUM(J265:J271)</f>
        <v>24542.86</v>
      </c>
      <c r="M265" s="26">
        <v>24542.86</v>
      </c>
      <c r="N265" s="499"/>
      <c r="O265" s="500"/>
      <c r="P265" s="501" t="s">
        <v>87</v>
      </c>
      <c r="Q265" s="595" t="e">
        <f t="shared" ref="Q265" si="50">C265+G265+J265-M265-N265-O265</f>
        <v>#VALUE!</v>
      </c>
    </row>
    <row r="266" spans="1:21" ht="15.75" thickBot="1">
      <c r="A266" s="389"/>
      <c r="B266" s="506"/>
      <c r="C266" s="507" t="s">
        <v>96</v>
      </c>
      <c r="D266" s="234"/>
      <c r="E266" s="38"/>
      <c r="F266" s="38"/>
      <c r="G266" s="235">
        <f>ROUND(D266*(E266+F266),2)</f>
        <v>0</v>
      </c>
      <c r="H266" s="448"/>
      <c r="I266" s="509"/>
      <c r="J266" s="199"/>
      <c r="K266" s="517"/>
      <c r="L266" s="511"/>
      <c r="M266" s="512"/>
      <c r="N266" s="513"/>
      <c r="O266" s="514"/>
      <c r="P266" s="515"/>
      <c r="Q266" s="262"/>
      <c r="U266" s="33"/>
    </row>
    <row r="267" spans="1:21">
      <c r="A267" s="389"/>
      <c r="B267" s="516" t="s">
        <v>89</v>
      </c>
      <c r="C267" s="512" t="s">
        <v>90</v>
      </c>
      <c r="D267" s="508">
        <v>1</v>
      </c>
      <c r="E267" s="101">
        <v>461.99</v>
      </c>
      <c r="F267" s="21">
        <v>47.5304</v>
      </c>
      <c r="G267" s="50">
        <f>ROUND(D267*(E267+F267),2)</f>
        <v>509.52</v>
      </c>
      <c r="H267" s="270"/>
      <c r="I267" s="41"/>
      <c r="J267" s="207"/>
      <c r="K267" s="517"/>
      <c r="L267" s="517"/>
      <c r="M267" s="99"/>
      <c r="N267" s="518"/>
      <c r="O267" s="519"/>
      <c r="P267" s="515" t="s">
        <v>87</v>
      </c>
      <c r="Q267" s="271">
        <f>+G267+J267-M267-N267-O267</f>
        <v>509.52</v>
      </c>
    </row>
    <row r="268" spans="1:21">
      <c r="A268" s="389"/>
      <c r="B268" s="541"/>
      <c r="C268" s="84" t="s">
        <v>97</v>
      </c>
      <c r="D268" s="508">
        <f>сент18!D261</f>
        <v>1</v>
      </c>
      <c r="E268" s="41"/>
      <c r="F268" s="38"/>
      <c r="G268" s="50">
        <f>ROUND(D268*(E268+F268),2)</f>
        <v>0</v>
      </c>
      <c r="H268" s="432"/>
      <c r="I268" s="362"/>
      <c r="J268" s="207"/>
      <c r="K268" s="517"/>
      <c r="L268" s="517"/>
      <c r="M268" s="520"/>
      <c r="N268" s="521"/>
      <c r="O268" s="522"/>
      <c r="P268" s="523"/>
      <c r="Q268" s="362"/>
    </row>
    <row r="269" spans="1:21">
      <c r="A269" s="389"/>
      <c r="B269" s="541" t="s">
        <v>194</v>
      </c>
      <c r="C269" s="84"/>
      <c r="D269" s="508"/>
      <c r="E269" s="41"/>
      <c r="F269" s="41"/>
      <c r="G269" s="50"/>
      <c r="H269" s="432"/>
      <c r="I269" s="362"/>
      <c r="J269" s="207"/>
      <c r="K269" s="517"/>
      <c r="L269" s="517"/>
      <c r="M269" s="520"/>
      <c r="N269" s="521"/>
      <c r="O269" s="522"/>
      <c r="P269" s="523"/>
      <c r="Q269" s="362"/>
    </row>
    <row r="270" spans="1:21">
      <c r="A270" s="389"/>
      <c r="B270" s="506"/>
      <c r="C270" s="48" t="s">
        <v>260</v>
      </c>
      <c r="D270" s="37"/>
      <c r="E270" s="41"/>
      <c r="F270" s="41">
        <f>+E270</f>
        <v>0</v>
      </c>
      <c r="G270" s="39">
        <f>ROUND(D270*E270,2)</f>
        <v>0</v>
      </c>
      <c r="H270" s="432"/>
      <c r="I270" s="362"/>
      <c r="J270" s="207"/>
      <c r="K270" s="517"/>
      <c r="L270" s="517"/>
      <c r="M270" s="520"/>
      <c r="N270" s="521"/>
      <c r="O270" s="522"/>
      <c r="P270" s="523"/>
      <c r="Q270" s="362"/>
    </row>
    <row r="271" spans="1:21">
      <c r="A271" s="389"/>
      <c r="B271" s="506"/>
      <c r="C271" s="48" t="s">
        <v>263</v>
      </c>
      <c r="D271" s="37">
        <v>138.16999999999999</v>
      </c>
      <c r="E271" s="41">
        <v>7.1352000000000002</v>
      </c>
      <c r="F271" s="41">
        <f>+E271</f>
        <v>7.1352000000000002</v>
      </c>
      <c r="G271" s="39">
        <f>ROUND(D271*E271,2)</f>
        <v>985.87</v>
      </c>
      <c r="H271" s="432"/>
      <c r="I271" s="362"/>
      <c r="J271" s="207"/>
      <c r="K271" s="517"/>
      <c r="L271" s="517"/>
      <c r="M271" s="520"/>
      <c r="N271" s="521"/>
      <c r="O271" s="522"/>
      <c r="P271" s="523"/>
      <c r="Q271" s="362"/>
      <c r="U271" s="33"/>
    </row>
    <row r="272" spans="1:21" ht="15.75" thickBot="1">
      <c r="A272" s="411"/>
      <c r="B272" s="526"/>
      <c r="C272" s="99" t="s">
        <v>29</v>
      </c>
      <c r="D272" s="55">
        <v>3119</v>
      </c>
      <c r="E272" s="56">
        <v>7.1352000000000002</v>
      </c>
      <c r="F272" s="281">
        <f>+E272</f>
        <v>7.1352000000000002</v>
      </c>
      <c r="G272" s="58">
        <f>ROUND(D272*E272,2)</f>
        <v>22254.69</v>
      </c>
      <c r="H272" s="248"/>
      <c r="I272" s="203"/>
      <c r="J272" s="60"/>
      <c r="K272" s="61"/>
      <c r="L272" s="249"/>
      <c r="M272" s="54"/>
      <c r="N272" s="521"/>
      <c r="O272" s="528"/>
      <c r="P272" s="529" t="s">
        <v>87</v>
      </c>
      <c r="Q272" s="362">
        <f>+G272+J272-M272-N272-O272</f>
        <v>22254.69</v>
      </c>
    </row>
    <row r="273" spans="1:21" ht="15.75" collapsed="1" thickTop="1">
      <c r="A273" s="389">
        <v>113</v>
      </c>
      <c r="B273" s="494" t="s">
        <v>250</v>
      </c>
      <c r="C273" s="71" t="s">
        <v>73</v>
      </c>
      <c r="D273" s="495">
        <v>28</v>
      </c>
      <c r="E273" s="21">
        <v>40.556600000000003</v>
      </c>
      <c r="F273" s="21">
        <v>47.5304</v>
      </c>
      <c r="G273" s="185">
        <f>ROUND(D273*(E273+F273),2)</f>
        <v>2466.44</v>
      </c>
      <c r="H273" s="496"/>
      <c r="I273" s="73"/>
      <c r="J273" s="73"/>
      <c r="K273" s="497"/>
      <c r="L273" s="498">
        <f>SUM(G273:G279)+SUM(J273:J278)</f>
        <v>38056.1</v>
      </c>
      <c r="M273" s="26">
        <v>38056.1</v>
      </c>
      <c r="N273" s="594"/>
      <c r="O273" s="535"/>
      <c r="P273" s="536" t="s">
        <v>87</v>
      </c>
      <c r="Q273" s="595" t="e">
        <f>C273+G273+J273-M273-N273-O273</f>
        <v>#VALUE!</v>
      </c>
      <c r="R273" s="502" t="s">
        <v>88</v>
      </c>
      <c r="S273" s="503"/>
      <c r="T273" s="504"/>
      <c r="U273" s="33">
        <f>+M273-L273</f>
        <v>0</v>
      </c>
    </row>
    <row r="274" spans="1:21">
      <c r="A274" s="389"/>
      <c r="B274" s="506"/>
      <c r="C274" s="542" t="s">
        <v>264</v>
      </c>
      <c r="D274" s="508"/>
      <c r="E274" s="38"/>
      <c r="F274" s="38"/>
      <c r="G274" s="50">
        <f>ROUND(D274*(E274+F274),2)</f>
        <v>0</v>
      </c>
      <c r="H274" s="596"/>
      <c r="I274" s="409"/>
      <c r="J274" s="509"/>
      <c r="K274" s="543"/>
      <c r="L274" s="511"/>
      <c r="M274" s="99"/>
      <c r="N274" s="513"/>
      <c r="O274" s="514"/>
      <c r="P274" s="515"/>
      <c r="Q274" s="262"/>
      <c r="R274" s="502"/>
      <c r="S274" s="503"/>
      <c r="T274" s="504"/>
    </row>
    <row r="275" spans="1:21">
      <c r="A275" s="389"/>
      <c r="B275" s="516" t="s">
        <v>103</v>
      </c>
      <c r="C275" s="99" t="s">
        <v>90</v>
      </c>
      <c r="D275" s="508">
        <v>12</v>
      </c>
      <c r="E275" s="101">
        <v>237.98</v>
      </c>
      <c r="F275" s="38">
        <f>F273</f>
        <v>47.5304</v>
      </c>
      <c r="G275" s="50">
        <f>ROUND(D275*(E275+F275),2)</f>
        <v>3426.12</v>
      </c>
      <c r="H275" s="270"/>
      <c r="I275" s="41"/>
      <c r="J275" s="409"/>
      <c r="K275" s="510"/>
      <c r="L275" s="597"/>
      <c r="M275" s="99"/>
      <c r="N275" s="518"/>
      <c r="O275" s="519"/>
      <c r="P275" s="515" t="s">
        <v>87</v>
      </c>
      <c r="Q275" s="271">
        <f>+G275+J275-M275-N275-O275</f>
        <v>3426.12</v>
      </c>
      <c r="R275" s="502" t="s">
        <v>88</v>
      </c>
      <c r="S275" s="503"/>
      <c r="T275" s="504"/>
    </row>
    <row r="276" spans="1:21">
      <c r="A276" s="389"/>
      <c r="B276" s="506"/>
      <c r="C276" s="390" t="s">
        <v>97</v>
      </c>
      <c r="D276" s="508">
        <f>сент18!D269</f>
        <v>19</v>
      </c>
      <c r="E276" s="41"/>
      <c r="F276" s="38"/>
      <c r="G276" s="50">
        <f>D276*(E276+F276)</f>
        <v>0</v>
      </c>
      <c r="H276" s="432"/>
      <c r="I276" s="362"/>
      <c r="J276" s="41"/>
      <c r="K276" s="510"/>
      <c r="L276" s="597"/>
      <c r="M276" s="99"/>
      <c r="N276" s="521"/>
      <c r="O276" s="522"/>
      <c r="P276" s="523"/>
      <c r="Q276" s="362"/>
      <c r="R276" s="502"/>
      <c r="S276" s="503"/>
      <c r="T276" s="504"/>
    </row>
    <row r="277" spans="1:21">
      <c r="A277" s="389"/>
      <c r="B277" s="506"/>
      <c r="C277" s="48" t="s">
        <v>260</v>
      </c>
      <c r="D277" s="37">
        <f>сент18!D272+сент18!D273</f>
        <v>2878.09</v>
      </c>
      <c r="E277" s="41">
        <f>7.332-6.6439</f>
        <v>0.68809999999999949</v>
      </c>
      <c r="F277" s="297">
        <f t="shared" ref="F277:F279" si="51">+E277</f>
        <v>0.68809999999999949</v>
      </c>
      <c r="G277" s="39">
        <f>ROUND(D277*(E277+F277)/2,2)</f>
        <v>1980.41</v>
      </c>
      <c r="H277" s="432"/>
      <c r="I277" s="362"/>
      <c r="J277" s="41"/>
      <c r="K277" s="510"/>
      <c r="L277" s="597"/>
      <c r="M277" s="99"/>
      <c r="N277" s="521"/>
      <c r="O277" s="522"/>
      <c r="P277" s="523"/>
      <c r="Q277" s="362"/>
      <c r="R277" s="502"/>
      <c r="S277" s="503"/>
      <c r="T277" s="504"/>
    </row>
    <row r="278" spans="1:21">
      <c r="A278" s="389"/>
      <c r="B278" s="506"/>
      <c r="C278" s="48" t="s">
        <v>263</v>
      </c>
      <c r="D278" s="37">
        <f>67.56+107.07</f>
        <v>174.63</v>
      </c>
      <c r="E278" s="41">
        <v>7.3319999999999999</v>
      </c>
      <c r="F278" s="298">
        <f t="shared" si="51"/>
        <v>7.3319999999999999</v>
      </c>
      <c r="G278" s="39">
        <f>ROUND(D278*E278,2)</f>
        <v>1280.3900000000001</v>
      </c>
      <c r="H278" s="432"/>
      <c r="I278" s="362"/>
      <c r="J278" s="41"/>
      <c r="K278" s="510"/>
      <c r="L278" s="597"/>
      <c r="M278" s="99"/>
      <c r="N278" s="521"/>
      <c r="O278" s="522"/>
      <c r="P278" s="523"/>
      <c r="Q278" s="362"/>
      <c r="R278" s="502"/>
      <c r="S278" s="503"/>
      <c r="T278" s="504"/>
    </row>
    <row r="279" spans="1:21" ht="15.75" thickBot="1">
      <c r="A279" s="369"/>
      <c r="B279" s="526"/>
      <c r="C279" s="99" t="s">
        <v>29</v>
      </c>
      <c r="D279" s="55">
        <f>1525+2417</f>
        <v>3942</v>
      </c>
      <c r="E279" s="56">
        <v>7.3319999999999999</v>
      </c>
      <c r="F279" s="57">
        <f t="shared" si="51"/>
        <v>7.3319999999999999</v>
      </c>
      <c r="G279" s="414">
        <f>ROUND(D279*E279,2)</f>
        <v>28902.74</v>
      </c>
      <c r="H279" s="248"/>
      <c r="I279" s="203"/>
      <c r="J279" s="60"/>
      <c r="K279" s="61"/>
      <c r="L279" s="249"/>
      <c r="M279" s="54"/>
      <c r="N279" s="527"/>
      <c r="O279" s="528"/>
      <c r="P279" s="529" t="s">
        <v>87</v>
      </c>
      <c r="Q279" s="58">
        <f>+G279+J279-M279-N279-O279</f>
        <v>28902.74</v>
      </c>
      <c r="R279" s="502" t="s">
        <v>88</v>
      </c>
      <c r="S279" s="598">
        <f>SUM(N273:N279)+O273:O279</f>
        <v>0</v>
      </c>
      <c r="T279" s="598" t="e">
        <f>SUM(Q273:Q279)</f>
        <v>#VALUE!</v>
      </c>
    </row>
    <row r="280" spans="1:21">
      <c r="A280" s="376" t="s">
        <v>208</v>
      </c>
      <c r="B280" s="602" t="s">
        <v>213</v>
      </c>
      <c r="C280" s="439" t="s">
        <v>260</v>
      </c>
      <c r="D280" s="184">
        <f>сент18!D275+сент18!D276</f>
        <v>115.92</v>
      </c>
      <c r="E280" s="41">
        <f>7.332-6.6439</f>
        <v>0.68809999999999949</v>
      </c>
      <c r="F280" s="23">
        <f>+E280</f>
        <v>0.68809999999999949</v>
      </c>
      <c r="G280" s="185">
        <f>ROUND(D280*(E280),2)+0.01</f>
        <v>79.77000000000001</v>
      </c>
      <c r="H280" s="620"/>
      <c r="I280" s="620"/>
      <c r="J280" s="620"/>
      <c r="K280" s="634"/>
      <c r="L280" s="603">
        <f>SUM(G280:G282)</f>
        <v>1075.1599999999999</v>
      </c>
      <c r="M280" s="187">
        <v>1075.1600000000001</v>
      </c>
      <c r="N280" s="615"/>
      <c r="O280" s="615"/>
      <c r="P280" s="615"/>
      <c r="Q280" s="615"/>
    </row>
    <row r="281" spans="1:21">
      <c r="A281" s="934"/>
      <c r="B281" s="506"/>
      <c r="C281" s="48" t="s">
        <v>263</v>
      </c>
      <c r="D281" s="49">
        <v>5.76</v>
      </c>
      <c r="E281" s="41">
        <v>7.3319999999999999</v>
      </c>
      <c r="F281" s="41">
        <f>+E281</f>
        <v>7.3319999999999999</v>
      </c>
      <c r="G281" s="50">
        <f>ROUND(D281*(E281),2)</f>
        <v>42.23</v>
      </c>
      <c r="H281" s="296"/>
      <c r="I281" s="298"/>
      <c r="J281" s="298"/>
      <c r="K281" s="637"/>
      <c r="L281" s="606"/>
      <c r="M281" s="935"/>
      <c r="N281" s="615"/>
      <c r="O281" s="615"/>
      <c r="P281" s="615"/>
      <c r="Q281" s="615"/>
    </row>
    <row r="282" spans="1:21" ht="15.75" thickBot="1">
      <c r="A282" s="934"/>
      <c r="B282" s="506"/>
      <c r="C282" s="54" t="s">
        <v>29</v>
      </c>
      <c r="D282" s="296">
        <v>130</v>
      </c>
      <c r="E282" s="56">
        <v>7.3319999999999999</v>
      </c>
      <c r="F282" s="41">
        <f>+E282</f>
        <v>7.3319999999999999</v>
      </c>
      <c r="G282" s="50">
        <f t="shared" ref="G282" si="52">ROUND(D282*(E282),2)</f>
        <v>953.16</v>
      </c>
      <c r="H282" s="296"/>
      <c r="I282" s="298"/>
      <c r="J282" s="298"/>
      <c r="K282" s="637"/>
      <c r="L282" s="614"/>
      <c r="M282" s="935"/>
      <c r="N282" s="615"/>
      <c r="O282" s="615"/>
      <c r="P282" s="615"/>
      <c r="Q282" s="615"/>
    </row>
    <row r="283" spans="1:21">
      <c r="A283" s="376">
        <v>201</v>
      </c>
      <c r="B283" s="602" t="s">
        <v>107</v>
      </c>
      <c r="C283" s="618" t="s">
        <v>73</v>
      </c>
      <c r="D283" s="619">
        <v>2.2799999999999998</v>
      </c>
      <c r="E283" s="21">
        <v>40.556600000000003</v>
      </c>
      <c r="F283" s="21">
        <v>47.5304</v>
      </c>
      <c r="G283" s="185">
        <f>ROUND(D283*(E283+F283),2)</f>
        <v>200.84</v>
      </c>
      <c r="H283" s="620"/>
      <c r="I283" s="620"/>
      <c r="J283" s="620"/>
      <c r="K283" s="620"/>
      <c r="L283" s="603">
        <f>SUM(G283:G287,J283:J287)</f>
        <v>7323.19</v>
      </c>
      <c r="M283" s="187">
        <v>7323.19</v>
      </c>
      <c r="N283" s="621"/>
      <c r="O283" s="621"/>
      <c r="P283" s="621"/>
      <c r="Q283" s="622"/>
    </row>
    <row r="284" spans="1:21">
      <c r="A284" s="936"/>
      <c r="B284" s="612"/>
      <c r="C284" s="542" t="s">
        <v>96</v>
      </c>
      <c r="D284" s="234"/>
      <c r="E284" s="38"/>
      <c r="F284" s="38"/>
      <c r="G284" s="235">
        <f>ROUND(D284*(E284+F284),2)</f>
        <v>0</v>
      </c>
      <c r="H284" s="298"/>
      <c r="I284" s="298"/>
      <c r="J284" s="298"/>
      <c r="K284" s="298"/>
      <c r="L284" s="606"/>
      <c r="M284" s="935"/>
      <c r="N284" s="615"/>
      <c r="O284" s="615"/>
      <c r="P284" s="615"/>
      <c r="Q284" s="616"/>
    </row>
    <row r="285" spans="1:21">
      <c r="A285" s="936"/>
      <c r="B285" s="612"/>
      <c r="C285" s="48" t="s">
        <v>260</v>
      </c>
      <c r="D285" s="623">
        <f>сент18!D280+сент18!D281</f>
        <v>615.09</v>
      </c>
      <c r="E285" s="41">
        <f>7.332-6.6439</f>
        <v>0.68809999999999949</v>
      </c>
      <c r="F285" s="41">
        <f t="shared" ref="F285:F293" si="53">+E285</f>
        <v>0.68809999999999949</v>
      </c>
      <c r="G285" s="50">
        <f>ROUND(D285*(E285),2)+0.01</f>
        <v>423.25</v>
      </c>
      <c r="H285" s="298"/>
      <c r="I285" s="298"/>
      <c r="J285" s="298"/>
      <c r="K285" s="298"/>
      <c r="L285" s="614"/>
      <c r="M285" s="935"/>
      <c r="N285" s="615"/>
      <c r="O285" s="615"/>
      <c r="P285" s="615"/>
      <c r="Q285" s="616"/>
    </row>
    <row r="286" spans="1:21">
      <c r="A286" s="936"/>
      <c r="B286" s="612"/>
      <c r="C286" s="48" t="s">
        <v>263</v>
      </c>
      <c r="D286" s="623">
        <v>38.76</v>
      </c>
      <c r="E286" s="41">
        <v>7.3319999999999999</v>
      </c>
      <c r="F286" s="41">
        <f t="shared" si="53"/>
        <v>7.3319999999999999</v>
      </c>
      <c r="G286" s="39">
        <f t="shared" ref="G286:G296" si="54">ROUND(D286*(E286),2)</f>
        <v>284.19</v>
      </c>
      <c r="H286" s="298"/>
      <c r="I286" s="298"/>
      <c r="J286" s="298"/>
      <c r="K286" s="298"/>
      <c r="L286" s="614"/>
      <c r="M286" s="273"/>
      <c r="N286" s="615"/>
      <c r="O286" s="615"/>
      <c r="P286" s="615"/>
      <c r="Q286" s="616"/>
    </row>
    <row r="287" spans="1:21" ht="15.75" thickBot="1">
      <c r="A287" s="937"/>
      <c r="B287" s="526"/>
      <c r="C287" s="99" t="s">
        <v>29</v>
      </c>
      <c r="D287" s="625">
        <v>874.92</v>
      </c>
      <c r="E287" s="56">
        <v>7.3319999999999999</v>
      </c>
      <c r="F287" s="281">
        <f t="shared" si="53"/>
        <v>7.3319999999999999</v>
      </c>
      <c r="G287" s="414">
        <f t="shared" si="54"/>
        <v>6414.91</v>
      </c>
      <c r="H287" s="41"/>
      <c r="I287" s="41"/>
      <c r="J287" s="281"/>
      <c r="K287" s="281"/>
      <c r="L287" s="784"/>
      <c r="M287" s="938"/>
      <c r="N287" s="626"/>
      <c r="O287" s="626"/>
      <c r="P287" s="626"/>
      <c r="Q287" s="627"/>
    </row>
    <row r="288" spans="1:21">
      <c r="A288" s="376">
        <v>203</v>
      </c>
      <c r="B288" s="602" t="s">
        <v>255</v>
      </c>
      <c r="C288" s="439" t="s">
        <v>260</v>
      </c>
      <c r="D288" s="184">
        <f>сент18!D283+сент18!D284</f>
        <v>126.36</v>
      </c>
      <c r="E288" s="41">
        <f>7.332-6.6439</f>
        <v>0.68809999999999949</v>
      </c>
      <c r="F288" s="23">
        <f t="shared" si="53"/>
        <v>0.68809999999999949</v>
      </c>
      <c r="G288" s="185">
        <f>ROUND(D288*(E288),2)</f>
        <v>86.95</v>
      </c>
      <c r="H288" s="620"/>
      <c r="I288" s="620"/>
      <c r="J288" s="620"/>
      <c r="K288" s="634"/>
      <c r="L288" s="603">
        <f>SUM(G288:G290)</f>
        <v>1304.3599999999999</v>
      </c>
      <c r="M288" s="187">
        <v>1304.3599999999999</v>
      </c>
      <c r="N288" s="615"/>
      <c r="O288" s="615"/>
      <c r="P288" s="615"/>
      <c r="Q288" s="615"/>
    </row>
    <row r="289" spans="1:17">
      <c r="A289" s="934"/>
      <c r="B289" s="506"/>
      <c r="C289" s="48" t="s">
        <v>263</v>
      </c>
      <c r="D289" s="49">
        <v>7.04</v>
      </c>
      <c r="E289" s="41">
        <v>7.3319999999999999</v>
      </c>
      <c r="F289" s="41">
        <f t="shared" si="53"/>
        <v>7.3319999999999999</v>
      </c>
      <c r="G289" s="50">
        <f>ROUND(D289*(E289),2)</f>
        <v>51.62</v>
      </c>
      <c r="H289" s="296"/>
      <c r="I289" s="298"/>
      <c r="J289" s="298"/>
      <c r="K289" s="637"/>
      <c r="L289" s="606"/>
      <c r="M289" s="935"/>
      <c r="N289" s="615"/>
      <c r="O289" s="615"/>
      <c r="P289" s="615"/>
      <c r="Q289" s="615"/>
    </row>
    <row r="290" spans="1:17" ht="15.75" thickBot="1">
      <c r="A290" s="934"/>
      <c r="B290" s="506"/>
      <c r="C290" s="54" t="s">
        <v>29</v>
      </c>
      <c r="D290" s="296">
        <v>159</v>
      </c>
      <c r="E290" s="56">
        <v>7.3319999999999999</v>
      </c>
      <c r="F290" s="41">
        <f t="shared" si="53"/>
        <v>7.3319999999999999</v>
      </c>
      <c r="G290" s="50">
        <f t="shared" ref="G290" si="55">ROUND(D290*(E290),2)</f>
        <v>1165.79</v>
      </c>
      <c r="H290" s="296"/>
      <c r="I290" s="298"/>
      <c r="J290" s="298"/>
      <c r="K290" s="637"/>
      <c r="L290" s="614"/>
      <c r="M290" s="935"/>
      <c r="N290" s="615"/>
      <c r="O290" s="615"/>
      <c r="P290" s="615"/>
      <c r="Q290" s="615"/>
    </row>
    <row r="291" spans="1:17">
      <c r="A291" s="376">
        <v>301</v>
      </c>
      <c r="B291" s="602" t="s">
        <v>106</v>
      </c>
      <c r="C291" s="48" t="s">
        <v>260</v>
      </c>
      <c r="D291" s="184">
        <f>сент18!D286+сент18!D287</f>
        <v>763.38</v>
      </c>
      <c r="E291" s="41">
        <f>7.332-6.6439</f>
        <v>0.68809999999999949</v>
      </c>
      <c r="F291" s="23">
        <f t="shared" si="53"/>
        <v>0.68809999999999949</v>
      </c>
      <c r="G291" s="185">
        <f>ROUND(D291*(E291),2)</f>
        <v>525.28</v>
      </c>
      <c r="H291" s="23"/>
      <c r="I291" s="23"/>
      <c r="J291" s="23"/>
      <c r="K291" s="23"/>
      <c r="L291" s="603">
        <f>SUM(G291:G293)</f>
        <v>8350.5</v>
      </c>
      <c r="M291" s="187">
        <v>8350.5</v>
      </c>
      <c r="N291" s="604"/>
      <c r="O291" s="500"/>
      <c r="P291" s="501"/>
      <c r="Q291" s="605"/>
    </row>
    <row r="292" spans="1:17">
      <c r="A292" s="389"/>
      <c r="B292" s="506"/>
      <c r="C292" s="48" t="s">
        <v>263</v>
      </c>
      <c r="D292" s="49">
        <v>45.27</v>
      </c>
      <c r="E292" s="41">
        <v>7.3319999999999999</v>
      </c>
      <c r="F292" s="41">
        <f t="shared" si="53"/>
        <v>7.3319999999999999</v>
      </c>
      <c r="G292" s="50">
        <f t="shared" si="54"/>
        <v>331.92</v>
      </c>
      <c r="H292" s="41"/>
      <c r="I292" s="41"/>
      <c r="J292" s="41"/>
      <c r="K292" s="41"/>
      <c r="L292" s="606"/>
      <c r="M292" s="935"/>
      <c r="N292" s="607"/>
      <c r="O292" s="608"/>
      <c r="P292" s="609"/>
      <c r="Q292" s="610"/>
    </row>
    <row r="293" spans="1:17" ht="15.75" thickBot="1">
      <c r="A293" s="936"/>
      <c r="B293" s="612"/>
      <c r="C293" s="99" t="s">
        <v>29</v>
      </c>
      <c r="D293" s="613">
        <v>1022</v>
      </c>
      <c r="E293" s="56">
        <v>7.3319999999999999</v>
      </c>
      <c r="F293" s="281">
        <f t="shared" si="53"/>
        <v>7.3319999999999999</v>
      </c>
      <c r="G293" s="58">
        <f t="shared" si="54"/>
        <v>7493.3</v>
      </c>
      <c r="H293" s="57"/>
      <c r="I293" s="57"/>
      <c r="J293" s="57"/>
      <c r="K293" s="57"/>
      <c r="L293" s="614"/>
      <c r="M293" s="935"/>
      <c r="N293" s="615"/>
      <c r="O293" s="615"/>
      <c r="P293" s="615"/>
      <c r="Q293" s="616"/>
    </row>
    <row r="294" spans="1:17">
      <c r="A294" s="447" t="s">
        <v>205</v>
      </c>
      <c r="B294" s="602" t="s">
        <v>183</v>
      </c>
      <c r="C294" s="439" t="s">
        <v>260</v>
      </c>
      <c r="D294" s="184">
        <f>сент18!D289+сент18!D290</f>
        <v>318.51</v>
      </c>
      <c r="E294" s="41">
        <f>7.332-6.6439</f>
        <v>0.68809999999999949</v>
      </c>
      <c r="F294" s="23">
        <f>+E294</f>
        <v>0.68809999999999949</v>
      </c>
      <c r="G294" s="185">
        <f>ROUND(D294*(E294),2)-0.01</f>
        <v>219.16</v>
      </c>
      <c r="H294" s="620"/>
      <c r="I294" s="620"/>
      <c r="J294" s="620"/>
      <c r="K294" s="634"/>
      <c r="L294" s="603">
        <f>SUM(G294:G296)</f>
        <v>816.43</v>
      </c>
      <c r="M294" s="187">
        <v>816.43</v>
      </c>
      <c r="N294" s="604"/>
      <c r="O294" s="635"/>
      <c r="P294" s="636"/>
      <c r="Q294" s="605"/>
    </row>
    <row r="295" spans="1:17">
      <c r="A295" s="450" t="s">
        <v>206</v>
      </c>
      <c r="B295" s="506"/>
      <c r="C295" s="48" t="s">
        <v>263</v>
      </c>
      <c r="D295" s="49">
        <f>1.82+1.42+0.22</f>
        <v>3.4600000000000004</v>
      </c>
      <c r="E295" s="41">
        <v>7.3319999999999999</v>
      </c>
      <c r="F295" s="41">
        <f>+E295</f>
        <v>7.3319999999999999</v>
      </c>
      <c r="G295" s="50">
        <f t="shared" si="54"/>
        <v>25.37</v>
      </c>
      <c r="H295" s="296"/>
      <c r="I295" s="298"/>
      <c r="J295" s="298"/>
      <c r="K295" s="637"/>
      <c r="L295" s="606"/>
      <c r="M295" s="935"/>
      <c r="N295" s="607"/>
      <c r="O295" s="608"/>
      <c r="P295" s="609"/>
      <c r="Q295" s="610"/>
    </row>
    <row r="296" spans="1:17" ht="15.75" thickBot="1">
      <c r="A296" s="451">
        <v>305</v>
      </c>
      <c r="B296" s="506"/>
      <c r="C296" s="54" t="s">
        <v>29</v>
      </c>
      <c r="D296" s="296">
        <f>41+32+5</f>
        <v>78</v>
      </c>
      <c r="E296" s="56">
        <v>7.3319999999999999</v>
      </c>
      <c r="F296" s="41">
        <f t="shared" ref="F296:F297" si="56">+E296</f>
        <v>7.3319999999999999</v>
      </c>
      <c r="G296" s="50">
        <f t="shared" si="54"/>
        <v>571.9</v>
      </c>
      <c r="H296" s="296"/>
      <c r="I296" s="298"/>
      <c r="J296" s="298"/>
      <c r="K296" s="637"/>
      <c r="L296" s="614"/>
      <c r="M296" s="935"/>
      <c r="N296" s="615"/>
      <c r="O296" s="615"/>
      <c r="P296" s="615"/>
      <c r="Q296" s="616"/>
    </row>
    <row r="297" spans="1:17" collapsed="1">
      <c r="A297" s="376">
        <v>307</v>
      </c>
      <c r="B297" s="602" t="s">
        <v>251</v>
      </c>
      <c r="C297" s="439" t="s">
        <v>260</v>
      </c>
      <c r="D297" s="184">
        <f>сент18!D292+сент18!D293</f>
        <v>350.88</v>
      </c>
      <c r="E297" s="23">
        <f>7.332-6.6439</f>
        <v>0.68809999999999949</v>
      </c>
      <c r="F297" s="23">
        <f t="shared" si="56"/>
        <v>0.68809999999999949</v>
      </c>
      <c r="G297" s="185">
        <f>ROUND(D297*(E297),2)</f>
        <v>241.44</v>
      </c>
      <c r="H297" s="669"/>
      <c r="I297" s="620"/>
      <c r="J297" s="620"/>
      <c r="K297" s="634"/>
      <c r="L297" s="603">
        <f>SUM(G297:G299)</f>
        <v>3342.44</v>
      </c>
      <c r="M297" s="187">
        <v>3342.44</v>
      </c>
      <c r="N297" s="604"/>
      <c r="O297" s="635"/>
      <c r="P297" s="636"/>
      <c r="Q297" s="605"/>
    </row>
    <row r="298" spans="1:17">
      <c r="A298" s="934"/>
      <c r="B298" s="506"/>
      <c r="C298" s="48" t="s">
        <v>263</v>
      </c>
      <c r="D298" s="49">
        <v>17.940000000000001</v>
      </c>
      <c r="E298" s="41">
        <v>7.3319999999999999</v>
      </c>
      <c r="F298" s="41">
        <f>+E298</f>
        <v>7.3319999999999999</v>
      </c>
      <c r="G298" s="50">
        <f>ROUND(D298*(E298),2)</f>
        <v>131.54</v>
      </c>
      <c r="H298" s="296"/>
      <c r="I298" s="298"/>
      <c r="J298" s="298"/>
      <c r="K298" s="637"/>
      <c r="L298" s="606"/>
      <c r="M298" s="935"/>
      <c r="N298" s="607"/>
      <c r="O298" s="608"/>
      <c r="P298" s="609"/>
      <c r="Q298" s="610"/>
    </row>
    <row r="299" spans="1:17" ht="15.75" thickBot="1">
      <c r="A299" s="960"/>
      <c r="B299" s="506"/>
      <c r="C299" s="54" t="s">
        <v>29</v>
      </c>
      <c r="D299" s="296">
        <v>405</v>
      </c>
      <c r="E299" s="56">
        <v>7.3319999999999999</v>
      </c>
      <c r="F299" s="41">
        <f t="shared" ref="F299:F303" si="57">+E299</f>
        <v>7.3319999999999999</v>
      </c>
      <c r="G299" s="50">
        <f t="shared" ref="G299" si="58">ROUND(D299*(E299),2)</f>
        <v>2969.46</v>
      </c>
      <c r="H299" s="296"/>
      <c r="I299" s="298"/>
      <c r="J299" s="298"/>
      <c r="K299" s="637"/>
      <c r="L299" s="614"/>
      <c r="M299" s="935"/>
      <c r="N299" s="615"/>
      <c r="O299" s="615"/>
      <c r="P299" s="615"/>
      <c r="Q299" s="616"/>
    </row>
    <row r="300" spans="1:17" collapsed="1">
      <c r="A300" s="376">
        <v>308</v>
      </c>
      <c r="B300" s="602" t="s">
        <v>247</v>
      </c>
      <c r="C300" s="439" t="s">
        <v>260</v>
      </c>
      <c r="D300" s="184">
        <f>сент18!D295+сент18!D296</f>
        <v>296.58</v>
      </c>
      <c r="E300" s="23">
        <f>7.332-6.6439</f>
        <v>0.68809999999999949</v>
      </c>
      <c r="F300" s="23">
        <f t="shared" si="57"/>
        <v>0.68809999999999949</v>
      </c>
      <c r="G300" s="185">
        <f>ROUND(D300*(E300),2)+0.01</f>
        <v>204.09</v>
      </c>
      <c r="H300" s="669"/>
      <c r="I300" s="620"/>
      <c r="J300" s="620"/>
      <c r="K300" s="634"/>
      <c r="L300" s="603">
        <f>SUM(G300:G302)</f>
        <v>3458.24</v>
      </c>
      <c r="M300" s="187">
        <v>3458.24</v>
      </c>
      <c r="N300" s="604"/>
      <c r="O300" s="635"/>
      <c r="P300" s="636"/>
      <c r="Q300" s="605"/>
    </row>
    <row r="301" spans="1:17">
      <c r="A301" s="934"/>
      <c r="B301" s="506"/>
      <c r="C301" s="48" t="s">
        <v>263</v>
      </c>
      <c r="D301" s="49">
        <v>18.829999999999998</v>
      </c>
      <c r="E301" s="41">
        <v>7.3319999999999999</v>
      </c>
      <c r="F301" s="41">
        <f>+E301</f>
        <v>7.3319999999999999</v>
      </c>
      <c r="G301" s="50">
        <f>ROUND(D301*(E301),2)-0.01</f>
        <v>138.05000000000001</v>
      </c>
      <c r="H301" s="296"/>
      <c r="I301" s="298"/>
      <c r="J301" s="298"/>
      <c r="K301" s="637"/>
      <c r="L301" s="606"/>
      <c r="M301" s="935"/>
      <c r="N301" s="607"/>
      <c r="O301" s="608"/>
      <c r="P301" s="609"/>
      <c r="Q301" s="610"/>
    </row>
    <row r="302" spans="1:17" ht="15.75" thickBot="1">
      <c r="A302" s="960"/>
      <c r="B302" s="506"/>
      <c r="C302" s="54" t="s">
        <v>29</v>
      </c>
      <c r="D302" s="296">
        <v>425</v>
      </c>
      <c r="E302" s="56">
        <v>7.3319999999999999</v>
      </c>
      <c r="F302" s="41">
        <f t="shared" ref="F302" si="59">+E302</f>
        <v>7.3319999999999999</v>
      </c>
      <c r="G302" s="50">
        <f t="shared" ref="G302" si="60">ROUND(D302*(E302),2)</f>
        <v>3116.1</v>
      </c>
      <c r="H302" s="296"/>
      <c r="I302" s="298"/>
      <c r="J302" s="298"/>
      <c r="K302" s="637"/>
      <c r="L302" s="614"/>
      <c r="M302" s="935"/>
      <c r="N302" s="615"/>
      <c r="O302" s="615"/>
      <c r="P302" s="615"/>
      <c r="Q302" s="616"/>
    </row>
    <row r="303" spans="1:17" collapsed="1">
      <c r="A303" s="376" t="s">
        <v>254</v>
      </c>
      <c r="B303" s="602" t="s">
        <v>235</v>
      </c>
      <c r="C303" s="439" t="s">
        <v>260</v>
      </c>
      <c r="D303" s="184">
        <f>сент18!D298+сент18!D299</f>
        <v>101.3</v>
      </c>
      <c r="E303" s="41">
        <f>7.332-6.6439</f>
        <v>0.68809999999999949</v>
      </c>
      <c r="F303" s="23">
        <f t="shared" si="57"/>
        <v>0.68809999999999949</v>
      </c>
      <c r="G303" s="185">
        <f>ROUND(D303*(E303),2)</f>
        <v>69.7</v>
      </c>
      <c r="H303" s="620"/>
      <c r="I303" s="620"/>
      <c r="J303" s="620"/>
      <c r="K303" s="634"/>
      <c r="L303" s="603">
        <f>SUM(G303:G305)</f>
        <v>1432.6499999999999</v>
      </c>
      <c r="M303" s="187">
        <v>1432.65</v>
      </c>
      <c r="N303" s="615"/>
      <c r="O303" s="615"/>
      <c r="P303" s="615"/>
      <c r="Q303" s="615"/>
    </row>
    <row r="304" spans="1:17">
      <c r="A304" s="934">
        <v>314</v>
      </c>
      <c r="B304" s="506"/>
      <c r="C304" s="48" t="s">
        <v>263</v>
      </c>
      <c r="D304" s="49">
        <f>5.76+2.13</f>
        <v>7.89</v>
      </c>
      <c r="E304" s="41">
        <v>7.3319999999999999</v>
      </c>
      <c r="F304" s="41">
        <f>+E304</f>
        <v>7.3319999999999999</v>
      </c>
      <c r="G304" s="50">
        <f>ROUND(D304*(E304),2)</f>
        <v>57.85</v>
      </c>
      <c r="H304" s="296"/>
      <c r="I304" s="298"/>
      <c r="J304" s="298"/>
      <c r="K304" s="637"/>
      <c r="L304" s="606"/>
      <c r="M304" s="935"/>
      <c r="N304" s="615"/>
      <c r="O304" s="615"/>
      <c r="P304" s="615"/>
      <c r="Q304" s="615"/>
    </row>
    <row r="305" spans="1:17" ht="15.75" thickBot="1">
      <c r="A305" s="934"/>
      <c r="B305" s="506"/>
      <c r="C305" s="54" t="s">
        <v>29</v>
      </c>
      <c r="D305" s="296">
        <f>130+48</f>
        <v>178</v>
      </c>
      <c r="E305" s="56">
        <v>7.3319999999999999</v>
      </c>
      <c r="F305" s="41">
        <f t="shared" ref="F305:F308" si="61">+E305</f>
        <v>7.3319999999999999</v>
      </c>
      <c r="G305" s="50">
        <f t="shared" ref="G305" si="62">ROUND(D305*(E305),2)</f>
        <v>1305.0999999999999</v>
      </c>
      <c r="H305" s="296"/>
      <c r="I305" s="298"/>
      <c r="J305" s="298"/>
      <c r="K305" s="637"/>
      <c r="L305" s="614"/>
      <c r="M305" s="935"/>
      <c r="N305" s="615"/>
      <c r="O305" s="615"/>
      <c r="P305" s="615"/>
      <c r="Q305" s="615"/>
    </row>
    <row r="306" spans="1:17" ht="15.75" hidden="1" thickBot="1">
      <c r="A306" s="376">
        <v>311</v>
      </c>
      <c r="B306" s="602" t="s">
        <v>204</v>
      </c>
      <c r="C306" s="439" t="s">
        <v>260</v>
      </c>
      <c r="D306" s="184"/>
      <c r="E306" s="41">
        <f>6.7023-6.509</f>
        <v>0.19329999999999981</v>
      </c>
      <c r="F306" s="23">
        <f t="shared" si="61"/>
        <v>0.19329999999999981</v>
      </c>
      <c r="G306" s="185">
        <f>ROUND(D306*(E306),2)-0.01</f>
        <v>-0.01</v>
      </c>
      <c r="H306" s="620"/>
      <c r="I306" s="620"/>
      <c r="J306" s="620"/>
      <c r="K306" s="634"/>
      <c r="L306" s="603">
        <f>SUM(G306:G309)</f>
        <v>-0.01</v>
      </c>
      <c r="M306" s="187"/>
      <c r="N306" s="604"/>
      <c r="O306" s="635" t="s">
        <v>274</v>
      </c>
      <c r="P306" s="636"/>
      <c r="Q306" s="605"/>
    </row>
    <row r="307" spans="1:17" ht="15.75" hidden="1" thickBot="1">
      <c r="A307" s="389"/>
      <c r="B307" s="939" t="s">
        <v>273</v>
      </c>
      <c r="C307" s="48" t="s">
        <v>263</v>
      </c>
      <c r="D307" s="49"/>
      <c r="E307" s="41">
        <v>6.7023000000000001</v>
      </c>
      <c r="F307" s="41">
        <f t="shared" si="61"/>
        <v>6.7023000000000001</v>
      </c>
      <c r="G307" s="50">
        <f>ROUND(D307*(E307),2)</f>
        <v>0</v>
      </c>
      <c r="H307" s="296"/>
      <c r="I307" s="298"/>
      <c r="J307" s="298"/>
      <c r="K307" s="637"/>
      <c r="L307" s="606"/>
      <c r="M307" s="935"/>
      <c r="N307" s="607"/>
      <c r="O307" s="608"/>
      <c r="P307" s="609"/>
      <c r="Q307" s="610"/>
    </row>
    <row r="308" spans="1:17" ht="15.75" hidden="1" thickBot="1">
      <c r="A308" s="936"/>
      <c r="B308" s="506"/>
      <c r="C308" s="99" t="s">
        <v>29</v>
      </c>
      <c r="D308" s="296"/>
      <c r="E308" s="101">
        <v>6.7023000000000001</v>
      </c>
      <c r="F308" s="41">
        <f t="shared" si="61"/>
        <v>6.7023000000000001</v>
      </c>
      <c r="G308" s="50">
        <f>ROUND(D308*(E308),2)</f>
        <v>0</v>
      </c>
      <c r="H308" s="296"/>
      <c r="I308" s="298"/>
      <c r="J308" s="298"/>
      <c r="K308" s="940"/>
      <c r="L308" s="614"/>
      <c r="M308" s="935"/>
      <c r="N308" s="615"/>
      <c r="O308" s="615"/>
      <c r="P308" s="615"/>
      <c r="Q308" s="616"/>
    </row>
    <row r="309" spans="1:17" ht="15.75" hidden="1" thickBot="1">
      <c r="A309" s="937"/>
      <c r="B309" s="278"/>
      <c r="C309" s="784"/>
      <c r="D309" s="941"/>
      <c r="E309" s="281"/>
      <c r="F309" s="57"/>
      <c r="G309" s="58">
        <f>ROUND(D309*(E309),2)</f>
        <v>0</v>
      </c>
      <c r="H309" s="613"/>
      <c r="I309" s="57"/>
      <c r="J309" s="57"/>
      <c r="K309" s="666"/>
      <c r="L309" s="784"/>
      <c r="M309" s="938"/>
      <c r="N309" s="626"/>
      <c r="O309" s="626"/>
      <c r="P309" s="626"/>
      <c r="Q309" s="626"/>
    </row>
    <row r="310" spans="1:17" collapsed="1">
      <c r="A310" s="376">
        <v>311</v>
      </c>
      <c r="B310" s="602" t="s">
        <v>278</v>
      </c>
      <c r="C310" s="439" t="s">
        <v>260</v>
      </c>
      <c r="D310" s="184">
        <f>сент18!D305+сент18!D306</f>
        <v>34.46</v>
      </c>
      <c r="E310" s="41">
        <f>7.332-6.6439</f>
        <v>0.68809999999999949</v>
      </c>
      <c r="F310" s="23">
        <f t="shared" ref="F310" si="63">+E310</f>
        <v>0.68809999999999949</v>
      </c>
      <c r="G310" s="185">
        <f>ROUND(D310*(E310),2)</f>
        <v>23.71</v>
      </c>
      <c r="H310" s="620"/>
      <c r="I310" s="620"/>
      <c r="J310" s="620"/>
      <c r="K310" s="634"/>
      <c r="L310" s="603">
        <f>SUM(G310:G312)</f>
        <v>1846.01</v>
      </c>
      <c r="M310" s="187">
        <v>1846.01</v>
      </c>
      <c r="N310" s="615"/>
      <c r="O310" s="615"/>
      <c r="P310" s="615"/>
      <c r="Q310" s="615"/>
    </row>
    <row r="311" spans="1:17">
      <c r="A311" s="934"/>
      <c r="B311" s="506"/>
      <c r="C311" s="48" t="s">
        <v>263</v>
      </c>
      <c r="D311" s="49">
        <v>10.54</v>
      </c>
      <c r="E311" s="41">
        <v>7.3319999999999999</v>
      </c>
      <c r="F311" s="41">
        <f>+E311</f>
        <v>7.3319999999999999</v>
      </c>
      <c r="G311" s="50">
        <f>ROUND(D311*(E311),2)</f>
        <v>77.28</v>
      </c>
      <c r="H311" s="296"/>
      <c r="I311" s="298"/>
      <c r="J311" s="298"/>
      <c r="K311" s="637"/>
      <c r="L311" s="606"/>
      <c r="M311" s="935"/>
      <c r="N311" s="615"/>
      <c r="O311" s="615"/>
      <c r="P311" s="615"/>
      <c r="Q311" s="615"/>
    </row>
    <row r="312" spans="1:17" ht="15.75" thickBot="1">
      <c r="A312" s="934"/>
      <c r="B312" s="506"/>
      <c r="C312" s="54" t="s">
        <v>29</v>
      </c>
      <c r="D312" s="296">
        <v>238</v>
      </c>
      <c r="E312" s="56">
        <v>7.3319999999999999</v>
      </c>
      <c r="F312" s="41">
        <f t="shared" ref="F312" si="64">+E312</f>
        <v>7.3319999999999999</v>
      </c>
      <c r="G312" s="50">
        <f t="shared" ref="G312" si="65">ROUND(D312*(E312),2)</f>
        <v>1745.02</v>
      </c>
      <c r="H312" s="296"/>
      <c r="I312" s="298"/>
      <c r="J312" s="298"/>
      <c r="K312" s="637"/>
      <c r="L312" s="614"/>
      <c r="M312" s="935"/>
      <c r="N312" s="615"/>
      <c r="O312" s="615"/>
      <c r="P312" s="615"/>
      <c r="Q312" s="615"/>
    </row>
    <row r="313" spans="1:17">
      <c r="A313" s="376">
        <v>312</v>
      </c>
      <c r="B313" s="602" t="s">
        <v>112</v>
      </c>
      <c r="C313" s="439" t="s">
        <v>260</v>
      </c>
      <c r="D313" s="184">
        <f>сент18!D308+сент18!D309</f>
        <v>609.87</v>
      </c>
      <c r="E313" s="23">
        <f>7.332-6.6439</f>
        <v>0.68809999999999949</v>
      </c>
      <c r="F313" s="23">
        <f>+E313</f>
        <v>0.68809999999999949</v>
      </c>
      <c r="G313" s="185">
        <f>ROUND(D313*(E313),2)</f>
        <v>419.65</v>
      </c>
      <c r="H313" s="620"/>
      <c r="I313" s="620"/>
      <c r="J313" s="620"/>
      <c r="K313" s="634"/>
      <c r="L313" s="603">
        <f>SUM(G313:G316)</f>
        <v>6460.8499999999995</v>
      </c>
      <c r="M313" s="187">
        <v>6460.85</v>
      </c>
      <c r="N313" s="604"/>
      <c r="O313" s="635"/>
      <c r="P313" s="636"/>
      <c r="Q313" s="605"/>
    </row>
    <row r="314" spans="1:17">
      <c r="A314" s="934"/>
      <c r="B314" s="506"/>
      <c r="C314" s="48" t="s">
        <v>263</v>
      </c>
      <c r="D314" s="49">
        <v>34.950000000000003</v>
      </c>
      <c r="E314" s="41">
        <v>7.3319999999999999</v>
      </c>
      <c r="F314" s="41">
        <f>+E314</f>
        <v>7.3319999999999999</v>
      </c>
      <c r="G314" s="50">
        <f t="shared" ref="G314:G315" si="66">ROUND(D314*(E314),2)</f>
        <v>256.25</v>
      </c>
      <c r="H314" s="296"/>
      <c r="I314" s="298"/>
      <c r="J314" s="298"/>
      <c r="K314" s="637"/>
      <c r="L314" s="606"/>
      <c r="M314" s="935"/>
      <c r="N314" s="607"/>
      <c r="O314" s="608"/>
      <c r="P314" s="609"/>
      <c r="Q314" s="610"/>
    </row>
    <row r="315" spans="1:17">
      <c r="A315" s="934"/>
      <c r="B315" s="506"/>
      <c r="C315" s="99" t="s">
        <v>29</v>
      </c>
      <c r="D315" s="296">
        <v>789</v>
      </c>
      <c r="E315" s="101">
        <v>7.3319999999999999</v>
      </c>
      <c r="F315" s="41">
        <f>+E315</f>
        <v>7.3319999999999999</v>
      </c>
      <c r="G315" s="50">
        <f t="shared" si="66"/>
        <v>5784.95</v>
      </c>
      <c r="H315" s="296"/>
      <c r="I315" s="298"/>
      <c r="J315" s="298"/>
      <c r="K315" s="637"/>
      <c r="L315" s="614"/>
      <c r="M315" s="935"/>
      <c r="N315" s="615"/>
      <c r="O315" s="615"/>
      <c r="P315" s="615"/>
      <c r="Q315" s="616"/>
    </row>
    <row r="316" spans="1:17" ht="15.75" thickBot="1">
      <c r="A316" s="942"/>
      <c r="B316" s="278"/>
      <c r="C316" s="54"/>
      <c r="D316" s="941"/>
      <c r="E316" s="281"/>
      <c r="F316" s="57"/>
      <c r="G316" s="58"/>
      <c r="H316" s="613"/>
      <c r="I316" s="57"/>
      <c r="J316" s="57"/>
      <c r="K316" s="943"/>
      <c r="L316" s="784"/>
      <c r="M316" s="938"/>
      <c r="N316" s="615"/>
      <c r="O316" s="615"/>
      <c r="P316" s="615"/>
      <c r="Q316" s="615"/>
    </row>
    <row r="317" spans="1:17" ht="15.75" hidden="1" collapsed="1" thickBot="1">
      <c r="A317" s="376">
        <v>314</v>
      </c>
      <c r="B317" s="602" t="s">
        <v>235</v>
      </c>
      <c r="C317" s="439" t="s">
        <v>149</v>
      </c>
      <c r="D317" s="184"/>
      <c r="E317" s="41">
        <f>6.509-6.4709</f>
        <v>3.8100000000000023E-2</v>
      </c>
      <c r="F317" s="23">
        <f t="shared" ref="F317" si="67">+E317</f>
        <v>3.8100000000000023E-2</v>
      </c>
      <c r="G317" s="185">
        <f>ROUND(D317*(E317),2)</f>
        <v>0</v>
      </c>
      <c r="H317" s="620"/>
      <c r="I317" s="620"/>
      <c r="J317" s="620"/>
      <c r="K317" s="634"/>
      <c r="L317" s="603">
        <f>SUM(G317:G319)</f>
        <v>0</v>
      </c>
      <c r="M317" s="187"/>
      <c r="N317" s="615"/>
      <c r="O317" s="967" t="s">
        <v>249</v>
      </c>
      <c r="P317" s="615"/>
      <c r="Q317" s="615"/>
    </row>
    <row r="318" spans="1:17" ht="15.75" hidden="1" thickBot="1">
      <c r="A318" s="934"/>
      <c r="B318" s="516" t="s">
        <v>246</v>
      </c>
      <c r="C318" s="48" t="s">
        <v>150</v>
      </c>
      <c r="D318" s="49"/>
      <c r="E318" s="41">
        <v>6.5090000000000003</v>
      </c>
      <c r="F318" s="41">
        <f>+E318</f>
        <v>6.5090000000000003</v>
      </c>
      <c r="G318" s="50">
        <f>ROUND(D318*(E318),2)</f>
        <v>0</v>
      </c>
      <c r="H318" s="296"/>
      <c r="I318" s="298"/>
      <c r="J318" s="298"/>
      <c r="K318" s="637"/>
      <c r="L318" s="606"/>
      <c r="M318" s="935"/>
      <c r="N318" s="615"/>
      <c r="O318" s="615"/>
      <c r="P318" s="615"/>
      <c r="Q318" s="615"/>
    </row>
    <row r="319" spans="1:17" ht="15.75" hidden="1" thickBot="1">
      <c r="A319" s="942"/>
      <c r="B319" s="982"/>
      <c r="C319" s="54" t="s">
        <v>29</v>
      </c>
      <c r="D319" s="613"/>
      <c r="E319" s="56">
        <v>6.5090000000000003</v>
      </c>
      <c r="F319" s="281">
        <f t="shared" ref="F319:F320" si="68">+E319</f>
        <v>6.5090000000000003</v>
      </c>
      <c r="G319" s="58">
        <f t="shared" ref="G319" si="69">ROUND(D319*(E319),2)</f>
        <v>0</v>
      </c>
      <c r="H319" s="613"/>
      <c r="I319" s="57"/>
      <c r="J319" s="57"/>
      <c r="K319" s="943"/>
      <c r="L319" s="783"/>
      <c r="M319" s="938"/>
      <c r="N319" s="615"/>
      <c r="O319" s="615"/>
      <c r="P319" s="615"/>
      <c r="Q319" s="615"/>
    </row>
    <row r="320" spans="1:17" collapsed="1">
      <c r="A320" s="376">
        <v>316</v>
      </c>
      <c r="B320" s="602" t="s">
        <v>288</v>
      </c>
      <c r="C320" s="439" t="s">
        <v>260</v>
      </c>
      <c r="D320" s="184"/>
      <c r="E320" s="41">
        <f>7.332-6.6439</f>
        <v>0.68809999999999949</v>
      </c>
      <c r="F320" s="23">
        <f t="shared" si="68"/>
        <v>0.68809999999999949</v>
      </c>
      <c r="G320" s="185">
        <f>ROUND(D320*(E320),2)</f>
        <v>0</v>
      </c>
      <c r="H320" s="620"/>
      <c r="I320" s="620"/>
      <c r="J320" s="620"/>
      <c r="K320" s="634"/>
      <c r="L320" s="603">
        <f>SUM(G320:G322)</f>
        <v>513.02</v>
      </c>
      <c r="M320" s="187">
        <v>513.02</v>
      </c>
      <c r="N320" s="615"/>
      <c r="O320" s="615"/>
      <c r="P320" s="615"/>
      <c r="Q320" s="615"/>
    </row>
    <row r="321" spans="1:21">
      <c r="A321" s="934"/>
      <c r="B321" s="506"/>
      <c r="C321" s="48" t="s">
        <v>263</v>
      </c>
      <c r="D321" s="49">
        <v>2.97</v>
      </c>
      <c r="E321" s="41">
        <v>7.3319999999999999</v>
      </c>
      <c r="F321" s="41">
        <f>+E321</f>
        <v>7.3319999999999999</v>
      </c>
      <c r="G321" s="50">
        <f>ROUND(D321*(E321),2)</f>
        <v>21.78</v>
      </c>
      <c r="H321" s="296"/>
      <c r="I321" s="298"/>
      <c r="J321" s="298"/>
      <c r="K321" s="637"/>
      <c r="L321" s="606"/>
      <c r="M321" s="935"/>
      <c r="N321" s="615"/>
      <c r="O321" s="615"/>
      <c r="P321" s="615"/>
      <c r="Q321" s="615"/>
    </row>
    <row r="322" spans="1:21" ht="15.75" thickBot="1">
      <c r="A322" s="934"/>
      <c r="B322" s="506"/>
      <c r="C322" s="54" t="s">
        <v>29</v>
      </c>
      <c r="D322" s="296">
        <v>67</v>
      </c>
      <c r="E322" s="56">
        <v>7.3319999999999999</v>
      </c>
      <c r="F322" s="41">
        <f t="shared" ref="F322" si="70">+E322</f>
        <v>7.3319999999999999</v>
      </c>
      <c r="G322" s="50">
        <f t="shared" ref="G322" si="71">ROUND(D322*(E322),2)</f>
        <v>491.24</v>
      </c>
      <c r="H322" s="296"/>
      <c r="I322" s="298"/>
      <c r="J322" s="298"/>
      <c r="K322" s="637"/>
      <c r="L322" s="614"/>
      <c r="M322" s="935"/>
      <c r="N322" s="615"/>
      <c r="O322" s="615"/>
      <c r="P322" s="615"/>
      <c r="Q322" s="615"/>
    </row>
    <row r="323" spans="1:21">
      <c r="A323" s="376">
        <v>403</v>
      </c>
      <c r="B323" s="602" t="s">
        <v>279</v>
      </c>
      <c r="C323" s="618" t="s">
        <v>73</v>
      </c>
      <c r="D323" s="619">
        <v>2</v>
      </c>
      <c r="E323" s="21">
        <v>40.556600000000003</v>
      </c>
      <c r="F323" s="21">
        <v>47.5304</v>
      </c>
      <c r="G323" s="185">
        <f>ROUND(D323*(E323+F323),2)</f>
        <v>176.17</v>
      </c>
      <c r="H323" s="620"/>
      <c r="I323" s="620"/>
      <c r="J323" s="620"/>
      <c r="K323" s="620"/>
      <c r="L323" s="603">
        <f>SUM(G323:G329,J323:J329)</f>
        <v>2420.33</v>
      </c>
      <c r="M323" s="187">
        <v>2420.33</v>
      </c>
      <c r="N323" s="621"/>
      <c r="O323" s="621"/>
      <c r="P323" s="621"/>
      <c r="Q323" s="622"/>
    </row>
    <row r="324" spans="1:21">
      <c r="A324" s="936"/>
      <c r="B324" s="612"/>
      <c r="C324" s="542" t="s">
        <v>96</v>
      </c>
      <c r="D324" s="234"/>
      <c r="E324" s="38"/>
      <c r="F324" s="38"/>
      <c r="G324" s="235">
        <f>ROUND(D324*(E324+F324),2)</f>
        <v>0</v>
      </c>
      <c r="H324" s="298"/>
      <c r="I324" s="298"/>
      <c r="J324" s="298"/>
      <c r="K324" s="298"/>
      <c r="L324" s="606"/>
      <c r="M324" s="935"/>
      <c r="N324" s="615"/>
      <c r="O324" s="615"/>
      <c r="P324" s="615"/>
      <c r="Q324" s="616"/>
    </row>
    <row r="325" spans="1:21">
      <c r="A325" s="389"/>
      <c r="B325" s="516"/>
      <c r="C325" s="99" t="s">
        <v>90</v>
      </c>
      <c r="D325" s="508">
        <v>4</v>
      </c>
      <c r="E325" s="101">
        <v>237.98</v>
      </c>
      <c r="F325" s="38">
        <f>F323</f>
        <v>47.5304</v>
      </c>
      <c r="G325" s="50">
        <f>ROUND(D325*(E325+F325),2)</f>
        <v>1142.04</v>
      </c>
      <c r="H325" s="270"/>
      <c r="I325" s="41"/>
      <c r="J325" s="409"/>
      <c r="K325" s="510"/>
      <c r="L325" s="597"/>
      <c r="M325" s="99"/>
      <c r="N325" s="518"/>
      <c r="O325" s="519"/>
      <c r="P325" s="515"/>
      <c r="Q325" s="271"/>
      <c r="R325" s="502"/>
      <c r="S325" s="503"/>
      <c r="T325" s="504"/>
    </row>
    <row r="326" spans="1:21">
      <c r="A326" s="389"/>
      <c r="B326" s="506"/>
      <c r="C326" s="390" t="s">
        <v>97</v>
      </c>
      <c r="D326" s="508"/>
      <c r="E326" s="41"/>
      <c r="F326" s="38"/>
      <c r="G326" s="50">
        <f>D326*(E326+F326)</f>
        <v>0</v>
      </c>
      <c r="H326" s="432"/>
      <c r="I326" s="362"/>
      <c r="J326" s="41"/>
      <c r="K326" s="510"/>
      <c r="L326" s="597"/>
      <c r="M326" s="99"/>
      <c r="N326" s="521"/>
      <c r="O326" s="522"/>
      <c r="P326" s="523"/>
      <c r="Q326" s="362"/>
      <c r="R326" s="502"/>
      <c r="S326" s="503"/>
      <c r="T326" s="504"/>
    </row>
    <row r="327" spans="1:21">
      <c r="A327" s="936"/>
      <c r="B327" s="612"/>
      <c r="C327" s="48" t="s">
        <v>260</v>
      </c>
      <c r="D327" s="623">
        <f>сент18!D317+сент18!D318</f>
        <v>43.86</v>
      </c>
      <c r="E327" s="41">
        <f>7.332-6.6439</f>
        <v>0.68809999999999949</v>
      </c>
      <c r="F327" s="41">
        <f t="shared" ref="F327:F329" si="72">+E327</f>
        <v>0.68809999999999949</v>
      </c>
      <c r="G327" s="50">
        <f>ROUND(D327*(E327),2)</f>
        <v>30.18</v>
      </c>
      <c r="H327" s="298"/>
      <c r="I327" s="298"/>
      <c r="J327" s="298"/>
      <c r="K327" s="298"/>
      <c r="L327" s="614"/>
      <c r="M327" s="935"/>
      <c r="N327" s="615"/>
      <c r="O327" s="615"/>
      <c r="P327" s="615"/>
      <c r="Q327" s="616"/>
    </row>
    <row r="328" spans="1:21">
      <c r="A328" s="936"/>
      <c r="B328" s="612"/>
      <c r="C328" s="48" t="s">
        <v>263</v>
      </c>
      <c r="D328" s="623">
        <v>6.2</v>
      </c>
      <c r="E328" s="41">
        <v>7.3319999999999999</v>
      </c>
      <c r="F328" s="41">
        <f t="shared" si="72"/>
        <v>7.3319999999999999</v>
      </c>
      <c r="G328" s="39">
        <f t="shared" ref="G328:G329" si="73">ROUND(D328*(E328),2)</f>
        <v>45.46</v>
      </c>
      <c r="H328" s="298"/>
      <c r="I328" s="298"/>
      <c r="J328" s="298"/>
      <c r="K328" s="298"/>
      <c r="L328" s="614"/>
      <c r="M328" s="273"/>
      <c r="N328" s="615"/>
      <c r="O328" s="615"/>
      <c r="P328" s="615"/>
      <c r="Q328" s="616"/>
    </row>
    <row r="329" spans="1:21" ht="15.75" thickBot="1">
      <c r="A329" s="937"/>
      <c r="B329" s="526"/>
      <c r="C329" s="99" t="s">
        <v>29</v>
      </c>
      <c r="D329" s="625">
        <v>140</v>
      </c>
      <c r="E329" s="56">
        <v>7.3319999999999999</v>
      </c>
      <c r="F329" s="281">
        <f t="shared" si="72"/>
        <v>7.3319999999999999</v>
      </c>
      <c r="G329" s="414">
        <f t="shared" si="73"/>
        <v>1026.48</v>
      </c>
      <c r="H329" s="41"/>
      <c r="I329" s="41"/>
      <c r="J329" s="281"/>
      <c r="K329" s="281"/>
      <c r="L329" s="784"/>
      <c r="M329" s="938"/>
      <c r="N329" s="626"/>
      <c r="O329" s="626"/>
      <c r="P329" s="626"/>
      <c r="Q329" s="627"/>
    </row>
    <row r="330" spans="1:21" collapsed="1">
      <c r="A330" s="353" t="s">
        <v>203</v>
      </c>
      <c r="B330" s="494" t="s">
        <v>104</v>
      </c>
      <c r="C330" s="71" t="s">
        <v>243</v>
      </c>
      <c r="D330" s="495">
        <v>22</v>
      </c>
      <c r="E330" s="21">
        <v>40.556600000000003</v>
      </c>
      <c r="F330" s="21">
        <v>47.5304</v>
      </c>
      <c r="G330" s="185">
        <f>ROUND(D330*(E330+F330),2)</f>
        <v>1937.91</v>
      </c>
      <c r="H330" s="496"/>
      <c r="I330" s="73"/>
      <c r="J330" s="73"/>
      <c r="K330" s="497"/>
      <c r="L330" s="439">
        <f>SUM(G330:G337)+SUM(J330:J336)</f>
        <v>22608.670000000002</v>
      </c>
      <c r="M330" s="26">
        <v>22608.67</v>
      </c>
      <c r="N330" s="499"/>
      <c r="O330" s="500"/>
      <c r="P330" s="501" t="s">
        <v>87</v>
      </c>
      <c r="Q330" s="185" t="e">
        <f t="shared" ref="Q330" si="74">C330+G330+J330-M330-N330-O330</f>
        <v>#VALUE!</v>
      </c>
      <c r="R330" s="502" t="s">
        <v>88</v>
      </c>
      <c r="S330" s="503"/>
      <c r="T330" s="504"/>
    </row>
    <row r="331" spans="1:21" ht="15.75" thickBot="1">
      <c r="A331" s="934">
        <v>417</v>
      </c>
      <c r="B331" s="506"/>
      <c r="C331" s="599" t="s">
        <v>96</v>
      </c>
      <c r="D331" s="234"/>
      <c r="E331" s="38"/>
      <c r="F331" s="38"/>
      <c r="G331" s="235">
        <f>ROUND(D331*(E331+F331),2)</f>
        <v>0</v>
      </c>
      <c r="H331" s="448"/>
      <c r="I331" s="509"/>
      <c r="J331" s="409"/>
      <c r="K331" s="510"/>
      <c r="L331" s="48"/>
      <c r="M331" s="512"/>
      <c r="N331" s="513"/>
      <c r="O331" s="514"/>
      <c r="P331" s="515"/>
      <c r="Q331" s="262"/>
      <c r="R331" s="502"/>
      <c r="S331" s="503"/>
      <c r="T331" s="504"/>
    </row>
    <row r="332" spans="1:21">
      <c r="A332" s="934"/>
      <c r="B332" s="516" t="s">
        <v>89</v>
      </c>
      <c r="C332" s="512" t="s">
        <v>90</v>
      </c>
      <c r="D332" s="508">
        <v>0</v>
      </c>
      <c r="E332" s="101">
        <v>237.98</v>
      </c>
      <c r="F332" s="21">
        <f>F30</f>
        <v>47.5304</v>
      </c>
      <c r="G332" s="50">
        <f>ROUND(D332*(E332+F332),2)</f>
        <v>0</v>
      </c>
      <c r="H332" s="270"/>
      <c r="I332" s="41"/>
      <c r="J332" s="409"/>
      <c r="K332" s="510"/>
      <c r="L332" s="600"/>
      <c r="M332" s="99"/>
      <c r="N332" s="518"/>
      <c r="O332" s="519"/>
      <c r="P332" s="515" t="s">
        <v>87</v>
      </c>
      <c r="Q332" s="271">
        <f>+G332+J332-M332-N332-O332</f>
        <v>0</v>
      </c>
      <c r="R332" s="502" t="s">
        <v>88</v>
      </c>
      <c r="S332" s="503"/>
      <c r="T332" s="504"/>
    </row>
    <row r="333" spans="1:21">
      <c r="A333" s="934"/>
      <c r="B333" s="541"/>
      <c r="C333" s="84" t="s">
        <v>97</v>
      </c>
      <c r="D333" s="508">
        <f>сент18!D321</f>
        <v>0</v>
      </c>
      <c r="E333" s="41"/>
      <c r="F333" s="38"/>
      <c r="G333" s="50">
        <f>ROUND(D333*(E333+F333),2)</f>
        <v>0</v>
      </c>
      <c r="H333" s="432"/>
      <c r="I333" s="362"/>
      <c r="J333" s="41"/>
      <c r="K333" s="510"/>
      <c r="L333" s="600"/>
      <c r="M333" s="520"/>
      <c r="N333" s="521"/>
      <c r="O333" s="522"/>
      <c r="P333" s="523"/>
      <c r="Q333" s="362"/>
      <c r="R333" s="502"/>
      <c r="S333" s="503"/>
      <c r="T333" s="504"/>
    </row>
    <row r="334" spans="1:21">
      <c r="A334" s="934"/>
      <c r="B334" s="541"/>
      <c r="C334" s="84" t="s">
        <v>97</v>
      </c>
      <c r="D334" s="508"/>
      <c r="E334" s="41"/>
      <c r="F334" s="41"/>
      <c r="G334" s="50">
        <f>D334*(E334+F334)</f>
        <v>0</v>
      </c>
      <c r="H334" s="432"/>
      <c r="I334" s="362"/>
      <c r="J334" s="41"/>
      <c r="K334" s="510"/>
      <c r="L334" s="600"/>
      <c r="M334" s="520"/>
      <c r="N334" s="521"/>
      <c r="O334" s="522"/>
      <c r="P334" s="523"/>
      <c r="Q334" s="362"/>
      <c r="R334" s="502"/>
      <c r="S334" s="503"/>
      <c r="T334" s="504"/>
    </row>
    <row r="335" spans="1:21">
      <c r="A335" s="934"/>
      <c r="B335" s="506"/>
      <c r="C335" s="48" t="s">
        <v>260</v>
      </c>
      <c r="D335" s="37">
        <f>сент18!D325+сент18!D326</f>
        <v>2010.28</v>
      </c>
      <c r="E335" s="41">
        <f>7.332-6.6439</f>
        <v>0.68809999999999949</v>
      </c>
      <c r="F335" s="297">
        <f t="shared" ref="F335:F337" si="75">+E335</f>
        <v>0.68809999999999949</v>
      </c>
      <c r="G335" s="39">
        <f>ROUND(D335*(E335),2)</f>
        <v>1383.27</v>
      </c>
      <c r="H335" s="432"/>
      <c r="I335" s="362"/>
      <c r="J335" s="41"/>
      <c r="K335" s="510"/>
      <c r="L335" s="600"/>
      <c r="M335" s="520"/>
      <c r="N335" s="521"/>
      <c r="O335" s="522"/>
      <c r="P335" s="523"/>
      <c r="Q335" s="362"/>
      <c r="R335" s="502"/>
      <c r="S335" s="503"/>
      <c r="T335" s="504"/>
    </row>
    <row r="336" spans="1:21">
      <c r="A336" s="934"/>
      <c r="B336" s="506"/>
      <c r="C336" s="48" t="s">
        <v>263</v>
      </c>
      <c r="D336" s="37">
        <v>111.59</v>
      </c>
      <c r="E336" s="41">
        <v>7.3319999999999999</v>
      </c>
      <c r="F336" s="298">
        <f t="shared" si="75"/>
        <v>7.3319999999999999</v>
      </c>
      <c r="G336" s="39">
        <f>ROUND(D336*(E336),2)</f>
        <v>818.18</v>
      </c>
      <c r="H336" s="432"/>
      <c r="I336" s="362"/>
      <c r="J336" s="41"/>
      <c r="K336" s="510"/>
      <c r="L336" s="600"/>
      <c r="M336" s="520"/>
      <c r="N336" s="521"/>
      <c r="O336" s="522"/>
      <c r="P336" s="523"/>
      <c r="Q336" s="362"/>
      <c r="R336" s="502"/>
      <c r="S336" s="503"/>
      <c r="T336" s="504"/>
      <c r="U336" s="33"/>
    </row>
    <row r="337" spans="1:21" ht="15.75" thickBot="1">
      <c r="A337" s="934"/>
      <c r="B337" s="526"/>
      <c r="C337" s="99" t="s">
        <v>29</v>
      </c>
      <c r="D337" s="55">
        <v>2519</v>
      </c>
      <c r="E337" s="56">
        <v>7.3319999999999999</v>
      </c>
      <c r="F337" s="57">
        <f t="shared" si="75"/>
        <v>7.3319999999999999</v>
      </c>
      <c r="G337" s="414">
        <f>ROUND(D337*(E337),2)</f>
        <v>18469.310000000001</v>
      </c>
      <c r="H337" s="248"/>
      <c r="I337" s="203"/>
      <c r="J337" s="60"/>
      <c r="K337" s="61"/>
      <c r="L337" s="204"/>
      <c r="M337" s="54"/>
      <c r="N337" s="527"/>
      <c r="O337" s="528"/>
      <c r="P337" s="529" t="s">
        <v>87</v>
      </c>
      <c r="Q337" s="362">
        <f>+G337+J337-M337-N337-O337</f>
        <v>18469.310000000001</v>
      </c>
      <c r="R337" s="502" t="s">
        <v>88</v>
      </c>
      <c r="S337" s="598">
        <f>SUM(N330:N337)+O330:O337</f>
        <v>0</v>
      </c>
      <c r="T337" s="598" t="e">
        <f>SUM(Q330:Q337)</f>
        <v>#VALUE!</v>
      </c>
    </row>
    <row r="338" spans="1:21">
      <c r="A338" s="376">
        <v>407</v>
      </c>
      <c r="B338" s="494" t="s">
        <v>108</v>
      </c>
      <c r="C338" s="71">
        <f>+[1]дек!U87</f>
        <v>0</v>
      </c>
      <c r="D338" s="495">
        <v>5</v>
      </c>
      <c r="E338" s="21">
        <v>40.556600000000003</v>
      </c>
      <c r="F338" s="21">
        <v>47.5304</v>
      </c>
      <c r="G338" s="185">
        <f>ROUND(D338*(E338+F338),2)</f>
        <v>440.44</v>
      </c>
      <c r="H338" s="496"/>
      <c r="I338" s="73"/>
      <c r="J338" s="73"/>
      <c r="K338" s="497"/>
      <c r="L338" s="498">
        <f>SUM(G338:G344)+SUM(J338:J343)</f>
        <v>4125.05</v>
      </c>
      <c r="M338" s="26">
        <v>4125.05</v>
      </c>
      <c r="N338" s="499"/>
      <c r="O338" s="500"/>
      <c r="P338" s="501" t="s">
        <v>87</v>
      </c>
      <c r="Q338" s="304">
        <f t="shared" ref="Q338:Q340" si="76">C338+G338+J338-M338-N338-O338</f>
        <v>-3684.61</v>
      </c>
    </row>
    <row r="339" spans="1:21">
      <c r="A339" s="389"/>
      <c r="B339" s="506"/>
      <c r="C339" s="542" t="s">
        <v>96</v>
      </c>
      <c r="D339" s="234"/>
      <c r="E339" s="38"/>
      <c r="F339" s="38"/>
      <c r="G339" s="235">
        <f>ROUND(D339*(E339+F339),2)</f>
        <v>0</v>
      </c>
      <c r="H339" s="448"/>
      <c r="I339" s="509"/>
      <c r="J339" s="409"/>
      <c r="K339" s="510"/>
      <c r="L339" s="632"/>
      <c r="M339" s="512"/>
      <c r="N339" s="513"/>
      <c r="O339" s="514"/>
      <c r="P339" s="515"/>
      <c r="Q339" s="262"/>
    </row>
    <row r="340" spans="1:21">
      <c r="A340" s="389"/>
      <c r="B340" s="516" t="s">
        <v>109</v>
      </c>
      <c r="C340" s="633"/>
      <c r="D340" s="508">
        <v>0</v>
      </c>
      <c r="E340" s="101">
        <v>237.98</v>
      </c>
      <c r="F340" s="38">
        <f>F338</f>
        <v>47.5304</v>
      </c>
      <c r="G340" s="50">
        <f>D340*(E340+F340)</f>
        <v>0</v>
      </c>
      <c r="H340" s="270"/>
      <c r="I340" s="41"/>
      <c r="J340" s="409"/>
      <c r="K340" s="510"/>
      <c r="L340" s="597"/>
      <c r="M340" s="99"/>
      <c r="N340" s="518"/>
      <c r="O340" s="519"/>
      <c r="P340" s="515" t="s">
        <v>87</v>
      </c>
      <c r="Q340" s="271">
        <f t="shared" si="76"/>
        <v>0</v>
      </c>
    </row>
    <row r="341" spans="1:21">
      <c r="A341" s="389"/>
      <c r="B341" s="541"/>
      <c r="C341" s="84" t="s">
        <v>97</v>
      </c>
      <c r="D341" s="508">
        <f>сент18!D329</f>
        <v>0</v>
      </c>
      <c r="E341" s="41"/>
      <c r="F341" s="41"/>
      <c r="G341" s="50">
        <f>D341*(E341+F341)</f>
        <v>0</v>
      </c>
      <c r="H341" s="432"/>
      <c r="I341" s="362"/>
      <c r="J341" s="207"/>
      <c r="K341" s="510"/>
      <c r="L341" s="597"/>
      <c r="M341" s="520"/>
      <c r="N341" s="521"/>
      <c r="O341" s="522"/>
      <c r="P341" s="523"/>
      <c r="Q341" s="362"/>
    </row>
    <row r="342" spans="1:21">
      <c r="A342" s="389"/>
      <c r="B342" s="506"/>
      <c r="C342" s="48" t="s">
        <v>260</v>
      </c>
      <c r="D342" s="37">
        <f>сент18!D332+сент18!D333</f>
        <v>336.26</v>
      </c>
      <c r="E342" s="41">
        <f>7.332-6.6439</f>
        <v>0.68809999999999949</v>
      </c>
      <c r="F342" s="41">
        <f>+E342</f>
        <v>0.68809999999999949</v>
      </c>
      <c r="G342" s="39">
        <f>ROUND(D342*(E342),2)+0.01</f>
        <v>231.39</v>
      </c>
      <c r="H342" s="432"/>
      <c r="I342" s="362"/>
      <c r="J342" s="207"/>
      <c r="K342" s="510"/>
      <c r="L342" s="597"/>
      <c r="M342" s="520"/>
      <c r="N342" s="521"/>
      <c r="O342" s="522"/>
      <c r="P342" s="523"/>
      <c r="Q342" s="362"/>
    </row>
    <row r="343" spans="1:21">
      <c r="A343" s="389"/>
      <c r="B343" s="506"/>
      <c r="C343" s="48" t="s">
        <v>263</v>
      </c>
      <c r="D343" s="37">
        <v>19.98</v>
      </c>
      <c r="E343" s="41">
        <v>7.3319999999999999</v>
      </c>
      <c r="F343" s="41">
        <f>+E343</f>
        <v>7.3319999999999999</v>
      </c>
      <c r="G343" s="39">
        <f t="shared" ref="G343:G344" si="77">ROUND(D343*(E343),2)</f>
        <v>146.49</v>
      </c>
      <c r="H343" s="432"/>
      <c r="I343" s="362"/>
      <c r="J343" s="207"/>
      <c r="K343" s="510"/>
      <c r="L343" s="597"/>
      <c r="M343" s="520"/>
      <c r="N343" s="521"/>
      <c r="O343" s="522"/>
      <c r="P343" s="523"/>
      <c r="Q343" s="362"/>
    </row>
    <row r="344" spans="1:21" ht="15.75" thickBot="1">
      <c r="A344" s="411"/>
      <c r="B344" s="526"/>
      <c r="C344" s="54" t="s">
        <v>29</v>
      </c>
      <c r="D344" s="55">
        <v>451</v>
      </c>
      <c r="E344" s="56">
        <v>7.3319999999999999</v>
      </c>
      <c r="F344" s="281">
        <f>+E344</f>
        <v>7.3319999999999999</v>
      </c>
      <c r="G344" s="414">
        <f t="shared" si="77"/>
        <v>3306.73</v>
      </c>
      <c r="H344" s="248"/>
      <c r="I344" s="203"/>
      <c r="J344" s="60"/>
      <c r="K344" s="61"/>
      <c r="L344" s="249"/>
      <c r="M344" s="54"/>
      <c r="N344" s="527"/>
      <c r="O344" s="528"/>
      <c r="P344" s="529" t="s">
        <v>87</v>
      </c>
      <c r="Q344" s="282">
        <f>+G344+J344-M344-N344-O344</f>
        <v>3306.73</v>
      </c>
    </row>
    <row r="345" spans="1:21" collapsed="1">
      <c r="A345" s="376">
        <v>411</v>
      </c>
      <c r="B345" s="602" t="s">
        <v>127</v>
      </c>
      <c r="C345" s="439" t="s">
        <v>260</v>
      </c>
      <c r="D345" s="184">
        <f>сент18!D335+сент18!D336</f>
        <v>435.47</v>
      </c>
      <c r="E345" s="23">
        <f>7.332-6.6439</f>
        <v>0.68809999999999949</v>
      </c>
      <c r="F345" s="23">
        <f t="shared" ref="F345" si="78">+E345</f>
        <v>0.68809999999999949</v>
      </c>
      <c r="G345" s="185">
        <f>ROUND(D345*(E345),2)</f>
        <v>299.64999999999998</v>
      </c>
      <c r="H345" s="669"/>
      <c r="I345" s="620"/>
      <c r="J345" s="620"/>
      <c r="K345" s="634"/>
      <c r="L345" s="603">
        <f>SUM(G345:G348)</f>
        <v>4503.2299999999996</v>
      </c>
      <c r="M345" s="187">
        <v>4503.2299999999996</v>
      </c>
      <c r="N345" s="604"/>
      <c r="O345" s="635"/>
      <c r="P345" s="636"/>
      <c r="Q345" s="605"/>
    </row>
    <row r="346" spans="1:21">
      <c r="A346" s="934"/>
      <c r="B346" s="506"/>
      <c r="C346" s="48" t="s">
        <v>263</v>
      </c>
      <c r="D346" s="49">
        <v>24.32</v>
      </c>
      <c r="E346" s="41">
        <v>7.3319999999999999</v>
      </c>
      <c r="F346" s="41">
        <f>+E346</f>
        <v>7.3319999999999999</v>
      </c>
      <c r="G346" s="50">
        <f>ROUND(D346*(E346),2)</f>
        <v>178.31</v>
      </c>
      <c r="H346" s="296"/>
      <c r="I346" s="298"/>
      <c r="J346" s="298"/>
      <c r="K346" s="637"/>
      <c r="L346" s="606"/>
      <c r="M346" s="935"/>
      <c r="N346" s="607"/>
      <c r="O346" s="608"/>
      <c r="P346" s="609"/>
      <c r="Q346" s="610"/>
    </row>
    <row r="347" spans="1:21">
      <c r="A347" s="934"/>
      <c r="B347" s="506"/>
      <c r="C347" s="99" t="s">
        <v>29</v>
      </c>
      <c r="D347" s="296">
        <v>549</v>
      </c>
      <c r="E347" s="101">
        <v>7.3319999999999999</v>
      </c>
      <c r="F347" s="41">
        <f t="shared" ref="F347" si="79">+E347</f>
        <v>7.3319999999999999</v>
      </c>
      <c r="G347" s="50">
        <f t="shared" ref="G347" si="80">ROUND(D347*(E347),2)</f>
        <v>4025.27</v>
      </c>
      <c r="H347" s="296"/>
      <c r="I347" s="298"/>
      <c r="J347" s="298"/>
      <c r="K347" s="637"/>
      <c r="L347" s="606"/>
      <c r="M347" s="935"/>
      <c r="N347" s="615"/>
      <c r="O347" s="615"/>
      <c r="P347" s="615"/>
      <c r="Q347" s="616"/>
    </row>
    <row r="348" spans="1:21" ht="15.75" thickBot="1">
      <c r="A348" s="942"/>
      <c r="B348" s="278"/>
      <c r="C348" s="784"/>
      <c r="D348" s="941"/>
      <c r="E348" s="281"/>
      <c r="F348" s="57"/>
      <c r="G348" s="58"/>
      <c r="H348" s="613"/>
      <c r="I348" s="57"/>
      <c r="J348" s="57"/>
      <c r="K348" s="637"/>
      <c r="L348" s="606"/>
      <c r="M348" s="935"/>
      <c r="N348" s="615"/>
      <c r="O348" s="615"/>
      <c r="P348" s="615"/>
      <c r="Q348" s="615"/>
    </row>
    <row r="349" spans="1:21">
      <c r="A349" s="376">
        <v>501</v>
      </c>
      <c r="B349" s="494" t="s">
        <v>202</v>
      </c>
      <c r="C349" s="71"/>
      <c r="D349" s="495">
        <v>32</v>
      </c>
      <c r="E349" s="21">
        <v>40.556600000000003</v>
      </c>
      <c r="F349" s="21">
        <v>47.5304</v>
      </c>
      <c r="G349" s="185">
        <f>ROUND(D349*(E349+F349),2)</f>
        <v>2818.78</v>
      </c>
      <c r="H349" s="496"/>
      <c r="I349" s="73"/>
      <c r="J349" s="73"/>
      <c r="K349" s="497"/>
      <c r="L349" s="498">
        <f>+SUM(G349:G356,C356)+SUM(J349:J356)</f>
        <v>75662.472800000003</v>
      </c>
      <c r="M349" s="26">
        <v>75662.47</v>
      </c>
      <c r="N349" s="499"/>
      <c r="O349" s="500"/>
      <c r="P349" s="501" t="s">
        <v>87</v>
      </c>
      <c r="Q349" s="304">
        <f t="shared" ref="Q349:Q366" si="81">C349+G349+J349-M349-N349-O349</f>
        <v>-72843.69</v>
      </c>
      <c r="R349" s="502" t="s">
        <v>88</v>
      </c>
      <c r="S349" s="503"/>
      <c r="T349" s="504"/>
      <c r="U349" s="33"/>
    </row>
    <row r="350" spans="1:21">
      <c r="A350" s="389"/>
      <c r="B350" s="506"/>
      <c r="C350" s="507" t="s">
        <v>264</v>
      </c>
      <c r="D350" s="508"/>
      <c r="E350" s="38"/>
      <c r="F350" s="38"/>
      <c r="G350" s="50">
        <f>ROUND(D350*(E350+F350),2)</f>
        <v>0</v>
      </c>
      <c r="H350" s="448"/>
      <c r="I350" s="509"/>
      <c r="J350" s="409"/>
      <c r="K350" s="510"/>
      <c r="L350" s="511"/>
      <c r="M350" s="512"/>
      <c r="N350" s="513"/>
      <c r="O350" s="514"/>
      <c r="P350" s="515"/>
      <c r="Q350" s="262"/>
      <c r="R350" s="502"/>
      <c r="S350" s="503"/>
      <c r="T350" s="504"/>
      <c r="U350" s="33"/>
    </row>
    <row r="351" spans="1:21">
      <c r="A351" s="389"/>
      <c r="B351" s="516" t="s">
        <v>89</v>
      </c>
      <c r="C351" s="512" t="s">
        <v>90</v>
      </c>
      <c r="D351" s="508">
        <v>7</v>
      </c>
      <c r="E351" s="101">
        <v>237.98</v>
      </c>
      <c r="F351" s="38">
        <f>F349</f>
        <v>47.5304</v>
      </c>
      <c r="G351" s="50">
        <f>D351*(E351+F351)</f>
        <v>1998.5727999999999</v>
      </c>
      <c r="H351" s="270"/>
      <c r="I351" s="41"/>
      <c r="J351" s="409"/>
      <c r="K351" s="510"/>
      <c r="L351" s="517"/>
      <c r="M351" s="99"/>
      <c r="N351" s="518"/>
      <c r="O351" s="519"/>
      <c r="P351" s="515" t="s">
        <v>87</v>
      </c>
      <c r="Q351" s="271">
        <f>+G351+J351-M351-N351-O351</f>
        <v>1998.5727999999999</v>
      </c>
      <c r="R351" s="502" t="s">
        <v>88</v>
      </c>
      <c r="S351" s="503"/>
      <c r="T351" s="504"/>
    </row>
    <row r="352" spans="1:21">
      <c r="A352" s="389"/>
      <c r="B352" s="506" t="s">
        <v>91</v>
      </c>
      <c r="C352" s="507"/>
      <c r="D352" s="508">
        <f>сент18!D340</f>
        <v>5</v>
      </c>
      <c r="E352" s="41"/>
      <c r="F352" s="38"/>
      <c r="G352" s="50">
        <f>ROUND(D352*(E352+F352),2)</f>
        <v>0</v>
      </c>
      <c r="H352" s="432"/>
      <c r="I352" s="362"/>
      <c r="J352" s="409"/>
      <c r="K352" s="510"/>
      <c r="L352" s="517"/>
      <c r="M352" s="520"/>
      <c r="N352" s="521"/>
      <c r="O352" s="522"/>
      <c r="P352" s="523"/>
      <c r="Q352" s="362"/>
      <c r="R352" s="502"/>
      <c r="S352" s="503"/>
      <c r="T352" s="504"/>
    </row>
    <row r="353" spans="1:21">
      <c r="A353" s="389"/>
      <c r="B353" s="506" t="s">
        <v>91</v>
      </c>
      <c r="C353" s="507"/>
      <c r="D353" s="508"/>
      <c r="E353" s="38"/>
      <c r="F353" s="41"/>
      <c r="G353" s="50">
        <f>D353*(E353+F353)</f>
        <v>0</v>
      </c>
      <c r="H353" s="432"/>
      <c r="I353" s="362"/>
      <c r="J353" s="409"/>
      <c r="K353" s="510"/>
      <c r="L353" s="517"/>
      <c r="M353" s="520"/>
      <c r="N353" s="521"/>
      <c r="O353" s="522"/>
      <c r="P353" s="523"/>
      <c r="Q353" s="362"/>
      <c r="R353" s="502"/>
      <c r="S353" s="503"/>
      <c r="T353" s="504"/>
    </row>
    <row r="354" spans="1:21">
      <c r="A354" s="389"/>
      <c r="B354" s="506" t="s">
        <v>92</v>
      </c>
      <c r="C354" s="48" t="s">
        <v>260</v>
      </c>
      <c r="D354" s="508">
        <f>сент18!D344+сент18!D345</f>
        <v>8630.1</v>
      </c>
      <c r="E354" s="41">
        <f>7.332-6.6439</f>
        <v>0.68809999999999949</v>
      </c>
      <c r="F354" s="41">
        <f>+E354</f>
        <v>0.68809999999999949</v>
      </c>
      <c r="G354" s="39">
        <f>ROUNDDOWN(D354*E354,2)</f>
        <v>5938.37</v>
      </c>
      <c r="H354" s="432"/>
      <c r="I354" s="362"/>
      <c r="J354" s="41"/>
      <c r="K354" s="510"/>
      <c r="L354" s="517"/>
      <c r="M354" s="520"/>
      <c r="N354" s="521"/>
      <c r="O354" s="522"/>
      <c r="P354" s="523"/>
      <c r="Q354" s="362"/>
      <c r="R354" s="502"/>
      <c r="S354" s="503"/>
      <c r="T354" s="504"/>
    </row>
    <row r="355" spans="1:21">
      <c r="A355" s="389"/>
      <c r="B355" s="506"/>
      <c r="C355" s="48" t="s">
        <v>263</v>
      </c>
      <c r="D355" s="508">
        <v>375.53</v>
      </c>
      <c r="E355" s="41">
        <v>7.3319999999999999</v>
      </c>
      <c r="F355" s="41">
        <f>+E355</f>
        <v>7.3319999999999999</v>
      </c>
      <c r="G355" s="39">
        <f>ROUND(D355*E355,2)</f>
        <v>2753.39</v>
      </c>
      <c r="H355" s="432"/>
      <c r="I355" s="362"/>
      <c r="J355" s="207"/>
      <c r="K355" s="524"/>
      <c r="L355" s="517"/>
      <c r="M355" s="520"/>
      <c r="N355" s="521"/>
      <c r="O355" s="522"/>
      <c r="P355" s="523"/>
      <c r="Q355" s="362"/>
      <c r="R355" s="502"/>
      <c r="S355" s="503"/>
      <c r="T355" s="504"/>
    </row>
    <row r="356" spans="1:21" ht="15.75" thickBot="1">
      <c r="A356" s="411"/>
      <c r="B356" s="526"/>
      <c r="C356" s="99" t="s">
        <v>29</v>
      </c>
      <c r="D356" s="55">
        <v>8477</v>
      </c>
      <c r="E356" s="56">
        <v>7.3319999999999999</v>
      </c>
      <c r="F356" s="57">
        <f>+E356</f>
        <v>7.3319999999999999</v>
      </c>
      <c r="G356" s="58">
        <f>ROUND(D356*E356,2)</f>
        <v>62153.36</v>
      </c>
      <c r="H356" s="248"/>
      <c r="I356" s="203"/>
      <c r="J356" s="60"/>
      <c r="K356" s="61"/>
      <c r="L356" s="249"/>
      <c r="M356" s="54"/>
      <c r="N356" s="527"/>
      <c r="O356" s="528"/>
      <c r="P356" s="529" t="s">
        <v>87</v>
      </c>
      <c r="Q356" s="282">
        <f>+G356+J356-M356-N356-O356</f>
        <v>62153.36</v>
      </c>
      <c r="R356" s="530" t="s">
        <v>88</v>
      </c>
      <c r="S356" s="531">
        <f>SUM(N349:N356)+O349:O356</f>
        <v>0</v>
      </c>
      <c r="T356" s="531">
        <f>SUM(Q349:Q356)</f>
        <v>-8691.7572000000073</v>
      </c>
      <c r="U356" s="33"/>
    </row>
    <row r="357" spans="1:21" ht="15.75" thickTop="1">
      <c r="A357" s="339">
        <v>502</v>
      </c>
      <c r="B357" s="532" t="s">
        <v>192</v>
      </c>
      <c r="C357" s="71">
        <f>+[1]дек!U51</f>
        <v>-6.0000000303261913E-4</v>
      </c>
      <c r="D357" s="213">
        <v>40</v>
      </c>
      <c r="E357" s="21">
        <v>40.556600000000003</v>
      </c>
      <c r="F357" s="21">
        <v>47.5304</v>
      </c>
      <c r="G357" s="214">
        <f>ROUND(D357*(E357+F357),2)</f>
        <v>3523.48</v>
      </c>
      <c r="H357" s="496"/>
      <c r="I357" s="73"/>
      <c r="J357" s="73"/>
      <c r="K357" s="497"/>
      <c r="L357" s="533">
        <f>+SUM(G357:G364,)+SUM(J357:J364)</f>
        <v>55528.160000000003</v>
      </c>
      <c r="M357" s="26">
        <v>55528.160000000003</v>
      </c>
      <c r="N357" s="534"/>
      <c r="O357" s="535"/>
      <c r="P357" s="536" t="s">
        <v>87</v>
      </c>
      <c r="Q357" s="537">
        <f t="shared" si="81"/>
        <v>-52004.680600000007</v>
      </c>
      <c r="R357" s="538" t="s">
        <v>95</v>
      </c>
      <c r="S357" s="539"/>
      <c r="T357" s="540"/>
      <c r="U357" s="33"/>
    </row>
    <row r="358" spans="1:21">
      <c r="A358" s="353"/>
      <c r="B358" s="541"/>
      <c r="C358" s="542" t="s">
        <v>96</v>
      </c>
      <c r="D358" s="234"/>
      <c r="E358" s="38"/>
      <c r="F358" s="38"/>
      <c r="G358" s="235">
        <f>ROUND(D358*(E358+F358),2)</f>
        <v>0</v>
      </c>
      <c r="H358" s="448"/>
      <c r="I358" s="509"/>
      <c r="J358" s="509"/>
      <c r="K358" s="543"/>
      <c r="L358" s="544"/>
      <c r="M358" s="545"/>
      <c r="N358" s="546"/>
      <c r="O358" s="547"/>
      <c r="P358" s="548"/>
      <c r="Q358" s="549"/>
      <c r="R358" s="550"/>
      <c r="S358" s="551"/>
      <c r="T358" s="552"/>
      <c r="U358" s="33"/>
    </row>
    <row r="359" spans="1:21">
      <c r="A359" s="353"/>
      <c r="B359" s="516" t="s">
        <v>32</v>
      </c>
      <c r="C359" s="99" t="s">
        <v>90</v>
      </c>
      <c r="D359" s="234">
        <v>27</v>
      </c>
      <c r="E359" s="101">
        <v>237.98</v>
      </c>
      <c r="F359" s="38">
        <f>F357</f>
        <v>47.5304</v>
      </c>
      <c r="G359" s="235">
        <f>ROUND(D359*(E359+F359),2)</f>
        <v>7708.78</v>
      </c>
      <c r="H359" s="270"/>
      <c r="I359" s="41"/>
      <c r="J359" s="41"/>
      <c r="K359" s="510"/>
      <c r="L359" s="553"/>
      <c r="M359" s="554"/>
      <c r="N359" s="555"/>
      <c r="O359" s="556"/>
      <c r="P359" s="557" t="s">
        <v>87</v>
      </c>
      <c r="Q359" s="558">
        <f>+G359+J359-M359-N359-O359</f>
        <v>7708.78</v>
      </c>
      <c r="R359" s="550" t="s">
        <v>95</v>
      </c>
      <c r="S359" s="551"/>
      <c r="T359" s="552"/>
    </row>
    <row r="360" spans="1:21">
      <c r="A360" s="353"/>
      <c r="B360" s="541"/>
      <c r="C360" s="84" t="s">
        <v>97</v>
      </c>
      <c r="D360" s="234">
        <f>сент18!D348</f>
        <v>16</v>
      </c>
      <c r="E360" s="41"/>
      <c r="F360" s="38"/>
      <c r="G360" s="50">
        <f>ROUND(D360*(E360+F360),2)</f>
        <v>0</v>
      </c>
      <c r="H360" s="432"/>
      <c r="I360" s="362"/>
      <c r="J360" s="41"/>
      <c r="K360" s="510"/>
      <c r="L360" s="559"/>
      <c r="M360" s="560"/>
      <c r="N360" s="561"/>
      <c r="O360" s="562"/>
      <c r="P360" s="563"/>
      <c r="Q360" s="564"/>
      <c r="R360" s="550"/>
      <c r="S360" s="551"/>
      <c r="T360" s="552"/>
    </row>
    <row r="361" spans="1:21">
      <c r="A361" s="353"/>
      <c r="B361" s="541"/>
      <c r="C361" s="84" t="s">
        <v>97</v>
      </c>
      <c r="D361" s="234"/>
      <c r="E361" s="38"/>
      <c r="F361" s="240"/>
      <c r="G361" s="50">
        <f>D361*(E361+F361)</f>
        <v>0</v>
      </c>
      <c r="H361" s="432"/>
      <c r="I361" s="362"/>
      <c r="J361" s="41"/>
      <c r="K361" s="510"/>
      <c r="L361" s="559"/>
      <c r="M361" s="560"/>
      <c r="N361" s="561"/>
      <c r="O361" s="562"/>
      <c r="P361" s="563"/>
      <c r="Q361" s="564"/>
      <c r="R361" s="550"/>
      <c r="S361" s="551"/>
      <c r="T361" s="552"/>
    </row>
    <row r="362" spans="1:21">
      <c r="A362" s="353"/>
      <c r="B362" s="541"/>
      <c r="C362" s="48" t="s">
        <v>260</v>
      </c>
      <c r="D362" s="37">
        <f>сент18!D352+сент18!D353</f>
        <v>4096.79</v>
      </c>
      <c r="E362" s="41">
        <f>7.332-6.6439</f>
        <v>0.68809999999999949</v>
      </c>
      <c r="F362" s="41">
        <f>+E362</f>
        <v>0.68809999999999949</v>
      </c>
      <c r="G362" s="235">
        <f>ROUND(D362*E362,2)</f>
        <v>2819</v>
      </c>
      <c r="H362" s="565"/>
      <c r="I362" s="564"/>
      <c r="J362" s="566"/>
      <c r="K362" s="567"/>
      <c r="L362" s="559"/>
      <c r="M362" s="560"/>
      <c r="N362" s="561"/>
      <c r="O362" s="562"/>
      <c r="P362" s="563"/>
      <c r="Q362" s="564"/>
      <c r="R362" s="550"/>
      <c r="S362" s="551"/>
      <c r="T362" s="552"/>
      <c r="U362" s="352"/>
    </row>
    <row r="363" spans="1:21">
      <c r="A363" s="353"/>
      <c r="B363" s="541"/>
      <c r="C363" s="48" t="s">
        <v>263</v>
      </c>
      <c r="D363" s="37">
        <v>239.97</v>
      </c>
      <c r="E363" s="41">
        <v>7.3319999999999999</v>
      </c>
      <c r="F363" s="41">
        <f>+E363</f>
        <v>7.3319999999999999</v>
      </c>
      <c r="G363" s="235">
        <f>ROUND(D363*E363,2)</f>
        <v>1759.46</v>
      </c>
      <c r="H363" s="565"/>
      <c r="I363" s="564"/>
      <c r="J363" s="566"/>
      <c r="K363" s="567"/>
      <c r="L363" s="559"/>
      <c r="M363" s="560"/>
      <c r="N363" s="561"/>
      <c r="O363" s="562"/>
      <c r="P363" s="563"/>
      <c r="Q363" s="564"/>
      <c r="R363" s="550"/>
      <c r="S363" s="551"/>
      <c r="T363" s="552"/>
      <c r="U363" s="33"/>
    </row>
    <row r="364" spans="1:21" ht="15.75" thickBot="1">
      <c r="A364" s="369"/>
      <c r="B364" s="568"/>
      <c r="C364" s="99" t="s">
        <v>29</v>
      </c>
      <c r="D364" s="246">
        <v>5417</v>
      </c>
      <c r="E364" s="56">
        <v>7.3319999999999999</v>
      </c>
      <c r="F364" s="57">
        <f>+E364</f>
        <v>7.3319999999999999</v>
      </c>
      <c r="G364" s="247">
        <f>ROUND(D364*E364,2)</f>
        <v>39717.440000000002</v>
      </c>
      <c r="H364" s="248"/>
      <c r="I364" s="203"/>
      <c r="J364" s="60"/>
      <c r="K364" s="61"/>
      <c r="L364" s="204"/>
      <c r="M364" s="560"/>
      <c r="N364" s="561"/>
      <c r="O364" s="528"/>
      <c r="P364" s="529" t="s">
        <v>87</v>
      </c>
      <c r="Q364" s="564">
        <f>+G364+J364-M364-N364-O364</f>
        <v>39717.440000000002</v>
      </c>
      <c r="R364" s="550" t="s">
        <v>95</v>
      </c>
      <c r="S364" s="569">
        <f>SUM(N357:N364)+O357:O364</f>
        <v>0</v>
      </c>
      <c r="T364" s="570">
        <f>SUM(Q359:Q364)</f>
        <v>47426.22</v>
      </c>
    </row>
    <row r="365" spans="1:21" ht="15.75" hidden="1" outlineLevel="1" thickBot="1">
      <c r="A365" s="571"/>
      <c r="B365" s="572" t="s">
        <v>98</v>
      </c>
      <c r="C365" s="573" t="s">
        <v>99</v>
      </c>
      <c r="D365" s="574"/>
      <c r="E365" s="575">
        <f>3.193-2.9732</f>
        <v>0.21980000000000022</v>
      </c>
      <c r="F365" s="575">
        <f>3.193-2.9732</f>
        <v>0.21980000000000022</v>
      </c>
      <c r="G365" s="576">
        <f>D365*E365*70%+D365*F365*30%</f>
        <v>0</v>
      </c>
      <c r="H365" s="577"/>
      <c r="I365" s="578"/>
      <c r="J365" s="579"/>
      <c r="K365" s="579"/>
      <c r="L365" s="580"/>
      <c r="M365" s="581"/>
      <c r="N365" s="582"/>
      <c r="O365" s="535"/>
      <c r="P365" s="536"/>
      <c r="Q365" s="583"/>
      <c r="R365" s="584"/>
      <c r="S365" s="569"/>
      <c r="T365" s="585"/>
    </row>
    <row r="366" spans="1:21" s="81" customFormat="1" ht="16.5" hidden="1" customHeight="1" outlineLevel="1" thickBot="1">
      <c r="A366" s="933" t="s">
        <v>100</v>
      </c>
      <c r="B366" s="587" t="s">
        <v>98</v>
      </c>
      <c r="C366" s="588">
        <f>+[1]авг!C52</f>
        <v>0</v>
      </c>
      <c r="D366" s="589"/>
      <c r="E366" s="575">
        <v>3.1930000000000001</v>
      </c>
      <c r="F366" s="575">
        <f>+E366</f>
        <v>3.1930000000000001</v>
      </c>
      <c r="G366" s="576">
        <f>D366*E366*70%+D366*F366*30%</f>
        <v>0</v>
      </c>
      <c r="H366" s="579"/>
      <c r="I366" s="579"/>
      <c r="J366" s="579"/>
      <c r="K366" s="579"/>
      <c r="L366" s="579">
        <f>+C366+G366+G365</f>
        <v>0</v>
      </c>
      <c r="M366" s="590"/>
      <c r="N366" s="500"/>
      <c r="O366" s="528"/>
      <c r="P366" s="529" t="s">
        <v>87</v>
      </c>
      <c r="Q366" s="591">
        <f t="shared" si="81"/>
        <v>0</v>
      </c>
      <c r="R366" s="592" t="s">
        <v>101</v>
      </c>
      <c r="S366" s="77">
        <f>SUM(N366:N366)+SUM(O366:O366)</f>
        <v>0</v>
      </c>
      <c r="T366" s="593">
        <f>SUM(Q366:Q366)</f>
        <v>0</v>
      </c>
    </row>
    <row r="367" spans="1:21" ht="15.75" hidden="1" outlineLevel="1" thickBot="1">
      <c r="A367" s="944"/>
      <c r="B367" s="945" t="s">
        <v>128</v>
      </c>
      <c r="C367" s="573" t="s">
        <v>115</v>
      </c>
      <c r="D367" s="946"/>
      <c r="E367" s="579">
        <f>6.8021-6.8946</f>
        <v>-9.2499999999999361E-2</v>
      </c>
      <c r="F367" s="579">
        <f t="shared" ref="F367" si="82">+E367</f>
        <v>-9.2499999999999361E-2</v>
      </c>
      <c r="G367" s="947">
        <f>ROUND(D367*(E367),2)</f>
        <v>0</v>
      </c>
      <c r="H367" s="948"/>
      <c r="I367" s="949"/>
      <c r="J367" s="949"/>
      <c r="K367" s="950"/>
      <c r="L367" s="951"/>
      <c r="M367" s="952"/>
      <c r="N367" s="604"/>
      <c r="O367" s="635"/>
      <c r="P367" s="636"/>
      <c r="Q367" s="605"/>
    </row>
    <row r="368" spans="1:21" ht="15.75" hidden="1" outlineLevel="1" thickBot="1">
      <c r="A368" s="953"/>
      <c r="B368" s="954"/>
      <c r="C368" s="573" t="s">
        <v>114</v>
      </c>
      <c r="D368" s="946"/>
      <c r="E368" s="579">
        <v>6.8021000000000003</v>
      </c>
      <c r="F368" s="579">
        <f>+E368</f>
        <v>6.8021000000000003</v>
      </c>
      <c r="G368" s="947">
        <f>ROUND(D368*(E368),2)</f>
        <v>0</v>
      </c>
      <c r="H368" s="948"/>
      <c r="I368" s="949"/>
      <c r="J368" s="949"/>
      <c r="K368" s="950"/>
      <c r="L368" s="955"/>
      <c r="M368" s="956"/>
      <c r="N368" s="607"/>
      <c r="O368" s="608"/>
      <c r="P368" s="609"/>
      <c r="Q368" s="610"/>
    </row>
    <row r="369" spans="1:20" ht="15.75" hidden="1" outlineLevel="1" thickBot="1">
      <c r="A369" s="944"/>
      <c r="B369" s="954"/>
      <c r="C369" s="916" t="s">
        <v>29</v>
      </c>
      <c r="D369" s="948"/>
      <c r="E369" s="917">
        <v>6.8021000000000003</v>
      </c>
      <c r="F369" s="579">
        <f t="shared" ref="F369" si="83">+E369</f>
        <v>6.8021000000000003</v>
      </c>
      <c r="G369" s="947">
        <f t="shared" ref="G369" si="84">ROUND(D369*(E369),2)</f>
        <v>0</v>
      </c>
      <c r="H369" s="948"/>
      <c r="I369" s="949"/>
      <c r="J369" s="949"/>
      <c r="K369" s="950"/>
      <c r="L369" s="951"/>
      <c r="M369" s="956"/>
      <c r="N369" s="615"/>
      <c r="O369" s="615"/>
      <c r="P369" s="615"/>
      <c r="Q369" s="616"/>
    </row>
    <row r="370" spans="1:20" ht="15.75" hidden="1" outlineLevel="1" thickBot="1">
      <c r="A370" s="953"/>
      <c r="B370" s="955"/>
      <c r="C370" s="575"/>
      <c r="D370" s="957"/>
      <c r="E370" s="580"/>
      <c r="F370" s="575"/>
      <c r="G370" s="958"/>
      <c r="H370" s="959"/>
      <c r="I370" s="575"/>
      <c r="J370" s="575"/>
      <c r="K370" s="575"/>
      <c r="L370" s="955"/>
      <c r="M370" s="956"/>
      <c r="N370" s="615"/>
      <c r="O370" s="615"/>
      <c r="P370" s="615"/>
      <c r="Q370" s="615"/>
    </row>
    <row r="371" spans="1:20" collapsed="1">
      <c r="A371" s="963"/>
      <c r="B371" s="621"/>
      <c r="C371" s="621"/>
      <c r="D371" s="964"/>
      <c r="E371" s="905"/>
      <c r="F371" s="621"/>
      <c r="G371" s="905"/>
      <c r="H371" s="621"/>
      <c r="I371" s="621"/>
      <c r="J371" s="621"/>
      <c r="K371" s="621"/>
      <c r="L371" s="621"/>
      <c r="M371" s="965"/>
      <c r="N371" s="615"/>
      <c r="O371" s="615"/>
      <c r="P371" s="615"/>
      <c r="Q371" s="615"/>
    </row>
    <row r="372" spans="1:20" ht="15.75" thickBot="1">
      <c r="A372" s="966"/>
      <c r="B372" s="615"/>
      <c r="C372" s="615"/>
      <c r="D372" s="696"/>
      <c r="E372" s="473"/>
      <c r="F372" s="615"/>
      <c r="G372" s="473"/>
      <c r="H372" s="615"/>
      <c r="I372" s="615"/>
      <c r="J372" s="615"/>
      <c r="K372" s="615"/>
      <c r="L372" s="615"/>
      <c r="M372" s="967"/>
      <c r="N372" s="615"/>
      <c r="O372" s="615"/>
      <c r="P372" s="615"/>
      <c r="Q372" s="615"/>
    </row>
    <row r="373" spans="1:20" s="81" customFormat="1" ht="15" customHeight="1" thickTop="1">
      <c r="A373" s="476"/>
      <c r="B373" s="158"/>
      <c r="C373" s="322"/>
      <c r="D373" s="477"/>
      <c r="E373" s="163"/>
      <c r="F373" s="163"/>
      <c r="G373" s="478"/>
      <c r="H373" s="163"/>
      <c r="I373" s="163"/>
      <c r="J373" s="163"/>
      <c r="K373" s="163"/>
      <c r="L373" s="163"/>
      <c r="M373" s="164"/>
      <c r="N373" s="479"/>
      <c r="O373" s="479"/>
      <c r="P373" s="479"/>
      <c r="Q373" s="479"/>
      <c r="R373" s="422"/>
      <c r="S373"/>
      <c r="T373" s="399"/>
    </row>
    <row r="374" spans="1:20" ht="15.75" thickBot="1">
      <c r="A374" s="968" t="s">
        <v>113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3"/>
      <c r="N374" s="2"/>
      <c r="O374" s="2"/>
      <c r="P374" s="2"/>
      <c r="Q374" s="2"/>
    </row>
    <row r="375" spans="1:20" ht="15.75" customHeight="1" thickTop="1" thickBot="1">
      <c r="A375" s="1559" t="s">
        <v>1</v>
      </c>
      <c r="B375" s="1543" t="s">
        <v>2</v>
      </c>
      <c r="C375" s="1545" t="s">
        <v>3</v>
      </c>
      <c r="D375" s="1546" t="s">
        <v>4</v>
      </c>
      <c r="E375" s="1546"/>
      <c r="F375" s="1546"/>
      <c r="G375" s="1546"/>
      <c r="H375" s="1547"/>
      <c r="I375" s="1548"/>
      <c r="J375" s="1548"/>
      <c r="K375" s="1549"/>
      <c r="L375" s="1524" t="s">
        <v>6</v>
      </c>
      <c r="M375" s="1511" t="s">
        <v>7</v>
      </c>
      <c r="N375" s="1551" t="s">
        <v>8</v>
      </c>
      <c r="O375" s="1551"/>
      <c r="P375" s="1551"/>
      <c r="Q375" s="1552"/>
      <c r="R375" s="481"/>
      <c r="S375" s="482" t="s">
        <v>20</v>
      </c>
      <c r="T375" s="482" t="s">
        <v>21</v>
      </c>
    </row>
    <row r="376" spans="1:20" ht="26.25" thickBot="1">
      <c r="A376" s="1560"/>
      <c r="B376" s="1557"/>
      <c r="C376" s="1558" t="s">
        <v>10</v>
      </c>
      <c r="D376" s="483" t="s">
        <v>11</v>
      </c>
      <c r="E376" s="649" t="s">
        <v>12</v>
      </c>
      <c r="F376" s="649" t="s">
        <v>13</v>
      </c>
      <c r="G376" s="650" t="s">
        <v>14</v>
      </c>
      <c r="H376" s="651" t="s">
        <v>11</v>
      </c>
      <c r="I376" s="652" t="s">
        <v>15</v>
      </c>
      <c r="J376" s="653"/>
      <c r="K376" s="654" t="s">
        <v>16</v>
      </c>
      <c r="L376" s="1525"/>
      <c r="M376" s="1554"/>
      <c r="N376" s="655"/>
      <c r="O376" s="653"/>
      <c r="P376" s="656" t="s">
        <v>18</v>
      </c>
      <c r="Q376" s="657" t="s">
        <v>19</v>
      </c>
      <c r="R376" s="491"/>
      <c r="S376" s="492"/>
      <c r="T376" s="492"/>
    </row>
    <row r="377" spans="1:20">
      <c r="A377" s="961" t="s">
        <v>212</v>
      </c>
      <c r="B377" s="659" t="s">
        <v>116</v>
      </c>
      <c r="C377" s="668" t="s">
        <v>73</v>
      </c>
      <c r="D377" s="669">
        <v>4.3</v>
      </c>
      <c r="E377" s="21">
        <v>40.556600000000003</v>
      </c>
      <c r="F377" s="21">
        <v>47.5304</v>
      </c>
      <c r="G377" s="214">
        <f>+D377*(E377+F377)</f>
        <v>378.77409999999998</v>
      </c>
      <c r="H377" s="687"/>
      <c r="I377" s="688"/>
      <c r="J377" s="670"/>
      <c r="K377" s="689"/>
      <c r="L377" s="603">
        <f>SUM(G377:G383)+SUM(J377:J381)</f>
        <v>14289.6641</v>
      </c>
      <c r="M377" s="187">
        <v>14289.66</v>
      </c>
      <c r="N377" s="670"/>
      <c r="O377" s="670"/>
      <c r="P377" s="670"/>
      <c r="Q377" s="670"/>
    </row>
    <row r="378" spans="1:20">
      <c r="A378" s="970"/>
      <c r="B378" s="672"/>
      <c r="C378" s="48" t="s">
        <v>264</v>
      </c>
      <c r="D378" s="673"/>
      <c r="E378" s="41"/>
      <c r="F378" s="298"/>
      <c r="G378" s="235">
        <f>+D378*(E378+F378)</f>
        <v>0</v>
      </c>
      <c r="H378" s="687"/>
      <c r="I378" s="688"/>
      <c r="J378" s="670"/>
      <c r="K378" s="689"/>
      <c r="L378" s="606"/>
      <c r="M378" s="935"/>
      <c r="N378" s="298"/>
      <c r="O378" s="298"/>
      <c r="P378" s="298"/>
      <c r="Q378" s="298"/>
    </row>
    <row r="379" spans="1:20">
      <c r="A379" s="970"/>
      <c r="B379" s="442"/>
      <c r="C379" s="48"/>
      <c r="D379" s="673"/>
      <c r="E379" s="41"/>
      <c r="F379" s="298"/>
      <c r="G379" s="235">
        <f t="shared" ref="G379:G392" si="85">ROUND(D379*E379,2)</f>
        <v>0</v>
      </c>
      <c r="H379" s="687"/>
      <c r="I379" s="688"/>
      <c r="J379" s="670"/>
      <c r="K379" s="850"/>
      <c r="L379" s="614"/>
      <c r="M379" s="935"/>
      <c r="N379" s="298"/>
      <c r="O379" s="298"/>
      <c r="P379" s="298"/>
      <c r="Q379" s="298"/>
    </row>
    <row r="380" spans="1:20">
      <c r="A380" s="970"/>
      <c r="B380" s="35"/>
      <c r="C380" s="606"/>
      <c r="D380" s="673"/>
      <c r="E380" s="41"/>
      <c r="F380" s="298"/>
      <c r="G380" s="235">
        <f t="shared" si="85"/>
        <v>0</v>
      </c>
      <c r="H380" s="270"/>
      <c r="I380" s="688"/>
      <c r="J380" s="670"/>
      <c r="K380" s="689"/>
      <c r="L380" s="614"/>
      <c r="M380" s="273"/>
      <c r="N380" s="298"/>
      <c r="O380" s="298"/>
      <c r="P380" s="298"/>
      <c r="Q380" s="298"/>
    </row>
    <row r="381" spans="1:20" ht="15.75">
      <c r="A381" s="971"/>
      <c r="B381" s="672"/>
      <c r="C381" s="48" t="s">
        <v>260</v>
      </c>
      <c r="D381" s="269">
        <f>сент18!D371+сент18!D372</f>
        <v>1469.8600000000001</v>
      </c>
      <c r="E381" s="41">
        <f>7.332-6.6439</f>
        <v>0.68809999999999949</v>
      </c>
      <c r="F381" s="298">
        <f t="shared" ref="F381:F382" si="86">+E381</f>
        <v>0.68809999999999949</v>
      </c>
      <c r="G381" s="235">
        <f>ROUND(D381*E381,2)</f>
        <v>1011.41</v>
      </c>
      <c r="H381" s="270"/>
      <c r="I381" s="41"/>
      <c r="J381" s="670"/>
      <c r="K381" s="689"/>
      <c r="L381" s="606"/>
      <c r="M381" s="935"/>
      <c r="N381" s="663"/>
      <c r="O381" s="237"/>
      <c r="P381" s="275"/>
      <c r="Q381" s="237"/>
    </row>
    <row r="382" spans="1:20" ht="15.75">
      <c r="A382" s="972"/>
      <c r="B382" s="35"/>
      <c r="C382" s="48" t="s">
        <v>263</v>
      </c>
      <c r="D382" s="269">
        <v>58.84</v>
      </c>
      <c r="E382" s="41">
        <v>7.3319999999999999</v>
      </c>
      <c r="F382" s="298">
        <f t="shared" si="86"/>
        <v>7.3319999999999999</v>
      </c>
      <c r="G382" s="235">
        <f t="shared" si="85"/>
        <v>431.41</v>
      </c>
      <c r="H382" s="270"/>
      <c r="I382" s="41"/>
      <c r="J382" s="41"/>
      <c r="K382" s="41"/>
      <c r="L382" s="614"/>
      <c r="M382" s="935"/>
      <c r="N382" s="663"/>
      <c r="O382" s="237"/>
      <c r="P382" s="275"/>
      <c r="Q382" s="237"/>
    </row>
    <row r="383" spans="1:20" ht="15.75" thickBot="1">
      <c r="A383" s="973"/>
      <c r="B383" s="665"/>
      <c r="C383" s="54" t="s">
        <v>29</v>
      </c>
      <c r="D383" s="613">
        <v>1700.5</v>
      </c>
      <c r="E383" s="56">
        <v>7.3319999999999999</v>
      </c>
      <c r="F383" s="57"/>
      <c r="G383" s="247">
        <f t="shared" si="85"/>
        <v>12468.07</v>
      </c>
      <c r="H383" s="613"/>
      <c r="I383" s="57"/>
      <c r="J383" s="57"/>
      <c r="K383" s="57"/>
      <c r="L383" s="783"/>
      <c r="M383" s="250"/>
      <c r="N383" s="57"/>
      <c r="O383" s="57"/>
      <c r="P383" s="57"/>
      <c r="Q383" s="57"/>
      <c r="R383" s="615"/>
    </row>
    <row r="384" spans="1:20" ht="15.75">
      <c r="A384" s="658">
        <v>212</v>
      </c>
      <c r="B384" s="659" t="s">
        <v>148</v>
      </c>
      <c r="C384" s="786" t="s">
        <v>260</v>
      </c>
      <c r="D384" s="259">
        <f>сент18!D374+сент18!D375</f>
        <v>173.5</v>
      </c>
      <c r="E384" s="41">
        <f>7.332-6.6439</f>
        <v>0.68809999999999949</v>
      </c>
      <c r="F384" s="691">
        <f>+E384</f>
        <v>0.68809999999999949</v>
      </c>
      <c r="G384" s="214">
        <f>ROUND(D384*E384,2)</f>
        <v>119.39</v>
      </c>
      <c r="H384" s="303"/>
      <c r="I384" s="23"/>
      <c r="J384" s="23"/>
      <c r="K384" s="23"/>
      <c r="L384" s="603">
        <f>SUM(G384:G386)</f>
        <v>1478.74</v>
      </c>
      <c r="M384" s="187">
        <v>1478.74</v>
      </c>
      <c r="N384" s="660"/>
      <c r="O384" s="217"/>
      <c r="P384" s="661"/>
      <c r="Q384" s="219"/>
    </row>
    <row r="385" spans="1:18" ht="15.75">
      <c r="A385" s="662"/>
      <c r="B385" s="35"/>
      <c r="C385" s="48" t="s">
        <v>263</v>
      </c>
      <c r="D385" s="269">
        <v>6.2</v>
      </c>
      <c r="E385" s="41">
        <v>7.3319999999999999</v>
      </c>
      <c r="F385" s="298">
        <f t="shared" ref="F385" si="87">+E385</f>
        <v>7.3319999999999999</v>
      </c>
      <c r="G385" s="235">
        <f t="shared" si="85"/>
        <v>45.46</v>
      </c>
      <c r="H385" s="270"/>
      <c r="I385" s="41"/>
      <c r="J385" s="41"/>
      <c r="K385" s="41"/>
      <c r="L385" s="606"/>
      <c r="M385" s="935"/>
      <c r="N385" s="663"/>
      <c r="O385" s="237"/>
      <c r="P385" s="275"/>
      <c r="Q385" s="238"/>
    </row>
    <row r="386" spans="1:18" ht="15.75" thickBot="1">
      <c r="A386" s="975"/>
      <c r="B386" s="665"/>
      <c r="C386" s="99" t="s">
        <v>29</v>
      </c>
      <c r="D386" s="613">
        <v>179.2</v>
      </c>
      <c r="E386" s="56">
        <v>7.3319999999999999</v>
      </c>
      <c r="F386" s="57"/>
      <c r="G386" s="247">
        <f t="shared" si="85"/>
        <v>1313.89</v>
      </c>
      <c r="H386" s="613"/>
      <c r="I386" s="57"/>
      <c r="J386" s="57"/>
      <c r="K386" s="57"/>
      <c r="L386" s="614"/>
      <c r="M386" s="606"/>
      <c r="N386" s="57"/>
      <c r="O386" s="57"/>
      <c r="P386" s="57"/>
      <c r="Q386" s="666"/>
    </row>
    <row r="387" spans="1:18" ht="15.75">
      <c r="A387" s="658">
        <v>216</v>
      </c>
      <c r="B387" s="659" t="s">
        <v>240</v>
      </c>
      <c r="C387" s="786" t="s">
        <v>260</v>
      </c>
      <c r="D387" s="259">
        <f>сент18!D377+сент18!D378</f>
        <v>165.54</v>
      </c>
      <c r="E387" s="41">
        <f>7.332-6.6439</f>
        <v>0.68809999999999949</v>
      </c>
      <c r="F387" s="691">
        <f>+E387</f>
        <v>0.68809999999999949</v>
      </c>
      <c r="G387" s="214">
        <f>ROUND(D387*E387,2)</f>
        <v>113.91</v>
      </c>
      <c r="H387" s="303"/>
      <c r="I387" s="23"/>
      <c r="J387" s="23"/>
      <c r="K387" s="23"/>
      <c r="L387" s="603">
        <f>SUM(G387:G389)</f>
        <v>1327.6499999999999</v>
      </c>
      <c r="M387" s="187">
        <v>1327.65</v>
      </c>
      <c r="N387" s="660"/>
      <c r="O387" s="217"/>
      <c r="P387" s="661"/>
      <c r="Q387" s="219"/>
    </row>
    <row r="388" spans="1:18" ht="15.75">
      <c r="A388" s="662"/>
      <c r="B388" s="35"/>
      <c r="C388" s="48" t="s">
        <v>263</v>
      </c>
      <c r="D388" s="269">
        <v>5.54</v>
      </c>
      <c r="E388" s="41">
        <v>7.3319999999999999</v>
      </c>
      <c r="F388" s="298">
        <f t="shared" ref="F388" si="88">+E388</f>
        <v>7.3319999999999999</v>
      </c>
      <c r="G388" s="235">
        <f t="shared" ref="G388:G389" si="89">ROUND(D388*E388,2)</f>
        <v>40.619999999999997</v>
      </c>
      <c r="H388" s="270"/>
      <c r="I388" s="41"/>
      <c r="J388" s="41"/>
      <c r="K388" s="41"/>
      <c r="L388" s="606"/>
      <c r="M388" s="935"/>
      <c r="N388" s="663"/>
      <c r="O388" s="237"/>
      <c r="P388" s="275"/>
      <c r="Q388" s="238"/>
    </row>
    <row r="389" spans="1:18" ht="15.75" thickBot="1">
      <c r="A389" s="975"/>
      <c r="B389" s="665"/>
      <c r="C389" s="99" t="s">
        <v>29</v>
      </c>
      <c r="D389" s="613">
        <v>160</v>
      </c>
      <c r="E389" s="56">
        <v>7.3319999999999999</v>
      </c>
      <c r="F389" s="57"/>
      <c r="G389" s="247">
        <f t="shared" si="89"/>
        <v>1173.1199999999999</v>
      </c>
      <c r="H389" s="613"/>
      <c r="I389" s="57"/>
      <c r="J389" s="57"/>
      <c r="K389" s="57"/>
      <c r="L389" s="614"/>
      <c r="M389" s="606"/>
      <c r="N389" s="57"/>
      <c r="O389" s="57"/>
      <c r="P389" s="57"/>
      <c r="Q389" s="666"/>
    </row>
    <row r="390" spans="1:18" ht="15.75">
      <c r="A390" s="658">
        <v>218</v>
      </c>
      <c r="B390" s="659" t="s">
        <v>117</v>
      </c>
      <c r="C390" s="439" t="s">
        <v>260</v>
      </c>
      <c r="D390" s="259">
        <f>сент18!D380+сент18!D381</f>
        <v>342.34999999999997</v>
      </c>
      <c r="E390" s="23">
        <f>7.332-6.6439</f>
        <v>0.68809999999999949</v>
      </c>
      <c r="F390" s="691">
        <f>+E390</f>
        <v>0.68809999999999949</v>
      </c>
      <c r="G390" s="214">
        <f>ROUND(D390*E390,2)+0.01</f>
        <v>235.57999999999998</v>
      </c>
      <c r="H390" s="303"/>
      <c r="I390" s="23"/>
      <c r="J390" s="23"/>
      <c r="K390" s="23"/>
      <c r="L390" s="603">
        <f>SUM(G390:G392)</f>
        <v>3011.9100000000003</v>
      </c>
      <c r="M390" s="187">
        <v>3011.91</v>
      </c>
      <c r="N390" s="660"/>
      <c r="O390" s="217"/>
      <c r="P390" s="661"/>
      <c r="Q390" s="219"/>
      <c r="R390" s="615"/>
    </row>
    <row r="391" spans="1:18" ht="15.75">
      <c r="A391" s="662"/>
      <c r="B391" s="506"/>
      <c r="C391" s="48" t="s">
        <v>263</v>
      </c>
      <c r="D391" s="773">
        <v>12.66</v>
      </c>
      <c r="E391" s="41">
        <v>7.3319999999999999</v>
      </c>
      <c r="F391" s="774">
        <f t="shared" ref="F391" si="90">+E391</f>
        <v>7.3319999999999999</v>
      </c>
      <c r="G391" s="775">
        <f t="shared" si="85"/>
        <v>92.82</v>
      </c>
      <c r="H391" s="432"/>
      <c r="I391" s="207"/>
      <c r="J391" s="207"/>
      <c r="K391" s="207"/>
      <c r="L391" s="776"/>
      <c r="M391" s="974"/>
      <c r="N391" s="777"/>
      <c r="O391" s="778"/>
      <c r="P391" s="779"/>
      <c r="Q391" s="780"/>
    </row>
    <row r="392" spans="1:18" ht="15.75" thickBot="1">
      <c r="A392" s="975"/>
      <c r="B392" s="278"/>
      <c r="C392" s="54" t="s">
        <v>29</v>
      </c>
      <c r="D392" s="613">
        <v>366</v>
      </c>
      <c r="E392" s="56">
        <v>7.3319999999999999</v>
      </c>
      <c r="F392" s="57"/>
      <c r="G392" s="247">
        <f t="shared" si="85"/>
        <v>2683.51</v>
      </c>
      <c r="H392" s="613"/>
      <c r="I392" s="57"/>
      <c r="J392" s="57"/>
      <c r="K392" s="57"/>
      <c r="L392" s="783"/>
      <c r="M392" s="938"/>
      <c r="N392" s="57"/>
      <c r="O392" s="57"/>
      <c r="P392" s="57"/>
      <c r="Q392" s="666"/>
    </row>
    <row r="393" spans="1:18" ht="15.75">
      <c r="A393" s="658">
        <v>221</v>
      </c>
      <c r="B393" s="659" t="s">
        <v>284</v>
      </c>
      <c r="C393" s="786" t="s">
        <v>260</v>
      </c>
      <c r="D393" s="259">
        <f>сент18!D383+сент18!D384</f>
        <v>10.35</v>
      </c>
      <c r="E393" s="41">
        <f>7.332-6.6439</f>
        <v>0.68809999999999949</v>
      </c>
      <c r="F393" s="691">
        <f>+E393</f>
        <v>0.68809999999999949</v>
      </c>
      <c r="G393" s="214">
        <f>ROUND(D393*E393,2)+0.01</f>
        <v>7.13</v>
      </c>
      <c r="H393" s="303"/>
      <c r="I393" s="23"/>
      <c r="J393" s="23"/>
      <c r="K393" s="23"/>
      <c r="L393" s="603">
        <f>SUM(G393:G395)</f>
        <v>120.92</v>
      </c>
      <c r="M393" s="187">
        <v>189.68</v>
      </c>
      <c r="N393" s="660"/>
      <c r="O393" s="217" t="s">
        <v>286</v>
      </c>
      <c r="P393" s="661"/>
      <c r="Q393" s="219"/>
    </row>
    <row r="394" spans="1:18" ht="15.75">
      <c r="A394" s="662"/>
      <c r="B394" s="35"/>
      <c r="C394" s="48" t="s">
        <v>263</v>
      </c>
      <c r="D394" s="269">
        <v>0.52</v>
      </c>
      <c r="E394" s="41">
        <v>7.3319999999999999</v>
      </c>
      <c r="F394" s="298">
        <f t="shared" ref="F394" si="91">+E394</f>
        <v>7.3319999999999999</v>
      </c>
      <c r="G394" s="235">
        <f>ROUND(D394*E394,2)</f>
        <v>3.81</v>
      </c>
      <c r="H394" s="270"/>
      <c r="I394" s="41"/>
      <c r="J394" s="41"/>
      <c r="K394" s="41"/>
      <c r="L394" s="606"/>
      <c r="M394" s="935"/>
      <c r="N394" s="663"/>
      <c r="O394" s="237"/>
      <c r="P394" s="275"/>
      <c r="Q394" s="238"/>
    </row>
    <row r="395" spans="1:18" ht="15.75" thickBot="1">
      <c r="A395" s="975"/>
      <c r="B395" s="665"/>
      <c r="C395" s="99" t="s">
        <v>29</v>
      </c>
      <c r="D395" s="613">
        <v>15</v>
      </c>
      <c r="E395" s="56">
        <v>7.3319999999999999</v>
      </c>
      <c r="F395" s="57"/>
      <c r="G395" s="247">
        <f t="shared" ref="G395" si="92">ROUND(D395*E395,2)</f>
        <v>109.98</v>
      </c>
      <c r="H395" s="613"/>
      <c r="I395" s="57"/>
      <c r="J395" s="57"/>
      <c r="K395" s="57"/>
      <c r="L395" s="614"/>
      <c r="M395" s="606"/>
      <c r="N395" s="57"/>
      <c r="O395" s="57"/>
      <c r="P395" s="57"/>
      <c r="Q395" s="666"/>
    </row>
    <row r="396" spans="1:18" ht="16.5" thickBot="1">
      <c r="A396" s="658">
        <v>311</v>
      </c>
      <c r="B396" s="602" t="s">
        <v>142</v>
      </c>
      <c r="C396" s="786" t="s">
        <v>73</v>
      </c>
      <c r="D396" s="787">
        <v>7.5</v>
      </c>
      <c r="E396" s="21">
        <v>40.556600000000003</v>
      </c>
      <c r="F396" s="21">
        <v>47.5304</v>
      </c>
      <c r="G396" s="214">
        <f>+D396*(E396+F396)</f>
        <v>660.65250000000003</v>
      </c>
      <c r="H396" s="687"/>
      <c r="I396" s="688"/>
      <c r="J396" s="670"/>
      <c r="K396" s="850"/>
      <c r="L396" s="603">
        <f>SUM(G396:G400,J396:J400)</f>
        <v>19649.272499999999</v>
      </c>
      <c r="M396" s="187">
        <v>19649.27</v>
      </c>
      <c r="N396" s="788"/>
      <c r="O396" s="789"/>
      <c r="P396" s="790"/>
      <c r="Q396" s="791"/>
    </row>
    <row r="397" spans="1:18" ht="15.75">
      <c r="A397" s="658"/>
      <c r="B397" s="602"/>
      <c r="C397" s="786" t="s">
        <v>264</v>
      </c>
      <c r="D397" s="787"/>
      <c r="E397" s="21"/>
      <c r="F397" s="21"/>
      <c r="G397" s="214">
        <f>+D397*(E397+F397)</f>
        <v>0</v>
      </c>
      <c r="H397" s="687"/>
      <c r="I397" s="688"/>
      <c r="J397" s="670"/>
      <c r="K397" s="850"/>
      <c r="L397" s="603"/>
      <c r="M397" s="187"/>
      <c r="N397" s="788"/>
      <c r="O397" s="789"/>
      <c r="P397" s="790"/>
      <c r="Q397" s="791"/>
    </row>
    <row r="398" spans="1:18" ht="15.75">
      <c r="A398" s="662"/>
      <c r="B398" s="939"/>
      <c r="C398" s="48" t="s">
        <v>260</v>
      </c>
      <c r="D398" s="269">
        <f>сент18!D388+сент18!D389</f>
        <v>2182.96</v>
      </c>
      <c r="E398" s="41">
        <f>7.332-6.6439</f>
        <v>0.68809999999999949</v>
      </c>
      <c r="F398" s="297">
        <f>+E398</f>
        <v>0.68809999999999949</v>
      </c>
      <c r="G398" s="235">
        <f>ROUND(D398*E398,2)</f>
        <v>1502.09</v>
      </c>
      <c r="H398" s="270"/>
      <c r="I398" s="688"/>
      <c r="J398" s="670"/>
      <c r="K398" s="689"/>
      <c r="L398" s="614"/>
      <c r="M398" s="273"/>
      <c r="N398" s="663"/>
      <c r="O398" s="237"/>
      <c r="P398" s="275"/>
      <c r="Q398" s="238"/>
    </row>
    <row r="399" spans="1:18" ht="15.75">
      <c r="A399" s="662"/>
      <c r="B399" s="506"/>
      <c r="C399" s="48" t="s">
        <v>263</v>
      </c>
      <c r="D399" s="269">
        <v>79.760000000000005</v>
      </c>
      <c r="E399" s="41">
        <v>7.3319999999999999</v>
      </c>
      <c r="F399" s="298">
        <f t="shared" ref="F399" si="93">+E399</f>
        <v>7.3319999999999999</v>
      </c>
      <c r="G399" s="235">
        <f t="shared" ref="G399:G400" si="94">ROUND(D399*E399,2)</f>
        <v>584.79999999999995</v>
      </c>
      <c r="H399" s="270"/>
      <c r="I399" s="41"/>
      <c r="J399" s="670"/>
      <c r="K399" s="689"/>
      <c r="L399" s="606"/>
      <c r="M399" s="935"/>
      <c r="N399" s="663"/>
      <c r="O399" s="237"/>
      <c r="P399" s="275"/>
      <c r="Q399" s="238"/>
    </row>
    <row r="400" spans="1:18" ht="15.75" thickBot="1">
      <c r="A400" s="975"/>
      <c r="B400" s="278"/>
      <c r="C400" s="54" t="s">
        <v>29</v>
      </c>
      <c r="D400" s="795">
        <v>2305.1999999999998</v>
      </c>
      <c r="E400" s="56">
        <v>7.3319999999999999</v>
      </c>
      <c r="F400" s="797"/>
      <c r="G400" s="798">
        <f t="shared" si="94"/>
        <v>16901.73</v>
      </c>
      <c r="H400" s="795"/>
      <c r="I400" s="797"/>
      <c r="J400" s="797"/>
      <c r="K400" s="797"/>
      <c r="L400" s="799"/>
      <c r="M400" s="976"/>
      <c r="N400" s="797"/>
      <c r="O400" s="797"/>
      <c r="P400" s="797"/>
      <c r="Q400" s="800"/>
    </row>
    <row r="401" spans="1:17" ht="15.75">
      <c r="A401" s="658">
        <v>500</v>
      </c>
      <c r="B401" s="659" t="s">
        <v>55</v>
      </c>
      <c r="C401" s="48" t="s">
        <v>260</v>
      </c>
      <c r="D401" s="259">
        <f>сент18!D391+сент18!D392</f>
        <v>2496.6</v>
      </c>
      <c r="E401" s="41">
        <f>7.332-6.6439</f>
        <v>0.68809999999999949</v>
      </c>
      <c r="F401" s="691">
        <f>+E401</f>
        <v>0.68809999999999949</v>
      </c>
      <c r="G401" s="214">
        <f>ROUND(D401*E401,2)</f>
        <v>1717.91</v>
      </c>
      <c r="H401" s="303"/>
      <c r="I401" s="23"/>
      <c r="J401" s="23"/>
      <c r="K401" s="23"/>
      <c r="L401" s="603">
        <f>SUM(G401:G403)</f>
        <v>21193.39</v>
      </c>
      <c r="M401" s="187">
        <v>21193.39</v>
      </c>
      <c r="N401" s="660"/>
      <c r="O401" s="217"/>
      <c r="P401" s="661"/>
      <c r="Q401" s="219"/>
    </row>
    <row r="402" spans="1:17" ht="15.75">
      <c r="A402" s="662" t="s">
        <v>211</v>
      </c>
      <c r="B402" s="35"/>
      <c r="C402" s="48" t="s">
        <v>263</v>
      </c>
      <c r="D402" s="269">
        <v>88.83</v>
      </c>
      <c r="E402" s="41">
        <v>7.3319999999999999</v>
      </c>
      <c r="F402" s="298">
        <f t="shared" ref="F402" si="95">+E402</f>
        <v>7.3319999999999999</v>
      </c>
      <c r="G402" s="235">
        <f>ROUND(D402*E402,2)</f>
        <v>651.29999999999995</v>
      </c>
      <c r="H402" s="270"/>
      <c r="I402" s="41"/>
      <c r="J402" s="41"/>
      <c r="K402" s="41"/>
      <c r="L402" s="606"/>
      <c r="M402" s="935"/>
      <c r="N402" s="663"/>
      <c r="O402" s="237"/>
      <c r="P402" s="275"/>
      <c r="Q402" s="238"/>
    </row>
    <row r="403" spans="1:17" ht="15.75" thickBot="1">
      <c r="A403" s="969"/>
      <c r="B403" s="665"/>
      <c r="C403" s="99" t="s">
        <v>29</v>
      </c>
      <c r="D403" s="613">
        <v>2567.4</v>
      </c>
      <c r="E403" s="56">
        <v>7.3319999999999999</v>
      </c>
      <c r="F403" s="57"/>
      <c r="G403" s="247">
        <f>ROUND(D403*E403,2)</f>
        <v>18824.18</v>
      </c>
      <c r="H403" s="613"/>
      <c r="I403" s="57"/>
      <c r="J403" s="57"/>
      <c r="K403" s="57"/>
      <c r="L403" s="614"/>
      <c r="M403" s="935"/>
      <c r="N403" s="57"/>
      <c r="O403" s="57"/>
      <c r="P403" s="57"/>
      <c r="Q403" s="666"/>
    </row>
    <row r="404" spans="1:17">
      <c r="A404" s="977"/>
    </row>
    <row r="405" spans="1:17">
      <c r="A405" s="977"/>
    </row>
    <row r="406" spans="1:17">
      <c r="A406" s="977"/>
    </row>
  </sheetData>
  <mergeCells count="41">
    <mergeCell ref="N257:Q257"/>
    <mergeCell ref="A375:A376"/>
    <mergeCell ref="B375:B376"/>
    <mergeCell ref="C375:C376"/>
    <mergeCell ref="D375:G375"/>
    <mergeCell ref="H375:K375"/>
    <mergeCell ref="L375:L376"/>
    <mergeCell ref="M375:M376"/>
    <mergeCell ref="N375:Q375"/>
    <mergeCell ref="M117:M118"/>
    <mergeCell ref="N117:Q117"/>
    <mergeCell ref="O251:Q251"/>
    <mergeCell ref="A257:A258"/>
    <mergeCell ref="B257:B258"/>
    <mergeCell ref="C257:C258"/>
    <mergeCell ref="D257:G257"/>
    <mergeCell ref="H257:K257"/>
    <mergeCell ref="L257:L258"/>
    <mergeCell ref="M257:M258"/>
    <mergeCell ref="A117:A118"/>
    <mergeCell ref="B117:B118"/>
    <mergeCell ref="C117:C118"/>
    <mergeCell ref="D117:G117"/>
    <mergeCell ref="H117:K117"/>
    <mergeCell ref="L117:L118"/>
    <mergeCell ref="M2:M3"/>
    <mergeCell ref="N2:P2"/>
    <mergeCell ref="A28:A29"/>
    <mergeCell ref="B28:B29"/>
    <mergeCell ref="C28:C29"/>
    <mergeCell ref="D28:G28"/>
    <mergeCell ref="H28:K28"/>
    <mergeCell ref="L28:L29"/>
    <mergeCell ref="M28:M29"/>
    <mergeCell ref="N28:P28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426"/>
  <sheetViews>
    <sheetView topLeftCell="A13" workbookViewId="0">
      <pane xSplit="3" topLeftCell="D1" activePane="topRight" state="frozen"/>
      <selection pane="topRight" activeCell="G20" sqref="G2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49</v>
      </c>
      <c r="E4" s="21">
        <v>40.556600000000003</v>
      </c>
      <c r="F4" s="21">
        <v>47.5304</v>
      </c>
      <c r="G4" s="22">
        <f>ROUND(D4*(E4+F4),2)</f>
        <v>4316.26</v>
      </c>
      <c r="H4" s="20"/>
      <c r="I4" s="23"/>
      <c r="J4" s="23"/>
      <c r="K4" s="24"/>
      <c r="L4" s="25">
        <f>SUM(G4:G8,J4:J7)</f>
        <v>121858.66</v>
      </c>
      <c r="M4" s="26">
        <v>121858.66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35"/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117542.40000000001</v>
      </c>
      <c r="S6" s="31"/>
      <c r="T6" s="32"/>
    </row>
    <row r="7" spans="1:22">
      <c r="A7" s="34"/>
      <c r="B7" s="35"/>
      <c r="C7" s="48" t="s">
        <v>263</v>
      </c>
      <c r="D7" s="49">
        <f>374.4+110.23</f>
        <v>484.63</v>
      </c>
      <c r="E7" s="41">
        <v>7.0643000000000002</v>
      </c>
      <c r="F7" s="41">
        <f>+E7</f>
        <v>7.0643000000000002</v>
      </c>
      <c r="G7" s="50">
        <f>ROUND(D7*E7,2)+0.01</f>
        <v>3423.5800000000004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117542.40000000001</v>
      </c>
    </row>
    <row r="8" spans="1:22" ht="15.75" thickBot="1">
      <c r="A8" s="52"/>
      <c r="B8" s="53"/>
      <c r="C8" s="99" t="s">
        <v>29</v>
      </c>
      <c r="D8" s="55">
        <f>12480+3674.3</f>
        <v>16154.3</v>
      </c>
      <c r="E8" s="56">
        <v>7.0643000000000002</v>
      </c>
      <c r="F8" s="57">
        <f>+E8</f>
        <v>7.0643000000000002</v>
      </c>
      <c r="G8" s="58">
        <f>ROUND(D8*E8,2)</f>
        <v>114118.82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114118.82</v>
      </c>
      <c r="R8" s="66" t="s">
        <v>25</v>
      </c>
      <c r="S8" s="67">
        <f>SUM(O4:O8)</f>
        <v>0</v>
      </c>
      <c r="T8" s="68">
        <f>SUM(Q4:Q8)</f>
        <v>114118.82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91</v>
      </c>
      <c r="E13" s="21">
        <v>40.556600000000003</v>
      </c>
      <c r="F13" s="21">
        <v>47.5304</v>
      </c>
      <c r="G13" s="22">
        <f>ROUND(D13*(E13+F13),2)</f>
        <v>8015.92</v>
      </c>
      <c r="H13" s="72"/>
      <c r="I13" s="21"/>
      <c r="J13" s="73"/>
      <c r="K13" s="24"/>
      <c r="L13" s="74">
        <f>SUM(G13:G20,J13:J19)</f>
        <v>65480.56</v>
      </c>
      <c r="M13" s="26">
        <v>65480.56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42</v>
      </c>
      <c r="E15" s="101">
        <v>461.99</v>
      </c>
      <c r="F15" s="38">
        <f>F13</f>
        <v>47.5304</v>
      </c>
      <c r="G15" s="39">
        <f>ROUND(D15*(E15+F15),2)</f>
        <v>21399.86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окт18!D15</f>
        <v>24</v>
      </c>
      <c r="E16" s="41">
        <f>461.99-237.98</f>
        <v>224.01000000000002</v>
      </c>
      <c r="F16" s="38"/>
      <c r="G16" s="50">
        <f>+D16*(E16+F16)</f>
        <v>5376.2400000000007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окт18!D19+окт18!D20</f>
        <v>5294.2</v>
      </c>
      <c r="E18" s="881">
        <f>7.1352-7.332</f>
        <v>-0.19679999999999964</v>
      </c>
      <c r="F18" s="41">
        <f>+E18</f>
        <v>-0.19679999999999964</v>
      </c>
      <c r="G18" s="50">
        <f>ROUND(D18*E18*70%+D18*F18*30%,2)-0.01</f>
        <v>-1041.9100000000001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17.18+107.19+5.16</f>
        <v>129.53</v>
      </c>
      <c r="E19" s="41">
        <v>7.1352000000000002</v>
      </c>
      <c r="F19" s="41">
        <f>E19</f>
        <v>7.1352000000000002</v>
      </c>
      <c r="G19" s="50">
        <f>ROUND(D19*E19*70%+D19*F19*30%,2)</f>
        <v>924.22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572.5+3573+172</f>
        <v>4317.5</v>
      </c>
      <c r="E20" s="56">
        <v>7.1352000000000002</v>
      </c>
      <c r="F20" s="109">
        <f>+E20</f>
        <v>7.1352000000000002</v>
      </c>
      <c r="G20" s="110">
        <f>ROUND(D20*E20*70%+D20*F20*30%,2)</f>
        <v>30806.23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>
        <v>0</v>
      </c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>
        <v>0</v>
      </c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>
        <v>0</v>
      </c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/>
      <c r="E27" s="41">
        <f>7.1352-7.332</f>
        <v>-0.19679999999999964</v>
      </c>
      <c r="F27" s="691">
        <f>+E27</f>
        <v>-0.19679999999999964</v>
      </c>
      <c r="G27" s="214">
        <f>ROUND(D27*E27,2)</f>
        <v>0</v>
      </c>
      <c r="H27" s="303"/>
      <c r="I27" s="23"/>
      <c r="J27" s="23"/>
      <c r="K27" s="23"/>
      <c r="L27" s="603">
        <f>SUM(G27:G29)</f>
        <v>16860.91</v>
      </c>
      <c r="M27" s="187">
        <v>16860.91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f>ROUND(D29*0.03,2)</f>
        <v>68.83</v>
      </c>
      <c r="E28" s="41">
        <v>7.1352000000000002</v>
      </c>
      <c r="F28" s="298">
        <f t="shared" ref="F28" si="0">+E28</f>
        <v>7.1352000000000002</v>
      </c>
      <c r="G28" s="235">
        <f>ROUND(D28*E28,2)</f>
        <v>491.12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2294.23</v>
      </c>
      <c r="E29" s="56">
        <v>7.1352000000000002</v>
      </c>
      <c r="F29" s="57"/>
      <c r="G29" s="247">
        <f>ROUND(D29*E29,2)</f>
        <v>16369.79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19" t="s">
        <v>10</v>
      </c>
      <c r="D32" s="6" t="s">
        <v>11</v>
      </c>
      <c r="E32" s="7" t="s">
        <v>12</v>
      </c>
      <c r="F32" s="7" t="s">
        <v>13</v>
      </c>
      <c r="G32" s="8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0">
      <c r="A33" s="888" t="s">
        <v>241</v>
      </c>
      <c r="B33" s="183" t="s">
        <v>242</v>
      </c>
      <c r="C33" s="439" t="s">
        <v>243</v>
      </c>
      <c r="D33" s="669">
        <v>0.16</v>
      </c>
      <c r="E33" s="23">
        <v>40.556600000000003</v>
      </c>
      <c r="F33" s="23">
        <v>47.5304</v>
      </c>
      <c r="G33" s="214">
        <f>ROUND(D33*(E33+F33),2)</f>
        <v>14.09</v>
      </c>
      <c r="H33" s="303"/>
      <c r="I33" s="23"/>
      <c r="J33" s="23"/>
      <c r="K33" s="304"/>
      <c r="L33" s="343">
        <f>SUM(G33:G34)+J33:J34</f>
        <v>14.09</v>
      </c>
      <c r="M33" s="187"/>
      <c r="N33" s="274"/>
      <c r="O33" s="237" t="s">
        <v>293</v>
      </c>
      <c r="P33" s="275"/>
      <c r="Q33" s="237"/>
      <c r="R33" s="242"/>
      <c r="S33" s="266"/>
      <c r="T33" s="266"/>
    </row>
    <row r="34" spans="1:20" ht="15.75" thickBot="1">
      <c r="A34" s="986"/>
      <c r="B34" s="202"/>
      <c r="C34" s="987" t="s">
        <v>260</v>
      </c>
      <c r="D34" s="613"/>
      <c r="E34" s="281"/>
      <c r="F34" s="281"/>
      <c r="G34" s="247">
        <f>ROUND(D34*(E34+F34),2)</f>
        <v>0</v>
      </c>
      <c r="H34" s="280"/>
      <c r="I34" s="281"/>
      <c r="J34" s="281"/>
      <c r="K34" s="28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0">
      <c r="A35" s="896">
        <v>202</v>
      </c>
      <c r="B35" s="192" t="s">
        <v>159</v>
      </c>
      <c r="C35" s="700" t="s">
        <v>260</v>
      </c>
      <c r="D35" s="985">
        <f>окт18!D33+окт18!D34</f>
        <v>117.53999999999999</v>
      </c>
      <c r="E35" s="261">
        <f>7.1352-7.332</f>
        <v>-0.19679999999999964</v>
      </c>
      <c r="F35" s="261">
        <f t="shared" ref="F35:F49" si="1">+E35</f>
        <v>-0.19679999999999964</v>
      </c>
      <c r="G35" s="195">
        <f>ROUND(D35*E35,2)-0.01</f>
        <v>-23.14</v>
      </c>
      <c r="H35" s="260"/>
      <c r="I35" s="261"/>
      <c r="J35" s="261"/>
      <c r="K35" s="262"/>
      <c r="L35" s="294">
        <f>SUM(G35:G37)</f>
        <v>723.99</v>
      </c>
      <c r="M35" s="227">
        <v>723.99</v>
      </c>
      <c r="N35" s="274"/>
      <c r="O35" s="237"/>
      <c r="P35" s="275"/>
      <c r="Q35" s="237"/>
      <c r="R35" s="242"/>
      <c r="S35" s="266"/>
      <c r="T35" s="266"/>
    </row>
    <row r="36" spans="1:20" ht="15.75">
      <c r="A36" s="896"/>
      <c r="B36" s="192"/>
      <c r="C36" s="48" t="s">
        <v>263</v>
      </c>
      <c r="D36" s="269">
        <v>1.1100000000000001</v>
      </c>
      <c r="E36" s="41">
        <v>7.1352000000000002</v>
      </c>
      <c r="F36" s="41">
        <f t="shared" si="1"/>
        <v>7.1352000000000002</v>
      </c>
      <c r="G36" s="235">
        <f t="shared" ref="G36:G37" si="2">ROUND(D36*E36,2)</f>
        <v>7.92</v>
      </c>
      <c r="H36" s="270"/>
      <c r="I36" s="41"/>
      <c r="J36" s="41"/>
      <c r="K36" s="271"/>
      <c r="L36" s="272"/>
      <c r="M36" s="273"/>
      <c r="N36" s="274"/>
      <c r="O36" s="237"/>
      <c r="P36" s="275"/>
      <c r="Q36" s="237"/>
      <c r="R36" s="242"/>
      <c r="S36" s="266"/>
      <c r="T36" s="266"/>
    </row>
    <row r="37" spans="1:20" ht="16.5" thickBot="1">
      <c r="A37" s="891"/>
      <c r="B37" s="887"/>
      <c r="C37" s="54" t="s">
        <v>29</v>
      </c>
      <c r="D37" s="279">
        <v>103.6</v>
      </c>
      <c r="E37" s="56">
        <v>7.1352000000000002</v>
      </c>
      <c r="F37" s="57">
        <f t="shared" si="1"/>
        <v>7.1352000000000002</v>
      </c>
      <c r="G37" s="247">
        <f t="shared" si="2"/>
        <v>739.21</v>
      </c>
      <c r="H37" s="280"/>
      <c r="I37" s="281"/>
      <c r="J37" s="281"/>
      <c r="K37" s="282"/>
      <c r="L37" s="204"/>
      <c r="M37" s="250"/>
      <c r="N37" s="283"/>
      <c r="O37" s="252"/>
      <c r="P37" s="284"/>
      <c r="Q37" s="252"/>
      <c r="R37" s="242"/>
      <c r="S37" s="266"/>
      <c r="T37" s="266"/>
    </row>
    <row r="38" spans="1:20" ht="15.75" hidden="1" thickBot="1">
      <c r="A38" s="892">
        <v>204</v>
      </c>
      <c r="B38" s="183" t="s">
        <v>137</v>
      </c>
      <c r="C38" s="439" t="s">
        <v>260</v>
      </c>
      <c r="D38" s="296"/>
      <c r="E38" s="41">
        <f>6.6439-6.7023</f>
        <v>-5.8399999999999785E-2</v>
      </c>
      <c r="F38" s="41">
        <f t="shared" si="1"/>
        <v>-5.8399999999999785E-2</v>
      </c>
      <c r="G38" s="235">
        <f>ROUND(D38*E38,2)</f>
        <v>0</v>
      </c>
      <c r="H38" s="270"/>
      <c r="I38" s="41"/>
      <c r="J38" s="41"/>
      <c r="K38" s="271"/>
      <c r="L38" s="294">
        <f>SUM(G38:G40)</f>
        <v>0</v>
      </c>
      <c r="M38" s="227"/>
      <c r="N38" s="274"/>
      <c r="O38" s="237"/>
      <c r="P38" s="275"/>
      <c r="Q38" s="237"/>
      <c r="R38" s="242"/>
      <c r="S38" s="266"/>
      <c r="T38" s="266"/>
    </row>
    <row r="39" spans="1:20" ht="16.5" hidden="1" thickBot="1">
      <c r="A39" s="896"/>
      <c r="B39" s="991" t="s">
        <v>275</v>
      </c>
      <c r="C39" s="48" t="s">
        <v>263</v>
      </c>
      <c r="D39" s="269"/>
      <c r="E39" s="41">
        <v>6.6439000000000004</v>
      </c>
      <c r="F39" s="41">
        <f t="shared" si="1"/>
        <v>6.6439000000000004</v>
      </c>
      <c r="G39" s="235">
        <f>ROUND(D39*E39,2)</f>
        <v>0</v>
      </c>
      <c r="H39" s="270"/>
      <c r="I39" s="41"/>
      <c r="J39" s="41"/>
      <c r="K39" s="271"/>
      <c r="L39" s="272"/>
      <c r="M39" s="273"/>
      <c r="N39" s="274"/>
      <c r="O39" s="237"/>
      <c r="P39" s="275"/>
      <c r="Q39" s="237"/>
      <c r="R39" s="242"/>
      <c r="S39" s="266"/>
      <c r="T39" s="266"/>
    </row>
    <row r="40" spans="1:20" ht="16.5" hidden="1" thickBot="1">
      <c r="A40" s="891"/>
      <c r="B40" s="887"/>
      <c r="C40" s="54" t="s">
        <v>29</v>
      </c>
      <c r="D40" s="279"/>
      <c r="E40" s="56">
        <v>6.6439000000000004</v>
      </c>
      <c r="F40" s="57">
        <f t="shared" si="1"/>
        <v>6.6439000000000004</v>
      </c>
      <c r="G40" s="247">
        <f>ROUND(D40*E40,2)</f>
        <v>0</v>
      </c>
      <c r="H40" s="280"/>
      <c r="I40" s="281"/>
      <c r="J40" s="281"/>
      <c r="K40" s="282"/>
      <c r="L40" s="204"/>
      <c r="M40" s="250"/>
      <c r="N40" s="283"/>
      <c r="O40" s="252"/>
      <c r="P40" s="284"/>
      <c r="Q40" s="252"/>
      <c r="R40" s="242"/>
      <c r="S40" s="266"/>
      <c r="T40" s="266"/>
    </row>
    <row r="41" spans="1:20">
      <c r="A41" s="892">
        <v>204</v>
      </c>
      <c r="B41" s="183" t="s">
        <v>289</v>
      </c>
      <c r="C41" s="439" t="s">
        <v>260</v>
      </c>
      <c r="D41" s="296">
        <f>окт18!D39+окт18!D40</f>
        <v>149.99</v>
      </c>
      <c r="E41" s="41">
        <f>7.1352-7.332</f>
        <v>-0.19679999999999964</v>
      </c>
      <c r="F41" s="41">
        <f t="shared" si="1"/>
        <v>-0.19679999999999964</v>
      </c>
      <c r="G41" s="235">
        <f>ROUND(D41*E41,2)+0.01</f>
        <v>-29.509999999999998</v>
      </c>
      <c r="H41" s="270"/>
      <c r="I41" s="41"/>
      <c r="J41" s="41"/>
      <c r="K41" s="271"/>
      <c r="L41" s="294">
        <f>SUM(G41:G43)</f>
        <v>1120.75</v>
      </c>
      <c r="M41" s="227">
        <v>1120.75</v>
      </c>
      <c r="N41" s="274"/>
      <c r="O41" s="237"/>
      <c r="P41" s="275"/>
      <c r="Q41" s="237"/>
      <c r="R41" s="242"/>
      <c r="S41" s="266"/>
      <c r="T41" s="266"/>
    </row>
    <row r="42" spans="1:20" ht="15.75">
      <c r="A42" s="896"/>
      <c r="B42" s="192"/>
      <c r="C42" s="48" t="s">
        <v>263</v>
      </c>
      <c r="D42" s="269">
        <v>1.71</v>
      </c>
      <c r="E42" s="41">
        <v>7.1352000000000002</v>
      </c>
      <c r="F42" s="41">
        <f t="shared" si="1"/>
        <v>7.1352000000000002</v>
      </c>
      <c r="G42" s="235">
        <f>ROUND(D42*E42,2)</f>
        <v>12.2</v>
      </c>
      <c r="H42" s="270"/>
      <c r="I42" s="41"/>
      <c r="J42" s="41"/>
      <c r="K42" s="271"/>
      <c r="L42" s="272"/>
      <c r="M42" s="273"/>
      <c r="N42" s="274"/>
      <c r="O42" s="237"/>
      <c r="P42" s="275"/>
      <c r="Q42" s="237"/>
      <c r="R42" s="242"/>
      <c r="S42" s="266"/>
      <c r="T42" s="266"/>
    </row>
    <row r="43" spans="1:20" ht="16.5" thickBot="1">
      <c r="A43" s="891"/>
      <c r="B43" s="887"/>
      <c r="C43" s="54" t="s">
        <v>29</v>
      </c>
      <c r="D43" s="279">
        <v>159.5</v>
      </c>
      <c r="E43" s="56">
        <v>7.1352000000000002</v>
      </c>
      <c r="F43" s="57">
        <f t="shared" si="1"/>
        <v>7.1352000000000002</v>
      </c>
      <c r="G43" s="247">
        <f t="shared" ref="G43" si="3">ROUND(D43*E43,2)</f>
        <v>1138.06</v>
      </c>
      <c r="H43" s="280"/>
      <c r="I43" s="281"/>
      <c r="J43" s="281"/>
      <c r="K43" s="282"/>
      <c r="L43" s="204"/>
      <c r="M43" s="250"/>
      <c r="N43" s="283"/>
      <c r="O43" s="252"/>
      <c r="P43" s="284"/>
      <c r="Q43" s="252"/>
      <c r="R43" s="242"/>
      <c r="S43" s="266"/>
      <c r="T43" s="266"/>
    </row>
    <row r="44" spans="1:20">
      <c r="A44" s="892">
        <v>210</v>
      </c>
      <c r="B44" s="183" t="s">
        <v>245</v>
      </c>
      <c r="C44" s="439" t="s">
        <v>260</v>
      </c>
      <c r="D44" s="296">
        <f>окт18!D42+окт18!D43</f>
        <v>284.51</v>
      </c>
      <c r="E44" s="41">
        <f>7.1352-7.332</f>
        <v>-0.19679999999999964</v>
      </c>
      <c r="F44" s="41">
        <f t="shared" si="1"/>
        <v>-0.19679999999999964</v>
      </c>
      <c r="G44" s="235">
        <f>ROUND(D44*E44,2)</f>
        <v>-55.99</v>
      </c>
      <c r="H44" s="270"/>
      <c r="I44" s="41"/>
      <c r="J44" s="41"/>
      <c r="K44" s="271"/>
      <c r="L44" s="294">
        <f>SUM(G44:G46)</f>
        <v>1749.0700000000002</v>
      </c>
      <c r="M44" s="227">
        <v>1749.07</v>
      </c>
      <c r="N44" s="274"/>
      <c r="O44" s="237"/>
      <c r="P44" s="275"/>
      <c r="Q44" s="237"/>
      <c r="R44" s="242"/>
      <c r="S44" s="266"/>
      <c r="T44" s="266"/>
    </row>
    <row r="45" spans="1:20" ht="15.75">
      <c r="A45" s="896"/>
      <c r="B45" s="192"/>
      <c r="C45" s="48" t="s">
        <v>263</v>
      </c>
      <c r="D45" s="269">
        <v>2.68</v>
      </c>
      <c r="E45" s="41">
        <v>7.1352000000000002</v>
      </c>
      <c r="F45" s="41">
        <f t="shared" si="1"/>
        <v>7.1352000000000002</v>
      </c>
      <c r="G45" s="235">
        <f>ROUND(D45*E45,2)</f>
        <v>19.12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0" ht="16.5" thickBot="1">
      <c r="A46" s="891"/>
      <c r="B46" s="887"/>
      <c r="C46" s="54" t="s">
        <v>29</v>
      </c>
      <c r="D46" s="279">
        <v>250.3</v>
      </c>
      <c r="E46" s="56">
        <v>7.1352000000000002</v>
      </c>
      <c r="F46" s="57">
        <f t="shared" si="1"/>
        <v>7.1352000000000002</v>
      </c>
      <c r="G46" s="247">
        <f t="shared" ref="G46" si="4">ROUND(D46*E46,2)</f>
        <v>1785.94</v>
      </c>
      <c r="H46" s="280"/>
      <c r="I46" s="281"/>
      <c r="J46" s="281"/>
      <c r="K46" s="282"/>
      <c r="L46" s="204"/>
      <c r="M46" s="250"/>
      <c r="N46" s="283"/>
      <c r="O46" s="252"/>
      <c r="P46" s="284"/>
      <c r="Q46" s="252"/>
      <c r="R46" s="242"/>
      <c r="S46" s="266"/>
      <c r="T46" s="266"/>
    </row>
    <row r="47" spans="1:20">
      <c r="A47" s="892">
        <v>213</v>
      </c>
      <c r="B47" s="183" t="s">
        <v>262</v>
      </c>
      <c r="C47" s="439" t="s">
        <v>260</v>
      </c>
      <c r="D47" s="296">
        <f>окт18!D45+окт18!D46</f>
        <v>153.53</v>
      </c>
      <c r="E47" s="41">
        <f>7.1352-7.332</f>
        <v>-0.19679999999999964</v>
      </c>
      <c r="F47" s="41">
        <f t="shared" si="1"/>
        <v>-0.19679999999999964</v>
      </c>
      <c r="G47" s="235">
        <f>ROUND(D47*E47,2)-0.01</f>
        <v>-30.220000000000002</v>
      </c>
      <c r="H47" s="270"/>
      <c r="I47" s="41"/>
      <c r="J47" s="41"/>
      <c r="K47" s="271"/>
      <c r="L47" s="294">
        <f>SUM(G47:G49)</f>
        <v>827.22</v>
      </c>
      <c r="M47" s="227">
        <v>827.22</v>
      </c>
      <c r="N47" s="274"/>
      <c r="O47" s="237"/>
      <c r="P47" s="275"/>
      <c r="Q47" s="237"/>
      <c r="R47" s="242"/>
      <c r="S47" s="266"/>
      <c r="T47" s="266"/>
    </row>
    <row r="48" spans="1:20" ht="15.75">
      <c r="A48" s="896"/>
      <c r="B48" s="192"/>
      <c r="C48" s="48" t="s">
        <v>263</v>
      </c>
      <c r="D48" s="269">
        <v>1.27</v>
      </c>
      <c r="E48" s="41">
        <v>7.1352000000000002</v>
      </c>
      <c r="F48" s="41">
        <f t="shared" si="1"/>
        <v>7.1352000000000002</v>
      </c>
      <c r="G48" s="235">
        <f>ROUND(D48*E48,2)</f>
        <v>9.06</v>
      </c>
      <c r="H48" s="270"/>
      <c r="I48" s="41"/>
      <c r="J48" s="41"/>
      <c r="K48" s="271"/>
      <c r="L48" s="272"/>
      <c r="M48" s="273"/>
      <c r="N48" s="274"/>
      <c r="O48" s="237"/>
      <c r="P48" s="275"/>
      <c r="Q48" s="237"/>
      <c r="R48" s="242"/>
      <c r="S48" s="266"/>
      <c r="T48" s="266"/>
    </row>
    <row r="49" spans="1:21" ht="16.5" thickBot="1">
      <c r="A49" s="891"/>
      <c r="B49" s="887"/>
      <c r="C49" s="54" t="s">
        <v>29</v>
      </c>
      <c r="D49" s="279">
        <v>118.9</v>
      </c>
      <c r="E49" s="56">
        <v>7.1352000000000002</v>
      </c>
      <c r="F49" s="57">
        <f t="shared" si="1"/>
        <v>7.1352000000000002</v>
      </c>
      <c r="G49" s="247">
        <f t="shared" ref="G49" si="5">ROUND(D49*E49,2)</f>
        <v>848.38</v>
      </c>
      <c r="H49" s="280"/>
      <c r="I49" s="281"/>
      <c r="J49" s="281"/>
      <c r="K49" s="282"/>
      <c r="L49" s="204"/>
      <c r="M49" s="250"/>
      <c r="N49" s="283"/>
      <c r="O49" s="252"/>
      <c r="P49" s="284"/>
      <c r="Q49" s="252"/>
      <c r="R49" s="242"/>
      <c r="S49" s="266"/>
      <c r="T49" s="266"/>
    </row>
    <row r="50" spans="1:21">
      <c r="A50" s="892">
        <v>215</v>
      </c>
      <c r="B50" s="183" t="s">
        <v>189</v>
      </c>
      <c r="C50" s="71" t="s">
        <v>243</v>
      </c>
      <c r="D50" s="213">
        <v>0</v>
      </c>
      <c r="E50" s="21">
        <v>40.556600000000003</v>
      </c>
      <c r="F50" s="21">
        <v>47.5304</v>
      </c>
      <c r="G50" s="214">
        <f>ROUND(D50*(E50+F50),2)</f>
        <v>0</v>
      </c>
      <c r="H50" s="213"/>
      <c r="I50" s="194"/>
      <c r="J50" s="215"/>
      <c r="K50" s="679"/>
      <c r="L50" s="216">
        <f>SUM(G50:G57)+SUM(J50:J57)</f>
        <v>2938.23</v>
      </c>
      <c r="M50" s="187">
        <v>2938.23</v>
      </c>
      <c r="N50" s="188"/>
      <c r="O50" s="217"/>
      <c r="P50" s="218"/>
      <c r="Q50" s="219"/>
      <c r="R50" s="220"/>
      <c r="S50" s="221"/>
      <c r="T50" s="222"/>
      <c r="U50" s="33"/>
    </row>
    <row r="51" spans="1:21">
      <c r="A51" s="890"/>
      <c r="B51" s="872"/>
      <c r="C51" s="84" t="s">
        <v>26</v>
      </c>
      <c r="D51" s="37"/>
      <c r="E51" s="38"/>
      <c r="F51" s="38"/>
      <c r="G51" s="39">
        <f>ROUND(D51*(E51+F51),2)</f>
        <v>0</v>
      </c>
      <c r="H51" s="225"/>
      <c r="I51" s="194"/>
      <c r="J51" s="194"/>
      <c r="K51" s="226"/>
      <c r="L51" s="196"/>
      <c r="M51" s="227"/>
      <c r="N51" s="228"/>
      <c r="O51" s="229"/>
      <c r="P51" s="230"/>
      <c r="Q51" s="231"/>
      <c r="R51" s="232"/>
      <c r="S51" s="233"/>
      <c r="T51" s="224"/>
      <c r="U51" s="33"/>
    </row>
    <row r="52" spans="1:21">
      <c r="A52" s="890"/>
      <c r="B52" s="873" t="s">
        <v>32</v>
      </c>
      <c r="C52" s="99" t="s">
        <v>33</v>
      </c>
      <c r="D52" s="234">
        <v>0</v>
      </c>
      <c r="E52" s="101">
        <v>148.66999999999999</v>
      </c>
      <c r="F52" s="38">
        <f>F50</f>
        <v>47.5304</v>
      </c>
      <c r="G52" s="235">
        <f>ROUND(D52*(E52+F52),2)</f>
        <v>0</v>
      </c>
      <c r="H52" s="234"/>
      <c r="I52" s="194"/>
      <c r="J52" s="194"/>
      <c r="K52" s="195"/>
      <c r="L52" s="196"/>
      <c r="M52" s="227"/>
      <c r="N52" s="236"/>
      <c r="O52" s="237"/>
      <c r="P52" s="230"/>
      <c r="Q52" s="238"/>
      <c r="R52" s="232"/>
      <c r="S52" s="233"/>
      <c r="T52" s="224"/>
    </row>
    <row r="53" spans="1:21">
      <c r="A53" s="890"/>
      <c r="B53" s="872" t="s">
        <v>33</v>
      </c>
      <c r="C53" s="239" t="s">
        <v>26</v>
      </c>
      <c r="D53" s="234"/>
      <c r="E53" s="240"/>
      <c r="F53" s="240"/>
      <c r="G53" s="235">
        <f>+ROUND(D53*E53,2)</f>
        <v>0</v>
      </c>
      <c r="H53" s="241"/>
      <c r="I53" s="194"/>
      <c r="J53" s="194"/>
      <c r="K53" s="195"/>
      <c r="L53" s="196"/>
      <c r="M53" s="227"/>
      <c r="N53" s="236"/>
      <c r="O53" s="237"/>
      <c r="P53" s="230"/>
      <c r="Q53" s="238"/>
      <c r="R53" s="242"/>
      <c r="S53" s="233"/>
      <c r="T53" s="224"/>
    </row>
    <row r="54" spans="1:21">
      <c r="A54" s="890"/>
      <c r="B54" s="872"/>
      <c r="C54" s="239" t="s">
        <v>26</v>
      </c>
      <c r="D54" s="234"/>
      <c r="E54" s="240"/>
      <c r="F54" s="41"/>
      <c r="G54" s="235">
        <f>+ROUND(D54*F54,2)</f>
        <v>0</v>
      </c>
      <c r="H54" s="241"/>
      <c r="I54" s="194"/>
      <c r="J54" s="194"/>
      <c r="K54" s="195"/>
      <c r="L54" s="196"/>
      <c r="M54" s="227"/>
      <c r="N54" s="236"/>
      <c r="O54" s="237"/>
      <c r="P54" s="230"/>
      <c r="Q54" s="238"/>
      <c r="R54" s="242"/>
      <c r="S54" s="233"/>
      <c r="T54" s="224"/>
    </row>
    <row r="55" spans="1:21">
      <c r="A55" s="890"/>
      <c r="B55" s="872"/>
      <c r="C55" s="48" t="s">
        <v>260</v>
      </c>
      <c r="D55" s="49">
        <f>окт18!D53+окт18!D54</f>
        <v>449.46</v>
      </c>
      <c r="E55" s="41">
        <f>7.1352-7.332</f>
        <v>-0.19679999999999964</v>
      </c>
      <c r="F55" s="41">
        <f t="shared" ref="F55:F60" si="6">+E55</f>
        <v>-0.19679999999999964</v>
      </c>
      <c r="G55" s="50">
        <f>ROUND(D55*E55,2)</f>
        <v>-88.45</v>
      </c>
      <c r="H55" s="241"/>
      <c r="I55" s="194"/>
      <c r="J55" s="194"/>
      <c r="K55" s="195"/>
      <c r="L55" s="196"/>
      <c r="M55" s="227"/>
      <c r="N55" s="236"/>
      <c r="O55" s="237"/>
      <c r="P55" s="230"/>
      <c r="Q55" s="238"/>
      <c r="R55" s="242"/>
      <c r="S55" s="233"/>
      <c r="T55" s="224"/>
    </row>
    <row r="56" spans="1:21">
      <c r="A56" s="890"/>
      <c r="B56" s="872"/>
      <c r="C56" s="48" t="s">
        <v>263</v>
      </c>
      <c r="D56" s="49">
        <v>4.49</v>
      </c>
      <c r="E56" s="41">
        <v>7.1352000000000002</v>
      </c>
      <c r="F56" s="41">
        <f t="shared" si="6"/>
        <v>7.1352000000000002</v>
      </c>
      <c r="G56" s="50">
        <f>ROUND(D56*E56,2)</f>
        <v>32.04</v>
      </c>
      <c r="H56" s="241"/>
      <c r="I56" s="194"/>
      <c r="J56" s="243"/>
      <c r="K56" s="195"/>
      <c r="L56" s="196"/>
      <c r="M56" s="227"/>
      <c r="N56" s="236"/>
      <c r="O56" s="237"/>
      <c r="P56" s="230"/>
      <c r="Q56" s="238"/>
      <c r="R56" s="242"/>
      <c r="S56" s="233"/>
      <c r="T56" s="224"/>
      <c r="U56" s="33"/>
    </row>
    <row r="57" spans="1:21" ht="15.75" thickBot="1">
      <c r="A57" s="897"/>
      <c r="B57" s="875"/>
      <c r="C57" s="99" t="s">
        <v>29</v>
      </c>
      <c r="D57" s="246">
        <v>419.7</v>
      </c>
      <c r="E57" s="56">
        <v>7.1352000000000002</v>
      </c>
      <c r="F57" s="57">
        <f t="shared" si="6"/>
        <v>7.1352000000000002</v>
      </c>
      <c r="G57" s="247">
        <f>ROUND(D57*E57*70%+D57*F57*30%,2)</f>
        <v>2994.64</v>
      </c>
      <c r="H57" s="248"/>
      <c r="I57" s="203"/>
      <c r="J57" s="60"/>
      <c r="K57" s="61"/>
      <c r="L57" s="249"/>
      <c r="M57" s="250"/>
      <c r="N57" s="251"/>
      <c r="O57" s="252"/>
      <c r="P57" s="253"/>
      <c r="Q57" s="254"/>
      <c r="R57" s="255"/>
      <c r="S57" s="256"/>
      <c r="T57" s="256"/>
    </row>
    <row r="58" spans="1:21" ht="15.75" thickTop="1">
      <c r="A58" s="892">
        <v>217</v>
      </c>
      <c r="B58" s="183" t="s">
        <v>269</v>
      </c>
      <c r="C58" s="439" t="s">
        <v>260</v>
      </c>
      <c r="D58" s="296">
        <f>окт18!D56+окт18!D57</f>
        <v>28.7</v>
      </c>
      <c r="E58" s="41">
        <f>7.1352-7.332</f>
        <v>-0.19679999999999964</v>
      </c>
      <c r="F58" s="41">
        <f t="shared" si="6"/>
        <v>-0.19679999999999964</v>
      </c>
      <c r="G58" s="235">
        <f>ROUND(D58*E58,2)</f>
        <v>-5.65</v>
      </c>
      <c r="H58" s="270"/>
      <c r="I58" s="41"/>
      <c r="J58" s="41"/>
      <c r="K58" s="271"/>
      <c r="L58" s="294">
        <f>SUM(G58:G60)</f>
        <v>235.95</v>
      </c>
      <c r="M58" s="227">
        <v>235.95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192"/>
      <c r="C59" s="48" t="s">
        <v>263</v>
      </c>
      <c r="D59" s="269">
        <v>0.36</v>
      </c>
      <c r="E59" s="41">
        <v>7.1352000000000002</v>
      </c>
      <c r="F59" s="41">
        <f t="shared" si="6"/>
        <v>7.1352000000000002</v>
      </c>
      <c r="G59" s="235">
        <f>ROUND(D59*E59,2)</f>
        <v>2.57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33.5</v>
      </c>
      <c r="E60" s="56">
        <v>7.1352000000000002</v>
      </c>
      <c r="F60" s="57">
        <f t="shared" si="6"/>
        <v>7.1352000000000002</v>
      </c>
      <c r="G60" s="247">
        <f t="shared" ref="G60" si="7">ROUND(D60*E60,2)</f>
        <v>239.03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 ht="15.75" collapsed="1" thickBot="1">
      <c r="A61" s="891">
        <v>309</v>
      </c>
      <c r="B61" s="887" t="s">
        <v>251</v>
      </c>
      <c r="C61" s="54" t="s">
        <v>260</v>
      </c>
      <c r="D61" s="296">
        <f>окт18!D59+окт18!D60</f>
        <v>392.25</v>
      </c>
      <c r="E61" s="41">
        <f>7.1352-7.332</f>
        <v>-0.19679999999999964</v>
      </c>
      <c r="F61" s="41">
        <f>+E61</f>
        <v>-0.19679999999999964</v>
      </c>
      <c r="G61" s="235">
        <f>ROUND(D61*E61,2)</f>
        <v>-77.19</v>
      </c>
      <c r="H61" s="270"/>
      <c r="I61" s="41"/>
      <c r="J61" s="41"/>
      <c r="K61" s="271"/>
      <c r="L61" s="294">
        <f>SUM(G61:G63)</f>
        <v>2392.0100000000002</v>
      </c>
      <c r="M61" s="227">
        <v>2392.0100000000002</v>
      </c>
      <c r="N61" s="274"/>
      <c r="O61" s="237"/>
      <c r="P61" s="275"/>
      <c r="Q61" s="237"/>
      <c r="R61" s="242"/>
      <c r="S61" s="266"/>
      <c r="T61" s="266"/>
    </row>
    <row r="62" spans="1:21" ht="15.75">
      <c r="A62" s="896"/>
      <c r="B62" s="885"/>
      <c r="C62" s="48" t="s">
        <v>263</v>
      </c>
      <c r="D62" s="269">
        <v>3.66</v>
      </c>
      <c r="E62" s="41">
        <v>7.1352000000000002</v>
      </c>
      <c r="F62" s="41">
        <f>+E62</f>
        <v>7.1352000000000002</v>
      </c>
      <c r="G62" s="235">
        <f t="shared" ref="G62:G63" si="8">ROUND(D62*E62,2)</f>
        <v>26.11</v>
      </c>
      <c r="H62" s="270"/>
      <c r="I62" s="41"/>
      <c r="J62" s="41"/>
      <c r="K62" s="271"/>
      <c r="L62" s="272"/>
      <c r="M62" s="273"/>
      <c r="N62" s="274"/>
      <c r="O62" s="237"/>
      <c r="P62" s="275"/>
      <c r="Q62" s="237"/>
      <c r="R62" s="242"/>
      <c r="S62" s="266"/>
      <c r="T62" s="266"/>
    </row>
    <row r="63" spans="1:21" ht="16.5" thickBot="1">
      <c r="A63" s="891"/>
      <c r="B63" s="887"/>
      <c r="C63" s="54" t="s">
        <v>29</v>
      </c>
      <c r="D63" s="279">
        <v>342.4</v>
      </c>
      <c r="E63" s="56">
        <v>7.1352000000000002</v>
      </c>
      <c r="F63" s="57">
        <f>+E63</f>
        <v>7.1352000000000002</v>
      </c>
      <c r="G63" s="247">
        <f t="shared" si="8"/>
        <v>2443.09</v>
      </c>
      <c r="H63" s="280"/>
      <c r="I63" s="281"/>
      <c r="J63" s="281"/>
      <c r="K63" s="282"/>
      <c r="L63" s="204"/>
      <c r="M63" s="250"/>
      <c r="N63" s="283"/>
      <c r="O63" s="252"/>
      <c r="P63" s="284"/>
      <c r="Q63" s="252"/>
      <c r="R63" s="242"/>
      <c r="S63" s="266"/>
      <c r="T63" s="266"/>
    </row>
    <row r="64" spans="1:21">
      <c r="A64" s="888">
        <v>314</v>
      </c>
      <c r="B64" s="889" t="s">
        <v>52</v>
      </c>
      <c r="C64" s="71">
        <v>0</v>
      </c>
      <c r="D64" s="213">
        <v>152.47399999999999</v>
      </c>
      <c r="E64" s="21">
        <v>40.556600000000003</v>
      </c>
      <c r="F64" s="21">
        <v>47.5304</v>
      </c>
      <c r="G64" s="214">
        <f>ROUND(D64*(E64+F64),2)</f>
        <v>13430.98</v>
      </c>
      <c r="H64" s="213"/>
      <c r="J64" s="215"/>
      <c r="K64" s="679"/>
      <c r="L64" s="216">
        <f>SUM(G64:G71)+SUM(J64:J71)</f>
        <v>74790.25</v>
      </c>
      <c r="M64" s="187">
        <v>74790.25</v>
      </c>
      <c r="N64" s="188"/>
      <c r="O64" s="217">
        <v>4253.6899999999996</v>
      </c>
      <c r="P64" s="218" t="s">
        <v>47</v>
      </c>
      <c r="Q64" s="219">
        <f t="shared" ref="Q64" si="9">C64+G64+J64-M64-N64-O64</f>
        <v>-65612.960000000006</v>
      </c>
      <c r="R64" s="220" t="s">
        <v>53</v>
      </c>
      <c r="S64" s="221"/>
      <c r="T64" s="222"/>
      <c r="U64" s="33">
        <f>+C64+L64-M64</f>
        <v>0</v>
      </c>
    </row>
    <row r="65" spans="1:21" ht="15.75" thickBot="1">
      <c r="A65" s="890"/>
      <c r="B65" s="872"/>
      <c r="C65" s="84" t="s">
        <v>26</v>
      </c>
      <c r="D65" s="37"/>
      <c r="E65" s="38"/>
      <c r="F65" s="38"/>
      <c r="G65" s="39">
        <f>ROUND(D65*(E65+F65),2)</f>
        <v>0</v>
      </c>
      <c r="H65" s="225"/>
      <c r="I65" s="194"/>
      <c r="J65" s="194"/>
      <c r="K65" s="226"/>
      <c r="L65" s="196"/>
      <c r="M65" s="227"/>
      <c r="N65" s="228"/>
      <c r="O65" s="229"/>
      <c r="P65" s="230"/>
      <c r="Q65" s="231"/>
      <c r="R65" s="232"/>
      <c r="S65" s="233"/>
      <c r="T65" s="224"/>
      <c r="U65" s="33"/>
    </row>
    <row r="66" spans="1:21">
      <c r="A66" s="890"/>
      <c r="B66" s="873" t="s">
        <v>32</v>
      </c>
      <c r="C66" s="99" t="s">
        <v>33</v>
      </c>
      <c r="D66" s="234">
        <v>0</v>
      </c>
      <c r="E66" s="101">
        <v>148.66999999999999</v>
      </c>
      <c r="F66" s="21">
        <v>47.5304</v>
      </c>
      <c r="G66" s="235">
        <f>ROUND(D66*(E66+F66),2)</f>
        <v>0</v>
      </c>
      <c r="H66" s="234"/>
      <c r="I66" s="194"/>
      <c r="J66" s="194"/>
      <c r="K66" s="195"/>
      <c r="L66" s="196"/>
      <c r="M66" s="227"/>
      <c r="N66" s="236"/>
      <c r="O66" s="237">
        <v>5456.6</v>
      </c>
      <c r="P66" s="230" t="s">
        <v>47</v>
      </c>
      <c r="Q66" s="238">
        <f>+G66+J66-M66-N66-O66</f>
        <v>-5456.6</v>
      </c>
      <c r="R66" s="232"/>
      <c r="S66" s="233"/>
      <c r="T66" s="224"/>
    </row>
    <row r="67" spans="1:21">
      <c r="A67" s="890"/>
      <c r="B67" s="872" t="s">
        <v>33</v>
      </c>
      <c r="C67" s="239" t="s">
        <v>26</v>
      </c>
      <c r="D67" s="234">
        <f>окт18!D63</f>
        <v>0</v>
      </c>
      <c r="E67" s="240"/>
      <c r="F67" s="240"/>
      <c r="G67" s="235">
        <f>+ROUND(D67*E67,2)</f>
        <v>0</v>
      </c>
      <c r="H67" s="241"/>
      <c r="I67" s="194"/>
      <c r="J67" s="194"/>
      <c r="K67" s="195"/>
      <c r="L67" s="196"/>
      <c r="M67" s="227"/>
      <c r="N67" s="236"/>
      <c r="O67" s="237"/>
      <c r="P67" s="230"/>
      <c r="Q67" s="238"/>
      <c r="R67" s="242"/>
      <c r="S67" s="233"/>
      <c r="T67" s="224"/>
    </row>
    <row r="68" spans="1:21">
      <c r="A68" s="890"/>
      <c r="B68" s="872"/>
      <c r="C68" s="239" t="s">
        <v>26</v>
      </c>
      <c r="D68" s="234"/>
      <c r="E68" s="240"/>
      <c r="F68" s="41"/>
      <c r="G68" s="235">
        <f>+ROUND(D68*F68,2)</f>
        <v>0</v>
      </c>
      <c r="H68" s="241"/>
      <c r="I68" s="194"/>
      <c r="J68" s="194"/>
      <c r="K68" s="195"/>
      <c r="L68" s="196"/>
      <c r="M68" s="227"/>
      <c r="N68" s="236"/>
      <c r="O68" s="237"/>
      <c r="P68" s="230"/>
      <c r="Q68" s="238"/>
      <c r="R68" s="242"/>
      <c r="S68" s="233"/>
      <c r="T68" s="224"/>
    </row>
    <row r="69" spans="1:21">
      <c r="A69" s="890"/>
      <c r="B69" s="872"/>
      <c r="C69" s="48" t="s">
        <v>260</v>
      </c>
      <c r="D69" s="49">
        <f>окт18!D67+окт18!D68</f>
        <v>10867.15</v>
      </c>
      <c r="E69" s="41">
        <f>7.1352-7.332</f>
        <v>-0.19679999999999964</v>
      </c>
      <c r="F69" s="41">
        <f t="shared" ref="F69:F112" si="10">+E69</f>
        <v>-0.19679999999999964</v>
      </c>
      <c r="G69" s="50">
        <f>ROUND(D69*E69,2)</f>
        <v>-2138.66</v>
      </c>
      <c r="H69" s="241"/>
      <c r="I69" s="194"/>
      <c r="J69" s="194"/>
      <c r="K69" s="195"/>
      <c r="L69" s="196"/>
      <c r="M69" s="227"/>
      <c r="N69" s="236"/>
      <c r="O69" s="237"/>
      <c r="P69" s="230"/>
      <c r="Q69" s="238"/>
      <c r="R69" s="242"/>
      <c r="S69" s="233"/>
      <c r="T69" s="224"/>
    </row>
    <row r="70" spans="1:21">
      <c r="A70" s="890"/>
      <c r="B70" s="872"/>
      <c r="C70" s="48" t="s">
        <v>263</v>
      </c>
      <c r="D70" s="49">
        <v>94.21</v>
      </c>
      <c r="E70" s="41">
        <v>7.1352000000000002</v>
      </c>
      <c r="F70" s="41">
        <f t="shared" si="10"/>
        <v>7.1352000000000002</v>
      </c>
      <c r="G70" s="50">
        <f>ROUND(D70*E70,2)</f>
        <v>672.21</v>
      </c>
      <c r="H70" s="241"/>
      <c r="I70" s="194"/>
      <c r="J70" s="243"/>
      <c r="K70" s="195"/>
      <c r="L70" s="196"/>
      <c r="M70" s="227"/>
      <c r="N70" s="236"/>
      <c r="O70" s="237"/>
      <c r="P70" s="230"/>
      <c r="Q70" s="238"/>
      <c r="R70" s="242"/>
      <c r="S70" s="233"/>
      <c r="T70" s="224"/>
      <c r="U70" s="33"/>
    </row>
    <row r="71" spans="1:21" ht="15.75" thickBot="1">
      <c r="A71" s="891"/>
      <c r="B71" s="887"/>
      <c r="C71" s="54" t="s">
        <v>29</v>
      </c>
      <c r="D71" s="246">
        <v>8805.0400000000009</v>
      </c>
      <c r="E71" s="56">
        <v>7.1352000000000002</v>
      </c>
      <c r="F71" s="57">
        <f t="shared" si="10"/>
        <v>7.1352000000000002</v>
      </c>
      <c r="G71" s="247">
        <f>ROUND(D71*E71*70%+D71*F71*30%,2)</f>
        <v>62825.72</v>
      </c>
      <c r="H71" s="248"/>
      <c r="I71" s="203"/>
      <c r="J71" s="60"/>
      <c r="K71" s="61"/>
      <c r="L71" s="249"/>
      <c r="M71" s="250"/>
      <c r="N71" s="251"/>
      <c r="O71" s="252">
        <v>15777.9</v>
      </c>
      <c r="P71" s="253" t="s">
        <v>47</v>
      </c>
      <c r="Q71" s="254">
        <f>+G71+J71-M71-N71-O71</f>
        <v>47047.82</v>
      </c>
      <c r="R71" s="255" t="s">
        <v>54</v>
      </c>
      <c r="S71" s="256">
        <f>SUM(O64:O71)</f>
        <v>25488.190000000002</v>
      </c>
      <c r="T71" s="256">
        <f>SUM(Q64:Q71)</f>
        <v>-24021.740000000013</v>
      </c>
    </row>
    <row r="72" spans="1:21">
      <c r="A72" s="892">
        <v>402</v>
      </c>
      <c r="B72" s="183" t="s">
        <v>178</v>
      </c>
      <c r="C72" s="439" t="s">
        <v>260</v>
      </c>
      <c r="D72" s="296">
        <f>окт18!D70+окт18!D71</f>
        <v>186.17</v>
      </c>
      <c r="E72" s="41">
        <f>7.1352-7.332</f>
        <v>-0.19679999999999964</v>
      </c>
      <c r="F72" s="41">
        <f t="shared" si="10"/>
        <v>-0.19679999999999964</v>
      </c>
      <c r="G72" s="235">
        <f>ROUND(D72*E72,2)+0.01</f>
        <v>-36.630000000000003</v>
      </c>
      <c r="H72" s="270"/>
      <c r="I72" s="41"/>
      <c r="J72" s="41"/>
      <c r="K72" s="271"/>
      <c r="L72" s="294">
        <f>SUM(G72:G74)</f>
        <v>1160.51</v>
      </c>
      <c r="M72" s="227">
        <v>1160.51</v>
      </c>
      <c r="N72" s="274"/>
      <c r="O72" s="237"/>
      <c r="P72" s="275"/>
      <c r="Q72" s="237"/>
      <c r="R72" s="242"/>
      <c r="S72" s="266"/>
      <c r="T72" s="266"/>
    </row>
    <row r="73" spans="1:21" ht="15.75">
      <c r="A73" s="896"/>
      <c r="B73" s="192"/>
      <c r="C73" s="48" t="s">
        <v>263</v>
      </c>
      <c r="D73" s="269">
        <v>1.78</v>
      </c>
      <c r="E73" s="41">
        <v>7.1352000000000002</v>
      </c>
      <c r="F73" s="41">
        <f t="shared" si="10"/>
        <v>7.1352000000000002</v>
      </c>
      <c r="G73" s="235">
        <f t="shared" ref="G73:G86" si="11">ROUND(D73*E73,2)</f>
        <v>12.7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1" ht="16.5" thickBot="1">
      <c r="A74" s="891"/>
      <c r="B74" s="202"/>
      <c r="C74" s="54" t="s">
        <v>29</v>
      </c>
      <c r="D74" s="279">
        <v>166</v>
      </c>
      <c r="E74" s="56">
        <v>7.1352000000000002</v>
      </c>
      <c r="F74" s="57">
        <f t="shared" si="10"/>
        <v>7.1352000000000002</v>
      </c>
      <c r="G74" s="247">
        <f t="shared" si="11"/>
        <v>1184.44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1">
      <c r="A75" s="892">
        <v>403</v>
      </c>
      <c r="B75" s="183" t="s">
        <v>290</v>
      </c>
      <c r="C75" s="439" t="s">
        <v>260</v>
      </c>
      <c r="D75" s="296">
        <f>окт18!D73+окт18!D74</f>
        <v>66.91</v>
      </c>
      <c r="E75" s="41">
        <f>7.1352-7.332</f>
        <v>-0.19679999999999964</v>
      </c>
      <c r="F75" s="41">
        <f t="shared" si="10"/>
        <v>-0.19679999999999964</v>
      </c>
      <c r="G75" s="235">
        <f>ROUND(D75*E75,2)+0.01</f>
        <v>-13.16</v>
      </c>
      <c r="H75" s="270"/>
      <c r="I75" s="41"/>
      <c r="J75" s="41"/>
      <c r="K75" s="271"/>
      <c r="L75" s="294">
        <f>SUM(G75:G77)</f>
        <v>265.89999999999998</v>
      </c>
      <c r="M75" s="996"/>
      <c r="N75" s="997"/>
      <c r="O75" s="998" t="s">
        <v>294</v>
      </c>
      <c r="P75" s="275"/>
      <c r="Q75" s="237"/>
      <c r="R75" s="242"/>
      <c r="S75" s="266"/>
      <c r="T75" s="266"/>
    </row>
    <row r="76" spans="1:21" ht="15.75">
      <c r="A76" s="896"/>
      <c r="B76" s="192"/>
      <c r="C76" s="48" t="s">
        <v>263</v>
      </c>
      <c r="D76" s="269">
        <v>0.41</v>
      </c>
      <c r="E76" s="41">
        <v>7.1352000000000002</v>
      </c>
      <c r="F76" s="41">
        <f t="shared" si="10"/>
        <v>7.1352000000000002</v>
      </c>
      <c r="G76" s="235">
        <f>ROUND(D76*E76,2)</f>
        <v>2.93</v>
      </c>
      <c r="H76" s="270"/>
      <c r="I76" s="41"/>
      <c r="J76" s="41"/>
      <c r="K76" s="271"/>
      <c r="L76" s="272"/>
      <c r="M76" s="273"/>
      <c r="N76" s="274"/>
      <c r="O76" s="237"/>
      <c r="P76" s="275"/>
      <c r="Q76" s="237"/>
      <c r="R76" s="242"/>
      <c r="S76" s="266"/>
      <c r="T76" s="266"/>
    </row>
    <row r="77" spans="1:21" ht="16.5" thickBot="1">
      <c r="A77" s="891"/>
      <c r="B77" s="202"/>
      <c r="C77" s="54" t="s">
        <v>29</v>
      </c>
      <c r="D77" s="279">
        <v>38.700000000000003</v>
      </c>
      <c r="E77" s="56">
        <v>7.1352000000000002</v>
      </c>
      <c r="F77" s="57">
        <f t="shared" si="10"/>
        <v>7.1352000000000002</v>
      </c>
      <c r="G77" s="247">
        <f t="shared" ref="G77" si="12">ROUND(D77*E77,2)</f>
        <v>276.13</v>
      </c>
      <c r="H77" s="280"/>
      <c r="I77" s="281"/>
      <c r="J77" s="281"/>
      <c r="K77" s="282"/>
      <c r="L77" s="204"/>
      <c r="M77" s="250"/>
      <c r="N77" s="283"/>
      <c r="O77" s="252"/>
      <c r="P77" s="284"/>
      <c r="Q77" s="252"/>
      <c r="R77" s="242"/>
      <c r="S77" s="266"/>
      <c r="T77" s="266"/>
    </row>
    <row r="78" spans="1:21">
      <c r="A78" s="892">
        <v>409</v>
      </c>
      <c r="B78" s="183" t="s">
        <v>218</v>
      </c>
      <c r="C78" s="439" t="s">
        <v>260</v>
      </c>
      <c r="D78" s="296">
        <f>окт18!D76+окт18!D77</f>
        <v>192.73999999999998</v>
      </c>
      <c r="E78" s="41">
        <f>7.1352-7.332</f>
        <v>-0.19679999999999964</v>
      </c>
      <c r="F78" s="41">
        <f t="shared" si="10"/>
        <v>-0.19679999999999964</v>
      </c>
      <c r="G78" s="235">
        <f>ROUND(D78*E78,2)</f>
        <v>-37.93</v>
      </c>
      <c r="H78" s="270"/>
      <c r="I78" s="41"/>
      <c r="J78" s="41"/>
      <c r="K78" s="271"/>
      <c r="L78" s="294">
        <f>SUM(G78:G80)</f>
        <v>1020</v>
      </c>
      <c r="M78" s="227">
        <v>1020</v>
      </c>
      <c r="N78" s="274"/>
      <c r="O78" s="237"/>
      <c r="P78" s="275"/>
      <c r="Q78" s="237"/>
      <c r="R78" s="242"/>
      <c r="S78" s="266"/>
      <c r="T78" s="266"/>
    </row>
    <row r="79" spans="1:21" ht="15.75">
      <c r="A79" s="896"/>
      <c r="B79" s="192"/>
      <c r="C79" s="48" t="s">
        <v>263</v>
      </c>
      <c r="D79" s="269">
        <v>1.57</v>
      </c>
      <c r="E79" s="41">
        <v>7.1352000000000002</v>
      </c>
      <c r="F79" s="41">
        <f t="shared" si="10"/>
        <v>7.1352000000000002</v>
      </c>
      <c r="G79" s="235">
        <f t="shared" si="11"/>
        <v>11.2</v>
      </c>
      <c r="H79" s="270"/>
      <c r="I79" s="41"/>
      <c r="J79" s="41"/>
      <c r="K79" s="271"/>
      <c r="L79" s="272"/>
      <c r="M79" s="273"/>
      <c r="N79" s="274"/>
      <c r="O79" s="237"/>
      <c r="P79" s="275"/>
      <c r="Q79" s="237"/>
      <c r="R79" s="242"/>
      <c r="S79" s="266"/>
      <c r="T79" s="266"/>
    </row>
    <row r="80" spans="1:21" ht="16.5" thickBot="1">
      <c r="A80" s="891"/>
      <c r="B80" s="887"/>
      <c r="C80" s="54" t="s">
        <v>29</v>
      </c>
      <c r="D80" s="279">
        <v>146.69999999999999</v>
      </c>
      <c r="E80" s="56">
        <v>7.1352000000000002</v>
      </c>
      <c r="F80" s="57">
        <f t="shared" si="10"/>
        <v>7.1352000000000002</v>
      </c>
      <c r="G80" s="247">
        <f t="shared" si="11"/>
        <v>1046.73</v>
      </c>
      <c r="H80" s="280"/>
      <c r="I80" s="281"/>
      <c r="J80" s="281"/>
      <c r="K80" s="282"/>
      <c r="L80" s="204"/>
      <c r="M80" s="250"/>
      <c r="N80" s="283"/>
      <c r="O80" s="252"/>
      <c r="P80" s="284"/>
      <c r="Q80" s="252"/>
      <c r="R80" s="242"/>
      <c r="S80" s="266"/>
      <c r="T80" s="266"/>
    </row>
    <row r="81" spans="1:20">
      <c r="A81" s="892">
        <v>410</v>
      </c>
      <c r="B81" s="183" t="s">
        <v>138</v>
      </c>
      <c r="C81" s="439" t="s">
        <v>260</v>
      </c>
      <c r="D81" s="296">
        <f>окт18!D79+окт18!D80</f>
        <v>242.76999999999998</v>
      </c>
      <c r="E81" s="41">
        <f>7.1352-7.332</f>
        <v>-0.19679999999999964</v>
      </c>
      <c r="F81" s="41">
        <f t="shared" si="10"/>
        <v>-0.19679999999999964</v>
      </c>
      <c r="G81" s="235">
        <f>ROUND(D81*E81,2)</f>
        <v>-47.78</v>
      </c>
      <c r="H81" s="270"/>
      <c r="I81" s="41"/>
      <c r="J81" s="41"/>
      <c r="K81" s="271"/>
      <c r="L81" s="294">
        <f>SUM(G81:G83)</f>
        <v>1737.8100000000002</v>
      </c>
      <c r="M81" s="227">
        <v>1737.81</v>
      </c>
      <c r="N81" s="274"/>
      <c r="O81" s="237"/>
      <c r="P81" s="275"/>
      <c r="Q81" s="237"/>
      <c r="R81" s="242"/>
      <c r="S81" s="266"/>
      <c r="T81" s="266"/>
    </row>
    <row r="82" spans="1:20" ht="15.75">
      <c r="A82" s="896"/>
      <c r="B82" s="192"/>
      <c r="C82" s="48" t="s">
        <v>263</v>
      </c>
      <c r="D82" s="269">
        <v>2.65</v>
      </c>
      <c r="E82" s="41">
        <v>7.1352000000000002</v>
      </c>
      <c r="F82" s="41">
        <f t="shared" si="10"/>
        <v>7.1352000000000002</v>
      </c>
      <c r="G82" s="235">
        <f t="shared" si="11"/>
        <v>18.91</v>
      </c>
      <c r="H82" s="270"/>
      <c r="I82" s="41"/>
      <c r="J82" s="41"/>
      <c r="K82" s="271"/>
      <c r="L82" s="272"/>
      <c r="M82" s="273"/>
      <c r="N82" s="274"/>
      <c r="O82" s="237"/>
      <c r="P82" s="275"/>
      <c r="Q82" s="237"/>
      <c r="R82" s="242"/>
      <c r="S82" s="266"/>
      <c r="T82" s="266"/>
    </row>
    <row r="83" spans="1:20" ht="16.5" thickBot="1">
      <c r="A83" s="891"/>
      <c r="B83" s="887"/>
      <c r="C83" s="54" t="s">
        <v>29</v>
      </c>
      <c r="D83" s="279">
        <v>247.6</v>
      </c>
      <c r="E83" s="56">
        <v>7.1352000000000002</v>
      </c>
      <c r="F83" s="57">
        <f t="shared" si="10"/>
        <v>7.1352000000000002</v>
      </c>
      <c r="G83" s="247">
        <f t="shared" si="11"/>
        <v>1766.68</v>
      </c>
      <c r="H83" s="280"/>
      <c r="I83" s="281"/>
      <c r="J83" s="281"/>
      <c r="K83" s="282"/>
      <c r="L83" s="204"/>
      <c r="M83" s="250"/>
      <c r="N83" s="283"/>
      <c r="O83" s="252"/>
      <c r="P83" s="284"/>
      <c r="Q83" s="252"/>
      <c r="R83" s="242"/>
      <c r="S83" s="266"/>
      <c r="T83" s="266"/>
    </row>
    <row r="84" spans="1:20" ht="15.75" hidden="1" thickBot="1">
      <c r="A84" s="892">
        <v>411</v>
      </c>
      <c r="B84" s="183" t="s">
        <v>229</v>
      </c>
      <c r="C84" s="439" t="s">
        <v>260</v>
      </c>
      <c r="D84" s="296"/>
      <c r="E84" s="41">
        <f>6.6439-6.7023</f>
        <v>-5.8399999999999785E-2</v>
      </c>
      <c r="F84" s="41">
        <f t="shared" si="10"/>
        <v>-5.8399999999999785E-2</v>
      </c>
      <c r="G84" s="235">
        <f t="shared" si="11"/>
        <v>0</v>
      </c>
      <c r="H84" s="270"/>
      <c r="I84" s="41"/>
      <c r="J84" s="41"/>
      <c r="K84" s="271"/>
      <c r="L84" s="294">
        <f>SUM(G84:G86)</f>
        <v>0</v>
      </c>
      <c r="M84" s="227"/>
      <c r="N84" s="274"/>
      <c r="O84" s="983" t="s">
        <v>271</v>
      </c>
      <c r="P84" s="275"/>
      <c r="Q84" s="237"/>
      <c r="R84" s="242"/>
      <c r="S84" s="266"/>
      <c r="T84" s="266"/>
    </row>
    <row r="85" spans="1:20" ht="16.5" hidden="1" thickBot="1">
      <c r="A85" s="896"/>
      <c r="B85" s="192"/>
      <c r="C85" s="48" t="s">
        <v>263</v>
      </c>
      <c r="D85" s="269"/>
      <c r="E85" s="41">
        <v>6.6439000000000004</v>
      </c>
      <c r="F85" s="41">
        <f t="shared" si="10"/>
        <v>6.6439000000000004</v>
      </c>
      <c r="G85" s="235">
        <f>ROUND(D85*E85,2)</f>
        <v>0</v>
      </c>
      <c r="H85" s="270"/>
      <c r="I85" s="41"/>
      <c r="J85" s="41"/>
      <c r="K85" s="271"/>
      <c r="L85" s="272"/>
      <c r="M85" s="273"/>
      <c r="N85" s="274"/>
      <c r="O85" s="237"/>
      <c r="P85" s="275"/>
      <c r="Q85" s="237"/>
      <c r="R85" s="242"/>
      <c r="S85" s="266"/>
      <c r="T85" s="266"/>
    </row>
    <row r="86" spans="1:20" ht="16.5" hidden="1" thickBot="1">
      <c r="A86" s="891"/>
      <c r="B86" s="887"/>
      <c r="C86" s="54" t="s">
        <v>29</v>
      </c>
      <c r="D86" s="279"/>
      <c r="E86" s="56">
        <v>6.6439000000000004</v>
      </c>
      <c r="F86" s="57">
        <f t="shared" si="10"/>
        <v>6.6439000000000004</v>
      </c>
      <c r="G86" s="247">
        <f t="shared" si="11"/>
        <v>0</v>
      </c>
      <c r="H86" s="280"/>
      <c r="I86" s="281"/>
      <c r="J86" s="281"/>
      <c r="K86" s="282"/>
      <c r="L86" s="204"/>
      <c r="M86" s="250"/>
      <c r="N86" s="283"/>
      <c r="O86" s="252"/>
      <c r="P86" s="284"/>
      <c r="Q86" s="252"/>
      <c r="R86" s="242"/>
      <c r="S86" s="266"/>
      <c r="T86" s="266"/>
    </row>
    <row r="87" spans="1:20" ht="16.5" collapsed="1" thickBot="1">
      <c r="A87" s="891">
        <v>412</v>
      </c>
      <c r="B87" s="887" t="s">
        <v>58</v>
      </c>
      <c r="C87" s="54" t="s">
        <v>59</v>
      </c>
      <c r="D87" s="822">
        <v>0.45900000000000002</v>
      </c>
      <c r="E87" s="21">
        <v>40.556600000000003</v>
      </c>
      <c r="F87" s="21">
        <v>47.5304</v>
      </c>
      <c r="G87" s="214">
        <f>ROUND(D87*(E87+F87),2)</f>
        <v>40.43</v>
      </c>
      <c r="H87" s="213"/>
      <c r="I87" s="41"/>
      <c r="J87" s="215"/>
      <c r="K87" s="679"/>
      <c r="L87" s="294">
        <f>SUM(G87:G91)</f>
        <v>1408.94</v>
      </c>
      <c r="M87" s="227">
        <v>1408.94</v>
      </c>
      <c r="N87" s="264"/>
      <c r="O87" s="229"/>
      <c r="P87" s="265"/>
      <c r="Q87" s="229"/>
      <c r="R87" s="242"/>
      <c r="S87" s="266"/>
      <c r="T87" s="266"/>
    </row>
    <row r="88" spans="1:20" ht="15.75">
      <c r="A88" s="896"/>
      <c r="B88" s="885"/>
      <c r="C88" s="292" t="s">
        <v>264</v>
      </c>
      <c r="D88" s="269"/>
      <c r="E88" s="38"/>
      <c r="F88" s="38"/>
      <c r="G88" s="235">
        <f>ROUND(D88*(E88+F88),2)</f>
        <v>0</v>
      </c>
      <c r="H88" s="225"/>
      <c r="I88" s="41"/>
      <c r="J88" s="194"/>
      <c r="K88" s="295"/>
      <c r="L88" s="294"/>
      <c r="M88" s="227"/>
      <c r="N88" s="264"/>
      <c r="O88" s="229"/>
      <c r="P88" s="265"/>
      <c r="Q88" s="229"/>
      <c r="R88" s="242"/>
      <c r="S88" s="266"/>
      <c r="T88" s="266"/>
    </row>
    <row r="89" spans="1:20">
      <c r="A89" s="896"/>
      <c r="B89" s="885"/>
      <c r="C89" s="48" t="s">
        <v>260</v>
      </c>
      <c r="D89" s="296">
        <f>окт18!D87+окт18!D88</f>
        <v>206.38</v>
      </c>
      <c r="E89" s="41">
        <f>7.1352-7.332</f>
        <v>-0.19679999999999964</v>
      </c>
      <c r="F89" s="41">
        <f t="shared" ref="F89:F109" si="13">+E89</f>
        <v>-0.19679999999999964</v>
      </c>
      <c r="G89" s="235">
        <f>ROUND(D89*E89,2)</f>
        <v>-40.619999999999997</v>
      </c>
      <c r="H89" s="270"/>
      <c r="I89" s="41"/>
      <c r="J89" s="41"/>
      <c r="K89" s="271"/>
      <c r="L89" s="272"/>
      <c r="M89" s="273"/>
      <c r="N89" s="274"/>
      <c r="O89" s="237"/>
      <c r="P89" s="275"/>
      <c r="Q89" s="237"/>
      <c r="R89" s="242"/>
      <c r="S89" s="266"/>
      <c r="T89" s="266"/>
    </row>
    <row r="90" spans="1:20" ht="15.75">
      <c r="A90" s="896"/>
      <c r="B90" s="885"/>
      <c r="C90" s="48" t="s">
        <v>263</v>
      </c>
      <c r="D90" s="269">
        <v>2.09</v>
      </c>
      <c r="E90" s="41">
        <v>7.1352000000000002</v>
      </c>
      <c r="F90" s="41">
        <f t="shared" si="13"/>
        <v>7.1352000000000002</v>
      </c>
      <c r="G90" s="235">
        <f t="shared" ref="G90:G91" si="14">ROUND(D90*E90,2)</f>
        <v>14.91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0" ht="16.5" thickBot="1">
      <c r="A91" s="891"/>
      <c r="B91" s="887"/>
      <c r="C91" s="54" t="s">
        <v>29</v>
      </c>
      <c r="D91" s="279">
        <v>195.4</v>
      </c>
      <c r="E91" s="56">
        <v>7.1352000000000002</v>
      </c>
      <c r="F91" s="57">
        <f t="shared" si="13"/>
        <v>7.1352000000000002</v>
      </c>
      <c r="G91" s="247">
        <f t="shared" si="14"/>
        <v>1394.22</v>
      </c>
      <c r="H91" s="280"/>
      <c r="I91" s="281"/>
      <c r="J91" s="281"/>
      <c r="K91" s="2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0" ht="15" customHeight="1">
      <c r="A92" s="892">
        <v>413</v>
      </c>
      <c r="B92" s="883" t="s">
        <v>56</v>
      </c>
      <c r="C92" s="439" t="s">
        <v>260</v>
      </c>
      <c r="D92" s="894">
        <f>окт18!D90+окт18!D91</f>
        <v>309.27</v>
      </c>
      <c r="E92" s="41">
        <f>7.1352-7.332</f>
        <v>-0.19679999999999964</v>
      </c>
      <c r="F92" s="41">
        <f t="shared" si="13"/>
        <v>-0.19679999999999964</v>
      </c>
      <c r="G92" s="214">
        <f>ROUND(D92*E92,2)-0.01</f>
        <v>-60.87</v>
      </c>
      <c r="H92" s="260"/>
      <c r="I92" s="261"/>
      <c r="J92" s="261"/>
      <c r="K92" s="262"/>
      <c r="L92" s="286">
        <f>SUM(G92:G94)</f>
        <v>2330.4900000000002</v>
      </c>
      <c r="M92" s="227">
        <v>2330.4899999999998</v>
      </c>
      <c r="N92" s="264"/>
      <c r="O92" s="229"/>
      <c r="P92" s="265"/>
      <c r="Q92" s="229"/>
      <c r="R92" s="287"/>
      <c r="S92" s="288"/>
      <c r="T92" s="288"/>
    </row>
    <row r="93" spans="1:20" ht="15.75">
      <c r="A93" s="893"/>
      <c r="B93" s="885"/>
      <c r="C93" s="48" t="s">
        <v>263</v>
      </c>
      <c r="D93" s="895">
        <v>3.55</v>
      </c>
      <c r="E93" s="41">
        <v>7.1352000000000002</v>
      </c>
      <c r="F93" s="41">
        <f t="shared" si="13"/>
        <v>7.1352000000000002</v>
      </c>
      <c r="G93" s="235">
        <f t="shared" ref="G93:G97" si="15">ROUND(D93*E93,2)</f>
        <v>25.33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87"/>
      <c r="S93" s="288"/>
      <c r="T93" s="288"/>
    </row>
    <row r="94" spans="1:20" ht="16.5" thickBot="1">
      <c r="A94" s="891"/>
      <c r="B94" s="887"/>
      <c r="C94" s="54" t="s">
        <v>29</v>
      </c>
      <c r="D94" s="279">
        <v>331.6</v>
      </c>
      <c r="E94" s="56">
        <v>7.1352000000000002</v>
      </c>
      <c r="F94" s="57">
        <f t="shared" si="13"/>
        <v>7.1352000000000002</v>
      </c>
      <c r="G94" s="247">
        <f t="shared" si="15"/>
        <v>2366.0300000000002</v>
      </c>
      <c r="H94" s="280"/>
      <c r="I94" s="281"/>
      <c r="J94" s="281"/>
      <c r="K94" s="682"/>
      <c r="L94" s="204"/>
      <c r="M94" s="250"/>
      <c r="N94" s="283"/>
      <c r="O94" s="252"/>
      <c r="P94" s="284"/>
      <c r="Q94" s="252"/>
      <c r="R94" s="287"/>
      <c r="S94" s="288"/>
      <c r="T94" s="288"/>
    </row>
    <row r="95" spans="1:20">
      <c r="A95" s="892">
        <v>414</v>
      </c>
      <c r="B95" s="183" t="s">
        <v>179</v>
      </c>
      <c r="C95" s="439" t="s">
        <v>260</v>
      </c>
      <c r="D95" s="296">
        <f>окт18!D93+окт18!D94</f>
        <v>52.05</v>
      </c>
      <c r="E95" s="41">
        <f>7.1352-7.332</f>
        <v>-0.19679999999999964</v>
      </c>
      <c r="F95" s="41">
        <f t="shared" si="13"/>
        <v>-0.19679999999999964</v>
      </c>
      <c r="G95" s="235">
        <f>ROUND(D95*E95,2)</f>
        <v>-10.24</v>
      </c>
      <c r="H95" s="270"/>
      <c r="I95" s="41"/>
      <c r="J95" s="41"/>
      <c r="K95" s="271"/>
      <c r="L95" s="294">
        <f>SUM(G95:G97)</f>
        <v>332.32</v>
      </c>
      <c r="M95" s="227">
        <v>332.32</v>
      </c>
      <c r="N95" s="274"/>
      <c r="O95" s="237"/>
      <c r="P95" s="275"/>
      <c r="Q95" s="237"/>
      <c r="R95" s="242"/>
      <c r="S95" s="266"/>
      <c r="T95" s="266"/>
    </row>
    <row r="96" spans="1:20" ht="15.75">
      <c r="A96" s="896"/>
      <c r="B96" s="192"/>
      <c r="C96" s="48" t="s">
        <v>263</v>
      </c>
      <c r="D96" s="269">
        <v>0.51</v>
      </c>
      <c r="E96" s="41">
        <v>7.1352000000000002</v>
      </c>
      <c r="F96" s="41">
        <f t="shared" si="13"/>
        <v>7.1352000000000002</v>
      </c>
      <c r="G96" s="235">
        <f t="shared" si="15"/>
        <v>3.64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0" ht="16.5" thickBot="1">
      <c r="A97" s="891"/>
      <c r="B97" s="887"/>
      <c r="C97" s="99" t="s">
        <v>29</v>
      </c>
      <c r="D97" s="279">
        <v>47.5</v>
      </c>
      <c r="E97" s="56">
        <v>7.1352000000000002</v>
      </c>
      <c r="F97" s="57">
        <f t="shared" si="13"/>
        <v>7.1352000000000002</v>
      </c>
      <c r="G97" s="247">
        <f t="shared" si="15"/>
        <v>338.92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0" collapsed="1">
      <c r="A98" s="892">
        <v>415</v>
      </c>
      <c r="B98" s="183" t="s">
        <v>166</v>
      </c>
      <c r="C98" s="439" t="s">
        <v>260</v>
      </c>
      <c r="D98" s="296">
        <f>окт18!D96+окт18!D97</f>
        <v>250.96</v>
      </c>
      <c r="E98" s="41">
        <f>7.1352-7.332</f>
        <v>-0.19679999999999964</v>
      </c>
      <c r="F98" s="41">
        <f t="shared" si="13"/>
        <v>-0.19679999999999964</v>
      </c>
      <c r="G98" s="235">
        <f>ROUND(D98*E98,2)+0.01</f>
        <v>-49.38</v>
      </c>
      <c r="H98" s="270"/>
      <c r="I98" s="41"/>
      <c r="J98" s="41"/>
      <c r="K98" s="271"/>
      <c r="L98" s="294">
        <f>SUM(G98:G100)</f>
        <v>1671.27</v>
      </c>
      <c r="M98" s="227">
        <v>1671.27</v>
      </c>
      <c r="N98" s="274"/>
      <c r="O98" s="237"/>
      <c r="P98" s="275"/>
      <c r="Q98" s="237"/>
      <c r="R98" s="242"/>
      <c r="S98" s="266"/>
      <c r="T98" s="266"/>
    </row>
    <row r="99" spans="1:20" ht="15.75">
      <c r="A99" s="896"/>
      <c r="B99" s="192"/>
      <c r="C99" s="48" t="s">
        <v>263</v>
      </c>
      <c r="D99" s="269">
        <v>2.5499999999999998</v>
      </c>
      <c r="E99" s="41">
        <v>7.1352000000000002</v>
      </c>
      <c r="F99" s="41">
        <f t="shared" si="13"/>
        <v>7.1352000000000002</v>
      </c>
      <c r="G99" s="235">
        <f t="shared" ref="G99:G100" si="16">ROUND(D99*E99,2)</f>
        <v>18.190000000000001</v>
      </c>
      <c r="H99" s="270"/>
      <c r="I99" s="41"/>
      <c r="J99" s="41"/>
      <c r="K99" s="271"/>
      <c r="L99" s="272"/>
      <c r="M99" s="273"/>
      <c r="N99" s="274"/>
      <c r="O99" s="237"/>
      <c r="P99" s="275"/>
      <c r="Q99" s="237"/>
      <c r="R99" s="242"/>
      <c r="S99" s="266"/>
      <c r="T99" s="266"/>
    </row>
    <row r="100" spans="1:20" ht="16.5" thickBot="1">
      <c r="A100" s="891"/>
      <c r="B100" s="887"/>
      <c r="C100" s="54" t="s">
        <v>29</v>
      </c>
      <c r="D100" s="279">
        <v>238.6</v>
      </c>
      <c r="E100" s="56">
        <v>7.1352000000000002</v>
      </c>
      <c r="F100" s="57">
        <f t="shared" si="13"/>
        <v>7.1352000000000002</v>
      </c>
      <c r="G100" s="247">
        <f t="shared" si="16"/>
        <v>1702.46</v>
      </c>
      <c r="H100" s="280"/>
      <c r="I100" s="281"/>
      <c r="J100" s="281"/>
      <c r="K100" s="282"/>
      <c r="L100" s="204"/>
      <c r="M100" s="250"/>
      <c r="N100" s="283"/>
      <c r="O100" s="252"/>
      <c r="P100" s="284"/>
      <c r="Q100" s="252"/>
      <c r="R100" s="242"/>
      <c r="S100" s="266"/>
      <c r="T100" s="266"/>
    </row>
    <row r="101" spans="1:20" ht="15.75" hidden="1" thickBot="1">
      <c r="A101" s="892">
        <v>416</v>
      </c>
      <c r="B101" s="183" t="s">
        <v>173</v>
      </c>
      <c r="C101" s="439" t="s">
        <v>260</v>
      </c>
      <c r="D101" s="296"/>
      <c r="E101" s="41">
        <f>6.7023-6.509</f>
        <v>0.19329999999999981</v>
      </c>
      <c r="F101" s="41">
        <f t="shared" si="13"/>
        <v>0.19329999999999981</v>
      </c>
      <c r="G101" s="235">
        <f>ROUND(D101*E101,2)+0.01</f>
        <v>0.01</v>
      </c>
      <c r="H101" s="270"/>
      <c r="I101" s="41"/>
      <c r="J101" s="41"/>
      <c r="K101" s="271"/>
      <c r="L101" s="294">
        <f>SUM(G101:G103)</f>
        <v>0.01</v>
      </c>
      <c r="M101" s="227"/>
      <c r="N101" s="274"/>
      <c r="O101" s="237"/>
      <c r="P101" s="275"/>
      <c r="Q101" s="237"/>
      <c r="R101" s="242"/>
      <c r="S101" s="266"/>
      <c r="T101" s="266"/>
    </row>
    <row r="102" spans="1:20" ht="16.5" hidden="1" thickBot="1">
      <c r="A102" s="896"/>
      <c r="B102" s="192"/>
      <c r="C102" s="48" t="s">
        <v>263</v>
      </c>
      <c r="D102" s="269"/>
      <c r="E102" s="41">
        <v>6.7023000000000001</v>
      </c>
      <c r="F102" s="41">
        <f t="shared" si="13"/>
        <v>6.7023000000000001</v>
      </c>
      <c r="G102" s="235">
        <f>ROUND(D102*E102,2)</f>
        <v>0</v>
      </c>
      <c r="H102" s="270"/>
      <c r="I102" s="41"/>
      <c r="J102" s="41"/>
      <c r="K102" s="271"/>
      <c r="L102" s="272"/>
      <c r="M102" s="273"/>
      <c r="N102" s="274"/>
      <c r="O102" s="237"/>
      <c r="P102" s="275"/>
      <c r="Q102" s="237"/>
      <c r="R102" s="242"/>
      <c r="S102" s="266"/>
      <c r="T102" s="266"/>
    </row>
    <row r="103" spans="1:20" ht="16.5" hidden="1" thickBot="1">
      <c r="A103" s="891"/>
      <c r="B103" s="887"/>
      <c r="C103" s="54" t="s">
        <v>29</v>
      </c>
      <c r="D103" s="279"/>
      <c r="E103" s="56">
        <v>6.7023000000000001</v>
      </c>
      <c r="F103" s="57">
        <f t="shared" si="13"/>
        <v>6.7023000000000001</v>
      </c>
      <c r="G103" s="247">
        <f>ROUND(D103*E103,2)</f>
        <v>0</v>
      </c>
      <c r="H103" s="280"/>
      <c r="I103" s="281"/>
      <c r="J103" s="281"/>
      <c r="K103" s="282"/>
      <c r="L103" s="204"/>
      <c r="M103" s="250"/>
      <c r="N103" s="283"/>
      <c r="O103" s="252"/>
      <c r="P103" s="284"/>
      <c r="Q103" s="252"/>
      <c r="R103" s="242"/>
      <c r="S103" s="266"/>
      <c r="T103" s="266"/>
    </row>
    <row r="104" spans="1:20">
      <c r="A104" s="892">
        <v>416</v>
      </c>
      <c r="B104" s="183" t="s">
        <v>295</v>
      </c>
      <c r="C104" s="439" t="s">
        <v>260</v>
      </c>
      <c r="D104" s="296"/>
      <c r="E104" s="41">
        <f>7.1352-7.332</f>
        <v>-0.19679999999999964</v>
      </c>
      <c r="F104" s="41">
        <f t="shared" ref="F104:F106" si="17">+E104</f>
        <v>-0.19679999999999964</v>
      </c>
      <c r="G104" s="235">
        <f>ROUND(D104*E104,2)</f>
        <v>0</v>
      </c>
      <c r="H104" s="270"/>
      <c r="I104" s="41"/>
      <c r="J104" s="41"/>
      <c r="K104" s="271"/>
      <c r="L104" s="294">
        <f>SUM(G104:G106)</f>
        <v>672.14</v>
      </c>
      <c r="M104" s="227">
        <v>672.14</v>
      </c>
      <c r="N104" s="274"/>
      <c r="O104" s="237"/>
      <c r="P104" s="275"/>
      <c r="Q104" s="237"/>
      <c r="R104" s="242"/>
      <c r="S104" s="266"/>
      <c r="T104" s="266"/>
    </row>
    <row r="105" spans="1:20" ht="15.75">
      <c r="A105" s="896"/>
      <c r="B105" s="192"/>
      <c r="C105" s="48" t="s">
        <v>263</v>
      </c>
      <c r="D105" s="269">
        <v>1</v>
      </c>
      <c r="E105" s="41">
        <v>7.1352000000000002</v>
      </c>
      <c r="F105" s="41">
        <f t="shared" si="17"/>
        <v>7.1352000000000002</v>
      </c>
      <c r="G105" s="235">
        <f t="shared" ref="G105:G106" si="18">ROUND(D105*E105,2)</f>
        <v>7.14</v>
      </c>
      <c r="H105" s="270"/>
      <c r="I105" s="41"/>
      <c r="J105" s="41"/>
      <c r="K105" s="271"/>
      <c r="L105" s="272"/>
      <c r="M105" s="273"/>
      <c r="N105" s="274"/>
      <c r="O105" s="237"/>
      <c r="P105" s="275"/>
      <c r="Q105" s="237"/>
      <c r="R105" s="242"/>
      <c r="S105" s="266"/>
      <c r="T105" s="266"/>
    </row>
    <row r="106" spans="1:20" ht="16.5" thickBot="1">
      <c r="A106" s="891"/>
      <c r="B106" s="202"/>
      <c r="C106" s="54" t="s">
        <v>29</v>
      </c>
      <c r="D106" s="279">
        <v>93.2</v>
      </c>
      <c r="E106" s="56">
        <v>7.1352000000000002</v>
      </c>
      <c r="F106" s="57">
        <f t="shared" si="17"/>
        <v>7.1352000000000002</v>
      </c>
      <c r="G106" s="247">
        <f t="shared" si="18"/>
        <v>665</v>
      </c>
      <c r="H106" s="280"/>
      <c r="I106" s="281"/>
      <c r="J106" s="281"/>
      <c r="K106" s="282"/>
      <c r="L106" s="204"/>
      <c r="M106" s="250"/>
      <c r="N106" s="283"/>
      <c r="O106" s="252"/>
      <c r="P106" s="284"/>
      <c r="Q106" s="252"/>
      <c r="R106" s="242"/>
      <c r="S106" s="266"/>
      <c r="T106" s="266"/>
    </row>
    <row r="107" spans="1:20">
      <c r="A107" s="892">
        <v>417</v>
      </c>
      <c r="B107" s="183" t="s">
        <v>174</v>
      </c>
      <c r="C107" s="439" t="s">
        <v>260</v>
      </c>
      <c r="D107" s="296">
        <f>окт18!D102+окт18!D103</f>
        <v>258.74</v>
      </c>
      <c r="E107" s="41">
        <f>7.1352-7.332</f>
        <v>-0.19679999999999964</v>
      </c>
      <c r="F107" s="41">
        <f t="shared" si="13"/>
        <v>-0.19679999999999964</v>
      </c>
      <c r="G107" s="235">
        <f>ROUND(D107*E107,2)</f>
        <v>-50.92</v>
      </c>
      <c r="H107" s="270"/>
      <c r="I107" s="41"/>
      <c r="J107" s="41"/>
      <c r="K107" s="271"/>
      <c r="L107" s="294">
        <f>SUM(G107:G109)</f>
        <v>1097.8500000000001</v>
      </c>
      <c r="M107" s="227">
        <v>1097.8499999999999</v>
      </c>
      <c r="N107" s="274"/>
      <c r="O107" s="237"/>
      <c r="P107" s="275"/>
      <c r="Q107" s="237"/>
      <c r="R107" s="242"/>
      <c r="S107" s="266"/>
      <c r="T107" s="266"/>
    </row>
    <row r="108" spans="1:20" ht="15.75">
      <c r="A108" s="896"/>
      <c r="B108" s="192"/>
      <c r="C108" s="48" t="s">
        <v>263</v>
      </c>
      <c r="D108" s="269">
        <v>1.7</v>
      </c>
      <c r="E108" s="41">
        <v>7.1352000000000002</v>
      </c>
      <c r="F108" s="41">
        <f t="shared" si="13"/>
        <v>7.1352000000000002</v>
      </c>
      <c r="G108" s="235">
        <f t="shared" ref="G108:G109" si="19">ROUND(D108*E108,2)</f>
        <v>12.13</v>
      </c>
      <c r="H108" s="270"/>
      <c r="I108" s="41"/>
      <c r="J108" s="41"/>
      <c r="K108" s="271"/>
      <c r="L108" s="272"/>
      <c r="M108" s="273"/>
      <c r="N108" s="274"/>
      <c r="O108" s="237"/>
      <c r="P108" s="275"/>
      <c r="Q108" s="237"/>
      <c r="R108" s="242"/>
      <c r="S108" s="266"/>
      <c r="T108" s="266"/>
    </row>
    <row r="109" spans="1:20" ht="16.5" thickBot="1">
      <c r="A109" s="891"/>
      <c r="B109" s="202"/>
      <c r="C109" s="54" t="s">
        <v>29</v>
      </c>
      <c r="D109" s="279">
        <v>159.30000000000001</v>
      </c>
      <c r="E109" s="56">
        <v>7.1352000000000002</v>
      </c>
      <c r="F109" s="57">
        <f t="shared" si="13"/>
        <v>7.1352000000000002</v>
      </c>
      <c r="G109" s="247">
        <f t="shared" si="19"/>
        <v>1136.6400000000001</v>
      </c>
      <c r="H109" s="280"/>
      <c r="I109" s="281"/>
      <c r="J109" s="281"/>
      <c r="K109" s="282"/>
      <c r="L109" s="204"/>
      <c r="M109" s="250"/>
      <c r="N109" s="283"/>
      <c r="O109" s="252"/>
      <c r="P109" s="284"/>
      <c r="Q109" s="252"/>
      <c r="R109" s="242"/>
      <c r="S109" s="266"/>
      <c r="T109" s="266"/>
    </row>
    <row r="110" spans="1:20" ht="15.75">
      <c r="A110" s="892">
        <v>500</v>
      </c>
      <c r="B110" s="883" t="s">
        <v>55</v>
      </c>
      <c r="C110" s="439" t="s">
        <v>260</v>
      </c>
      <c r="D110" s="259">
        <f>окт18!D105+окт18!D106</f>
        <v>2919.41</v>
      </c>
      <c r="E110" s="41">
        <f>7.1352-7.332</f>
        <v>-0.19679999999999964</v>
      </c>
      <c r="F110" s="41">
        <f t="shared" si="10"/>
        <v>-0.19679999999999964</v>
      </c>
      <c r="G110" s="214">
        <f>ROUND(D110*E110,2)</f>
        <v>-574.54</v>
      </c>
      <c r="H110" s="260"/>
      <c r="I110" s="261"/>
      <c r="J110" s="261"/>
      <c r="K110" s="262"/>
      <c r="L110" s="263">
        <f>SUM(G110:G112)</f>
        <v>17193.030000000002</v>
      </c>
      <c r="M110" s="187">
        <v>17193.03</v>
      </c>
      <c r="N110" s="264"/>
      <c r="O110" s="229"/>
      <c r="P110" s="265"/>
      <c r="Q110" s="229"/>
      <c r="R110" s="242"/>
      <c r="S110" s="266"/>
      <c r="T110" s="266"/>
    </row>
    <row r="111" spans="1:20" ht="15.75">
      <c r="A111" s="893" t="s">
        <v>197</v>
      </c>
      <c r="B111" s="885"/>
      <c r="C111" s="48" t="s">
        <v>263</v>
      </c>
      <c r="D111" s="269">
        <v>26.36</v>
      </c>
      <c r="E111" s="41">
        <v>7.1352000000000002</v>
      </c>
      <c r="F111" s="41">
        <f t="shared" si="10"/>
        <v>7.1352000000000002</v>
      </c>
      <c r="G111" s="235">
        <f>ROUND(D111*E111,2)</f>
        <v>188.08</v>
      </c>
      <c r="H111" s="270"/>
      <c r="I111" s="41"/>
      <c r="J111" s="41"/>
      <c r="K111" s="271"/>
      <c r="L111" s="272"/>
      <c r="M111" s="273"/>
      <c r="N111" s="274"/>
      <c r="O111" s="237"/>
      <c r="P111" s="275"/>
      <c r="Q111" s="237"/>
      <c r="R111" s="242"/>
      <c r="S111" s="266"/>
      <c r="T111" s="266"/>
    </row>
    <row r="112" spans="1:20" ht="16.5" thickBot="1">
      <c r="A112" s="891"/>
      <c r="B112" s="887"/>
      <c r="C112" s="54" t="s">
        <v>29</v>
      </c>
      <c r="D112" s="279">
        <v>2463.77</v>
      </c>
      <c r="E112" s="56">
        <v>7.1352000000000002</v>
      </c>
      <c r="F112" s="57">
        <f t="shared" si="10"/>
        <v>7.1352000000000002</v>
      </c>
      <c r="G112" s="247">
        <f t="shared" ref="G112" si="20">ROUND(D112*E112,2)</f>
        <v>17579.490000000002</v>
      </c>
      <c r="H112" s="280"/>
      <c r="I112" s="281"/>
      <c r="J112" s="281"/>
      <c r="K112" s="282"/>
      <c r="L112" s="204"/>
      <c r="M112" s="250"/>
      <c r="N112" s="283"/>
      <c r="O112" s="252"/>
      <c r="P112" s="284"/>
      <c r="Q112" s="252"/>
      <c r="R112" s="242"/>
      <c r="S112" s="266"/>
      <c r="T112" s="266"/>
    </row>
    <row r="113" spans="1:21" ht="16.5" hidden="1" outlineLevel="1" thickBot="1">
      <c r="A113" s="892"/>
      <c r="B113" s="883" t="s">
        <v>57</v>
      </c>
      <c r="C113" s="439"/>
      <c r="D113" s="259"/>
      <c r="E113" s="21">
        <v>36.214199999999998</v>
      </c>
      <c r="F113" s="21">
        <v>42.4328</v>
      </c>
      <c r="G113" s="214">
        <f>ROUND(D113*(E113+F113),2)</f>
        <v>0</v>
      </c>
      <c r="H113" s="213">
        <v>0</v>
      </c>
      <c r="I113">
        <v>22.478999999999999</v>
      </c>
      <c r="J113" s="215">
        <f t="shared" ref="J113" si="21">H113*I113</f>
        <v>0</v>
      </c>
      <c r="K113" s="679">
        <v>42705</v>
      </c>
      <c r="L113" s="294">
        <f>SUM(G113:G117)+J113+J115</f>
        <v>0</v>
      </c>
      <c r="M113" s="227"/>
      <c r="N113" s="264"/>
      <c r="O113" s="229"/>
      <c r="P113" s="265"/>
      <c r="Q113" s="229"/>
      <c r="R113" s="242"/>
      <c r="S113" s="266"/>
      <c r="T113" s="266"/>
    </row>
    <row r="114" spans="1:21" ht="16.5" hidden="1" outlineLevel="1" thickBot="1">
      <c r="A114" s="891"/>
      <c r="B114" s="887"/>
      <c r="C114" s="54"/>
      <c r="D114" s="269"/>
      <c r="E114" s="38">
        <f>32.332-28.8628</f>
        <v>3.4692000000000007</v>
      </c>
      <c r="F114" s="38">
        <f>37.8898-33.8306</f>
        <v>4.0592000000000041</v>
      </c>
      <c r="G114" s="235">
        <f>ROUND(D114*(E114+F114),2)</f>
        <v>0</v>
      </c>
      <c r="H114" s="225"/>
      <c r="J114" s="194"/>
      <c r="K114" s="683"/>
      <c r="L114" s="294"/>
      <c r="M114" s="227"/>
      <c r="N114" s="264"/>
      <c r="O114" s="229"/>
      <c r="P114" s="265"/>
      <c r="Q114" s="229"/>
      <c r="R114" s="242"/>
      <c r="S114" s="266"/>
      <c r="T114" s="266"/>
    </row>
    <row r="115" spans="1:21" ht="15.75" hidden="1" outlineLevel="1" thickBot="1">
      <c r="A115" s="892"/>
      <c r="B115" s="883"/>
      <c r="C115" s="439" t="s">
        <v>170</v>
      </c>
      <c r="D115" s="296"/>
      <c r="E115" s="41">
        <f>7.0207-6.6426</f>
        <v>0.37809999999999988</v>
      </c>
      <c r="F115" s="41">
        <f>+E115</f>
        <v>0.37809999999999988</v>
      </c>
      <c r="G115" s="235">
        <f>ROUND(D115*E115,2)</f>
        <v>0</v>
      </c>
      <c r="H115" s="270"/>
      <c r="I115" s="41"/>
      <c r="J115" s="41"/>
      <c r="K115" s="684"/>
      <c r="L115" s="272"/>
      <c r="M115" s="273"/>
      <c r="N115" s="274"/>
      <c r="O115" s="237"/>
      <c r="P115" s="275"/>
      <c r="Q115" s="237"/>
      <c r="R115" s="242"/>
      <c r="S115" s="266"/>
      <c r="T115" s="266"/>
    </row>
    <row r="116" spans="1:21" ht="16.5" hidden="1" outlineLevel="1" thickBot="1">
      <c r="A116" s="891"/>
      <c r="B116" s="887"/>
      <c r="C116" s="54" t="s">
        <v>171</v>
      </c>
      <c r="D116" s="269"/>
      <c r="E116" s="41">
        <v>7.0206999999999997</v>
      </c>
      <c r="F116" s="41">
        <f>+E116</f>
        <v>7.0206999999999997</v>
      </c>
      <c r="G116" s="235">
        <f>ROUND(D116*E116,2)</f>
        <v>0</v>
      </c>
      <c r="H116" s="270"/>
      <c r="I116" s="41"/>
      <c r="J116" s="41"/>
      <c r="K116" s="684"/>
      <c r="L116" s="272"/>
      <c r="M116" s="273"/>
      <c r="N116" s="274"/>
      <c r="O116" s="237"/>
      <c r="P116" s="275"/>
      <c r="Q116" s="237"/>
      <c r="R116" s="242"/>
      <c r="S116" s="266"/>
      <c r="T116" s="266"/>
    </row>
    <row r="117" spans="1:21" ht="16.5" hidden="1" outlineLevel="1" thickBot="1">
      <c r="A117" s="892"/>
      <c r="B117" s="883"/>
      <c r="C117" s="439" t="s">
        <v>29</v>
      </c>
      <c r="D117" s="279"/>
      <c r="E117" s="56">
        <v>7.0206999999999997</v>
      </c>
      <c r="F117" s="57">
        <f>+E117</f>
        <v>7.0206999999999997</v>
      </c>
      <c r="G117" s="247">
        <f>ROUND(D117*E117,2)</f>
        <v>0</v>
      </c>
      <c r="H117" s="280"/>
      <c r="I117" s="281"/>
      <c r="J117" s="281"/>
      <c r="K117" s="682"/>
      <c r="L117" s="204"/>
      <c r="M117" s="250"/>
      <c r="N117" s="283"/>
      <c r="O117" s="252"/>
      <c r="P117" s="284"/>
      <c r="Q117" s="252"/>
      <c r="R117" s="242"/>
      <c r="S117" s="266"/>
      <c r="T117" s="266"/>
    </row>
    <row r="118" spans="1:21" ht="15.75" hidden="1" outlineLevel="1" thickBot="1">
      <c r="A118" s="892"/>
      <c r="B118" s="183" t="s">
        <v>145</v>
      </c>
      <c r="C118" s="439" t="s">
        <v>170</v>
      </c>
      <c r="D118" s="296"/>
      <c r="E118" s="41">
        <f>7.0207-6.6426</f>
        <v>0.37809999999999988</v>
      </c>
      <c r="F118" s="41">
        <f t="shared" ref="F118:F120" si="22">+E118</f>
        <v>0.37809999999999988</v>
      </c>
      <c r="G118" s="235">
        <f>ROUND(D118*E118,2)</f>
        <v>0</v>
      </c>
      <c r="H118" s="270"/>
      <c r="I118" s="41"/>
      <c r="J118" s="41"/>
      <c r="K118" s="271"/>
      <c r="L118" s="294">
        <f>SUM(G118:G120)</f>
        <v>0</v>
      </c>
      <c r="M118" s="227"/>
      <c r="N118" s="274"/>
      <c r="O118" s="237"/>
      <c r="P118" s="275"/>
      <c r="Q118" s="237"/>
      <c r="R118" s="242"/>
      <c r="S118" s="266"/>
      <c r="T118" s="266"/>
    </row>
    <row r="119" spans="1:21" ht="16.5" hidden="1" outlineLevel="1" thickBot="1">
      <c r="A119" s="891"/>
      <c r="B119" s="887"/>
      <c r="C119" s="54" t="s">
        <v>171</v>
      </c>
      <c r="D119" s="269"/>
      <c r="E119" s="41">
        <v>7.0206999999999997</v>
      </c>
      <c r="F119" s="41">
        <f t="shared" si="22"/>
        <v>7.0206999999999997</v>
      </c>
      <c r="G119" s="235">
        <f t="shared" ref="G119:G120" si="23">ROUND(D119*E119,2)</f>
        <v>0</v>
      </c>
      <c r="H119" s="270"/>
      <c r="I119" s="41"/>
      <c r="J119" s="41"/>
      <c r="K119" s="271"/>
      <c r="L119" s="272"/>
      <c r="M119" s="273"/>
      <c r="N119" s="274"/>
      <c r="O119" s="237"/>
      <c r="P119" s="275"/>
      <c r="Q119" s="237"/>
      <c r="R119" s="242"/>
      <c r="S119" s="266"/>
      <c r="T119" s="266"/>
    </row>
    <row r="120" spans="1:21" ht="16.5" hidden="1" outlineLevel="1" thickBot="1">
      <c r="A120" s="892"/>
      <c r="B120" s="183"/>
      <c r="C120" s="439" t="s">
        <v>29</v>
      </c>
      <c r="D120" s="279"/>
      <c r="E120" s="56">
        <v>7.0206999999999997</v>
      </c>
      <c r="F120" s="57">
        <f t="shared" si="22"/>
        <v>7.0206999999999997</v>
      </c>
      <c r="G120" s="247">
        <f t="shared" si="23"/>
        <v>0</v>
      </c>
      <c r="H120" s="280"/>
      <c r="I120" s="281"/>
      <c r="J120" s="281"/>
      <c r="K120" s="282"/>
      <c r="L120" s="204"/>
      <c r="M120" s="250"/>
      <c r="N120" s="283"/>
      <c r="O120" s="252"/>
      <c r="P120" s="284"/>
      <c r="Q120" s="252"/>
      <c r="R120" s="242"/>
      <c r="S120" s="266"/>
      <c r="T120" s="266"/>
    </row>
    <row r="121" spans="1:21" ht="16.5" collapsed="1" thickTop="1">
      <c r="A121" s="898"/>
      <c r="B121" s="321"/>
      <c r="C121" s="322"/>
      <c r="D121" s="323"/>
      <c r="E121" s="163"/>
      <c r="F121" s="324"/>
      <c r="G121" s="325"/>
      <c r="H121" s="163"/>
      <c r="I121" s="163"/>
      <c r="J121" s="163"/>
      <c r="K121" s="163"/>
      <c r="L121" s="163"/>
      <c r="M121" s="326"/>
      <c r="N121" s="327"/>
      <c r="O121" s="328"/>
      <c r="P121" s="329"/>
      <c r="Q121" s="328"/>
      <c r="R121" s="330"/>
      <c r="S121" s="331"/>
      <c r="T121" s="266"/>
    </row>
    <row r="122" spans="1:21" ht="21.75" thickBot="1">
      <c r="A122" s="171" t="s">
        <v>60</v>
      </c>
      <c r="B122" s="2"/>
      <c r="C122" s="3"/>
      <c r="D122" s="2"/>
      <c r="E122" s="2"/>
      <c r="F122" s="2"/>
      <c r="G122" s="332"/>
      <c r="H122" s="332"/>
      <c r="I122" s="332"/>
      <c r="J122" s="2"/>
      <c r="K122" s="2"/>
      <c r="L122" s="2"/>
      <c r="M122" s="3"/>
      <c r="N122" s="2"/>
      <c r="O122" s="2"/>
      <c r="P122" s="2"/>
      <c r="Q122" s="2"/>
      <c r="R122" s="2"/>
      <c r="S122" s="2"/>
    </row>
    <row r="123" spans="1:21" ht="15" customHeight="1" thickTop="1">
      <c r="A123" s="1553" t="s">
        <v>1</v>
      </c>
      <c r="B123" s="1516" t="s">
        <v>2</v>
      </c>
      <c r="C123" s="1518" t="s">
        <v>3</v>
      </c>
      <c r="D123" s="1532" t="s">
        <v>4</v>
      </c>
      <c r="E123" s="1532"/>
      <c r="F123" s="1532"/>
      <c r="G123" s="1532"/>
      <c r="H123" s="1533" t="s">
        <v>5</v>
      </c>
      <c r="I123" s="1534"/>
      <c r="J123" s="1534"/>
      <c r="K123" s="1534"/>
      <c r="L123" s="1524" t="s">
        <v>6</v>
      </c>
      <c r="M123" s="1537" t="s">
        <v>7</v>
      </c>
      <c r="N123" s="1538" t="s">
        <v>8</v>
      </c>
      <c r="O123" s="1538"/>
      <c r="P123" s="1538"/>
      <c r="Q123" s="1539"/>
      <c r="R123" s="5"/>
      <c r="S123" s="5"/>
      <c r="T123" s="5" t="s">
        <v>61</v>
      </c>
      <c r="U123" t="s">
        <v>21</v>
      </c>
    </row>
    <row r="124" spans="1:21" ht="27" customHeight="1" thickBot="1">
      <c r="A124" s="1531"/>
      <c r="B124" s="1517"/>
      <c r="C124" s="1519" t="s">
        <v>10</v>
      </c>
      <c r="D124" s="333" t="s">
        <v>11</v>
      </c>
      <c r="E124" s="7" t="s">
        <v>12</v>
      </c>
      <c r="F124" s="7" t="s">
        <v>13</v>
      </c>
      <c r="G124" s="334" t="s">
        <v>14</v>
      </c>
      <c r="H124" s="335" t="s">
        <v>11</v>
      </c>
      <c r="I124" s="333" t="s">
        <v>15</v>
      </c>
      <c r="J124" s="336" t="s">
        <v>14</v>
      </c>
      <c r="K124" s="11" t="s">
        <v>16</v>
      </c>
      <c r="L124" s="1525"/>
      <c r="M124" s="1511"/>
      <c r="N124" s="337" t="s">
        <v>62</v>
      </c>
      <c r="O124" s="338" t="s">
        <v>44</v>
      </c>
      <c r="P124" s="13" t="s">
        <v>18</v>
      </c>
      <c r="Q124" s="14" t="s">
        <v>19</v>
      </c>
    </row>
    <row r="125" spans="1:21" ht="14.25" customHeight="1">
      <c r="A125" s="339" t="s">
        <v>63</v>
      </c>
      <c r="B125" s="18" t="s">
        <v>64</v>
      </c>
      <c r="C125" s="71" t="s">
        <v>243</v>
      </c>
      <c r="D125" s="340">
        <v>143</v>
      </c>
      <c r="E125" s="21">
        <v>40.556600000000003</v>
      </c>
      <c r="F125" s="21">
        <v>47.5304</v>
      </c>
      <c r="G125" s="185">
        <f>ROUND(D125*(E125+F125),2)</f>
        <v>12596.44</v>
      </c>
      <c r="H125" s="184"/>
      <c r="I125" s="23"/>
      <c r="J125" s="341"/>
      <c r="K125" s="342"/>
      <c r="L125" s="343">
        <f>SUM(G125:G130,J125:J129)</f>
        <v>269383.06</v>
      </c>
      <c r="M125" s="344">
        <v>269383.06</v>
      </c>
      <c r="N125" s="345"/>
      <c r="O125" s="346">
        <v>7157.88</v>
      </c>
      <c r="P125" s="347" t="s">
        <v>24</v>
      </c>
      <c r="Q125" s="348" t="e">
        <f t="shared" ref="Q125:Q198" si="24">C125+G125+J125-M125-N125-O125</f>
        <v>#VALUE!</v>
      </c>
      <c r="R125" s="349" t="s">
        <v>65</v>
      </c>
      <c r="S125" s="350" t="s">
        <v>20</v>
      </c>
      <c r="T125" s="351" t="s">
        <v>21</v>
      </c>
      <c r="U125" s="352" t="e">
        <f>+L125-M125+C125</f>
        <v>#VALUE!</v>
      </c>
    </row>
    <row r="126" spans="1:21" ht="14.25" customHeight="1">
      <c r="A126" s="353"/>
      <c r="B126" s="35"/>
      <c r="C126" s="84" t="s">
        <v>26</v>
      </c>
      <c r="D126" s="37"/>
      <c r="E126" s="38"/>
      <c r="F126" s="38"/>
      <c r="G126" s="39">
        <f>ROUND(D126*(E126+F126),2)</f>
        <v>0</v>
      </c>
      <c r="H126" s="49"/>
      <c r="I126" s="271"/>
      <c r="J126" s="101"/>
      <c r="K126" s="354"/>
      <c r="L126" s="355"/>
      <c r="M126" s="356"/>
      <c r="N126" s="357"/>
      <c r="O126" s="358"/>
      <c r="P126" s="359"/>
      <c r="Q126" s="358"/>
      <c r="R126" s="349"/>
      <c r="S126" s="350"/>
      <c r="T126" s="351"/>
      <c r="U126" s="352"/>
    </row>
    <row r="127" spans="1:21">
      <c r="A127" s="353"/>
      <c r="B127" s="35"/>
      <c r="C127" s="48"/>
      <c r="D127" s="49"/>
      <c r="E127" s="41"/>
      <c r="F127" s="41"/>
      <c r="G127" s="50">
        <f>ROUND(D127*E127*70%+D127*F127*30%,2)</f>
        <v>0</v>
      </c>
      <c r="H127" s="49"/>
      <c r="I127" s="271"/>
      <c r="J127" s="41"/>
      <c r="K127" s="354"/>
      <c r="L127" s="355"/>
      <c r="M127" s="356"/>
      <c r="N127" s="357"/>
      <c r="O127" s="358"/>
      <c r="P127" s="359"/>
      <c r="Q127" s="358"/>
      <c r="R127" s="349"/>
      <c r="S127" s="350"/>
      <c r="T127" s="351"/>
      <c r="U127" s="352"/>
    </row>
    <row r="128" spans="1:21">
      <c r="A128" s="353"/>
      <c r="B128" s="35"/>
      <c r="C128" s="48" t="s">
        <v>260</v>
      </c>
      <c r="D128" s="49"/>
      <c r="E128" s="41"/>
      <c r="F128" s="38"/>
      <c r="G128" s="50">
        <f>ROUND(+D128*E128,2)</f>
        <v>0</v>
      </c>
      <c r="H128" s="49"/>
      <c r="I128" s="271"/>
      <c r="J128" s="41"/>
      <c r="K128" s="354"/>
      <c r="L128" s="355"/>
      <c r="M128" s="356"/>
      <c r="N128" s="357"/>
      <c r="O128" s="358"/>
      <c r="P128" s="359"/>
      <c r="Q128" s="358"/>
      <c r="R128" s="349"/>
      <c r="S128" s="350"/>
      <c r="T128" s="351"/>
      <c r="U128" s="352"/>
    </row>
    <row r="129" spans="1:21">
      <c r="A129" s="353"/>
      <c r="B129" s="35"/>
      <c r="C129" s="48" t="s">
        <v>263</v>
      </c>
      <c r="D129" s="49">
        <f>57.44+19.37+8.57</f>
        <v>85.38</v>
      </c>
      <c r="E129" s="41">
        <v>7.2015000000000002</v>
      </c>
      <c r="F129" s="41">
        <f>+E129</f>
        <v>7.2015000000000002</v>
      </c>
      <c r="G129" s="50">
        <f>ROUND(D129*E129,2)</f>
        <v>614.86</v>
      </c>
      <c r="H129" s="361"/>
      <c r="I129" s="362"/>
      <c r="J129" s="207"/>
      <c r="K129" s="363"/>
      <c r="L129" s="364"/>
      <c r="M129" s="365"/>
      <c r="N129" s="366"/>
      <c r="O129" s="367"/>
      <c r="P129" s="368"/>
      <c r="Q129" s="358"/>
      <c r="R129" s="349"/>
      <c r="S129" s="350"/>
      <c r="T129" s="351"/>
      <c r="U129" s="352"/>
    </row>
    <row r="130" spans="1:21" ht="15.75" thickBot="1">
      <c r="A130" s="369"/>
      <c r="B130" s="53" t="s">
        <v>66</v>
      </c>
      <c r="C130" s="99" t="s">
        <v>29</v>
      </c>
      <c r="D130" s="55">
        <f>23932+8070+3570</f>
        <v>35572</v>
      </c>
      <c r="E130" s="56">
        <v>7.2015000000000002</v>
      </c>
      <c r="F130" s="370">
        <f>+E130</f>
        <v>7.2015000000000002</v>
      </c>
      <c r="G130" s="58">
        <f>ROUND(D130*E130,2)</f>
        <v>256171.76</v>
      </c>
      <c r="H130" s="248"/>
      <c r="I130" s="203"/>
      <c r="J130" s="60"/>
      <c r="K130" s="203"/>
      <c r="L130" s="204"/>
      <c r="M130" s="371"/>
      <c r="N130" s="372"/>
      <c r="O130" s="373">
        <v>165882.5</v>
      </c>
      <c r="P130" s="374" t="s">
        <v>24</v>
      </c>
      <c r="Q130" s="373">
        <f>G130+J130-M130-N130-O130</f>
        <v>90289.260000000009</v>
      </c>
      <c r="R130" s="349" t="s">
        <v>65</v>
      </c>
      <c r="S130" s="375">
        <f>SUM(O125:O130)</f>
        <v>173040.38</v>
      </c>
      <c r="T130" s="375" t="e">
        <f>SUM(Q125:Q130)</f>
        <v>#VALUE!</v>
      </c>
    </row>
    <row r="131" spans="1:21" s="81" customFormat="1" ht="15" customHeight="1">
      <c r="A131" s="437">
        <v>101</v>
      </c>
      <c r="B131" s="438" t="s">
        <v>82</v>
      </c>
      <c r="C131" s="377" t="s">
        <v>73</v>
      </c>
      <c r="D131" s="378">
        <v>33</v>
      </c>
      <c r="E131" s="21">
        <v>40.556600000000003</v>
      </c>
      <c r="F131" s="21">
        <v>47.5304</v>
      </c>
      <c r="G131" s="22">
        <f>+D131*(E131+F131)</f>
        <v>2906.8710000000001</v>
      </c>
      <c r="H131" s="303"/>
      <c r="I131" s="381"/>
      <c r="J131" s="381"/>
      <c r="K131" s="342"/>
      <c r="L131" s="263">
        <f>SUM(G131:G135,J131:J135)</f>
        <v>107864.431</v>
      </c>
      <c r="M131" s="26">
        <v>107864.43</v>
      </c>
      <c r="N131" s="421"/>
      <c r="O131" s="77"/>
      <c r="P131" s="77"/>
      <c r="Q131" s="384"/>
      <c r="R131" s="422"/>
      <c r="S131" s="399"/>
      <c r="T131" s="399"/>
    </row>
    <row r="132" spans="1:21" s="81" customFormat="1" ht="15" customHeight="1">
      <c r="A132" s="441"/>
      <c r="B132" s="442"/>
      <c r="C132" s="36" t="s">
        <v>26</v>
      </c>
      <c r="D132" s="37"/>
      <c r="E132" s="38"/>
      <c r="F132" s="38"/>
      <c r="G132" s="39">
        <f>ROUND(D132*(E132+F132),2)</f>
        <v>0</v>
      </c>
      <c r="H132" s="457"/>
      <c r="I132" s="392"/>
      <c r="J132" s="402"/>
      <c r="K132" s="393"/>
      <c r="L132" s="459"/>
      <c r="M132" s="44"/>
      <c r="N132" s="430"/>
      <c r="O132" s="435"/>
      <c r="P132" s="435"/>
      <c r="Q132" s="425"/>
      <c r="R132" s="422"/>
      <c r="S132" s="399"/>
      <c r="T132" s="399"/>
    </row>
    <row r="133" spans="1:21" s="81" customFormat="1" ht="15" customHeight="1">
      <c r="A133" s="441"/>
      <c r="B133" s="442"/>
      <c r="C133" s="48" t="s">
        <v>260</v>
      </c>
      <c r="D133" s="37">
        <f>окт18!D128+окт18!D129</f>
        <v>14309.26</v>
      </c>
      <c r="E133" s="41">
        <f>7.1727-7.0999</f>
        <v>7.2799999999999976E-2</v>
      </c>
      <c r="F133" s="38"/>
      <c r="G133" s="39">
        <f>ROUND(D133*(E133),2)</f>
        <v>1041.71</v>
      </c>
      <c r="H133" s="270"/>
      <c r="I133" s="41"/>
      <c r="J133" s="41"/>
      <c r="K133" s="271"/>
      <c r="L133" s="272"/>
      <c r="M133" s="102"/>
      <c r="N133" s="430"/>
      <c r="O133" s="435"/>
      <c r="P133" s="435"/>
      <c r="Q133" s="425"/>
      <c r="R133" s="422"/>
      <c r="S133" s="399"/>
      <c r="T133" s="399"/>
    </row>
    <row r="134" spans="1:21" s="81" customFormat="1" ht="15" customHeight="1">
      <c r="A134" s="441"/>
      <c r="B134" s="442"/>
      <c r="C134" s="48" t="s">
        <v>263</v>
      </c>
      <c r="D134" s="37">
        <v>34.69</v>
      </c>
      <c r="E134" s="41">
        <v>7.1726999999999999</v>
      </c>
      <c r="F134" s="38"/>
      <c r="G134" s="39">
        <f>ROUND(D134*(E134),2)</f>
        <v>248.82</v>
      </c>
      <c r="H134" s="270"/>
      <c r="I134" s="41"/>
      <c r="J134" s="41"/>
      <c r="K134" s="271"/>
      <c r="L134" s="272"/>
      <c r="M134" s="102"/>
      <c r="N134" s="434"/>
      <c r="O134" s="435"/>
      <c r="P134" s="435"/>
      <c r="Q134" s="425"/>
      <c r="R134" s="422"/>
      <c r="S134" s="399"/>
      <c r="T134" s="399"/>
    </row>
    <row r="135" spans="1:21" s="81" customFormat="1" ht="15" customHeight="1" thickBot="1">
      <c r="A135" s="445"/>
      <c r="B135" s="446"/>
      <c r="C135" s="54" t="s">
        <v>29</v>
      </c>
      <c r="D135" s="413">
        <v>14453</v>
      </c>
      <c r="E135" s="56">
        <v>7.1726999999999999</v>
      </c>
      <c r="F135" s="281"/>
      <c r="G135" s="414">
        <f>ROUND(D135*(E135),2)</f>
        <v>103667.03</v>
      </c>
      <c r="H135" s="280"/>
      <c r="I135" s="281"/>
      <c r="J135" s="281"/>
      <c r="K135" s="282"/>
      <c r="L135" s="204"/>
      <c r="M135" s="371"/>
      <c r="N135" s="426"/>
      <c r="O135" s="416"/>
      <c r="P135" s="416"/>
      <c r="Q135" s="417"/>
      <c r="R135" s="899"/>
      <c r="S135" s="399"/>
      <c r="T135" s="399"/>
    </row>
    <row r="136" spans="1:21" s="81" customFormat="1" ht="15.75" customHeight="1">
      <c r="A136" s="902">
        <v>105</v>
      </c>
      <c r="B136" s="903" t="s">
        <v>256</v>
      </c>
      <c r="C136" s="439" t="s">
        <v>260</v>
      </c>
      <c r="D136" s="904">
        <f>окт18!D131+окт18!D132</f>
        <v>1553.72</v>
      </c>
      <c r="E136" s="23">
        <f>7.1727-7.0999</f>
        <v>7.2799999999999976E-2</v>
      </c>
      <c r="F136" s="905"/>
      <c r="G136" s="22">
        <f>ROUND(D136*E136,2)-0.01</f>
        <v>113.1</v>
      </c>
      <c r="H136" s="303"/>
      <c r="I136" s="23"/>
      <c r="J136" s="23"/>
      <c r="K136" s="304"/>
      <c r="L136" s="263">
        <f>SUM(G136:G138)</f>
        <v>10969.85</v>
      </c>
      <c r="M136" s="26">
        <v>10969.85</v>
      </c>
      <c r="N136" s="421"/>
      <c r="O136" s="77"/>
      <c r="P136" s="77"/>
      <c r="Q136" s="384"/>
      <c r="R136" s="422"/>
      <c r="S136" s="399"/>
      <c r="T136" s="399"/>
    </row>
    <row r="137" spans="1:21" s="81" customFormat="1" ht="15.75" customHeight="1">
      <c r="A137" s="468"/>
      <c r="B137" s="469"/>
      <c r="C137" s="48" t="s">
        <v>263</v>
      </c>
      <c r="D137" s="471">
        <v>3.62</v>
      </c>
      <c r="E137" s="41">
        <v>7.1726999999999999</v>
      </c>
      <c r="F137" s="473"/>
      <c r="G137" s="449">
        <f>ROUND(D137*E137,2)</f>
        <v>25.97</v>
      </c>
      <c r="H137" s="260"/>
      <c r="I137" s="261"/>
      <c r="J137" s="261"/>
      <c r="K137" s="262"/>
      <c r="L137" s="286"/>
      <c r="M137" s="90"/>
      <c r="N137" s="423"/>
      <c r="O137" s="406"/>
      <c r="P137" s="406"/>
      <c r="Q137" s="407"/>
      <c r="R137" s="422"/>
      <c r="S137" s="399"/>
      <c r="T137" s="399"/>
    </row>
    <row r="138" spans="1:21" s="81" customFormat="1" ht="15.75" customHeight="1" thickBot="1">
      <c r="A138" s="858"/>
      <c r="B138" s="859"/>
      <c r="C138" s="54" t="s">
        <v>29</v>
      </c>
      <c r="D138" s="860">
        <v>1510</v>
      </c>
      <c r="E138" s="56">
        <v>7.1726999999999999</v>
      </c>
      <c r="F138" s="861"/>
      <c r="G138" s="414">
        <f t="shared" ref="G138" si="25">ROUND(D138*E138,2)</f>
        <v>10830.78</v>
      </c>
      <c r="H138" s="280"/>
      <c r="I138" s="281"/>
      <c r="J138" s="281"/>
      <c r="K138" s="282"/>
      <c r="L138" s="204"/>
      <c r="M138" s="371"/>
      <c r="N138" s="426"/>
      <c r="O138" s="416"/>
      <c r="P138" s="416"/>
      <c r="Q138" s="417"/>
      <c r="R138" s="422"/>
      <c r="S138" s="399"/>
      <c r="T138" s="399"/>
    </row>
    <row r="139" spans="1:21" s="81" customFormat="1" ht="15.75" customHeight="1">
      <c r="A139" s="902">
        <v>107</v>
      </c>
      <c r="B139" s="903" t="s">
        <v>239</v>
      </c>
      <c r="C139" s="439" t="s">
        <v>260</v>
      </c>
      <c r="D139" s="904">
        <f>окт18!D134+окт18!D135</f>
        <v>365.88</v>
      </c>
      <c r="E139" s="23">
        <f>7.1727-7.0999</f>
        <v>7.2799999999999976E-2</v>
      </c>
      <c r="F139" s="905"/>
      <c r="G139" s="22">
        <f>ROUND(D139*E139,2)</f>
        <v>26.64</v>
      </c>
      <c r="H139" s="303"/>
      <c r="I139" s="23"/>
      <c r="J139" s="23"/>
      <c r="K139" s="304"/>
      <c r="L139" s="263">
        <f>SUM(G139:G141)</f>
        <v>2593.46</v>
      </c>
      <c r="M139" s="26">
        <v>2593.46</v>
      </c>
      <c r="N139" s="421"/>
      <c r="O139" s="77"/>
      <c r="P139" s="77"/>
      <c r="Q139" s="384"/>
      <c r="R139" s="422"/>
      <c r="S139" s="399"/>
      <c r="T139" s="399"/>
    </row>
    <row r="140" spans="1:21" s="81" customFormat="1" ht="15.75" customHeight="1">
      <c r="A140" s="468"/>
      <c r="B140" s="469"/>
      <c r="C140" s="48" t="s">
        <v>263</v>
      </c>
      <c r="D140" s="471">
        <v>0.86</v>
      </c>
      <c r="E140" s="41">
        <v>7.1726999999999999</v>
      </c>
      <c r="F140" s="473"/>
      <c r="G140" s="449">
        <f>ROUND(D140*E140,2)</f>
        <v>6.17</v>
      </c>
      <c r="H140" s="260"/>
      <c r="I140" s="261"/>
      <c r="J140" s="261"/>
      <c r="K140" s="262"/>
      <c r="L140" s="286"/>
      <c r="M140" s="90"/>
      <c r="N140" s="423"/>
      <c r="O140" s="406"/>
      <c r="P140" s="406"/>
      <c r="Q140" s="407"/>
      <c r="R140" s="422"/>
      <c r="S140" s="399"/>
      <c r="T140" s="399"/>
    </row>
    <row r="141" spans="1:21" s="81" customFormat="1" ht="15.75" customHeight="1" thickBot="1">
      <c r="A141" s="858"/>
      <c r="B141" s="859"/>
      <c r="C141" s="54" t="s">
        <v>29</v>
      </c>
      <c r="D141" s="860">
        <v>357</v>
      </c>
      <c r="E141" s="56">
        <v>7.1726999999999999</v>
      </c>
      <c r="F141" s="861"/>
      <c r="G141" s="414">
        <f t="shared" ref="G141" si="26">ROUND(D141*E141,2)</f>
        <v>2560.65</v>
      </c>
      <c r="H141" s="280"/>
      <c r="I141" s="281"/>
      <c r="J141" s="281"/>
      <c r="K141" s="282"/>
      <c r="L141" s="204"/>
      <c r="M141" s="371"/>
      <c r="N141" s="426"/>
      <c r="O141" s="416"/>
      <c r="P141" s="416"/>
      <c r="Q141" s="417"/>
      <c r="R141" s="422"/>
      <c r="S141" s="399"/>
      <c r="T141" s="399"/>
    </row>
    <row r="142" spans="1:21" s="81" customFormat="1" ht="15.75" customHeight="1">
      <c r="A142" s="902">
        <v>108</v>
      </c>
      <c r="B142" s="903" t="s">
        <v>168</v>
      </c>
      <c r="C142" s="439" t="s">
        <v>260</v>
      </c>
      <c r="D142" s="904">
        <f>окт18!D137+окт18!D138</f>
        <v>249.6</v>
      </c>
      <c r="E142" s="23">
        <f>7.1727-7.0999</f>
        <v>7.2799999999999976E-2</v>
      </c>
      <c r="F142" s="905"/>
      <c r="G142" s="22">
        <f>ROUND(D142*E142,2)</f>
        <v>18.170000000000002</v>
      </c>
      <c r="H142" s="303"/>
      <c r="I142" s="23"/>
      <c r="J142" s="23"/>
      <c r="K142" s="304"/>
      <c r="L142" s="263">
        <f>SUM(G142:G144)</f>
        <v>1815.65</v>
      </c>
      <c r="M142" s="26">
        <v>1815.65</v>
      </c>
      <c r="N142" s="421"/>
      <c r="O142" s="77"/>
      <c r="P142" s="77"/>
      <c r="Q142" s="384"/>
      <c r="R142" s="422"/>
      <c r="S142" s="399"/>
      <c r="T142" s="399"/>
    </row>
    <row r="143" spans="1:21" s="81" customFormat="1" ht="15.75" customHeight="1">
      <c r="A143" s="468"/>
      <c r="B143" s="469"/>
      <c r="C143" s="48" t="s">
        <v>263</v>
      </c>
      <c r="D143" s="471">
        <v>0.6</v>
      </c>
      <c r="E143" s="41">
        <v>7.1726999999999999</v>
      </c>
      <c r="F143" s="473"/>
      <c r="G143" s="449">
        <f>ROUND(D143*E143,2)</f>
        <v>4.3</v>
      </c>
      <c r="H143" s="260"/>
      <c r="I143" s="261"/>
      <c r="J143" s="261"/>
      <c r="K143" s="262"/>
      <c r="L143" s="286"/>
      <c r="M143" s="90"/>
      <c r="N143" s="423"/>
      <c r="O143" s="406"/>
      <c r="P143" s="406"/>
      <c r="Q143" s="407"/>
      <c r="R143" s="422"/>
      <c r="S143" s="399"/>
      <c r="T143" s="399"/>
    </row>
    <row r="144" spans="1:21" s="81" customFormat="1" ht="15.75" customHeight="1" thickBot="1">
      <c r="A144" s="858"/>
      <c r="B144" s="859"/>
      <c r="C144" s="520" t="s">
        <v>29</v>
      </c>
      <c r="D144" s="471">
        <v>250</v>
      </c>
      <c r="E144" s="876">
        <v>7.1726999999999999</v>
      </c>
      <c r="F144" s="473"/>
      <c r="G144" s="453">
        <f t="shared" ref="G144" si="27">ROUND(D144*E144,2)</f>
        <v>1793.18</v>
      </c>
      <c r="H144" s="432"/>
      <c r="I144" s="207"/>
      <c r="J144" s="207"/>
      <c r="K144" s="362"/>
      <c r="L144" s="433"/>
      <c r="M144" s="371"/>
      <c r="N144" s="426"/>
      <c r="O144" s="416"/>
      <c r="P144" s="416"/>
      <c r="Q144" s="417"/>
      <c r="R144" s="422"/>
      <c r="S144" s="399"/>
      <c r="T144" s="399"/>
    </row>
    <row r="145" spans="1:20" s="81" customFormat="1" ht="15.75" customHeight="1">
      <c r="A145" s="376">
        <v>109</v>
      </c>
      <c r="B145" s="924" t="s">
        <v>175</v>
      </c>
      <c r="C145" s="439" t="s">
        <v>260</v>
      </c>
      <c r="D145" s="378">
        <f>окт18!D140+окт18!D141</f>
        <v>972.33</v>
      </c>
      <c r="E145" s="23">
        <f>7.1727-7.0999</f>
        <v>7.2799999999999976E-2</v>
      </c>
      <c r="F145" s="23"/>
      <c r="G145" s="22">
        <f>ROUND(D145*E145,2)</f>
        <v>70.790000000000006</v>
      </c>
      <c r="H145" s="303"/>
      <c r="I145" s="23"/>
      <c r="J145" s="23"/>
      <c r="K145" s="185"/>
      <c r="L145" s="263">
        <f>SUM(G145:G149)+SUM(J145:J149)</f>
        <v>9009.6270000000004</v>
      </c>
      <c r="M145" s="877">
        <v>9009.6299999999992</v>
      </c>
      <c r="N145" s="443"/>
      <c r="O145" s="94"/>
      <c r="P145" s="94"/>
      <c r="Q145" s="396"/>
      <c r="R145" s="422"/>
      <c r="S145" s="399"/>
      <c r="T145" s="399"/>
    </row>
    <row r="146" spans="1:20" s="81" customFormat="1" ht="15.75" customHeight="1">
      <c r="A146" s="389"/>
      <c r="B146" s="920"/>
      <c r="C146" s="48" t="s">
        <v>263</v>
      </c>
      <c r="D146" s="37">
        <v>2.95</v>
      </c>
      <c r="E146" s="41">
        <v>7.1726999999999999</v>
      </c>
      <c r="F146" s="41"/>
      <c r="G146" s="39">
        <f>ROUND(D146*E146,2)</f>
        <v>21.16</v>
      </c>
      <c r="H146" s="270"/>
      <c r="I146" s="41"/>
      <c r="J146" s="41"/>
      <c r="K146" s="50"/>
      <c r="L146" s="272"/>
      <c r="M146" s="990"/>
      <c r="N146" s="423"/>
      <c r="O146" s="406"/>
      <c r="P146" s="406"/>
      <c r="Q146" s="407"/>
      <c r="R146" s="422"/>
      <c r="S146" s="399"/>
      <c r="T146" s="399"/>
    </row>
    <row r="147" spans="1:20" s="81" customFormat="1" ht="15.75" customHeight="1">
      <c r="A147" s="389"/>
      <c r="B147" s="920"/>
      <c r="C147" s="99" t="s">
        <v>29</v>
      </c>
      <c r="D147" s="37">
        <v>1231</v>
      </c>
      <c r="E147" s="101">
        <v>7.1726999999999999</v>
      </c>
      <c r="F147" s="41"/>
      <c r="G147" s="39">
        <f t="shared" ref="G147" si="28">ROUND(D147*E147,2)</f>
        <v>8829.59</v>
      </c>
      <c r="H147" s="270"/>
      <c r="I147" s="41"/>
      <c r="J147" s="41"/>
      <c r="K147" s="50"/>
      <c r="L147" s="272"/>
      <c r="M147" s="990"/>
      <c r="N147" s="423"/>
      <c r="O147" s="406"/>
      <c r="P147" s="406"/>
      <c r="Q147" s="407"/>
      <c r="R147" s="422"/>
      <c r="S147" s="399"/>
      <c r="T147" s="399"/>
    </row>
    <row r="148" spans="1:20" s="81" customFormat="1" ht="15.75" customHeight="1" thickBot="1">
      <c r="A148" s="389"/>
      <c r="B148" s="920"/>
      <c r="C148" s="99" t="s">
        <v>73</v>
      </c>
      <c r="D148" s="37">
        <v>1</v>
      </c>
      <c r="E148" s="101">
        <v>40.556600000000003</v>
      </c>
      <c r="F148" s="41">
        <v>47.5304</v>
      </c>
      <c r="G148" s="39">
        <f>+D148*(E148+F148)</f>
        <v>88.087000000000003</v>
      </c>
      <c r="H148" s="270"/>
      <c r="I148" s="41"/>
      <c r="J148" s="41"/>
      <c r="K148" s="50"/>
      <c r="L148" s="272"/>
      <c r="M148" s="880"/>
      <c r="N148" s="426"/>
      <c r="O148" s="416"/>
      <c r="P148" s="416"/>
      <c r="Q148" s="417"/>
      <c r="R148" s="422"/>
      <c r="S148" s="399"/>
      <c r="T148" s="399"/>
    </row>
    <row r="149" spans="1:20" s="81" customFormat="1" ht="15.75" customHeight="1" thickBot="1">
      <c r="A149" s="411"/>
      <c r="B149" s="921"/>
      <c r="C149" s="54" t="s">
        <v>264</v>
      </c>
      <c r="D149" s="413"/>
      <c r="E149" s="56"/>
      <c r="F149" s="281"/>
      <c r="G149" s="414">
        <f>+D149*(E149+F149)</f>
        <v>0</v>
      </c>
      <c r="H149" s="280"/>
      <c r="I149" s="281"/>
      <c r="J149" s="281"/>
      <c r="K149" s="58"/>
      <c r="L149" s="204"/>
      <c r="M149" s="880"/>
      <c r="N149" s="426"/>
      <c r="O149" s="416"/>
      <c r="P149" s="416"/>
      <c r="Q149" s="417"/>
      <c r="R149" s="422"/>
      <c r="S149" s="399"/>
      <c r="T149" s="399"/>
    </row>
    <row r="150" spans="1:20" s="81" customFormat="1" ht="15.75" customHeight="1">
      <c r="A150" s="376">
        <v>117</v>
      </c>
      <c r="B150" s="420" t="s">
        <v>72</v>
      </c>
      <c r="C150" s="390" t="s">
        <v>73</v>
      </c>
      <c r="D150" s="869">
        <v>99</v>
      </c>
      <c r="E150" s="86">
        <v>40.556600000000003</v>
      </c>
      <c r="F150" s="86">
        <v>47.5304</v>
      </c>
      <c r="G150" s="449">
        <f>+D150*(E150+F150)</f>
        <v>8720.6130000000012</v>
      </c>
      <c r="H150" s="260"/>
      <c r="I150" s="392"/>
      <c r="J150" s="392"/>
      <c r="K150" s="870"/>
      <c r="L150" s="286">
        <f>SUM(G150:G154,J150:J154)</f>
        <v>232738.79300000001</v>
      </c>
      <c r="M150" s="26">
        <v>232738.79</v>
      </c>
      <c r="N150" s="421"/>
      <c r="O150" s="77"/>
      <c r="P150" s="77"/>
      <c r="Q150" s="384"/>
      <c r="R150" s="422"/>
      <c r="S150" s="399"/>
      <c r="T150" s="399"/>
    </row>
    <row r="151" spans="1:20" s="81" customFormat="1" ht="15.75" customHeight="1">
      <c r="A151" s="389"/>
      <c r="B151" s="83"/>
      <c r="C151" s="84" t="s">
        <v>26</v>
      </c>
      <c r="D151" s="37"/>
      <c r="E151" s="38"/>
      <c r="F151" s="38"/>
      <c r="G151" s="39">
        <f>ROUND(D151*(E151+F151),2)</f>
        <v>0</v>
      </c>
      <c r="H151" s="270"/>
      <c r="I151" s="392"/>
      <c r="J151" s="402"/>
      <c r="K151" s="393"/>
      <c r="L151" s="272"/>
      <c r="M151" s="102"/>
      <c r="N151" s="423"/>
      <c r="O151" s="406"/>
      <c r="P151" s="406"/>
      <c r="Q151" s="407"/>
      <c r="R151" s="422"/>
      <c r="S151" s="399"/>
      <c r="T151" s="399"/>
    </row>
    <row r="152" spans="1:20" s="81" customFormat="1" ht="15.75" customHeight="1">
      <c r="A152" s="389"/>
      <c r="B152" s="83"/>
      <c r="C152" s="48" t="s">
        <v>260</v>
      </c>
      <c r="D152" s="37">
        <f>окт18!D147+окт18!D148</f>
        <v>31335.02</v>
      </c>
      <c r="E152" s="41">
        <f>7.1727-7.0999</f>
        <v>7.2799999999999976E-2</v>
      </c>
      <c r="F152" s="38"/>
      <c r="G152" s="39">
        <f>ROUND(D152*(E152),2)</f>
        <v>2281.19</v>
      </c>
      <c r="H152" s="270"/>
      <c r="I152" s="41"/>
      <c r="J152" s="41"/>
      <c r="K152" s="271"/>
      <c r="L152" s="272"/>
      <c r="M152" s="102"/>
      <c r="N152" s="423"/>
      <c r="O152" s="406"/>
      <c r="P152" s="406"/>
      <c r="Q152" s="407"/>
      <c r="R152" s="422"/>
      <c r="S152" s="399"/>
      <c r="T152" s="399"/>
    </row>
    <row r="153" spans="1:20" s="81" customFormat="1" ht="15.75" customHeight="1">
      <c r="A153" s="389"/>
      <c r="B153" s="83"/>
      <c r="C153" s="48" t="s">
        <v>263</v>
      </c>
      <c r="D153" s="37">
        <v>74.02</v>
      </c>
      <c r="E153" s="41">
        <v>7.1726999999999999</v>
      </c>
      <c r="F153" s="38"/>
      <c r="G153" s="39">
        <f>ROUND(D153*(E153),2)</f>
        <v>530.91999999999996</v>
      </c>
      <c r="H153" s="270"/>
      <c r="I153" s="41"/>
      <c r="J153" s="41"/>
      <c r="K153" s="271"/>
      <c r="L153" s="272"/>
      <c r="M153" s="102"/>
      <c r="N153" s="423"/>
      <c r="O153" s="406"/>
      <c r="P153" s="406"/>
      <c r="Q153" s="425"/>
      <c r="R153" s="422"/>
      <c r="S153" s="399"/>
      <c r="T153" s="399"/>
    </row>
    <row r="154" spans="1:20" s="81" customFormat="1" ht="15.75" customHeight="1" thickBot="1">
      <c r="A154" s="411"/>
      <c r="B154" s="412"/>
      <c r="C154" s="99" t="s">
        <v>29</v>
      </c>
      <c r="D154" s="413">
        <v>30840</v>
      </c>
      <c r="E154" s="56">
        <v>7.1726999999999999</v>
      </c>
      <c r="F154" s="281"/>
      <c r="G154" s="414">
        <f>ROUND(D154*(E154),2)</f>
        <v>221206.07</v>
      </c>
      <c r="H154" s="280"/>
      <c r="I154" s="281"/>
      <c r="J154" s="281"/>
      <c r="K154" s="282"/>
      <c r="L154" s="204"/>
      <c r="M154" s="371"/>
      <c r="N154" s="426"/>
      <c r="O154" s="416"/>
      <c r="P154" s="416"/>
      <c r="Q154" s="417"/>
      <c r="R154" s="422"/>
      <c r="S154" s="399"/>
      <c r="T154" s="399"/>
    </row>
    <row r="155" spans="1:20" s="81" customFormat="1" ht="15.75" customHeight="1">
      <c r="A155" s="376">
        <v>118</v>
      </c>
      <c r="B155" s="924" t="s">
        <v>215</v>
      </c>
      <c r="C155" s="377" t="s">
        <v>73</v>
      </c>
      <c r="D155" s="378">
        <v>66</v>
      </c>
      <c r="E155" s="21">
        <v>40.556600000000003</v>
      </c>
      <c r="F155" s="21">
        <v>47.5304</v>
      </c>
      <c r="G155" s="22">
        <f>+D155*(E155+F155)</f>
        <v>5813.7420000000002</v>
      </c>
      <c r="H155" s="303"/>
      <c r="I155" s="381"/>
      <c r="J155" s="41"/>
      <c r="K155" s="342"/>
      <c r="L155" s="263">
        <f>SUM(G155:G159,J155:J159)</f>
        <v>77579.611999999994</v>
      </c>
      <c r="M155" s="26">
        <v>77579.61</v>
      </c>
      <c r="N155" s="421"/>
      <c r="O155" s="77"/>
      <c r="P155" s="77"/>
      <c r="Q155" s="384"/>
      <c r="R155" s="422"/>
      <c r="S155" s="399"/>
      <c r="T155" s="399"/>
    </row>
    <row r="156" spans="1:20" s="81" customFormat="1" ht="15.75" customHeight="1">
      <c r="A156" s="389"/>
      <c r="B156" s="920"/>
      <c r="C156" s="36" t="s">
        <v>26</v>
      </c>
      <c r="D156" s="37"/>
      <c r="E156" s="38"/>
      <c r="F156" s="38"/>
      <c r="G156" s="39">
        <f>ROUND(D156*(E156+F156),2)</f>
        <v>0</v>
      </c>
      <c r="H156" s="457"/>
      <c r="I156" s="392"/>
      <c r="J156" s="41"/>
      <c r="K156" s="393"/>
      <c r="L156" s="459"/>
      <c r="M156" s="44"/>
      <c r="N156" s="430"/>
      <c r="O156" s="406"/>
      <c r="P156" s="406"/>
      <c r="Q156" s="407"/>
      <c r="R156" s="422"/>
      <c r="S156" s="399"/>
      <c r="T156" s="399"/>
    </row>
    <row r="157" spans="1:20" s="81" customFormat="1" ht="15.75" customHeight="1">
      <c r="A157" s="389"/>
      <c r="B157" s="920"/>
      <c r="C157" s="48" t="s">
        <v>260</v>
      </c>
      <c r="D157" s="37">
        <f>окт18!D152+окт18!D153</f>
        <v>10020.99</v>
      </c>
      <c r="E157" s="41">
        <f>7.1727-7.0999</f>
        <v>7.2799999999999976E-2</v>
      </c>
      <c r="F157" s="38"/>
      <c r="G157" s="39">
        <f>ROUND(D157*(E157),2)</f>
        <v>729.53</v>
      </c>
      <c r="H157" s="270"/>
      <c r="I157" s="41"/>
      <c r="J157" s="41"/>
      <c r="K157" s="271"/>
      <c r="L157" s="272"/>
      <c r="M157" s="102"/>
      <c r="N157" s="430"/>
      <c r="O157" s="406"/>
      <c r="P157" s="406"/>
      <c r="Q157" s="407"/>
      <c r="R157" s="422"/>
      <c r="S157" s="399"/>
      <c r="T157" s="399"/>
    </row>
    <row r="158" spans="1:20" s="81" customFormat="1" ht="15.75" customHeight="1">
      <c r="A158" s="389"/>
      <c r="B158" s="920"/>
      <c r="C158" s="48" t="s">
        <v>263</v>
      </c>
      <c r="D158" s="37">
        <v>23.71</v>
      </c>
      <c r="E158" s="41">
        <v>7.1726999999999999</v>
      </c>
      <c r="F158" s="38"/>
      <c r="G158" s="39">
        <f>ROUND(D158*(E158),2)</f>
        <v>170.06</v>
      </c>
      <c r="H158" s="270"/>
      <c r="I158" s="41"/>
      <c r="J158" s="41"/>
      <c r="K158" s="271"/>
      <c r="L158" s="272"/>
      <c r="M158" s="102"/>
      <c r="N158" s="434"/>
      <c r="O158" s="435"/>
      <c r="P158" s="435"/>
      <c r="Q158" s="425"/>
      <c r="R158" s="422"/>
      <c r="S158" s="399"/>
      <c r="T158" s="399"/>
    </row>
    <row r="159" spans="1:20" s="81" customFormat="1" ht="15.75" customHeight="1" thickBot="1">
      <c r="A159" s="411"/>
      <c r="B159" s="921"/>
      <c r="C159" s="54" t="s">
        <v>29</v>
      </c>
      <c r="D159" s="413">
        <v>9880</v>
      </c>
      <c r="E159" s="56">
        <v>7.1726999999999999</v>
      </c>
      <c r="F159" s="281"/>
      <c r="G159" s="414">
        <f>ROUND(D159*(E159),2)</f>
        <v>70866.28</v>
      </c>
      <c r="H159" s="432"/>
      <c r="I159" s="207"/>
      <c r="J159" s="207"/>
      <c r="K159" s="362"/>
      <c r="L159" s="433"/>
      <c r="M159" s="63"/>
      <c r="N159" s="434"/>
      <c r="O159" s="435"/>
      <c r="P159" s="435"/>
      <c r="Q159" s="425"/>
      <c r="R159" s="422"/>
      <c r="S159" s="399"/>
      <c r="T159" s="399"/>
    </row>
    <row r="160" spans="1:20" s="81" customFormat="1" ht="15.75" customHeight="1">
      <c r="A160" s="468">
        <v>121</v>
      </c>
      <c r="B160" s="699" t="s">
        <v>154</v>
      </c>
      <c r="C160" s="700" t="s">
        <v>260</v>
      </c>
      <c r="D160" s="471">
        <f>окт18!D155+окт18!D156</f>
        <v>292.7</v>
      </c>
      <c r="E160" s="261">
        <f>7.1727-7.0999</f>
        <v>7.2799999999999976E-2</v>
      </c>
      <c r="F160" s="473"/>
      <c r="G160" s="449">
        <f>ROUND(D160*E160,2)</f>
        <v>21.31</v>
      </c>
      <c r="H160" s="303"/>
      <c r="I160" s="23"/>
      <c r="J160" s="23"/>
      <c r="K160" s="304"/>
      <c r="L160" s="263">
        <f>SUM(G160:G162)</f>
        <v>2142.35</v>
      </c>
      <c r="M160" s="26">
        <v>2142.35</v>
      </c>
      <c r="N160" s="421"/>
      <c r="O160" s="77"/>
      <c r="P160" s="77"/>
      <c r="Q160" s="384"/>
      <c r="R160" s="422"/>
      <c r="S160" s="399"/>
      <c r="T160" s="399"/>
    </row>
    <row r="161" spans="1:20" s="81" customFormat="1" ht="15.75" customHeight="1">
      <c r="A161" s="468"/>
      <c r="B161" s="469"/>
      <c r="C161" s="48" t="s">
        <v>263</v>
      </c>
      <c r="D161" s="471">
        <v>0.71</v>
      </c>
      <c r="E161" s="41">
        <v>7.1726999999999999</v>
      </c>
      <c r="F161" s="473"/>
      <c r="G161" s="449">
        <f>ROUND(D161*E161,2)</f>
        <v>5.09</v>
      </c>
      <c r="H161" s="260"/>
      <c r="I161" s="261"/>
      <c r="J161" s="261"/>
      <c r="K161" s="262"/>
      <c r="L161" s="286"/>
      <c r="M161" s="90"/>
      <c r="N161" s="423"/>
      <c r="O161" s="406"/>
      <c r="P161" s="406"/>
      <c r="Q161" s="407"/>
      <c r="R161" s="422"/>
      <c r="S161" s="399"/>
      <c r="T161" s="399"/>
    </row>
    <row r="162" spans="1:20" s="81" customFormat="1" ht="15.75" customHeight="1" thickBot="1">
      <c r="A162" s="858"/>
      <c r="B162" s="859"/>
      <c r="C162" s="54" t="s">
        <v>29</v>
      </c>
      <c r="D162" s="860">
        <v>295</v>
      </c>
      <c r="E162" s="56">
        <v>7.1726999999999999</v>
      </c>
      <c r="F162" s="861"/>
      <c r="G162" s="414">
        <f t="shared" ref="G162" si="29">ROUND(D162*E162,2)</f>
        <v>2115.9499999999998</v>
      </c>
      <c r="H162" s="280"/>
      <c r="I162" s="281"/>
      <c r="J162" s="281"/>
      <c r="K162" s="282"/>
      <c r="L162" s="204"/>
      <c r="M162" s="371"/>
      <c r="N162" s="426"/>
      <c r="O162" s="416"/>
      <c r="P162" s="416"/>
      <c r="Q162" s="417"/>
      <c r="R162" s="422"/>
      <c r="S162" s="399"/>
      <c r="T162" s="399"/>
    </row>
    <row r="163" spans="1:20" s="81" customFormat="1" ht="15.75" customHeight="1">
      <c r="A163" s="376">
        <v>202</v>
      </c>
      <c r="B163" s="420" t="s">
        <v>74</v>
      </c>
      <c r="C163" s="377" t="s">
        <v>73</v>
      </c>
      <c r="D163" s="378">
        <v>12</v>
      </c>
      <c r="E163" s="21">
        <v>40.556600000000003</v>
      </c>
      <c r="F163" s="21">
        <v>47.5304</v>
      </c>
      <c r="G163" s="22">
        <f>ROUND(D163*(E163+F163),2)</f>
        <v>1057.04</v>
      </c>
      <c r="H163" s="303"/>
      <c r="I163" s="381"/>
      <c r="J163" s="381"/>
      <c r="K163" s="342"/>
      <c r="L163" s="263">
        <f>SUM(G163:G169,J163:J169)</f>
        <v>24059.94</v>
      </c>
      <c r="M163" s="26">
        <v>24059.94</v>
      </c>
      <c r="N163" s="421"/>
      <c r="O163" s="77"/>
      <c r="P163" s="77"/>
      <c r="Q163" s="384"/>
      <c r="R163" s="422"/>
      <c r="S163" s="399"/>
      <c r="T163" s="399"/>
    </row>
    <row r="164" spans="1:20" s="81" customFormat="1" ht="15.75" customHeight="1">
      <c r="A164" s="389"/>
      <c r="B164" s="98"/>
      <c r="C164" s="84" t="s">
        <v>26</v>
      </c>
      <c r="D164" s="37"/>
      <c r="E164" s="38"/>
      <c r="F164" s="38"/>
      <c r="G164" s="39">
        <f>ROUND(D164*(E164+F164),2)</f>
        <v>0</v>
      </c>
      <c r="H164" s="270"/>
      <c r="I164" s="392"/>
      <c r="J164" s="402"/>
      <c r="K164" s="393"/>
      <c r="L164" s="272"/>
      <c r="M164" s="102"/>
      <c r="N164" s="423"/>
      <c r="O164" s="406"/>
      <c r="P164" s="406"/>
      <c r="Q164" s="407"/>
      <c r="R164" s="422"/>
      <c r="S164" s="399"/>
      <c r="T164" s="399"/>
    </row>
    <row r="165" spans="1:20" s="81" customFormat="1" ht="15.75" customHeight="1">
      <c r="A165" s="389"/>
      <c r="B165" s="98" t="s">
        <v>32</v>
      </c>
      <c r="C165" s="99" t="s">
        <v>33</v>
      </c>
      <c r="D165" s="428">
        <v>6</v>
      </c>
      <c r="E165" s="101">
        <v>461.99</v>
      </c>
      <c r="F165" s="38">
        <f>F163</f>
        <v>47.5304</v>
      </c>
      <c r="G165" s="39">
        <f>ROUND(D165*(E165+F165),2)</f>
        <v>3057.12</v>
      </c>
      <c r="H165" s="270"/>
      <c r="I165" s="41"/>
      <c r="J165" s="41"/>
      <c r="K165" s="271"/>
      <c r="L165" s="272"/>
      <c r="M165" s="102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>
      <c r="A166" s="389"/>
      <c r="B166" s="83"/>
      <c r="C166" s="48" t="s">
        <v>76</v>
      </c>
      <c r="D166" s="37">
        <f>окт18!D159</f>
        <v>6</v>
      </c>
      <c r="E166" s="41">
        <f>461.99-237.98</f>
        <v>224.01000000000002</v>
      </c>
      <c r="F166" s="38"/>
      <c r="G166" s="39">
        <f>ROUND(D166*(E166+F166),2)</f>
        <v>1344.06</v>
      </c>
      <c r="H166" s="270"/>
      <c r="I166" s="41"/>
      <c r="J166" s="41"/>
      <c r="K166" s="271"/>
      <c r="L166" s="272"/>
      <c r="M166" s="102"/>
      <c r="N166" s="423"/>
      <c r="O166" s="406"/>
      <c r="P166" s="406"/>
      <c r="Q166" s="407"/>
      <c r="R166" s="422"/>
      <c r="S166" s="399"/>
      <c r="T166" s="399"/>
    </row>
    <row r="167" spans="1:20" s="81" customFormat="1" ht="15.75" customHeight="1">
      <c r="A167" s="389"/>
      <c r="B167" s="83"/>
      <c r="C167" s="48" t="s">
        <v>260</v>
      </c>
      <c r="D167" s="37">
        <f>окт18!D162+окт18!D163</f>
        <v>2686.43</v>
      </c>
      <c r="E167" s="41">
        <f>7.1727-7.0999</f>
        <v>7.2799999999999976E-2</v>
      </c>
      <c r="F167" s="38"/>
      <c r="G167" s="39">
        <f>ROUND(D167*(E167+F167),2)</f>
        <v>195.57</v>
      </c>
      <c r="H167" s="270"/>
      <c r="I167" s="41"/>
      <c r="J167" s="41"/>
      <c r="K167" s="271"/>
      <c r="L167" s="272"/>
      <c r="M167" s="102"/>
      <c r="N167" s="423"/>
      <c r="O167" s="406"/>
      <c r="P167" s="406"/>
      <c r="Q167" s="407"/>
      <c r="R167" s="422"/>
      <c r="S167" s="399"/>
      <c r="T167" s="399"/>
    </row>
    <row r="168" spans="1:20" s="81" customFormat="1" ht="15.75" customHeight="1">
      <c r="A168" s="389"/>
      <c r="B168" s="83"/>
      <c r="C168" s="48" t="s">
        <v>263</v>
      </c>
      <c r="D168" s="37">
        <v>6.14</v>
      </c>
      <c r="E168" s="41">
        <v>7.1726999999999999</v>
      </c>
      <c r="F168" s="38"/>
      <c r="G168" s="39">
        <f>ROUND(D168*E168,2)</f>
        <v>44.04</v>
      </c>
      <c r="H168" s="270"/>
      <c r="I168" s="41"/>
      <c r="J168" s="41"/>
      <c r="K168" s="271"/>
      <c r="L168" s="272"/>
      <c r="M168" s="102"/>
      <c r="N168" s="423"/>
      <c r="O168" s="406"/>
      <c r="P168" s="406"/>
      <c r="Q168" s="425"/>
      <c r="R168" s="422"/>
      <c r="S168" s="399"/>
      <c r="T168" s="399"/>
    </row>
    <row r="169" spans="1:20" s="81" customFormat="1" ht="15" customHeight="1" thickBot="1">
      <c r="A169" s="411"/>
      <c r="B169" s="412"/>
      <c r="C169" s="99" t="s">
        <v>29</v>
      </c>
      <c r="D169" s="413">
        <v>2560</v>
      </c>
      <c r="E169" s="56">
        <v>7.1726999999999999</v>
      </c>
      <c r="F169" s="281"/>
      <c r="G169" s="414">
        <f>ROUND(D169*(E169+F169),2)</f>
        <v>18362.11</v>
      </c>
      <c r="H169" s="280"/>
      <c r="I169" s="281"/>
      <c r="J169" s="281"/>
      <c r="K169" s="282"/>
      <c r="L169" s="204"/>
      <c r="M169" s="371"/>
      <c r="N169" s="426"/>
      <c r="O169" s="416"/>
      <c r="P169" s="416"/>
      <c r="Q169" s="417"/>
      <c r="R169" s="422"/>
      <c r="S169" s="399"/>
      <c r="T169" s="399"/>
    </row>
    <row r="170" spans="1:20" s="81" customFormat="1" ht="15.75" customHeight="1">
      <c r="A170" s="902">
        <v>203</v>
      </c>
      <c r="B170" s="903" t="s">
        <v>230</v>
      </c>
      <c r="C170" s="439" t="s">
        <v>260</v>
      </c>
      <c r="D170" s="904">
        <f>окт18!D165+окт18!D166</f>
        <v>5.01</v>
      </c>
      <c r="E170" s="23">
        <f>7.1727-7.0999</f>
        <v>7.2799999999999976E-2</v>
      </c>
      <c r="F170" s="905"/>
      <c r="G170" s="22">
        <f>ROUND(D170*E170,2)</f>
        <v>0.36</v>
      </c>
      <c r="H170" s="303"/>
      <c r="I170" s="23"/>
      <c r="J170" s="23"/>
      <c r="K170" s="304"/>
      <c r="L170" s="263">
        <f>SUM(G170:G172)</f>
        <v>0.36</v>
      </c>
      <c r="M170" s="26"/>
      <c r="N170" s="421"/>
      <c r="O170" s="77" t="s">
        <v>296</v>
      </c>
      <c r="P170" s="77"/>
      <c r="Q170" s="384"/>
      <c r="R170" s="422"/>
      <c r="S170" s="399"/>
      <c r="T170" s="399"/>
    </row>
    <row r="171" spans="1:20" s="81" customFormat="1" ht="15.75" customHeight="1">
      <c r="A171" s="468"/>
      <c r="B171" s="469"/>
      <c r="C171" s="48" t="s">
        <v>263</v>
      </c>
      <c r="D171" s="471">
        <v>0</v>
      </c>
      <c r="E171" s="41">
        <v>7.1726999999999999</v>
      </c>
      <c r="F171" s="473"/>
      <c r="G171" s="449">
        <f>ROUND(D171*E171,2)</f>
        <v>0</v>
      </c>
      <c r="H171" s="260"/>
      <c r="I171" s="261"/>
      <c r="J171" s="261"/>
      <c r="K171" s="262"/>
      <c r="L171" s="286"/>
      <c r="M171" s="90"/>
      <c r="N171" s="423"/>
      <c r="O171" s="406"/>
      <c r="P171" s="406"/>
      <c r="Q171" s="407"/>
      <c r="R171" s="422"/>
      <c r="S171" s="399"/>
      <c r="T171" s="399"/>
    </row>
    <row r="172" spans="1:20" s="81" customFormat="1" ht="15.75" customHeight="1" thickBot="1">
      <c r="A172" s="858"/>
      <c r="B172" s="859"/>
      <c r="C172" s="54" t="s">
        <v>29</v>
      </c>
      <c r="D172" s="860">
        <v>0</v>
      </c>
      <c r="E172" s="56">
        <v>7.1726999999999999</v>
      </c>
      <c r="F172" s="861"/>
      <c r="G172" s="414">
        <f t="shared" ref="G172" si="30">ROUND(D172*E172,2)</f>
        <v>0</v>
      </c>
      <c r="H172" s="280"/>
      <c r="I172" s="281"/>
      <c r="J172" s="207"/>
      <c r="K172" s="362"/>
      <c r="L172" s="433"/>
      <c r="M172" s="63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902">
        <v>204</v>
      </c>
      <c r="B173" s="903" t="s">
        <v>257</v>
      </c>
      <c r="C173" s="439" t="s">
        <v>260</v>
      </c>
      <c r="D173" s="904">
        <f>окт18!D168+окт18!D169</f>
        <v>75.180000000000007</v>
      </c>
      <c r="E173" s="23">
        <f>7.1727-7.0999</f>
        <v>7.2799999999999976E-2</v>
      </c>
      <c r="F173" s="905"/>
      <c r="G173" s="22">
        <f>ROUND(D173*E173,2)</f>
        <v>5.47</v>
      </c>
      <c r="H173" s="303"/>
      <c r="I173" s="23"/>
      <c r="J173" s="23"/>
      <c r="K173" s="304"/>
      <c r="L173" s="263">
        <f>SUM(G173:G175)</f>
        <v>515.95000000000005</v>
      </c>
      <c r="M173" s="26">
        <v>515.95000000000005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468"/>
      <c r="B174" s="469"/>
      <c r="C174" s="48" t="s">
        <v>263</v>
      </c>
      <c r="D174" s="471">
        <v>0.17</v>
      </c>
      <c r="E174" s="41">
        <v>7.1726999999999999</v>
      </c>
      <c r="F174" s="473"/>
      <c r="G174" s="449">
        <f>ROUND(D174*E174,2)</f>
        <v>1.22</v>
      </c>
      <c r="H174" s="260"/>
      <c r="I174" s="261"/>
      <c r="J174" s="261"/>
      <c r="K174" s="262"/>
      <c r="L174" s="286"/>
      <c r="M174" s="90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 thickBot="1">
      <c r="A175" s="858"/>
      <c r="B175" s="859"/>
      <c r="C175" s="54" t="s">
        <v>29</v>
      </c>
      <c r="D175" s="860">
        <v>71</v>
      </c>
      <c r="E175" s="56">
        <v>7.1726999999999999</v>
      </c>
      <c r="F175" s="861"/>
      <c r="G175" s="414">
        <f t="shared" ref="G175" si="31">ROUND(D175*E175,2)</f>
        <v>509.26</v>
      </c>
      <c r="H175" s="280"/>
      <c r="I175" s="281"/>
      <c r="J175" s="281"/>
      <c r="K175" s="282"/>
      <c r="L175" s="204"/>
      <c r="M175" s="371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902">
        <v>207</v>
      </c>
      <c r="B176" s="903" t="s">
        <v>248</v>
      </c>
      <c r="C176" s="439" t="s">
        <v>260</v>
      </c>
      <c r="D176" s="904">
        <f>окт18!D171+окт18!D172</f>
        <v>803.92</v>
      </c>
      <c r="E176" s="23">
        <f>7.1727-7.0999</f>
        <v>7.2799999999999976E-2</v>
      </c>
      <c r="F176" s="905"/>
      <c r="G176" s="22">
        <f>ROUND(D176*E176,2)</f>
        <v>58.53</v>
      </c>
      <c r="H176" s="303"/>
      <c r="I176" s="23"/>
      <c r="J176" s="23"/>
      <c r="K176" s="304"/>
      <c r="L176" s="263">
        <f>SUM(G176:G178)</f>
        <v>58.53</v>
      </c>
      <c r="M176" s="26"/>
      <c r="N176" s="421"/>
      <c r="O176" s="77" t="s">
        <v>297</v>
      </c>
      <c r="P176" s="77"/>
      <c r="Q176" s="384"/>
      <c r="R176" s="422"/>
      <c r="S176" s="399"/>
      <c r="T176" s="399"/>
    </row>
    <row r="177" spans="1:20" s="81" customFormat="1" ht="15.75" customHeight="1">
      <c r="A177" s="468"/>
      <c r="B177" s="469"/>
      <c r="C177" s="48" t="s">
        <v>263</v>
      </c>
      <c r="D177" s="471">
        <v>0</v>
      </c>
      <c r="E177" s="41">
        <v>7.1726999999999999</v>
      </c>
      <c r="F177" s="473"/>
      <c r="G177" s="449">
        <f>ROUND(D177*E177,2)</f>
        <v>0</v>
      </c>
      <c r="H177" s="260"/>
      <c r="I177" s="261"/>
      <c r="J177" s="261"/>
      <c r="K177" s="262"/>
      <c r="L177" s="286"/>
      <c r="M177" s="90"/>
      <c r="N177" s="423"/>
      <c r="O177" s="406"/>
      <c r="P177" s="406"/>
      <c r="Q177" s="407"/>
      <c r="R177" s="422"/>
      <c r="S177" s="399"/>
      <c r="T177" s="399"/>
    </row>
    <row r="178" spans="1:20" s="81" customFormat="1" ht="15.75" customHeight="1" thickBot="1">
      <c r="A178" s="858"/>
      <c r="B178" s="859"/>
      <c r="C178" s="54" t="s">
        <v>29</v>
      </c>
      <c r="D178" s="860">
        <v>0</v>
      </c>
      <c r="E178" s="56">
        <v>7.1726999999999999</v>
      </c>
      <c r="F178" s="861"/>
      <c r="G178" s="414">
        <f t="shared" ref="G178" si="32">ROUND(D178*E178,2)</f>
        <v>0</v>
      </c>
      <c r="H178" s="280"/>
      <c r="I178" s="281"/>
      <c r="J178" s="207"/>
      <c r="K178" s="362"/>
      <c r="L178" s="433"/>
      <c r="M178" s="63"/>
      <c r="N178" s="426"/>
      <c r="O178" s="416"/>
      <c r="P178" s="416"/>
      <c r="Q178" s="417"/>
      <c r="R178" s="422"/>
      <c r="S178" s="399"/>
      <c r="T178" s="399"/>
    </row>
    <row r="179" spans="1:20" s="81" customFormat="1" ht="15" customHeight="1">
      <c r="A179" s="376">
        <v>210</v>
      </c>
      <c r="B179" s="420" t="s">
        <v>77</v>
      </c>
      <c r="C179" s="377" t="s">
        <v>73</v>
      </c>
      <c r="D179" s="378">
        <v>4</v>
      </c>
      <c r="E179" s="21">
        <v>40.556600000000003</v>
      </c>
      <c r="F179" s="21">
        <v>47.5304</v>
      </c>
      <c r="G179" s="22">
        <f t="shared" ref="G179:G185" si="33">ROUND(D179*(E179+F179),2)</f>
        <v>352.35</v>
      </c>
      <c r="H179" s="303"/>
      <c r="I179" s="381"/>
      <c r="J179" s="381"/>
      <c r="K179" s="342"/>
      <c r="L179" s="382">
        <f>+SUM(G179:G185,J179:J185)</f>
        <v>5705.43</v>
      </c>
      <c r="M179" s="26">
        <v>5705.43</v>
      </c>
      <c r="N179" s="421"/>
      <c r="O179" s="77"/>
      <c r="P179" s="77"/>
      <c r="Q179" s="384"/>
      <c r="R179" s="422"/>
      <c r="S179" s="399"/>
      <c r="T179" s="399"/>
    </row>
    <row r="180" spans="1:20" s="81" customFormat="1" ht="15" customHeight="1">
      <c r="A180" s="389"/>
      <c r="B180" s="83"/>
      <c r="C180" s="84" t="s">
        <v>26</v>
      </c>
      <c r="D180" s="37"/>
      <c r="E180" s="38"/>
      <c r="F180" s="38"/>
      <c r="G180" s="39">
        <f t="shared" si="33"/>
        <v>0</v>
      </c>
      <c r="H180" s="270"/>
      <c r="I180" s="392"/>
      <c r="J180" s="402"/>
      <c r="K180" s="393"/>
      <c r="L180" s="429"/>
      <c r="M180" s="102"/>
      <c r="N180" s="430"/>
      <c r="O180" s="406"/>
      <c r="P180" s="406"/>
      <c r="Q180" s="407"/>
      <c r="R180" s="422"/>
      <c r="S180" s="399"/>
      <c r="T180" s="399"/>
    </row>
    <row r="181" spans="1:20" s="81" customFormat="1" ht="15" customHeight="1">
      <c r="A181" s="389"/>
      <c r="B181" s="98" t="s">
        <v>32</v>
      </c>
      <c r="C181" s="99" t="s">
        <v>33</v>
      </c>
      <c r="D181" s="37">
        <v>5</v>
      </c>
      <c r="E181" s="101">
        <v>461.99</v>
      </c>
      <c r="F181" s="38">
        <f>F179</f>
        <v>47.5304</v>
      </c>
      <c r="G181" s="39">
        <f t="shared" si="33"/>
        <v>2547.6</v>
      </c>
      <c r="H181" s="270"/>
      <c r="I181" s="41"/>
      <c r="J181" s="41"/>
      <c r="K181" s="271"/>
      <c r="L181" s="272"/>
      <c r="M181" s="102"/>
      <c r="N181" s="430"/>
      <c r="O181" s="406"/>
      <c r="P181" s="406"/>
      <c r="Q181" s="407"/>
      <c r="R181" s="422"/>
      <c r="S181" s="399"/>
      <c r="T181" s="399"/>
    </row>
    <row r="182" spans="1:20" s="81" customFormat="1" ht="15" customHeight="1">
      <c r="A182" s="389"/>
      <c r="B182" s="83"/>
      <c r="C182" s="48" t="s">
        <v>190</v>
      </c>
      <c r="D182" s="37">
        <f>окт18!D175</f>
        <v>1</v>
      </c>
      <c r="E182" s="41">
        <f>461.99-237.98</f>
        <v>224.01000000000002</v>
      </c>
      <c r="F182" s="38"/>
      <c r="G182" s="39">
        <f>ROUND(D182*(E182+F182),2)</f>
        <v>224.01</v>
      </c>
      <c r="H182" s="270"/>
      <c r="I182" s="41"/>
      <c r="J182" s="41"/>
      <c r="K182" s="271"/>
      <c r="L182" s="272"/>
      <c r="M182" s="102"/>
      <c r="N182" s="430"/>
      <c r="O182" s="406"/>
      <c r="P182" s="406"/>
      <c r="Q182" s="407"/>
      <c r="R182" s="422"/>
      <c r="S182" s="399"/>
      <c r="T182" s="399"/>
    </row>
    <row r="183" spans="1:20" s="81" customFormat="1" ht="15" customHeight="1">
      <c r="A183" s="389"/>
      <c r="B183" s="83"/>
      <c r="C183" s="48" t="s">
        <v>260</v>
      </c>
      <c r="D183" s="37">
        <f>окт18!D178+окт18!D179</f>
        <v>300.72000000000003</v>
      </c>
      <c r="E183" s="41">
        <f>7.1727-7.0999</f>
        <v>7.2799999999999976E-2</v>
      </c>
      <c r="F183" s="38"/>
      <c r="G183" s="39">
        <f>ROUND(D183*(E183+F183),2)</f>
        <v>21.89</v>
      </c>
      <c r="H183" s="270"/>
      <c r="I183" s="41"/>
      <c r="J183" s="41"/>
      <c r="K183" s="271"/>
      <c r="L183" s="272"/>
      <c r="M183" s="102"/>
      <c r="N183" s="430"/>
      <c r="O183" s="406"/>
      <c r="P183" s="406"/>
      <c r="Q183" s="407"/>
      <c r="R183" s="899"/>
      <c r="S183" s="399"/>
      <c r="T183" s="399"/>
    </row>
    <row r="184" spans="1:20" s="81" customFormat="1" ht="15" customHeight="1">
      <c r="A184" s="389"/>
      <c r="B184" s="83"/>
      <c r="C184" s="48" t="s">
        <v>263</v>
      </c>
      <c r="D184" s="37">
        <v>0.85</v>
      </c>
      <c r="E184" s="41">
        <v>7.1726999999999999</v>
      </c>
      <c r="F184" s="38"/>
      <c r="G184" s="39">
        <f t="shared" si="33"/>
        <v>6.1</v>
      </c>
      <c r="H184" s="432"/>
      <c r="I184" s="207"/>
      <c r="J184" s="207"/>
      <c r="K184" s="362"/>
      <c r="L184" s="433"/>
      <c r="M184" s="63"/>
      <c r="N184" s="434"/>
      <c r="O184" s="435"/>
      <c r="P184" s="435"/>
      <c r="Q184" s="425"/>
      <c r="R184" s="899"/>
      <c r="S184" s="399"/>
      <c r="T184" s="399"/>
    </row>
    <row r="185" spans="1:20" s="81" customFormat="1" ht="15" customHeight="1" thickBot="1">
      <c r="A185" s="411"/>
      <c r="B185" s="412"/>
      <c r="C185" s="99" t="s">
        <v>29</v>
      </c>
      <c r="D185" s="413">
        <v>356</v>
      </c>
      <c r="E185" s="56">
        <v>7.1726999999999999</v>
      </c>
      <c r="F185" s="281"/>
      <c r="G185" s="414">
        <f t="shared" si="33"/>
        <v>2553.48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899"/>
      <c r="S185" s="399"/>
      <c r="T185" s="399"/>
    </row>
    <row r="186" spans="1:20" s="81" customFormat="1" ht="15.75" customHeight="1">
      <c r="A186" s="902">
        <v>211</v>
      </c>
      <c r="B186" s="903" t="s">
        <v>231</v>
      </c>
      <c r="C186" s="439" t="s">
        <v>260</v>
      </c>
      <c r="D186" s="904">
        <f>окт18!D181+окт18!D182</f>
        <v>264.63</v>
      </c>
      <c r="E186" s="23">
        <f>7.1727-7.0999</f>
        <v>7.2799999999999976E-2</v>
      </c>
      <c r="F186" s="905"/>
      <c r="G186" s="22">
        <f>ROUND(D186*E186,2)-0.01</f>
        <v>19.259999999999998</v>
      </c>
      <c r="H186" s="303"/>
      <c r="I186" s="23"/>
      <c r="J186" s="23"/>
      <c r="K186" s="304"/>
      <c r="L186" s="263">
        <f>SUM(G186:G188)</f>
        <v>2003.66</v>
      </c>
      <c r="M186" s="26">
        <v>2003.66</v>
      </c>
      <c r="N186" s="421"/>
      <c r="O186" s="77"/>
      <c r="P186" s="77"/>
      <c r="Q186" s="384"/>
      <c r="R186" s="422"/>
      <c r="S186" s="399"/>
      <c r="T186" s="399"/>
    </row>
    <row r="187" spans="1:20" s="81" customFormat="1" ht="15.75" customHeight="1">
      <c r="A187" s="468"/>
      <c r="B187" s="469"/>
      <c r="C187" s="48" t="s">
        <v>263</v>
      </c>
      <c r="D187" s="471">
        <v>0.66</v>
      </c>
      <c r="E187" s="41">
        <v>7.1726999999999999</v>
      </c>
      <c r="F187" s="473"/>
      <c r="G187" s="449">
        <f>ROUND(D187*E187,2)</f>
        <v>4.7300000000000004</v>
      </c>
      <c r="H187" s="260"/>
      <c r="I187" s="261"/>
      <c r="J187" s="261"/>
      <c r="K187" s="262"/>
      <c r="L187" s="286"/>
      <c r="M187" s="90"/>
      <c r="N187" s="423"/>
      <c r="O187" s="406"/>
      <c r="P187" s="406"/>
      <c r="Q187" s="407"/>
      <c r="R187" s="422"/>
      <c r="S187" s="399"/>
      <c r="T187" s="399"/>
    </row>
    <row r="188" spans="1:20" s="81" customFormat="1" ht="15.75" customHeight="1" thickBot="1">
      <c r="A188" s="858"/>
      <c r="B188" s="859"/>
      <c r="C188" s="54" t="s">
        <v>29</v>
      </c>
      <c r="D188" s="860">
        <v>276</v>
      </c>
      <c r="E188" s="56">
        <v>7.1726999999999999</v>
      </c>
      <c r="F188" s="861"/>
      <c r="G188" s="414">
        <f t="shared" ref="G188" si="34">ROUND(D188*E188,2)</f>
        <v>1979.67</v>
      </c>
      <c r="H188" s="280"/>
      <c r="I188" s="281"/>
      <c r="J188" s="207"/>
      <c r="K188" s="362"/>
      <c r="L188" s="433"/>
      <c r="M188" s="63"/>
      <c r="N188" s="426"/>
      <c r="O188" s="416"/>
      <c r="P188" s="416"/>
      <c r="Q188" s="417"/>
      <c r="R188" s="422"/>
      <c r="S188" s="399"/>
      <c r="T188" s="399"/>
    </row>
    <row r="189" spans="1:20" s="81" customFormat="1" ht="15.75" customHeight="1">
      <c r="A189" s="902">
        <v>212</v>
      </c>
      <c r="B189" s="903" t="s">
        <v>140</v>
      </c>
      <c r="C189" s="439" t="s">
        <v>260</v>
      </c>
      <c r="D189" s="904">
        <f>окт18!D184+окт18!D185</f>
        <v>600.44000000000005</v>
      </c>
      <c r="E189" s="23">
        <f>7.1727-7.0999</f>
        <v>7.2799999999999976E-2</v>
      </c>
      <c r="F189" s="905"/>
      <c r="G189" s="22">
        <f>ROUND(D189*E189,2)+0.01</f>
        <v>43.72</v>
      </c>
      <c r="H189" s="303"/>
      <c r="I189" s="23"/>
      <c r="J189" s="23"/>
      <c r="K189" s="304"/>
      <c r="L189" s="263">
        <f>SUM(G189:G191)</f>
        <v>4264.2</v>
      </c>
      <c r="M189" s="26">
        <v>4264.2</v>
      </c>
      <c r="N189" s="421"/>
      <c r="O189" s="77"/>
      <c r="P189" s="77"/>
      <c r="Q189" s="384"/>
      <c r="R189" s="422"/>
      <c r="S189" s="399"/>
      <c r="T189" s="399"/>
    </row>
    <row r="190" spans="1:20" s="81" customFormat="1" ht="15.75" customHeight="1">
      <c r="A190" s="468"/>
      <c r="B190" s="469"/>
      <c r="C190" s="48" t="s">
        <v>263</v>
      </c>
      <c r="D190" s="471">
        <v>1.41</v>
      </c>
      <c r="E190" s="41">
        <v>7.1726999999999999</v>
      </c>
      <c r="F190" s="473"/>
      <c r="G190" s="449">
        <f>ROUND(D190*E190,2)</f>
        <v>10.11</v>
      </c>
      <c r="H190" s="260"/>
      <c r="I190" s="261"/>
      <c r="J190" s="261"/>
      <c r="K190" s="262"/>
      <c r="L190" s="286"/>
      <c r="M190" s="90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 thickBot="1">
      <c r="A191" s="858"/>
      <c r="B191" s="859"/>
      <c r="C191" s="54" t="s">
        <v>29</v>
      </c>
      <c r="D191" s="860">
        <v>587</v>
      </c>
      <c r="E191" s="56">
        <v>7.1726999999999999</v>
      </c>
      <c r="F191" s="861"/>
      <c r="G191" s="414">
        <f t="shared" ref="G191" si="35">ROUND(D191*E191,2)</f>
        <v>4210.37</v>
      </c>
      <c r="H191" s="280"/>
      <c r="I191" s="281"/>
      <c r="J191" s="207"/>
      <c r="K191" s="362"/>
      <c r="L191" s="433"/>
      <c r="M191" s="63"/>
      <c r="N191" s="426"/>
      <c r="O191" s="416"/>
      <c r="P191" s="416"/>
      <c r="Q191" s="417"/>
      <c r="R191" s="422"/>
      <c r="S191" s="399"/>
      <c r="T191" s="399"/>
    </row>
    <row r="192" spans="1:20" s="81" customFormat="1" ht="15.75" hidden="1" customHeight="1">
      <c r="A192" s="902">
        <v>213</v>
      </c>
      <c r="B192" s="903" t="s">
        <v>134</v>
      </c>
      <c r="C192" s="439" t="s">
        <v>260</v>
      </c>
      <c r="D192" s="904"/>
      <c r="E192" s="23">
        <f>7.0999-6.7991</f>
        <v>0.30079999999999973</v>
      </c>
      <c r="F192" s="905"/>
      <c r="G192" s="22">
        <f>ROUND(D192*E192,2)-0.01</f>
        <v>-0.01</v>
      </c>
      <c r="H192" s="303"/>
      <c r="I192" s="23"/>
      <c r="J192" s="23"/>
      <c r="K192" s="304"/>
      <c r="L192" s="263">
        <f>SUM(G192:G194)</f>
        <v>-0.01</v>
      </c>
      <c r="M192" s="26"/>
      <c r="N192" s="421"/>
      <c r="O192" s="77"/>
      <c r="P192" s="77"/>
      <c r="Q192" s="384"/>
      <c r="R192" s="422"/>
      <c r="S192" s="399"/>
      <c r="T192" s="399"/>
    </row>
    <row r="193" spans="1:21" s="81" customFormat="1" ht="15.75" hidden="1" customHeight="1">
      <c r="A193" s="468"/>
      <c r="B193" s="469"/>
      <c r="C193" s="48" t="s">
        <v>263</v>
      </c>
      <c r="D193" s="471"/>
      <c r="E193" s="41">
        <v>7.0998999999999999</v>
      </c>
      <c r="F193" s="473"/>
      <c r="G193" s="449">
        <f t="shared" ref="G193:G194" si="36">ROUND(D193*E193,2)</f>
        <v>0</v>
      </c>
      <c r="H193" s="260"/>
      <c r="I193" s="261"/>
      <c r="J193" s="261"/>
      <c r="K193" s="262"/>
      <c r="L193" s="286"/>
      <c r="M193" s="90"/>
      <c r="N193" s="423"/>
      <c r="O193" s="406"/>
      <c r="P193" s="406"/>
      <c r="Q193" s="407"/>
      <c r="R193" s="422"/>
      <c r="S193" s="399"/>
      <c r="T193" s="399"/>
    </row>
    <row r="194" spans="1:21" s="81" customFormat="1" ht="15.75" hidden="1" customHeight="1" thickBot="1">
      <c r="A194" s="858"/>
      <c r="B194" s="859"/>
      <c r="C194" s="54" t="s">
        <v>29</v>
      </c>
      <c r="D194" s="860"/>
      <c r="E194" s="56">
        <v>7.0998999999999999</v>
      </c>
      <c r="F194" s="861"/>
      <c r="G194" s="414">
        <f t="shared" si="36"/>
        <v>0</v>
      </c>
      <c r="H194" s="280"/>
      <c r="I194" s="281"/>
      <c r="J194" s="281"/>
      <c r="K194" s="282"/>
      <c r="L194" s="204"/>
      <c r="M194" s="371"/>
      <c r="N194" s="426"/>
      <c r="O194" s="416"/>
      <c r="P194" s="416"/>
      <c r="Q194" s="417"/>
      <c r="R194" s="422"/>
      <c r="S194" s="399"/>
      <c r="T194" s="399"/>
    </row>
    <row r="195" spans="1:21" s="81" customFormat="1" ht="15.75" customHeight="1">
      <c r="A195" s="902">
        <v>215</v>
      </c>
      <c r="B195" s="903" t="s">
        <v>220</v>
      </c>
      <c r="C195" s="439"/>
      <c r="D195" s="904"/>
      <c r="E195" s="23"/>
      <c r="F195" s="905"/>
      <c r="G195" s="22">
        <f>ROUND(D195*E195,2)</f>
        <v>0</v>
      </c>
      <c r="H195" s="303"/>
      <c r="I195" s="23"/>
      <c r="J195" s="23"/>
      <c r="K195" s="304"/>
      <c r="L195" s="263">
        <f>SUM(G195:G197)</f>
        <v>3847.62</v>
      </c>
      <c r="M195" s="26">
        <v>3847.62</v>
      </c>
      <c r="N195" s="421"/>
      <c r="O195" s="77"/>
      <c r="P195" s="77"/>
      <c r="Q195" s="384"/>
      <c r="R195" s="422"/>
      <c r="S195" s="399"/>
      <c r="T195" s="399"/>
    </row>
    <row r="196" spans="1:21" s="81" customFormat="1" ht="15.75" customHeight="1">
      <c r="A196" s="468"/>
      <c r="B196" s="981" t="s">
        <v>221</v>
      </c>
      <c r="C196" s="48" t="s">
        <v>263</v>
      </c>
      <c r="D196" s="471">
        <v>1.28</v>
      </c>
      <c r="E196" s="41">
        <v>7.2015000000000002</v>
      </c>
      <c r="F196" s="473"/>
      <c r="G196" s="449">
        <f>ROUND(D196*E196,2)</f>
        <v>9.2200000000000006</v>
      </c>
      <c r="H196" s="260"/>
      <c r="I196" s="261"/>
      <c r="J196" s="261"/>
      <c r="K196" s="262"/>
      <c r="L196" s="286"/>
      <c r="M196" s="90"/>
      <c r="N196" s="423"/>
      <c r="O196" s="406"/>
      <c r="P196" s="406"/>
      <c r="Q196" s="407"/>
      <c r="R196" s="422"/>
      <c r="S196" s="399"/>
      <c r="T196" s="399"/>
    </row>
    <row r="197" spans="1:21" s="81" customFormat="1" ht="15.75" customHeight="1" thickBot="1">
      <c r="A197" s="858"/>
      <c r="B197" s="859"/>
      <c r="C197" s="54" t="s">
        <v>29</v>
      </c>
      <c r="D197" s="860">
        <v>533</v>
      </c>
      <c r="E197" s="56">
        <v>7.2015000000000002</v>
      </c>
      <c r="F197" s="861"/>
      <c r="G197" s="414">
        <f t="shared" ref="G197" si="37">ROUND(D197*E197,2)</f>
        <v>3838.4</v>
      </c>
      <c r="H197" s="280"/>
      <c r="I197" s="281"/>
      <c r="J197" s="281"/>
      <c r="K197" s="282"/>
      <c r="L197" s="204"/>
      <c r="M197" s="371"/>
      <c r="N197" s="426"/>
      <c r="O197" s="416"/>
      <c r="P197" s="416"/>
      <c r="Q197" s="417"/>
      <c r="R197" s="422"/>
      <c r="S197" s="399"/>
      <c r="T197" s="399"/>
    </row>
    <row r="198" spans="1:21" s="81" customFormat="1" ht="15" customHeight="1">
      <c r="A198" s="376">
        <v>301</v>
      </c>
      <c r="B198" s="70" t="s">
        <v>67</v>
      </c>
      <c r="C198" s="377" t="s">
        <v>243</v>
      </c>
      <c r="D198" s="378">
        <v>611</v>
      </c>
      <c r="E198" s="21">
        <v>40.556600000000003</v>
      </c>
      <c r="F198" s="21">
        <v>47.5304</v>
      </c>
      <c r="G198" s="379">
        <f>ROUND(D198*(E198+F198),2)</f>
        <v>53821.16</v>
      </c>
      <c r="H198" s="380"/>
      <c r="I198" s="381"/>
      <c r="J198" s="381"/>
      <c r="K198" s="342"/>
      <c r="L198" s="382">
        <f>+SUM(G198:G207,J198:J206)</f>
        <v>198973.94</v>
      </c>
      <c r="M198" s="26">
        <v>198973.94</v>
      </c>
      <c r="N198" s="383"/>
      <c r="O198" s="77"/>
      <c r="P198" s="77" t="s">
        <v>68</v>
      </c>
      <c r="Q198" s="384" t="e">
        <f t="shared" si="24"/>
        <v>#VALUE!</v>
      </c>
      <c r="R198" s="385" t="s">
        <v>69</v>
      </c>
      <c r="S198" s="386"/>
      <c r="T198" s="387"/>
      <c r="U198" s="388"/>
    </row>
    <row r="199" spans="1:21" s="81" customFormat="1" ht="12.75">
      <c r="A199" s="389"/>
      <c r="B199" s="83"/>
      <c r="C199" s="390" t="s">
        <v>26</v>
      </c>
      <c r="D199" s="37"/>
      <c r="E199" s="38"/>
      <c r="F199" s="38"/>
      <c r="G199" s="39">
        <f>ROUND(D199*(E199+F199),2)</f>
        <v>0</v>
      </c>
      <c r="H199" s="391"/>
      <c r="I199" s="392"/>
      <c r="J199" s="402"/>
      <c r="K199" s="393"/>
      <c r="L199" s="394"/>
      <c r="M199" s="90"/>
      <c r="N199" s="395"/>
      <c r="O199" s="94"/>
      <c r="P199" s="94"/>
      <c r="Q199" s="396"/>
      <c r="R199" s="397"/>
      <c r="S199" s="398"/>
      <c r="T199" s="399"/>
    </row>
    <row r="200" spans="1:21" s="81" customFormat="1" ht="12.75">
      <c r="A200" s="389"/>
      <c r="B200" s="98" t="s">
        <v>32</v>
      </c>
      <c r="C200" s="99" t="s">
        <v>33</v>
      </c>
      <c r="D200" s="37">
        <v>80</v>
      </c>
      <c r="E200" s="101">
        <v>461.99</v>
      </c>
      <c r="F200" s="38">
        <f>F198</f>
        <v>47.5304</v>
      </c>
      <c r="G200" s="400">
        <f>ROUND(D200*(E200+F200),2)</f>
        <v>40761.629999999997</v>
      </c>
      <c r="H200" s="401"/>
      <c r="I200" s="402"/>
      <c r="J200" s="402"/>
      <c r="K200" s="403"/>
      <c r="L200" s="404"/>
      <c r="M200" s="102"/>
      <c r="N200" s="405"/>
      <c r="O200" s="406"/>
      <c r="P200" s="406" t="s">
        <v>68</v>
      </c>
      <c r="Q200" s="407">
        <f>+G200+J200-M200-N200-O200</f>
        <v>40761.629999999997</v>
      </c>
      <c r="R200" s="397" t="s">
        <v>69</v>
      </c>
      <c r="S200" s="398"/>
      <c r="T200" s="399"/>
    </row>
    <row r="201" spans="1:21" s="81" customFormat="1" ht="15" customHeight="1">
      <c r="A201" s="389"/>
      <c r="B201" s="98"/>
      <c r="C201" s="84" t="s">
        <v>26</v>
      </c>
      <c r="D201" s="37">
        <f>окт18!D194</f>
        <v>72</v>
      </c>
      <c r="E201" s="41">
        <f>461.99-237.98</f>
        <v>224.01000000000002</v>
      </c>
      <c r="F201" s="38"/>
      <c r="G201" s="400">
        <f>+D201*(E201+F201)</f>
        <v>16128.720000000001</v>
      </c>
      <c r="H201" s="401"/>
      <c r="I201" s="402"/>
      <c r="J201" s="402"/>
      <c r="K201" s="408"/>
      <c r="L201" s="404"/>
      <c r="M201" s="102"/>
      <c r="N201" s="405"/>
      <c r="O201" s="406"/>
      <c r="P201" s="406"/>
      <c r="Q201" s="407"/>
      <c r="R201" s="397"/>
      <c r="S201" s="398"/>
      <c r="T201" s="399"/>
    </row>
    <row r="202" spans="1:21" s="81" customFormat="1" ht="15" customHeight="1">
      <c r="A202" s="389"/>
      <c r="B202" s="83"/>
      <c r="C202" s="84"/>
      <c r="D202" s="37"/>
      <c r="E202" s="41"/>
      <c r="F202" s="38"/>
      <c r="G202" s="400"/>
      <c r="H202" s="401"/>
      <c r="I202" s="402"/>
      <c r="J202" s="402"/>
      <c r="K202" s="408"/>
      <c r="L202" s="404"/>
      <c r="M202" s="102"/>
      <c r="N202" s="405"/>
      <c r="O202" s="406"/>
      <c r="P202" s="406"/>
      <c r="Q202" s="407"/>
      <c r="R202" s="397"/>
      <c r="S202" s="398"/>
      <c r="T202" s="399"/>
    </row>
    <row r="203" spans="1:21" s="81" customFormat="1" ht="15" customHeight="1">
      <c r="A203" s="389"/>
      <c r="B203" s="83" t="s">
        <v>70</v>
      </c>
      <c r="C203" s="84"/>
      <c r="D203" s="37"/>
      <c r="E203" s="41"/>
      <c r="F203" s="38"/>
      <c r="G203" s="400"/>
      <c r="H203" s="401"/>
      <c r="I203" s="402"/>
      <c r="J203" s="402"/>
      <c r="K203" s="408"/>
      <c r="L203" s="404"/>
      <c r="M203" s="102"/>
      <c r="N203" s="405"/>
      <c r="O203" s="406"/>
      <c r="P203" s="406"/>
      <c r="Q203" s="407"/>
      <c r="R203" s="397"/>
      <c r="S203" s="398"/>
      <c r="T203" s="399"/>
    </row>
    <row r="204" spans="1:21" s="81" customFormat="1" ht="15" customHeight="1">
      <c r="A204" s="389"/>
      <c r="B204" s="83"/>
      <c r="C204" s="48"/>
      <c r="D204" s="37"/>
      <c r="E204" s="41"/>
      <c r="F204" s="38"/>
      <c r="G204" s="39">
        <f>ROUND(D204*(E204+F204),2)</f>
        <v>0</v>
      </c>
      <c r="H204" s="37"/>
      <c r="I204" s="409"/>
      <c r="J204" s="409"/>
      <c r="K204" s="408"/>
      <c r="L204" s="404"/>
      <c r="M204" s="102"/>
      <c r="N204" s="405"/>
      <c r="O204" s="406"/>
      <c r="P204" s="406"/>
      <c r="Q204" s="407"/>
      <c r="R204" s="397"/>
      <c r="S204" s="398"/>
      <c r="T204" s="399"/>
    </row>
    <row r="205" spans="1:21" s="81" customFormat="1" ht="15" customHeight="1">
      <c r="A205" s="389"/>
      <c r="B205" s="83"/>
      <c r="C205" s="48" t="s">
        <v>260</v>
      </c>
      <c r="D205" s="37">
        <f>окт18!D200+окт18!D201</f>
        <v>11048.45</v>
      </c>
      <c r="E205" s="41">
        <f>7.1727-7.0999</f>
        <v>7.2799999999999976E-2</v>
      </c>
      <c r="F205" s="38">
        <f>+E205</f>
        <v>7.2799999999999976E-2</v>
      </c>
      <c r="G205" s="39">
        <f>ROUND(D205*E205,2)+0.01</f>
        <v>804.34</v>
      </c>
      <c r="H205" s="37"/>
      <c r="I205" s="409"/>
      <c r="J205" s="409"/>
      <c r="K205" s="408"/>
      <c r="L205" s="404"/>
      <c r="M205" s="102"/>
      <c r="N205" s="405"/>
      <c r="O205" s="406"/>
      <c r="P205" s="406"/>
      <c r="Q205" s="407"/>
      <c r="R205" s="397"/>
      <c r="S205" s="398"/>
      <c r="T205" s="399"/>
    </row>
    <row r="206" spans="1:21" s="81" customFormat="1" ht="15" customHeight="1">
      <c r="A206" s="389"/>
      <c r="B206" s="83"/>
      <c r="C206" s="48" t="s">
        <v>263</v>
      </c>
      <c r="D206" s="37">
        <f>27.84+1.35</f>
        <v>29.19</v>
      </c>
      <c r="E206" s="41">
        <v>7.1726999999999999</v>
      </c>
      <c r="F206" s="41">
        <f>+E206</f>
        <v>7.1726999999999999</v>
      </c>
      <c r="G206" s="39">
        <f>ROUND(D206*E206,2)</f>
        <v>209.37</v>
      </c>
      <c r="H206" s="37"/>
      <c r="I206" s="409"/>
      <c r="J206" s="409"/>
      <c r="K206" s="410"/>
      <c r="L206" s="404"/>
      <c r="M206" s="102"/>
      <c r="N206" s="405"/>
      <c r="O206" s="406"/>
      <c r="P206" s="406"/>
      <c r="Q206" s="407"/>
      <c r="R206" s="397"/>
      <c r="S206" s="398"/>
      <c r="T206" s="399"/>
    </row>
    <row r="207" spans="1:21" s="81" customFormat="1" ht="15.75" customHeight="1" thickBot="1">
      <c r="A207" s="411"/>
      <c r="B207" s="412"/>
      <c r="C207" s="99" t="s">
        <v>29</v>
      </c>
      <c r="D207" s="413">
        <f>11600+564</f>
        <v>12164</v>
      </c>
      <c r="E207" s="56">
        <v>7.1726999999999999</v>
      </c>
      <c r="F207" s="41">
        <f>+E207</f>
        <v>7.1726999999999999</v>
      </c>
      <c r="G207" s="414">
        <f>ROUND(D207*E207,2)</f>
        <v>87248.72</v>
      </c>
      <c r="H207" s="248"/>
      <c r="I207" s="60"/>
      <c r="J207" s="60"/>
      <c r="K207" s="203"/>
      <c r="L207" s="204"/>
      <c r="M207" s="371"/>
      <c r="N207" s="415"/>
      <c r="O207" s="416"/>
      <c r="P207" s="416" t="s">
        <v>68</v>
      </c>
      <c r="Q207" s="417">
        <f>+G207+J207-M207-N207-O207</f>
        <v>87248.72</v>
      </c>
      <c r="R207" s="418" t="s">
        <v>69</v>
      </c>
      <c r="S207" s="419">
        <f>SUM(O198:O207)</f>
        <v>0</v>
      </c>
      <c r="T207" s="419" t="e">
        <f>SUM(Q198:Q207)</f>
        <v>#VALUE!</v>
      </c>
    </row>
    <row r="208" spans="1:21" s="81" customFormat="1" ht="15.75" customHeight="1">
      <c r="A208" s="902">
        <v>303</v>
      </c>
      <c r="B208" s="903" t="s">
        <v>227</v>
      </c>
      <c r="C208" s="439" t="s">
        <v>260</v>
      </c>
      <c r="D208" s="904">
        <f>окт18!D203+окт18!D204</f>
        <v>586.4</v>
      </c>
      <c r="E208" s="23">
        <f>7.1727-7.0999</f>
        <v>7.2799999999999976E-2</v>
      </c>
      <c r="F208" s="905"/>
      <c r="G208" s="22">
        <f>ROUND(D208*E208,2)+0.01</f>
        <v>42.699999999999996</v>
      </c>
      <c r="H208" s="303"/>
      <c r="I208" s="23"/>
      <c r="J208" s="23"/>
      <c r="K208" s="304"/>
      <c r="L208" s="263">
        <f>SUM(G208:G210)</f>
        <v>4975</v>
      </c>
      <c r="M208" s="26">
        <v>4975</v>
      </c>
      <c r="N208" s="421"/>
      <c r="O208" s="77"/>
      <c r="P208" s="77"/>
      <c r="Q208" s="384"/>
      <c r="R208" s="422"/>
      <c r="S208" s="399"/>
      <c r="T208" s="399"/>
    </row>
    <row r="209" spans="1:20" s="81" customFormat="1" ht="15.75" customHeight="1">
      <c r="A209" s="468"/>
      <c r="B209" s="469"/>
      <c r="C209" s="48" t="s">
        <v>263</v>
      </c>
      <c r="D209" s="471">
        <v>1.65</v>
      </c>
      <c r="E209" s="41">
        <v>7.1726999999999999</v>
      </c>
      <c r="F209" s="473"/>
      <c r="G209" s="449">
        <f>ROUND(D209*E209,2)</f>
        <v>11.83</v>
      </c>
      <c r="H209" s="260"/>
      <c r="I209" s="261"/>
      <c r="J209" s="261"/>
      <c r="K209" s="262"/>
      <c r="L209" s="286"/>
      <c r="M209" s="90"/>
      <c r="N209" s="423"/>
      <c r="O209" s="406"/>
      <c r="P209" s="406"/>
      <c r="Q209" s="407"/>
      <c r="R209" s="422"/>
      <c r="S209" s="399"/>
      <c r="T209" s="399"/>
    </row>
    <row r="210" spans="1:20" s="81" customFormat="1" ht="15.75" customHeight="1" thickBot="1">
      <c r="A210" s="858"/>
      <c r="B210" s="859"/>
      <c r="C210" s="54" t="s">
        <v>29</v>
      </c>
      <c r="D210" s="860">
        <v>686</v>
      </c>
      <c r="E210" s="56">
        <v>7.1726999999999999</v>
      </c>
      <c r="F210" s="861"/>
      <c r="G210" s="414">
        <f t="shared" ref="G210" si="38">ROUND(D210*E210,2)</f>
        <v>4920.47</v>
      </c>
      <c r="H210" s="280"/>
      <c r="I210" s="281"/>
      <c r="J210" s="281"/>
      <c r="K210" s="282"/>
      <c r="L210" s="204"/>
      <c r="M210" s="371"/>
      <c r="N210" s="426"/>
      <c r="O210" s="416"/>
      <c r="P210" s="416"/>
      <c r="Q210" s="417"/>
      <c r="R210" s="422"/>
      <c r="S210" s="399"/>
      <c r="T210" s="399"/>
    </row>
    <row r="211" spans="1:20" s="81" customFormat="1" ht="15" customHeight="1">
      <c r="A211" s="437">
        <v>304</v>
      </c>
      <c r="B211" s="438" t="s">
        <v>83</v>
      </c>
      <c r="C211" s="377" t="s">
        <v>73</v>
      </c>
      <c r="D211" s="378">
        <v>1</v>
      </c>
      <c r="E211" s="21">
        <v>40.556600000000003</v>
      </c>
      <c r="F211" s="21">
        <v>47.5304</v>
      </c>
      <c r="G211" s="22">
        <f>+D211*(E211+F211)</f>
        <v>88.087000000000003</v>
      </c>
      <c r="H211" s="303"/>
      <c r="I211" s="381"/>
      <c r="J211" s="381"/>
      <c r="K211" s="342"/>
      <c r="L211" s="263">
        <f>SUM(G211:G215,J211:J215)</f>
        <v>523.827</v>
      </c>
      <c r="M211" s="26">
        <v>523.83000000000004</v>
      </c>
      <c r="N211" s="421"/>
      <c r="O211" s="77"/>
      <c r="P211" s="77"/>
      <c r="Q211" s="384"/>
      <c r="R211" s="899"/>
      <c r="S211" s="399"/>
      <c r="T211" s="399"/>
    </row>
    <row r="212" spans="1:20" s="81" customFormat="1" ht="15" customHeight="1">
      <c r="A212" s="441"/>
      <c r="B212" s="442"/>
      <c r="C212" s="36" t="s">
        <v>26</v>
      </c>
      <c r="D212" s="37"/>
      <c r="E212" s="38"/>
      <c r="F212" s="38"/>
      <c r="G212" s="39">
        <f>ROUND(D212*(E212+F212),2)</f>
        <v>0</v>
      </c>
      <c r="H212" s="457"/>
      <c r="I212" s="392"/>
      <c r="J212" s="402"/>
      <c r="K212" s="393"/>
      <c r="L212" s="459"/>
      <c r="M212" s="44"/>
      <c r="N212" s="430"/>
      <c r="O212" s="435"/>
      <c r="P212" s="435"/>
      <c r="Q212" s="425"/>
      <c r="R212" s="422"/>
      <c r="S212" s="399"/>
      <c r="T212" s="399"/>
    </row>
    <row r="213" spans="1:20" s="81" customFormat="1" ht="15" customHeight="1">
      <c r="A213" s="441"/>
      <c r="B213" s="442"/>
      <c r="C213" s="48" t="s">
        <v>260</v>
      </c>
      <c r="D213" s="37">
        <f>окт18!D208+окт18!D209</f>
        <v>60.14</v>
      </c>
      <c r="E213" s="41">
        <f>7.1727-7.0999</f>
        <v>7.2799999999999976E-2</v>
      </c>
      <c r="F213" s="38"/>
      <c r="G213" s="39">
        <f>ROUND(D213*(E213),2)</f>
        <v>4.38</v>
      </c>
      <c r="H213" s="270"/>
      <c r="I213" s="41"/>
      <c r="J213" s="41"/>
      <c r="K213" s="271"/>
      <c r="L213" s="272"/>
      <c r="M213" s="102"/>
      <c r="N213" s="430"/>
      <c r="O213" s="435"/>
      <c r="P213" s="435"/>
      <c r="Q213" s="425"/>
      <c r="R213" s="422"/>
      <c r="S213" s="399"/>
      <c r="T213" s="399"/>
    </row>
    <row r="214" spans="1:20" s="81" customFormat="1" ht="15" customHeight="1">
      <c r="A214" s="441"/>
      <c r="B214" s="442"/>
      <c r="C214" s="48" t="s">
        <v>263</v>
      </c>
      <c r="D214" s="37">
        <v>0.14000000000000001</v>
      </c>
      <c r="E214" s="41">
        <v>7.1726999999999999</v>
      </c>
      <c r="F214" s="38"/>
      <c r="G214" s="39">
        <f>ROUND(D214*(E214),2)</f>
        <v>1</v>
      </c>
      <c r="H214" s="270"/>
      <c r="I214" s="41"/>
      <c r="J214" s="41"/>
      <c r="K214" s="271"/>
      <c r="L214" s="272"/>
      <c r="M214" s="102"/>
      <c r="N214" s="434"/>
      <c r="O214" s="435"/>
      <c r="P214" s="435"/>
      <c r="Q214" s="425"/>
      <c r="R214" s="422"/>
      <c r="S214" s="399"/>
      <c r="T214" s="399"/>
    </row>
    <row r="215" spans="1:20" s="81" customFormat="1" ht="15.75" customHeight="1" thickBot="1">
      <c r="A215" s="445"/>
      <c r="B215" s="446"/>
      <c r="C215" s="54" t="s">
        <v>29</v>
      </c>
      <c r="D215" s="413">
        <v>60</v>
      </c>
      <c r="E215" s="56">
        <v>7.1726999999999999</v>
      </c>
      <c r="F215" s="281"/>
      <c r="G215" s="414">
        <f>ROUND(D215*(E215),2)</f>
        <v>430.36</v>
      </c>
      <c r="H215" s="280"/>
      <c r="I215" s="281"/>
      <c r="J215" s="281"/>
      <c r="K215" s="282"/>
      <c r="L215" s="204"/>
      <c r="M215" s="371"/>
      <c r="N215" s="426"/>
      <c r="O215" s="416"/>
      <c r="P215" s="416"/>
      <c r="Q215" s="417"/>
      <c r="R215" s="422"/>
      <c r="S215" s="399"/>
      <c r="T215" s="399"/>
    </row>
    <row r="216" spans="1:20" s="81" customFormat="1" ht="15" customHeight="1">
      <c r="A216" s="437">
        <v>305</v>
      </c>
      <c r="B216" s="438" t="s">
        <v>298</v>
      </c>
      <c r="C216" s="377" t="s">
        <v>73</v>
      </c>
      <c r="D216" s="378">
        <v>12</v>
      </c>
      <c r="E216" s="21">
        <v>40.556600000000003</v>
      </c>
      <c r="F216" s="21">
        <v>47.5304</v>
      </c>
      <c r="G216" s="22">
        <f>+D216*(E216+F216)</f>
        <v>1057.0440000000001</v>
      </c>
      <c r="H216" s="303"/>
      <c r="I216" s="381"/>
      <c r="J216" s="381"/>
      <c r="K216" s="342"/>
      <c r="L216" s="263">
        <f>SUM(G216:G220,J216:J220)</f>
        <v>5414.174</v>
      </c>
      <c r="M216" s="26">
        <v>5414.17</v>
      </c>
      <c r="N216" s="421"/>
      <c r="O216" s="77"/>
      <c r="P216" s="77"/>
      <c r="Q216" s="384"/>
      <c r="R216" s="899"/>
      <c r="S216" s="399"/>
      <c r="T216" s="399"/>
    </row>
    <row r="217" spans="1:20" s="81" customFormat="1" ht="15" customHeight="1">
      <c r="A217" s="441"/>
      <c r="B217" s="442"/>
      <c r="C217" s="36" t="s">
        <v>26</v>
      </c>
      <c r="D217" s="37"/>
      <c r="E217" s="38"/>
      <c r="F217" s="38"/>
      <c r="G217" s="39">
        <f>ROUND(D217*(E217+F217),2)</f>
        <v>0</v>
      </c>
      <c r="H217" s="457"/>
      <c r="I217" s="392"/>
      <c r="J217" s="402"/>
      <c r="K217" s="393"/>
      <c r="L217" s="459"/>
      <c r="M217" s="44"/>
      <c r="N217" s="430"/>
      <c r="O217" s="435"/>
      <c r="P217" s="435"/>
      <c r="Q217" s="425"/>
      <c r="R217" s="422"/>
      <c r="S217" s="399"/>
      <c r="T217" s="399"/>
    </row>
    <row r="218" spans="1:20" s="81" customFormat="1" ht="15" customHeight="1">
      <c r="A218" s="441"/>
      <c r="B218" s="442"/>
      <c r="C218" s="48" t="s">
        <v>260</v>
      </c>
      <c r="D218" s="37"/>
      <c r="E218" s="41">
        <f>7.1727-7.0999</f>
        <v>7.2799999999999976E-2</v>
      </c>
      <c r="F218" s="38"/>
      <c r="G218" s="39">
        <f>ROUND(D218*(E218),2)</f>
        <v>0</v>
      </c>
      <c r="H218" s="270"/>
      <c r="I218" s="41"/>
      <c r="J218" s="41"/>
      <c r="K218" s="271"/>
      <c r="L218" s="272"/>
      <c r="M218" s="102"/>
      <c r="N218" s="430"/>
      <c r="O218" s="435"/>
      <c r="P218" s="435"/>
      <c r="Q218" s="425"/>
      <c r="R218" s="422"/>
      <c r="S218" s="399"/>
      <c r="T218" s="399"/>
    </row>
    <row r="219" spans="1:20" s="81" customFormat="1" ht="15" customHeight="1">
      <c r="A219" s="441"/>
      <c r="B219" s="442"/>
      <c r="C219" s="48" t="s">
        <v>263</v>
      </c>
      <c r="D219" s="37">
        <f>1.21+0.15+0.1</f>
        <v>1.46</v>
      </c>
      <c r="E219" s="41">
        <v>7.1726999999999999</v>
      </c>
      <c r="F219" s="38"/>
      <c r="G219" s="39">
        <f>ROUND(D219*(E219),2)</f>
        <v>10.47</v>
      </c>
      <c r="H219" s="270"/>
      <c r="I219" s="41"/>
      <c r="J219" s="41"/>
      <c r="K219" s="271"/>
      <c r="L219" s="272"/>
      <c r="M219" s="102"/>
      <c r="N219" s="434"/>
      <c r="O219" s="435"/>
      <c r="P219" s="435"/>
      <c r="Q219" s="425"/>
      <c r="R219" s="422"/>
      <c r="S219" s="399"/>
      <c r="T219" s="399"/>
    </row>
    <row r="220" spans="1:20" s="81" customFormat="1" ht="15.75" customHeight="1" thickBot="1">
      <c r="A220" s="445"/>
      <c r="B220" s="446"/>
      <c r="C220" s="54" t="s">
        <v>29</v>
      </c>
      <c r="D220" s="413">
        <f>503+64+39</f>
        <v>606</v>
      </c>
      <c r="E220" s="56">
        <v>7.1726999999999999</v>
      </c>
      <c r="F220" s="281"/>
      <c r="G220" s="414">
        <f>ROUND(D220*(E220),2)</f>
        <v>4346.66</v>
      </c>
      <c r="H220" s="280"/>
      <c r="I220" s="281"/>
      <c r="J220" s="281"/>
      <c r="K220" s="282"/>
      <c r="L220" s="204"/>
      <c r="M220" s="371"/>
      <c r="N220" s="426"/>
      <c r="O220" s="416"/>
      <c r="P220" s="416"/>
      <c r="Q220" s="417"/>
      <c r="R220" s="422"/>
      <c r="S220" s="399"/>
      <c r="T220" s="399"/>
    </row>
    <row r="221" spans="1:20" s="81" customFormat="1" ht="15" customHeight="1">
      <c r="A221" s="447">
        <v>400</v>
      </c>
      <c r="B221" s="903" t="s">
        <v>238</v>
      </c>
      <c r="C221" s="377" t="s">
        <v>73</v>
      </c>
      <c r="D221" s="378">
        <v>3</v>
      </c>
      <c r="E221" s="21">
        <v>40.556600000000003</v>
      </c>
      <c r="F221" s="21">
        <v>47.5304</v>
      </c>
      <c r="G221" s="22">
        <f>+D221*(E221+F221)</f>
        <v>264.26100000000002</v>
      </c>
      <c r="H221" s="303"/>
      <c r="I221" s="381"/>
      <c r="J221" s="381"/>
      <c r="K221" s="342"/>
      <c r="L221" s="263">
        <f>SUM(G221:G225,J221:J225)</f>
        <v>64545.141000000003</v>
      </c>
      <c r="M221" s="26">
        <v>64545.15</v>
      </c>
      <c r="N221" s="421"/>
      <c r="O221" s="77"/>
      <c r="P221" s="77"/>
      <c r="Q221" s="384"/>
      <c r="R221" s="899"/>
      <c r="S221" s="399"/>
      <c r="T221" s="399"/>
    </row>
    <row r="222" spans="1:20" s="81" customFormat="1" ht="15" customHeight="1" thickBot="1">
      <c r="A222" s="450"/>
      <c r="B222" s="469"/>
      <c r="C222" s="36" t="s">
        <v>26</v>
      </c>
      <c r="D222" s="37"/>
      <c r="E222" s="38"/>
      <c r="F222" s="38"/>
      <c r="G222" s="39">
        <f>ROUND(D222*(E222+F222),2)</f>
        <v>0</v>
      </c>
      <c r="H222" s="457"/>
      <c r="I222" s="392"/>
      <c r="J222" s="402"/>
      <c r="K222" s="393"/>
      <c r="L222" s="459"/>
      <c r="M222" s="44"/>
      <c r="N222" s="430"/>
      <c r="O222" s="435"/>
      <c r="P222" s="435"/>
      <c r="Q222" s="425"/>
      <c r="R222" s="422"/>
      <c r="S222" s="399"/>
      <c r="T222" s="399"/>
    </row>
    <row r="223" spans="1:20" s="81" customFormat="1" ht="15.75" customHeight="1">
      <c r="A223" s="984"/>
      <c r="C223" s="439" t="s">
        <v>260</v>
      </c>
      <c r="D223" s="904">
        <f>окт18!D213+окт18!D214</f>
        <v>7152.13</v>
      </c>
      <c r="E223" s="23">
        <f>7.1727-7.0999</f>
        <v>7.2799999999999976E-2</v>
      </c>
      <c r="F223" s="905"/>
      <c r="G223" s="22">
        <f>ROUND(D223*E223,2)-0.01</f>
        <v>520.66999999999996</v>
      </c>
      <c r="H223" s="303"/>
      <c r="I223" s="23"/>
      <c r="J223" s="23"/>
      <c r="K223" s="304"/>
      <c r="L223" s="263"/>
      <c r="M223" s="26"/>
      <c r="N223" s="421"/>
      <c r="O223" s="77"/>
      <c r="P223" s="77"/>
      <c r="Q223" s="384"/>
      <c r="R223" s="422"/>
      <c r="S223" s="399"/>
      <c r="T223" s="399"/>
    </row>
    <row r="224" spans="1:20" s="81" customFormat="1" ht="15.75" customHeight="1">
      <c r="A224" s="450"/>
      <c r="B224" s="469"/>
      <c r="C224" s="48" t="s">
        <v>263</v>
      </c>
      <c r="D224" s="471">
        <f>12.03+4.13+5.13</f>
        <v>21.29</v>
      </c>
      <c r="E224" s="41">
        <v>7.1726999999999999</v>
      </c>
      <c r="F224" s="473"/>
      <c r="G224" s="449">
        <f>ROUND(D224*E224,2)</f>
        <v>152.71</v>
      </c>
      <c r="H224" s="260"/>
      <c r="I224" s="261"/>
      <c r="J224" s="261"/>
      <c r="K224" s="262"/>
      <c r="L224" s="286"/>
      <c r="M224" s="90"/>
      <c r="N224" s="423"/>
      <c r="O224" s="406"/>
      <c r="P224" s="406"/>
      <c r="Q224" s="407"/>
      <c r="R224" s="422"/>
      <c r="S224" s="399"/>
      <c r="T224" s="399"/>
    </row>
    <row r="225" spans="1:20" s="81" customFormat="1" ht="15.75" customHeight="1" thickBot="1">
      <c r="A225" s="451"/>
      <c r="B225" s="859"/>
      <c r="C225" s="54" t="s">
        <v>29</v>
      </c>
      <c r="D225" s="860">
        <f>5011+1720+2137</f>
        <v>8868</v>
      </c>
      <c r="E225" s="56">
        <v>7.1726999999999999</v>
      </c>
      <c r="F225" s="861"/>
      <c r="G225" s="414">
        <f t="shared" ref="G225" si="39">ROUND(D225*E225,2)</f>
        <v>63607.5</v>
      </c>
      <c r="H225" s="280"/>
      <c r="I225" s="281"/>
      <c r="J225" s="281"/>
      <c r="K225" s="282"/>
      <c r="L225" s="204"/>
      <c r="M225" s="371"/>
      <c r="N225" s="426"/>
      <c r="O225" s="416"/>
      <c r="P225" s="416"/>
      <c r="Q225" s="417"/>
      <c r="R225" s="422"/>
      <c r="S225" s="399"/>
      <c r="T225" s="399"/>
    </row>
    <row r="226" spans="1:20" s="81" customFormat="1" ht="15" customHeight="1">
      <c r="A226" s="437">
        <v>402</v>
      </c>
      <c r="B226" s="438" t="s">
        <v>122</v>
      </c>
      <c r="C226" s="439"/>
      <c r="D226" s="378"/>
      <c r="E226" s="23"/>
      <c r="F226" s="23"/>
      <c r="G226" s="22"/>
      <c r="H226" s="303"/>
      <c r="I226" s="23"/>
      <c r="J226" s="23"/>
      <c r="K226" s="304"/>
      <c r="L226" s="382">
        <f>+SUM(G226:G229,J226:J229)</f>
        <v>2537.3200000000002</v>
      </c>
      <c r="M226" s="26">
        <v>2537.3200000000002</v>
      </c>
      <c r="N226" s="421"/>
      <c r="O226" s="77"/>
      <c r="P226" s="77"/>
      <c r="Q226" s="384"/>
      <c r="R226" s="899"/>
      <c r="S226" s="399"/>
      <c r="T226" s="399"/>
    </row>
    <row r="227" spans="1:20" s="81" customFormat="1" ht="15" customHeight="1" thickBot="1">
      <c r="A227" s="441"/>
      <c r="B227" s="442"/>
      <c r="C227" s="48" t="s">
        <v>260</v>
      </c>
      <c r="D227" s="37">
        <f>окт18!D217+окт18!D218</f>
        <v>384.92</v>
      </c>
      <c r="E227" s="41">
        <f>7.1727-7.0999</f>
        <v>7.2799999999999976E-2</v>
      </c>
      <c r="F227" s="41"/>
      <c r="G227" s="414">
        <f>ROUND(D227*E227,2)</f>
        <v>28.02</v>
      </c>
      <c r="H227" s="260"/>
      <c r="I227" s="261"/>
      <c r="J227" s="261"/>
      <c r="K227" s="262"/>
      <c r="L227" s="394"/>
      <c r="M227" s="90"/>
      <c r="N227" s="443"/>
      <c r="O227" s="94"/>
      <c r="P227" s="94"/>
      <c r="Q227" s="396"/>
      <c r="R227" s="899"/>
      <c r="S227" s="399"/>
      <c r="T227" s="399"/>
    </row>
    <row r="228" spans="1:20" s="81" customFormat="1" ht="15" customHeight="1" thickBot="1">
      <c r="A228" s="441"/>
      <c r="B228" s="444"/>
      <c r="C228" s="48" t="s">
        <v>263</v>
      </c>
      <c r="D228" s="37">
        <f>0.53+0.31</f>
        <v>0.84000000000000008</v>
      </c>
      <c r="E228" s="41">
        <v>7.1726999999999999</v>
      </c>
      <c r="F228" s="41"/>
      <c r="G228" s="414">
        <f>ROUND(D228*E228,2)</f>
        <v>6.03</v>
      </c>
      <c r="H228" s="432"/>
      <c r="I228" s="207"/>
      <c r="J228" s="207"/>
      <c r="K228" s="362"/>
      <c r="L228" s="433"/>
      <c r="M228" s="63"/>
      <c r="N228" s="423"/>
      <c r="O228" s="406"/>
      <c r="P228" s="406"/>
      <c r="Q228" s="407"/>
      <c r="R228" s="899"/>
      <c r="S228" s="399"/>
      <c r="T228" s="399"/>
    </row>
    <row r="229" spans="1:20" s="81" customFormat="1" ht="15" customHeight="1" thickBot="1">
      <c r="A229" s="445"/>
      <c r="B229" s="446"/>
      <c r="C229" s="99" t="s">
        <v>29</v>
      </c>
      <c r="D229" s="413">
        <f>220+129</f>
        <v>349</v>
      </c>
      <c r="E229" s="56">
        <v>7.1726999999999999</v>
      </c>
      <c r="F229" s="281"/>
      <c r="G229" s="414">
        <f>ROUND(D229*E229,2)</f>
        <v>2503.27</v>
      </c>
      <c r="H229" s="280"/>
      <c r="I229" s="281"/>
      <c r="J229" s="281"/>
      <c r="K229" s="282"/>
      <c r="L229" s="204"/>
      <c r="M229" s="371"/>
      <c r="N229" s="434"/>
      <c r="O229" s="435"/>
      <c r="P229" s="435"/>
      <c r="Q229" s="425"/>
      <c r="R229" s="899"/>
      <c r="S229" s="399"/>
      <c r="T229" s="399"/>
    </row>
    <row r="230" spans="1:20" s="81" customFormat="1" ht="15.75" customHeight="1">
      <c r="A230" s="447">
        <v>403</v>
      </c>
      <c r="B230" s="438" t="s">
        <v>126</v>
      </c>
      <c r="C230" s="439" t="s">
        <v>260</v>
      </c>
      <c r="D230" s="900">
        <f>окт18!D220+окт18!D221</f>
        <v>122.29</v>
      </c>
      <c r="E230" s="23">
        <f>7.1727-7.0999</f>
        <v>7.2799999999999976E-2</v>
      </c>
      <c r="F230" s="23"/>
      <c r="G230" s="22">
        <f>ROUND(D230*E230,2)</f>
        <v>8.9</v>
      </c>
      <c r="H230" s="303"/>
      <c r="I230" s="23"/>
      <c r="J230" s="23"/>
      <c r="K230" s="304"/>
      <c r="L230" s="263">
        <f>SUM(G230:G232)</f>
        <v>972.34</v>
      </c>
      <c r="M230" s="26">
        <v>972.34</v>
      </c>
      <c r="N230" s="421"/>
      <c r="O230" s="77"/>
      <c r="P230" s="77"/>
      <c r="Q230" s="384"/>
      <c r="R230" s="422"/>
      <c r="S230" s="399"/>
      <c r="T230" s="399"/>
    </row>
    <row r="231" spans="1:20" s="81" customFormat="1" ht="15.75" customHeight="1">
      <c r="A231" s="450"/>
      <c r="B231" s="442"/>
      <c r="C231" s="48" t="s">
        <v>263</v>
      </c>
      <c r="D231" s="448">
        <v>0.32</v>
      </c>
      <c r="E231" s="41">
        <v>7.1726999999999999</v>
      </c>
      <c r="F231" s="261"/>
      <c r="G231" s="449">
        <f t="shared" ref="G231:G232" si="40">ROUND(D231*E231,2)</f>
        <v>2.2999999999999998</v>
      </c>
      <c r="H231" s="260"/>
      <c r="I231" s="261"/>
      <c r="J231" s="261"/>
      <c r="K231" s="262"/>
      <c r="L231" s="286"/>
      <c r="M231" s="90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451"/>
      <c r="B232" s="446"/>
      <c r="C232" s="54" t="s">
        <v>29</v>
      </c>
      <c r="D232" s="901">
        <v>134</v>
      </c>
      <c r="E232" s="56">
        <v>7.1726999999999999</v>
      </c>
      <c r="F232" s="281"/>
      <c r="G232" s="414">
        <f t="shared" si="40"/>
        <v>961.14</v>
      </c>
      <c r="H232" s="280"/>
      <c r="I232" s="281"/>
      <c r="J232" s="281"/>
      <c r="K232" s="282"/>
      <c r="L232" s="204"/>
      <c r="M232" s="371"/>
      <c r="N232" s="426"/>
      <c r="O232" s="416"/>
      <c r="P232" s="416"/>
      <c r="Q232" s="417"/>
      <c r="R232" s="422"/>
      <c r="S232" s="399"/>
      <c r="T232" s="399"/>
    </row>
    <row r="233" spans="1:20" s="81" customFormat="1" ht="15.75" customHeight="1">
      <c r="A233" s="906">
        <v>404</v>
      </c>
      <c r="B233" s="903" t="s">
        <v>191</v>
      </c>
      <c r="C233" s="48" t="s">
        <v>260</v>
      </c>
      <c r="D233" s="471">
        <f>окт18!D223+окт18!D224</f>
        <v>517.24</v>
      </c>
      <c r="E233" s="41">
        <f>7.1727-7.0999</f>
        <v>7.2799999999999976E-2</v>
      </c>
      <c r="F233" s="473"/>
      <c r="G233" s="862">
        <f>ROUND(D233*E233,2)</f>
        <v>37.659999999999997</v>
      </c>
      <c r="H233" s="270"/>
      <c r="I233" s="41"/>
      <c r="J233" s="41"/>
      <c r="K233" s="271"/>
      <c r="L233" s="263">
        <f>SUM(G233:G235)</f>
        <v>3064.61</v>
      </c>
      <c r="M233" s="878">
        <v>3064.61</v>
      </c>
      <c r="N233" s="421"/>
      <c r="O233" s="406"/>
      <c r="P233" s="406"/>
      <c r="Q233" s="407"/>
      <c r="R233" s="422"/>
      <c r="S233" s="399"/>
      <c r="T233" s="399"/>
    </row>
    <row r="234" spans="1:20" s="81" customFormat="1" ht="15.75" customHeight="1">
      <c r="A234" s="468"/>
      <c r="B234" s="469"/>
      <c r="C234" s="48" t="s">
        <v>263</v>
      </c>
      <c r="D234" s="471">
        <v>1.01</v>
      </c>
      <c r="E234" s="41">
        <v>7.1726999999999999</v>
      </c>
      <c r="F234" s="473"/>
      <c r="G234" s="862">
        <f>ROUND(D234*E234,2)</f>
        <v>7.24</v>
      </c>
      <c r="H234" s="270"/>
      <c r="I234" s="41"/>
      <c r="J234" s="41"/>
      <c r="K234" s="271"/>
      <c r="L234" s="272"/>
      <c r="M234" s="878"/>
      <c r="N234" s="423"/>
      <c r="O234" s="406"/>
      <c r="P234" s="406"/>
      <c r="Q234" s="407"/>
      <c r="R234" s="422"/>
      <c r="S234" s="399"/>
      <c r="T234" s="399"/>
    </row>
    <row r="235" spans="1:20" s="81" customFormat="1" ht="15.75" customHeight="1" thickBot="1">
      <c r="A235" s="858"/>
      <c r="B235" s="859"/>
      <c r="C235" s="54" t="s">
        <v>29</v>
      </c>
      <c r="D235" s="860">
        <v>421</v>
      </c>
      <c r="E235" s="56">
        <v>7.1726999999999999</v>
      </c>
      <c r="F235" s="861"/>
      <c r="G235" s="866">
        <f t="shared" ref="G235" si="41">ROUND(D235*E235,2)</f>
        <v>3019.71</v>
      </c>
      <c r="H235" s="280"/>
      <c r="I235" s="281"/>
      <c r="J235" s="281"/>
      <c r="K235" s="282"/>
      <c r="L235" s="204"/>
      <c r="M235" s="880"/>
      <c r="N235" s="426"/>
      <c r="O235" s="416"/>
      <c r="P235" s="416"/>
      <c r="Q235" s="417"/>
      <c r="R235" s="422"/>
      <c r="S235" s="399"/>
      <c r="T235" s="399"/>
    </row>
    <row r="236" spans="1:20" s="81" customFormat="1" ht="15.75" customHeight="1">
      <c r="A236" s="902">
        <v>405</v>
      </c>
      <c r="B236" s="903" t="s">
        <v>147</v>
      </c>
      <c r="C236" s="439" t="s">
        <v>260</v>
      </c>
      <c r="D236" s="904">
        <f>окт18!D226+окт18!D227</f>
        <v>161.38999999999999</v>
      </c>
      <c r="E236" s="23">
        <f>7.1727-7.0999</f>
        <v>7.2799999999999976E-2</v>
      </c>
      <c r="F236" s="905"/>
      <c r="G236" s="22">
        <f>ROUND(D236*E236,2)</f>
        <v>11.75</v>
      </c>
      <c r="H236" s="303"/>
      <c r="I236" s="261"/>
      <c r="J236" s="261"/>
      <c r="K236" s="262"/>
      <c r="L236" s="286">
        <f>SUM(G236:G238)</f>
        <v>968.02</v>
      </c>
      <c r="M236" s="90">
        <v>968.02</v>
      </c>
      <c r="N236" s="421"/>
      <c r="O236" s="77"/>
      <c r="P236" s="77"/>
      <c r="Q236" s="384"/>
      <c r="R236" s="422"/>
      <c r="S236" s="399"/>
      <c r="T236" s="399"/>
    </row>
    <row r="237" spans="1:20" s="81" customFormat="1" ht="15.75" customHeight="1">
      <c r="A237" s="468"/>
      <c r="B237" s="469"/>
      <c r="C237" s="48" t="s">
        <v>263</v>
      </c>
      <c r="D237" s="471">
        <v>0.32</v>
      </c>
      <c r="E237" s="41">
        <v>7.1726999999999999</v>
      </c>
      <c r="F237" s="473"/>
      <c r="G237" s="449">
        <f>ROUND(D237*E237,2)</f>
        <v>2.2999999999999998</v>
      </c>
      <c r="H237" s="260"/>
      <c r="I237" s="261"/>
      <c r="J237" s="261"/>
      <c r="K237" s="262"/>
      <c r="L237" s="286"/>
      <c r="M237" s="90"/>
      <c r="N237" s="423"/>
      <c r="O237" s="406"/>
      <c r="P237" s="406"/>
      <c r="Q237" s="407"/>
      <c r="R237" s="422"/>
      <c r="S237" s="399"/>
      <c r="T237" s="399"/>
    </row>
    <row r="238" spans="1:20" s="81" customFormat="1" ht="15.75" customHeight="1" thickBot="1">
      <c r="A238" s="701"/>
      <c r="B238" s="702"/>
      <c r="C238" s="99" t="s">
        <v>29</v>
      </c>
      <c r="D238" s="703">
        <v>133</v>
      </c>
      <c r="E238" s="56">
        <v>7.1726999999999999</v>
      </c>
      <c r="F238" s="704"/>
      <c r="G238" s="39">
        <f t="shared" ref="G238" si="42">ROUND(D238*E238,2)</f>
        <v>953.97</v>
      </c>
      <c r="H238" s="280"/>
      <c r="I238" s="281"/>
      <c r="J238" s="281"/>
      <c r="K238" s="282"/>
      <c r="L238" s="204"/>
      <c r="M238" s="371"/>
      <c r="N238" s="426"/>
      <c r="O238" s="416"/>
      <c r="P238" s="416"/>
      <c r="Q238" s="417"/>
      <c r="R238" s="422"/>
      <c r="S238" s="399"/>
      <c r="T238" s="399"/>
    </row>
    <row r="239" spans="1:20" s="81" customFormat="1" ht="15.75" hidden="1" customHeight="1" outlineLevel="1" thickBot="1">
      <c r="A239" s="910"/>
      <c r="B239" s="911" t="s">
        <v>155</v>
      </c>
      <c r="C239" s="573" t="s">
        <v>115</v>
      </c>
      <c r="D239" s="912"/>
      <c r="E239" s="579">
        <f>7.0379-7.0426</f>
        <v>-4.7000000000005926E-3</v>
      </c>
      <c r="F239" s="580"/>
      <c r="G239" s="913">
        <f>ROUND(D239*E239,2)</f>
        <v>0</v>
      </c>
      <c r="H239" s="914"/>
      <c r="I239" s="23"/>
      <c r="J239" s="23"/>
      <c r="K239" s="304"/>
      <c r="L239" s="263">
        <f>SUM(G239:G241)</f>
        <v>0</v>
      </c>
      <c r="M239" s="26"/>
      <c r="N239" s="421"/>
      <c r="O239" s="77"/>
      <c r="P239" s="77"/>
      <c r="Q239" s="384"/>
      <c r="R239" s="422"/>
      <c r="S239" s="399"/>
      <c r="T239" s="399"/>
    </row>
    <row r="240" spans="1:20" s="81" customFormat="1" ht="15.75" hidden="1" customHeight="1" outlineLevel="1" thickBot="1">
      <c r="A240" s="910"/>
      <c r="B240" s="915"/>
      <c r="C240" s="573" t="s">
        <v>114</v>
      </c>
      <c r="D240" s="912"/>
      <c r="E240" s="579">
        <v>7.0378999999999996</v>
      </c>
      <c r="F240" s="580"/>
      <c r="G240" s="913">
        <f>ROUND(D240*E240,2)</f>
        <v>0</v>
      </c>
      <c r="H240" s="914"/>
      <c r="I240" s="261"/>
      <c r="J240" s="261"/>
      <c r="K240" s="262"/>
      <c r="L240" s="286"/>
      <c r="M240" s="90"/>
      <c r="N240" s="423"/>
      <c r="O240" s="406"/>
      <c r="P240" s="406"/>
      <c r="Q240" s="407"/>
      <c r="R240" s="422"/>
      <c r="S240" s="399"/>
      <c r="T240" s="399"/>
    </row>
    <row r="241" spans="1:20" s="81" customFormat="1" ht="15.75" hidden="1" customHeight="1" outlineLevel="1" thickBot="1">
      <c r="A241" s="910"/>
      <c r="B241" s="915"/>
      <c r="C241" s="916" t="s">
        <v>29</v>
      </c>
      <c r="D241" s="912"/>
      <c r="E241" s="917">
        <v>7.0378999999999996</v>
      </c>
      <c r="F241" s="580"/>
      <c r="G241" s="913">
        <f t="shared" ref="G241" si="43">ROUND(D241*E241,2)</f>
        <v>0</v>
      </c>
      <c r="H241" s="914"/>
      <c r="I241" s="281"/>
      <c r="J241" s="281"/>
      <c r="K241" s="282"/>
      <c r="L241" s="204"/>
      <c r="M241" s="371"/>
      <c r="N241" s="426"/>
      <c r="O241" s="416"/>
      <c r="P241" s="416"/>
      <c r="Q241" s="417"/>
      <c r="R241" s="422"/>
      <c r="S241" s="399"/>
      <c r="T241" s="399"/>
    </row>
    <row r="242" spans="1:20" s="81" customFormat="1" ht="15.75" customHeight="1" collapsed="1">
      <c r="A242" s="902">
        <v>407</v>
      </c>
      <c r="B242" s="903" t="s">
        <v>160</v>
      </c>
      <c r="C242" s="439" t="s">
        <v>260</v>
      </c>
      <c r="D242" s="904">
        <f>окт18!D232+окт18!D233</f>
        <v>26.06</v>
      </c>
      <c r="E242" s="23">
        <f>7.1727-7.0999</f>
        <v>7.2799999999999976E-2</v>
      </c>
      <c r="F242" s="905"/>
      <c r="G242" s="22">
        <f>ROUND(D242*E242,2)-0.01</f>
        <v>1.89</v>
      </c>
      <c r="H242" s="303"/>
      <c r="I242" s="23"/>
      <c r="J242" s="23"/>
      <c r="K242" s="304"/>
      <c r="L242" s="263">
        <f>SUM(G242:G244)</f>
        <v>152.88</v>
      </c>
      <c r="M242" s="26">
        <v>152.88</v>
      </c>
      <c r="N242" s="421"/>
      <c r="O242" s="77"/>
      <c r="P242" s="77"/>
      <c r="Q242" s="384"/>
      <c r="R242" s="422"/>
      <c r="S242" s="399"/>
      <c r="T242" s="399"/>
    </row>
    <row r="243" spans="1:20" s="81" customFormat="1" ht="15.75" customHeight="1">
      <c r="A243" s="468"/>
      <c r="B243" s="469"/>
      <c r="C243" s="48" t="s">
        <v>263</v>
      </c>
      <c r="D243" s="471">
        <v>0.05</v>
      </c>
      <c r="E243" s="41">
        <v>7.1726999999999999</v>
      </c>
      <c r="F243" s="473"/>
      <c r="G243" s="449">
        <f>ROUND(D243*E243,2)</f>
        <v>0.36</v>
      </c>
      <c r="H243" s="260"/>
      <c r="I243" s="261"/>
      <c r="J243" s="261"/>
      <c r="K243" s="262"/>
      <c r="L243" s="286"/>
      <c r="M243" s="90"/>
      <c r="N243" s="423"/>
      <c r="O243" s="406"/>
      <c r="P243" s="406"/>
      <c r="Q243" s="407"/>
      <c r="R243" s="422"/>
      <c r="S243" s="399"/>
      <c r="T243" s="399"/>
    </row>
    <row r="244" spans="1:20" s="81" customFormat="1" ht="15.75" customHeight="1" thickBot="1">
      <c r="A244" s="858"/>
      <c r="B244" s="859"/>
      <c r="C244" s="54" t="s">
        <v>29</v>
      </c>
      <c r="D244" s="860">
        <v>21</v>
      </c>
      <c r="E244" s="56">
        <v>7.1726999999999999</v>
      </c>
      <c r="F244" s="861"/>
      <c r="G244" s="414">
        <f t="shared" ref="G244" si="44">ROUND(D244*E244,2)</f>
        <v>150.63</v>
      </c>
      <c r="H244" s="280"/>
      <c r="I244" s="281"/>
      <c r="J244" s="281"/>
      <c r="K244" s="282"/>
      <c r="L244" s="204"/>
      <c r="M244" s="371"/>
      <c r="N244" s="426"/>
      <c r="O244" s="416"/>
      <c r="P244" s="416"/>
      <c r="Q244" s="417"/>
      <c r="R244" s="422"/>
      <c r="S244" s="399"/>
      <c r="T244" s="399"/>
    </row>
    <row r="245" spans="1:20" s="81" customFormat="1" ht="15.75" customHeight="1">
      <c r="A245" s="906">
        <v>408</v>
      </c>
      <c r="B245" s="903" t="s">
        <v>253</v>
      </c>
      <c r="C245" s="382" t="s">
        <v>73</v>
      </c>
      <c r="D245" s="904">
        <v>23</v>
      </c>
      <c r="E245" s="907">
        <v>40.556600000000003</v>
      </c>
      <c r="F245" s="905">
        <v>47.5304</v>
      </c>
      <c r="G245" s="908">
        <f>ROUND(D245*E245+D245*F245,2)</f>
        <v>2026</v>
      </c>
      <c r="H245" s="303"/>
      <c r="I245" s="23"/>
      <c r="J245" s="23"/>
      <c r="K245" s="304"/>
      <c r="L245" s="263">
        <f>SUM(G245:G249)</f>
        <v>10912.509999999998</v>
      </c>
      <c r="M245" s="877">
        <v>10912.51</v>
      </c>
      <c r="N245" s="430"/>
      <c r="O245" s="77"/>
      <c r="P245" s="77"/>
      <c r="Q245" s="384"/>
      <c r="R245" s="422"/>
      <c r="S245" s="399"/>
      <c r="T245" s="399"/>
    </row>
    <row r="246" spans="1:20" s="81" customFormat="1" ht="15.75" customHeight="1" thickBot="1">
      <c r="A246" s="909"/>
      <c r="B246" s="469"/>
      <c r="C246" s="429" t="s">
        <v>26</v>
      </c>
      <c r="D246" s="471"/>
      <c r="E246" s="876"/>
      <c r="F246" s="473"/>
      <c r="G246" s="862">
        <f>ROUND(D246*E246+D246*F246,2)</f>
        <v>0</v>
      </c>
      <c r="H246" s="270"/>
      <c r="I246" s="41"/>
      <c r="J246" s="41"/>
      <c r="K246" s="271"/>
      <c r="L246" s="272"/>
      <c r="M246" s="878"/>
      <c r="N246" s="430"/>
      <c r="O246" s="406"/>
      <c r="P246" s="406"/>
      <c r="Q246" s="407"/>
      <c r="R246" s="422"/>
      <c r="S246" s="399"/>
      <c r="T246" s="399"/>
    </row>
    <row r="247" spans="1:20" s="81" customFormat="1" ht="15.75" customHeight="1">
      <c r="A247" s="468"/>
      <c r="B247" s="699"/>
      <c r="C247" s="48" t="s">
        <v>260</v>
      </c>
      <c r="D247" s="471">
        <f>окт18!D237+окт18!D238</f>
        <v>1182.83</v>
      </c>
      <c r="E247" s="41">
        <f>7.1727-7.0999</f>
        <v>7.2799999999999976E-2</v>
      </c>
      <c r="F247" s="473"/>
      <c r="G247" s="862">
        <f>ROUND(D247*E247,2)</f>
        <v>86.11</v>
      </c>
      <c r="H247" s="270"/>
      <c r="I247" s="41"/>
      <c r="J247" s="41"/>
      <c r="K247" s="271"/>
      <c r="L247" s="272"/>
      <c r="M247" s="878"/>
      <c r="N247" s="421"/>
      <c r="O247" s="406"/>
      <c r="P247" s="406"/>
      <c r="Q247" s="407"/>
      <c r="R247" s="422"/>
      <c r="S247" s="399"/>
      <c r="T247" s="399"/>
    </row>
    <row r="248" spans="1:20" s="81" customFormat="1" ht="15.75" customHeight="1">
      <c r="A248" s="468"/>
      <c r="B248" s="469"/>
      <c r="C248" s="48" t="s">
        <v>263</v>
      </c>
      <c r="D248" s="471">
        <v>2.93</v>
      </c>
      <c r="E248" s="41">
        <v>7.1726999999999999</v>
      </c>
      <c r="F248" s="473"/>
      <c r="G248" s="862">
        <f>ROUND(D248*E248,2)</f>
        <v>21.02</v>
      </c>
      <c r="H248" s="270"/>
      <c r="I248" s="41"/>
      <c r="J248" s="41"/>
      <c r="K248" s="271"/>
      <c r="L248" s="272"/>
      <c r="M248" s="878"/>
      <c r="N248" s="423"/>
      <c r="O248" s="406"/>
      <c r="P248" s="406"/>
      <c r="Q248" s="407"/>
      <c r="R248" s="422"/>
      <c r="S248" s="399"/>
      <c r="T248" s="399"/>
    </row>
    <row r="249" spans="1:20" s="81" customFormat="1" ht="15.75" customHeight="1" thickBot="1">
      <c r="A249" s="858"/>
      <c r="B249" s="859"/>
      <c r="C249" s="54" t="s">
        <v>29</v>
      </c>
      <c r="D249" s="860">
        <f>1139+85</f>
        <v>1224</v>
      </c>
      <c r="E249" s="56">
        <v>7.1726999999999999</v>
      </c>
      <c r="F249" s="861"/>
      <c r="G249" s="866">
        <f t="shared" ref="G249" si="45">ROUND(D249*E249,2)</f>
        <v>8779.3799999999992</v>
      </c>
      <c r="H249" s="280"/>
      <c r="I249" s="281"/>
      <c r="J249" s="281"/>
      <c r="K249" s="282"/>
      <c r="L249" s="204"/>
      <c r="M249" s="880"/>
      <c r="N249" s="426"/>
      <c r="O249" s="416"/>
      <c r="P249" s="416"/>
      <c r="Q249" s="417"/>
      <c r="R249" s="422"/>
      <c r="S249" s="399"/>
      <c r="T249" s="399"/>
    </row>
    <row r="250" spans="1:20" s="81" customFormat="1" ht="15" hidden="1" customHeight="1">
      <c r="A250" s="437">
        <v>129</v>
      </c>
      <c r="B250" s="438" t="s">
        <v>38</v>
      </c>
      <c r="C250" s="439"/>
      <c r="D250" s="378"/>
      <c r="E250" s="23"/>
      <c r="F250" s="23"/>
      <c r="G250" s="22"/>
      <c r="H250" s="303"/>
      <c r="I250" s="23"/>
      <c r="J250" s="23"/>
      <c r="K250" s="304"/>
      <c r="L250" s="382">
        <f>+SUM(G250:G253,J250:J253)</f>
        <v>0</v>
      </c>
      <c r="M250" s="26"/>
      <c r="N250" s="421"/>
      <c r="O250" s="77"/>
      <c r="P250" s="77"/>
      <c r="Q250" s="384">
        <f>+L250-M250</f>
        <v>0</v>
      </c>
      <c r="R250" s="899"/>
      <c r="S250" s="399"/>
      <c r="T250" s="399"/>
    </row>
    <row r="251" spans="1:20" s="81" customFormat="1" ht="15" hidden="1" customHeight="1">
      <c r="A251" s="441"/>
      <c r="B251" s="442" t="s">
        <v>198</v>
      </c>
      <c r="C251" s="48" t="s">
        <v>118</v>
      </c>
      <c r="D251" s="37"/>
      <c r="E251" s="41">
        <f>6.8416-6.7432</f>
        <v>9.8399999999999821E-2</v>
      </c>
      <c r="F251" s="41"/>
      <c r="G251" s="39">
        <f>ROUND(D251*E251,2)</f>
        <v>0</v>
      </c>
      <c r="H251" s="260"/>
      <c r="I251" s="261"/>
      <c r="J251" s="261"/>
      <c r="K251" s="262"/>
      <c r="L251" s="394"/>
      <c r="M251" s="90"/>
      <c r="N251" s="443"/>
      <c r="O251" s="94"/>
      <c r="P251" s="94"/>
      <c r="Q251" s="396"/>
      <c r="R251" s="899"/>
      <c r="S251" s="399"/>
      <c r="T251" s="399"/>
    </row>
    <row r="252" spans="1:20" s="81" customFormat="1" ht="15.75" hidden="1" thickBot="1">
      <c r="A252" s="441"/>
      <c r="B252" s="444"/>
      <c r="C252" s="48" t="s">
        <v>119</v>
      </c>
      <c r="D252" s="37"/>
      <c r="E252" s="41">
        <v>6.8415999999999997</v>
      </c>
      <c r="F252" s="41"/>
      <c r="G252" s="39">
        <f t="shared" ref="G252:G253" si="46">ROUND(D252*E252,2)</f>
        <v>0</v>
      </c>
      <c r="H252" s="432"/>
      <c r="I252" s="207"/>
      <c r="J252" s="207"/>
      <c r="K252" s="362"/>
      <c r="L252" s="433"/>
      <c r="M252" s="63"/>
      <c r="N252" s="423"/>
      <c r="O252" s="406"/>
      <c r="P252" s="406"/>
      <c r="Q252" s="407"/>
      <c r="R252" s="899"/>
      <c r="S252" s="399"/>
      <c r="T252" s="399"/>
    </row>
    <row r="253" spans="1:20" s="81" customFormat="1" ht="15" hidden="1" customHeight="1" thickBot="1">
      <c r="A253" s="445"/>
      <c r="B253" s="446"/>
      <c r="C253" s="99" t="s">
        <v>29</v>
      </c>
      <c r="D253" s="413"/>
      <c r="E253" s="56">
        <v>6.8415999999999997</v>
      </c>
      <c r="F253" s="281"/>
      <c r="G253" s="414">
        <f t="shared" si="46"/>
        <v>0</v>
      </c>
      <c r="H253" s="280"/>
      <c r="I253" s="281"/>
      <c r="J253" s="281"/>
      <c r="K253" s="282"/>
      <c r="L253" s="204"/>
      <c r="M253" s="371"/>
      <c r="N253" s="434"/>
      <c r="O253" s="435"/>
      <c r="P253" s="435"/>
      <c r="Q253" s="425"/>
      <c r="R253" s="899"/>
      <c r="S253" s="399"/>
      <c r="T253" s="399"/>
    </row>
    <row r="254" spans="1:20" s="81" customFormat="1" ht="15.75" hidden="1" customHeight="1">
      <c r="A254" s="902">
        <v>118</v>
      </c>
      <c r="B254" s="924" t="s">
        <v>200</v>
      </c>
      <c r="C254" s="390" t="s">
        <v>73</v>
      </c>
      <c r="D254" s="869"/>
      <c r="E254" s="86">
        <v>36.214199999999998</v>
      </c>
      <c r="F254" s="86">
        <v>42.4328</v>
      </c>
      <c r="G254" s="449">
        <f>+D254*(E254+F254)</f>
        <v>0</v>
      </c>
      <c r="H254" s="260"/>
      <c r="I254" s="392"/>
      <c r="J254" s="41"/>
      <c r="K254" s="870"/>
      <c r="L254" s="286">
        <f>SUM(G254:G258,J254:J258)</f>
        <v>0</v>
      </c>
      <c r="M254" s="90"/>
      <c r="N254" s="443"/>
      <c r="O254" s="94"/>
      <c r="P254" s="94"/>
      <c r="Q254" s="396"/>
      <c r="R254" s="422"/>
      <c r="S254" s="399"/>
      <c r="T254" s="399"/>
    </row>
    <row r="255" spans="1:20" s="81" customFormat="1" ht="15.75" hidden="1" customHeight="1">
      <c r="A255" s="468"/>
      <c r="B255" s="920"/>
      <c r="C255" s="36" t="s">
        <v>26</v>
      </c>
      <c r="D255" s="37"/>
      <c r="E255" s="38"/>
      <c r="F255" s="38"/>
      <c r="G255" s="39">
        <f>ROUND(D255*(E255+F255),2)</f>
        <v>0</v>
      </c>
      <c r="H255" s="457"/>
      <c r="I255" s="392"/>
      <c r="J255" s="41"/>
      <c r="K255" s="393"/>
      <c r="L255" s="459"/>
      <c r="M255" s="44"/>
      <c r="N255" s="430"/>
      <c r="O255" s="406"/>
      <c r="P255" s="406"/>
      <c r="Q255" s="407"/>
      <c r="R255" s="422"/>
      <c r="S255" s="399"/>
      <c r="T255" s="399"/>
    </row>
    <row r="256" spans="1:20" s="81" customFormat="1" ht="15.75" hidden="1" customHeight="1">
      <c r="A256" s="468"/>
      <c r="B256" s="920"/>
      <c r="C256" s="48" t="s">
        <v>124</v>
      </c>
      <c r="D256" s="37"/>
      <c r="E256" s="41"/>
      <c r="F256" s="38"/>
      <c r="G256" s="39">
        <f>ROUND(D256*(E256),2)</f>
        <v>0</v>
      </c>
      <c r="H256" s="270"/>
      <c r="I256" s="41"/>
      <c r="J256" s="41"/>
      <c r="K256" s="271"/>
      <c r="L256" s="272"/>
      <c r="M256" s="102"/>
      <c r="N256" s="430"/>
      <c r="O256" s="406"/>
      <c r="P256" s="406"/>
      <c r="Q256" s="407"/>
      <c r="R256" s="422"/>
      <c r="S256" s="399"/>
      <c r="T256" s="399"/>
    </row>
    <row r="257" spans="1:20" s="81" customFormat="1" ht="15.75" hidden="1" customHeight="1">
      <c r="A257" s="468"/>
      <c r="B257" s="920"/>
      <c r="C257" s="48" t="s">
        <v>125</v>
      </c>
      <c r="D257" s="37"/>
      <c r="E257" s="41">
        <v>6.7431999999999999</v>
      </c>
      <c r="F257" s="38"/>
      <c r="G257" s="39">
        <f>ROUND(D257*(E257),2)</f>
        <v>0</v>
      </c>
      <c r="H257" s="270"/>
      <c r="I257" s="41"/>
      <c r="J257" s="41"/>
      <c r="K257" s="271"/>
      <c r="L257" s="272"/>
      <c r="M257" s="102"/>
      <c r="N257" s="434"/>
      <c r="O257" s="435"/>
      <c r="P257" s="435"/>
      <c r="Q257" s="425"/>
      <c r="R257" s="422"/>
      <c r="S257" s="399"/>
      <c r="T257" s="399"/>
    </row>
    <row r="258" spans="1:20" s="81" customFormat="1" ht="15.75" hidden="1" customHeight="1" thickBot="1">
      <c r="A258" s="858"/>
      <c r="B258" s="921"/>
      <c r="C258" s="54" t="s">
        <v>29</v>
      </c>
      <c r="D258" s="413"/>
      <c r="E258" s="56">
        <v>6.7431999999999999</v>
      </c>
      <c r="F258" s="281"/>
      <c r="G258" s="414">
        <f>ROUND(D258*(E258),2)</f>
        <v>0</v>
      </c>
      <c r="H258" s="280"/>
      <c r="I258" s="281"/>
      <c r="J258" s="281"/>
      <c r="K258" s="282"/>
      <c r="L258" s="204"/>
      <c r="M258" s="371"/>
      <c r="N258" s="426"/>
      <c r="O258" s="416"/>
      <c r="P258" s="416"/>
      <c r="Q258" s="417"/>
      <c r="R258" s="422"/>
      <c r="S258" s="399"/>
      <c r="T258" s="399"/>
    </row>
    <row r="259" spans="1:20" s="81" customFormat="1" ht="15.75" customHeight="1">
      <c r="A259" s="902" t="s">
        <v>258</v>
      </c>
      <c r="B259" s="903" t="s">
        <v>265</v>
      </c>
      <c r="C259" s="439" t="s">
        <v>260</v>
      </c>
      <c r="D259" s="904">
        <f>окт18!D249+окт18!D250</f>
        <v>579.39</v>
      </c>
      <c r="E259" s="23">
        <f>7.1727-7.0999</f>
        <v>7.2799999999999976E-2</v>
      </c>
      <c r="F259" s="905"/>
      <c r="G259" s="22">
        <f>ROUND(D259*E259,2)</f>
        <v>42.18</v>
      </c>
      <c r="H259" s="303"/>
      <c r="I259" s="23"/>
      <c r="J259" s="23"/>
      <c r="K259" s="304"/>
      <c r="L259" s="263">
        <f>SUM(G259:G261)</f>
        <v>5952.27</v>
      </c>
      <c r="M259" s="26">
        <v>5952.27</v>
      </c>
      <c r="N259" s="421"/>
      <c r="O259" s="77"/>
      <c r="P259" s="77"/>
      <c r="Q259" s="384"/>
      <c r="R259" s="422"/>
      <c r="S259" s="399"/>
      <c r="T259" s="399"/>
    </row>
    <row r="260" spans="1:20" s="81" customFormat="1" ht="15.75" customHeight="1">
      <c r="A260" s="468"/>
      <c r="B260" s="469"/>
      <c r="C260" s="48" t="s">
        <v>263</v>
      </c>
      <c r="D260" s="471">
        <v>1.97</v>
      </c>
      <c r="E260" s="41">
        <v>7.1726999999999999</v>
      </c>
      <c r="F260" s="473"/>
      <c r="G260" s="449">
        <f>ROUND(D260*E260,2)</f>
        <v>14.13</v>
      </c>
      <c r="H260" s="260"/>
      <c r="I260" s="261"/>
      <c r="J260" s="261"/>
      <c r="K260" s="262"/>
      <c r="L260" s="286"/>
      <c r="M260" s="90"/>
      <c r="N260" s="423"/>
      <c r="O260" s="406"/>
      <c r="P260" s="406"/>
      <c r="Q260" s="407"/>
      <c r="R260" s="422"/>
      <c r="S260" s="399"/>
      <c r="T260" s="399"/>
    </row>
    <row r="261" spans="1:20" s="81" customFormat="1" ht="15.75" customHeight="1" thickBot="1">
      <c r="A261" s="858"/>
      <c r="B261" s="859"/>
      <c r="C261" s="54" t="s">
        <v>29</v>
      </c>
      <c r="D261" s="860">
        <v>822</v>
      </c>
      <c r="E261" s="56">
        <v>7.1726999999999999</v>
      </c>
      <c r="F261" s="861"/>
      <c r="G261" s="414">
        <f t="shared" ref="G261" si="47">ROUND(D261*E261,2)</f>
        <v>5895.96</v>
      </c>
      <c r="H261" s="280"/>
      <c r="I261" s="281"/>
      <c r="J261" s="281"/>
      <c r="K261" s="282"/>
      <c r="L261" s="204"/>
      <c r="M261" s="371"/>
      <c r="N261" s="426"/>
      <c r="O261" s="416"/>
      <c r="P261" s="416"/>
      <c r="Q261" s="417"/>
      <c r="R261" s="422"/>
      <c r="S261" s="399"/>
      <c r="T261" s="399"/>
    </row>
    <row r="262" spans="1:20" s="81" customFormat="1" ht="15.75" customHeight="1">
      <c r="A262" s="902" t="s">
        <v>258</v>
      </c>
      <c r="B262" s="903" t="s">
        <v>267</v>
      </c>
      <c r="C262" s="439" t="s">
        <v>260</v>
      </c>
      <c r="D262" s="904">
        <f>окт18!D252+окт18!D253</f>
        <v>127.3</v>
      </c>
      <c r="E262" s="23">
        <f>7.1727-7.0999</f>
        <v>7.2799999999999976E-2</v>
      </c>
      <c r="F262" s="905"/>
      <c r="G262" s="22">
        <f>ROUND(D262*E262,2)</f>
        <v>9.27</v>
      </c>
      <c r="H262" s="303"/>
      <c r="I262" s="23"/>
      <c r="J262" s="23"/>
      <c r="K262" s="304"/>
      <c r="L262" s="263">
        <f>SUM(G262:G264)</f>
        <v>2360.33</v>
      </c>
      <c r="M262" s="26">
        <v>2360.33</v>
      </c>
      <c r="N262" s="421"/>
      <c r="O262" s="1561"/>
      <c r="P262" s="1562"/>
      <c r="Q262" s="1563"/>
      <c r="R262" s="422"/>
      <c r="S262" s="399"/>
      <c r="T262" s="399"/>
    </row>
    <row r="263" spans="1:20" s="81" customFormat="1" ht="15.75" customHeight="1">
      <c r="A263" s="468"/>
      <c r="B263" s="469"/>
      <c r="C263" s="48" t="s">
        <v>263</v>
      </c>
      <c r="D263" s="471">
        <v>0.78</v>
      </c>
      <c r="E263" s="41">
        <v>7.1726999999999999</v>
      </c>
      <c r="F263" s="473"/>
      <c r="G263" s="449">
        <f>ROUND(D263*E263,2)</f>
        <v>5.59</v>
      </c>
      <c r="H263" s="260"/>
      <c r="I263" s="261"/>
      <c r="J263" s="261"/>
      <c r="K263" s="262"/>
      <c r="L263" s="286"/>
      <c r="M263" s="90"/>
      <c r="N263" s="423"/>
      <c r="O263" s="406"/>
      <c r="P263" s="406"/>
      <c r="Q263" s="407"/>
      <c r="R263" s="422"/>
      <c r="S263" s="399"/>
      <c r="T263" s="399"/>
    </row>
    <row r="264" spans="1:20" s="81" customFormat="1" ht="15.75" customHeight="1" thickBot="1">
      <c r="A264" s="858"/>
      <c r="B264" s="859"/>
      <c r="C264" s="54" t="s">
        <v>29</v>
      </c>
      <c r="D264" s="860">
        <v>327</v>
      </c>
      <c r="E264" s="56">
        <v>7.1726999999999999</v>
      </c>
      <c r="F264" s="861"/>
      <c r="G264" s="414">
        <f t="shared" ref="G264" si="48">ROUND(D264*E264,2)</f>
        <v>2345.4699999999998</v>
      </c>
      <c r="H264" s="280"/>
      <c r="I264" s="281"/>
      <c r="J264" s="281"/>
      <c r="K264" s="282"/>
      <c r="L264" s="204"/>
      <c r="M264" s="371"/>
      <c r="N264" s="426"/>
      <c r="O264" s="416"/>
      <c r="P264" s="416"/>
      <c r="Q264" s="417"/>
      <c r="R264" s="422"/>
      <c r="S264" s="399"/>
      <c r="T264" s="399"/>
    </row>
    <row r="265" spans="1:20" s="81" customFormat="1" ht="15.75" customHeight="1">
      <c r="A265" s="926"/>
      <c r="B265" s="927"/>
      <c r="C265" s="928"/>
      <c r="D265" s="904"/>
      <c r="E265" s="929"/>
      <c r="F265" s="905"/>
      <c r="G265" s="930"/>
      <c r="H265" s="905"/>
      <c r="I265" s="905"/>
      <c r="J265" s="905"/>
      <c r="K265" s="905"/>
      <c r="L265" s="905"/>
      <c r="M265" s="931"/>
      <c r="N265" s="387"/>
      <c r="O265" s="387"/>
      <c r="P265" s="387"/>
      <c r="Q265" s="387"/>
      <c r="R265" s="422"/>
      <c r="S265" s="399"/>
      <c r="T265" s="399"/>
    </row>
    <row r="266" spans="1:20" s="81" customFormat="1" ht="15" customHeight="1">
      <c r="A266" s="686"/>
      <c r="B266" s="469"/>
      <c r="C266" s="932"/>
      <c r="D266" s="471"/>
      <c r="E266" s="473"/>
      <c r="F266" s="473"/>
      <c r="G266" s="474"/>
      <c r="H266" s="473"/>
      <c r="I266" s="473"/>
      <c r="J266" s="473"/>
      <c r="K266" s="473"/>
      <c r="L266" s="473"/>
      <c r="M266" s="470"/>
      <c r="N266" s="399"/>
      <c r="O266" s="399"/>
      <c r="P266" s="399"/>
      <c r="Q266" s="399"/>
      <c r="R266" s="422"/>
      <c r="S266" s="399"/>
      <c r="T266" s="399"/>
    </row>
    <row r="267" spans="1:20" ht="21.75" thickBot="1">
      <c r="A267" s="171" t="s">
        <v>84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  <c r="N267" s="2"/>
      <c r="O267" s="2"/>
      <c r="P267" s="2"/>
      <c r="Q267" s="2"/>
      <c r="R267" s="2"/>
      <c r="S267" s="2"/>
      <c r="T267" s="2"/>
    </row>
    <row r="268" spans="1:20" ht="15.75" customHeight="1" thickTop="1" thickBot="1">
      <c r="A268" s="1540" t="s">
        <v>1</v>
      </c>
      <c r="B268" s="1542" t="s">
        <v>2</v>
      </c>
      <c r="C268" s="1544" t="s">
        <v>3</v>
      </c>
      <c r="D268" s="1546" t="s">
        <v>4</v>
      </c>
      <c r="E268" s="1546"/>
      <c r="F268" s="1546"/>
      <c r="G268" s="1546"/>
      <c r="H268" s="1547" t="s">
        <v>5</v>
      </c>
      <c r="I268" s="1548"/>
      <c r="J268" s="1548"/>
      <c r="K268" s="1549"/>
      <c r="L268" s="1524" t="s">
        <v>6</v>
      </c>
      <c r="M268" s="1511" t="s">
        <v>7</v>
      </c>
      <c r="N268" s="1551" t="s">
        <v>8</v>
      </c>
      <c r="O268" s="1551"/>
      <c r="P268" s="1551"/>
      <c r="Q268" s="1552" t="s">
        <v>18</v>
      </c>
      <c r="R268" s="481" t="s">
        <v>85</v>
      </c>
      <c r="S268" s="482" t="s">
        <v>20</v>
      </c>
      <c r="T268" s="482" t="s">
        <v>21</v>
      </c>
    </row>
    <row r="269" spans="1:20" ht="40.5" customHeight="1" thickTop="1" thickBot="1">
      <c r="A269" s="1541"/>
      <c r="B269" s="1543"/>
      <c r="C269" s="1545" t="s">
        <v>10</v>
      </c>
      <c r="D269" s="483" t="s">
        <v>11</v>
      </c>
      <c r="E269" s="484" t="s">
        <v>12</v>
      </c>
      <c r="F269" s="484" t="s">
        <v>13</v>
      </c>
      <c r="G269" s="485" t="s">
        <v>14</v>
      </c>
      <c r="H269" s="483" t="s">
        <v>11</v>
      </c>
      <c r="I269" s="486" t="s">
        <v>15</v>
      </c>
      <c r="J269" s="485"/>
      <c r="K269" s="487" t="s">
        <v>16</v>
      </c>
      <c r="L269" s="1525"/>
      <c r="M269" s="1550"/>
      <c r="N269" s="488" t="s">
        <v>14</v>
      </c>
      <c r="O269" s="485"/>
      <c r="P269" s="489" t="s">
        <v>18</v>
      </c>
      <c r="Q269" s="490" t="s">
        <v>19</v>
      </c>
      <c r="R269" s="491"/>
      <c r="S269" s="492"/>
      <c r="T269" s="492"/>
    </row>
    <row r="270" spans="1:20">
      <c r="A270" s="961" t="s">
        <v>228</v>
      </c>
      <c r="B270" s="602" t="s">
        <v>186</v>
      </c>
      <c r="C270" s="439" t="s">
        <v>260</v>
      </c>
      <c r="D270" s="184">
        <f>окт18!D260+окт18!D261</f>
        <v>211.99</v>
      </c>
      <c r="E270" s="41">
        <f>7.1352-7.332</f>
        <v>-0.19679999999999964</v>
      </c>
      <c r="F270" s="23"/>
      <c r="G270" s="185">
        <f>ROUND(D270*(E270),2)</f>
        <v>-41.72</v>
      </c>
      <c r="H270" s="620"/>
      <c r="I270" s="620"/>
      <c r="J270" s="620"/>
      <c r="K270" s="634"/>
      <c r="L270" s="603">
        <f>SUM(G270:G272)</f>
        <v>1388.96</v>
      </c>
      <c r="M270" s="187">
        <v>1388.96</v>
      </c>
      <c r="N270" s="615"/>
      <c r="O270" s="615"/>
      <c r="P270" s="615"/>
      <c r="Q270" s="615"/>
    </row>
    <row r="271" spans="1:20">
      <c r="A271" s="934"/>
      <c r="B271" s="506"/>
      <c r="C271" s="48" t="s">
        <v>263</v>
      </c>
      <c r="D271" s="49">
        <v>8.51</v>
      </c>
      <c r="E271" s="41">
        <v>7.1352000000000002</v>
      </c>
      <c r="F271" s="41">
        <f>+E271</f>
        <v>7.1352000000000002</v>
      </c>
      <c r="G271" s="50">
        <f>ROUND(D271*(E271),2)</f>
        <v>60.72</v>
      </c>
      <c r="H271" s="296"/>
      <c r="I271" s="298"/>
      <c r="J271" s="298"/>
      <c r="K271" s="637"/>
      <c r="L271" s="606"/>
      <c r="M271" s="935"/>
      <c r="N271" s="615"/>
      <c r="O271" s="615"/>
      <c r="P271" s="615"/>
      <c r="Q271" s="615"/>
    </row>
    <row r="272" spans="1:20" ht="15.75" thickBot="1">
      <c r="A272" s="934"/>
      <c r="B272" s="506"/>
      <c r="C272" s="54" t="s">
        <v>29</v>
      </c>
      <c r="D272" s="296">
        <v>192</v>
      </c>
      <c r="E272" s="56">
        <v>7.1352000000000002</v>
      </c>
      <c r="F272" s="41">
        <f>+E272</f>
        <v>7.1352000000000002</v>
      </c>
      <c r="G272" s="50">
        <f t="shared" ref="G272" si="49">ROUND(D272*(E272),2)</f>
        <v>1369.96</v>
      </c>
      <c r="H272" s="296"/>
      <c r="I272" s="298"/>
      <c r="J272" s="298"/>
      <c r="K272" s="637"/>
      <c r="L272" s="614"/>
      <c r="M272" s="935"/>
      <c r="N272" s="615"/>
      <c r="O272" s="615"/>
      <c r="P272" s="615"/>
      <c r="Q272" s="615"/>
    </row>
    <row r="273" spans="1:21">
      <c r="A273" s="961" t="s">
        <v>207</v>
      </c>
      <c r="B273" s="602" t="s">
        <v>184</v>
      </c>
      <c r="C273" s="439" t="s">
        <v>260</v>
      </c>
      <c r="D273" s="184">
        <v>0</v>
      </c>
      <c r="E273" s="41">
        <f>7.1352-7.332</f>
        <v>-0.19679999999999964</v>
      </c>
      <c r="F273" s="23">
        <f>+E273</f>
        <v>-0.19679999999999964</v>
      </c>
      <c r="G273" s="185">
        <f>ROUND(D273*(E273),2)</f>
        <v>0</v>
      </c>
      <c r="H273" s="620"/>
      <c r="I273" s="620"/>
      <c r="J273" s="620"/>
      <c r="K273" s="634"/>
      <c r="L273" s="603">
        <f>SUM(G273:G275)</f>
        <v>0</v>
      </c>
      <c r="M273" s="187"/>
      <c r="N273" s="615"/>
      <c r="O273" s="962" t="s">
        <v>277</v>
      </c>
      <c r="P273" s="615"/>
      <c r="Q273" s="615"/>
    </row>
    <row r="274" spans="1:21">
      <c r="A274" s="934"/>
      <c r="B274" s="506"/>
      <c r="C274" s="48" t="s">
        <v>263</v>
      </c>
      <c r="D274" s="49">
        <v>0</v>
      </c>
      <c r="E274" s="41">
        <v>7.1352000000000002</v>
      </c>
      <c r="F274" s="41">
        <f>+E274</f>
        <v>7.1352000000000002</v>
      </c>
      <c r="G274" s="50">
        <f>ROUND(D274*(E274),2)</f>
        <v>0</v>
      </c>
      <c r="H274" s="296"/>
      <c r="I274" s="298"/>
      <c r="J274" s="298"/>
      <c r="K274" s="637"/>
      <c r="L274" s="606"/>
      <c r="M274" s="935"/>
      <c r="N274" s="615"/>
      <c r="O274" s="615"/>
      <c r="P274" s="615"/>
      <c r="Q274" s="615"/>
    </row>
    <row r="275" spans="1:21" ht="15.75" thickBot="1">
      <c r="A275" s="934"/>
      <c r="B275" s="506"/>
      <c r="C275" s="54" t="s">
        <v>29</v>
      </c>
      <c r="D275" s="296">
        <v>0</v>
      </c>
      <c r="E275" s="56">
        <v>7.1352000000000002</v>
      </c>
      <c r="F275" s="41">
        <f>+E275</f>
        <v>7.1352000000000002</v>
      </c>
      <c r="G275" s="50">
        <f t="shared" ref="G275" si="50">ROUND(D275*(E275),2)</f>
        <v>0</v>
      </c>
      <c r="H275" s="296"/>
      <c r="I275" s="298"/>
      <c r="J275" s="298"/>
      <c r="K275" s="637"/>
      <c r="L275" s="614"/>
      <c r="M275" s="935"/>
      <c r="N275" s="615"/>
      <c r="O275" s="615"/>
      <c r="P275" s="615"/>
      <c r="Q275" s="615"/>
    </row>
    <row r="276" spans="1:21" ht="15.75" thickTop="1">
      <c r="A276" s="376">
        <v>100</v>
      </c>
      <c r="B276" s="494" t="s">
        <v>193</v>
      </c>
      <c r="C276" s="71" t="s">
        <v>243</v>
      </c>
      <c r="D276" s="495">
        <v>7</v>
      </c>
      <c r="E276" s="21">
        <v>40.556600000000003</v>
      </c>
      <c r="F276" s="21">
        <v>47.5304</v>
      </c>
      <c r="G276" s="185">
        <f>ROUND(D276*(E276+F276),2)</f>
        <v>616.61</v>
      </c>
      <c r="H276" s="496"/>
      <c r="I276" s="73"/>
      <c r="J276" s="73"/>
      <c r="K276" s="601"/>
      <c r="L276" s="498">
        <f>SUM(G276:G283)+SUM(J276:J282)</f>
        <v>23334.609999999997</v>
      </c>
      <c r="M276" s="26">
        <v>23334.61</v>
      </c>
      <c r="N276" s="499"/>
      <c r="O276" s="500"/>
      <c r="P276" s="501" t="s">
        <v>87</v>
      </c>
      <c r="Q276" s="595" t="e">
        <f t="shared" ref="Q276" si="51">C276+G276+J276-M276-N276-O276</f>
        <v>#VALUE!</v>
      </c>
    </row>
    <row r="277" spans="1:21" ht="15.75" thickBot="1">
      <c r="A277" s="389"/>
      <c r="B277" s="506"/>
      <c r="C277" s="507" t="s">
        <v>96</v>
      </c>
      <c r="D277" s="234"/>
      <c r="E277" s="38"/>
      <c r="F277" s="38"/>
      <c r="G277" s="235">
        <f>ROUND(D277*(E277+F277),2)</f>
        <v>0</v>
      </c>
      <c r="H277" s="448"/>
      <c r="I277" s="509"/>
      <c r="J277" s="199"/>
      <c r="K277" s="517"/>
      <c r="L277" s="511"/>
      <c r="M277" s="512"/>
      <c r="N277" s="513"/>
      <c r="O277" s="514"/>
      <c r="P277" s="515"/>
      <c r="Q277" s="262"/>
      <c r="U277" s="33"/>
    </row>
    <row r="278" spans="1:21">
      <c r="A278" s="389"/>
      <c r="B278" s="516" t="s">
        <v>89</v>
      </c>
      <c r="C278" s="512" t="s">
        <v>90</v>
      </c>
      <c r="D278" s="508">
        <v>2</v>
      </c>
      <c r="E278" s="101">
        <v>330.44</v>
      </c>
      <c r="F278" s="21">
        <v>47.5304</v>
      </c>
      <c r="G278" s="50">
        <f>ROUND(D278*(E278+F278),2)</f>
        <v>755.94</v>
      </c>
      <c r="H278" s="270"/>
      <c r="I278" s="41"/>
      <c r="J278" s="207"/>
      <c r="K278" s="517"/>
      <c r="L278" s="517"/>
      <c r="M278" s="99"/>
      <c r="N278" s="518"/>
      <c r="O278" s="519"/>
      <c r="P278" s="515" t="s">
        <v>87</v>
      </c>
      <c r="Q278" s="271">
        <f>+G278+J278-M278-N278-O278</f>
        <v>755.94</v>
      </c>
    </row>
    <row r="279" spans="1:21">
      <c r="A279" s="389"/>
      <c r="B279" s="541"/>
      <c r="C279" s="84" t="s">
        <v>97</v>
      </c>
      <c r="D279" s="508"/>
      <c r="E279" s="41"/>
      <c r="F279" s="38"/>
      <c r="G279" s="50">
        <f>ROUND(D279*(E279+F279),2)</f>
        <v>0</v>
      </c>
      <c r="H279" s="432"/>
      <c r="I279" s="362"/>
      <c r="J279" s="207"/>
      <c r="K279" s="517"/>
      <c r="L279" s="517"/>
      <c r="M279" s="520"/>
      <c r="N279" s="521"/>
      <c r="O279" s="522"/>
      <c r="P279" s="523"/>
      <c r="Q279" s="362"/>
    </row>
    <row r="280" spans="1:21">
      <c r="A280" s="389"/>
      <c r="B280" s="541" t="s">
        <v>194</v>
      </c>
      <c r="C280" s="84"/>
      <c r="D280" s="508"/>
      <c r="E280" s="41"/>
      <c r="F280" s="41"/>
      <c r="G280" s="50"/>
      <c r="H280" s="432"/>
      <c r="I280" s="362"/>
      <c r="J280" s="207"/>
      <c r="K280" s="517"/>
      <c r="L280" s="517"/>
      <c r="M280" s="520"/>
      <c r="N280" s="521"/>
      <c r="O280" s="522"/>
      <c r="P280" s="523"/>
      <c r="Q280" s="362"/>
    </row>
    <row r="281" spans="1:21">
      <c r="A281" s="389"/>
      <c r="B281" s="506"/>
      <c r="C281" s="48" t="s">
        <v>260</v>
      </c>
      <c r="D281" s="37"/>
      <c r="E281" s="41"/>
      <c r="F281" s="41">
        <f>+E281</f>
        <v>0</v>
      </c>
      <c r="G281" s="39">
        <f>ROUND(D281*E281,2)</f>
        <v>0</v>
      </c>
      <c r="H281" s="432"/>
      <c r="I281" s="362"/>
      <c r="J281" s="207"/>
      <c r="K281" s="517"/>
      <c r="L281" s="517"/>
      <c r="M281" s="520"/>
      <c r="N281" s="521"/>
      <c r="O281" s="522"/>
      <c r="P281" s="523"/>
      <c r="Q281" s="362"/>
    </row>
    <row r="282" spans="1:21">
      <c r="A282" s="389"/>
      <c r="B282" s="506"/>
      <c r="C282" s="48" t="s">
        <v>263</v>
      </c>
      <c r="D282" s="37">
        <v>131.88</v>
      </c>
      <c r="E282" s="41">
        <v>7.0643000000000002</v>
      </c>
      <c r="F282" s="41">
        <f>+E282</f>
        <v>7.0643000000000002</v>
      </c>
      <c r="G282" s="39">
        <f>ROUND(D282*E282,2)</f>
        <v>931.64</v>
      </c>
      <c r="H282" s="432"/>
      <c r="I282" s="362"/>
      <c r="J282" s="207"/>
      <c r="K282" s="517"/>
      <c r="L282" s="517"/>
      <c r="M282" s="520"/>
      <c r="N282" s="521"/>
      <c r="O282" s="522"/>
      <c r="P282" s="523"/>
      <c r="Q282" s="362"/>
      <c r="U282" s="33"/>
    </row>
    <row r="283" spans="1:21" ht="15.75" thickBot="1">
      <c r="A283" s="411"/>
      <c r="B283" s="526"/>
      <c r="C283" s="99" t="s">
        <v>29</v>
      </c>
      <c r="D283" s="55">
        <v>2977</v>
      </c>
      <c r="E283" s="56">
        <v>7.0643000000000002</v>
      </c>
      <c r="F283" s="281">
        <f>+E283</f>
        <v>7.0643000000000002</v>
      </c>
      <c r="G283" s="58">
        <f>ROUND(D283*E283,2)</f>
        <v>21030.42</v>
      </c>
      <c r="H283" s="248"/>
      <c r="I283" s="203"/>
      <c r="J283" s="60"/>
      <c r="K283" s="61"/>
      <c r="L283" s="249"/>
      <c r="M283" s="54"/>
      <c r="N283" s="521"/>
      <c r="O283" s="528"/>
      <c r="P283" s="529" t="s">
        <v>87</v>
      </c>
      <c r="Q283" s="362">
        <f>+G283+J283-M283-N283-O283</f>
        <v>21030.42</v>
      </c>
    </row>
    <row r="284" spans="1:21" ht="15.75" collapsed="1" thickTop="1">
      <c r="A284" s="389">
        <v>113</v>
      </c>
      <c r="B284" s="494" t="s">
        <v>250</v>
      </c>
      <c r="C284" s="71" t="s">
        <v>73</v>
      </c>
      <c r="D284" s="495">
        <v>21</v>
      </c>
      <c r="E284" s="21">
        <v>40.556600000000003</v>
      </c>
      <c r="F284" s="21">
        <v>47.5304</v>
      </c>
      <c r="G284" s="185">
        <f>ROUND(D284*(E284+F284),2)</f>
        <v>1849.83</v>
      </c>
      <c r="H284" s="496"/>
      <c r="I284" s="73"/>
      <c r="J284" s="73"/>
      <c r="K284" s="497"/>
      <c r="L284" s="498">
        <f>SUM(G284:G290)+SUM(J284:J289)</f>
        <v>32008.55</v>
      </c>
      <c r="M284" s="26">
        <v>32008.55</v>
      </c>
      <c r="N284" s="594"/>
      <c r="O284" s="535"/>
      <c r="P284" s="536" t="s">
        <v>87</v>
      </c>
      <c r="Q284" s="595" t="e">
        <f>C284+G284+J284-M284-N284-O284</f>
        <v>#VALUE!</v>
      </c>
      <c r="R284" s="502" t="s">
        <v>88</v>
      </c>
      <c r="S284" s="503"/>
      <c r="T284" s="504"/>
      <c r="U284" s="33">
        <f>+M284-L284</f>
        <v>0</v>
      </c>
    </row>
    <row r="285" spans="1:21">
      <c r="A285" s="389"/>
      <c r="B285" s="506"/>
      <c r="C285" s="542" t="s">
        <v>264</v>
      </c>
      <c r="D285" s="508"/>
      <c r="E285" s="38"/>
      <c r="F285" s="38"/>
      <c r="G285" s="50">
        <f>ROUND(D285*(E285+F285),2)</f>
        <v>0</v>
      </c>
      <c r="H285" s="596"/>
      <c r="I285" s="409"/>
      <c r="J285" s="509"/>
      <c r="K285" s="543"/>
      <c r="L285" s="511"/>
      <c r="M285" s="99"/>
      <c r="N285" s="513"/>
      <c r="O285" s="514"/>
      <c r="P285" s="515"/>
      <c r="Q285" s="262"/>
      <c r="R285" s="502"/>
      <c r="S285" s="503"/>
      <c r="T285" s="504"/>
    </row>
    <row r="286" spans="1:21">
      <c r="A286" s="389"/>
      <c r="B286" s="516" t="s">
        <v>103</v>
      </c>
      <c r="C286" s="99" t="s">
        <v>90</v>
      </c>
      <c r="D286" s="508">
        <v>9</v>
      </c>
      <c r="E286" s="101">
        <v>461.99</v>
      </c>
      <c r="F286" s="38">
        <f>F284</f>
        <v>47.5304</v>
      </c>
      <c r="G286" s="50">
        <f>ROUND(D286*(E286+F286),2)</f>
        <v>4585.68</v>
      </c>
      <c r="H286" s="270"/>
      <c r="I286" s="41"/>
      <c r="J286" s="409"/>
      <c r="K286" s="510"/>
      <c r="L286" s="597"/>
      <c r="M286" s="99"/>
      <c r="N286" s="518"/>
      <c r="O286" s="519"/>
      <c r="P286" s="515" t="s">
        <v>87</v>
      </c>
      <c r="Q286" s="271">
        <f>+G286+J286-M286-N286-O286</f>
        <v>4585.68</v>
      </c>
      <c r="R286" s="502" t="s">
        <v>88</v>
      </c>
      <c r="S286" s="503"/>
      <c r="T286" s="504"/>
    </row>
    <row r="287" spans="1:21">
      <c r="A287" s="389"/>
      <c r="B287" s="506"/>
      <c r="C287" s="390" t="s">
        <v>97</v>
      </c>
      <c r="D287" s="508">
        <f>окт18!D275</f>
        <v>12</v>
      </c>
      <c r="E287" s="41">
        <f>461.99-237.98</f>
        <v>224.01000000000002</v>
      </c>
      <c r="F287" s="38"/>
      <c r="G287" s="50">
        <f>D287*(E287+F287)</f>
        <v>2688.1200000000003</v>
      </c>
      <c r="H287" s="432"/>
      <c r="I287" s="362"/>
      <c r="J287" s="41"/>
      <c r="K287" s="510"/>
      <c r="L287" s="597"/>
      <c r="M287" s="99"/>
      <c r="N287" s="521"/>
      <c r="O287" s="522"/>
      <c r="P287" s="523"/>
      <c r="Q287" s="362"/>
      <c r="R287" s="502"/>
      <c r="S287" s="503"/>
      <c r="T287" s="504"/>
    </row>
    <row r="288" spans="1:21">
      <c r="A288" s="389"/>
      <c r="B288" s="506"/>
      <c r="C288" s="48" t="s">
        <v>260</v>
      </c>
      <c r="D288" s="37">
        <f>окт18!D278+окт18!D279</f>
        <v>4116.63</v>
      </c>
      <c r="E288" s="41">
        <f>7.1352-7.332</f>
        <v>-0.19679999999999964</v>
      </c>
      <c r="F288" s="297">
        <f t="shared" ref="F288:F290" si="52">+E288</f>
        <v>-0.19679999999999964</v>
      </c>
      <c r="G288" s="39">
        <f>ROUND(D288*(E288+F288)/2,2)-0.01</f>
        <v>-810.16</v>
      </c>
      <c r="H288" s="432"/>
      <c r="I288" s="362"/>
      <c r="J288" s="41"/>
      <c r="K288" s="510"/>
      <c r="L288" s="597"/>
      <c r="M288" s="99"/>
      <c r="N288" s="521"/>
      <c r="O288" s="522"/>
      <c r="P288" s="523"/>
      <c r="Q288" s="362"/>
      <c r="R288" s="502"/>
      <c r="S288" s="503"/>
      <c r="T288" s="504"/>
    </row>
    <row r="289" spans="1:20">
      <c r="A289" s="389"/>
      <c r="B289" s="506"/>
      <c r="C289" s="48" t="s">
        <v>263</v>
      </c>
      <c r="D289" s="37">
        <f>57.1+83.77</f>
        <v>140.87</v>
      </c>
      <c r="E289" s="41">
        <v>7.1352000000000002</v>
      </c>
      <c r="F289" s="298">
        <f t="shared" si="52"/>
        <v>7.1352000000000002</v>
      </c>
      <c r="G289" s="39">
        <f>ROUND(D289*E289,2)</f>
        <v>1005.14</v>
      </c>
      <c r="H289" s="432"/>
      <c r="I289" s="362"/>
      <c r="J289" s="41"/>
      <c r="K289" s="510"/>
      <c r="L289" s="597"/>
      <c r="M289" s="99"/>
      <c r="N289" s="521"/>
      <c r="O289" s="522"/>
      <c r="P289" s="523"/>
      <c r="Q289" s="362"/>
      <c r="R289" s="502"/>
      <c r="S289" s="503"/>
      <c r="T289" s="504"/>
    </row>
    <row r="290" spans="1:20" ht="15.75" thickBot="1">
      <c r="A290" s="369"/>
      <c r="B290" s="526"/>
      <c r="C290" s="99" t="s">
        <v>29</v>
      </c>
      <c r="D290" s="55">
        <f>1289+1891</f>
        <v>3180</v>
      </c>
      <c r="E290" s="56">
        <v>7.1352000000000002</v>
      </c>
      <c r="F290" s="57">
        <f t="shared" si="52"/>
        <v>7.1352000000000002</v>
      </c>
      <c r="G290" s="414">
        <f>ROUND(D290*E290,2)</f>
        <v>22689.94</v>
      </c>
      <c r="H290" s="248"/>
      <c r="I290" s="203"/>
      <c r="J290" s="60"/>
      <c r="K290" s="61"/>
      <c r="L290" s="249"/>
      <c r="M290" s="54"/>
      <c r="N290" s="527"/>
      <c r="O290" s="528"/>
      <c r="P290" s="529" t="s">
        <v>87</v>
      </c>
      <c r="Q290" s="58">
        <f>+G290+J290-M290-N290-O290</f>
        <v>22689.94</v>
      </c>
      <c r="R290" s="502" t="s">
        <v>88</v>
      </c>
      <c r="S290" s="598">
        <f>SUM(N284:N290)+O284:O290</f>
        <v>0</v>
      </c>
      <c r="T290" s="598" t="e">
        <f>SUM(Q284:Q290)</f>
        <v>#VALUE!</v>
      </c>
    </row>
    <row r="291" spans="1:20">
      <c r="A291" s="376" t="s">
        <v>208</v>
      </c>
      <c r="B291" s="602" t="s">
        <v>213</v>
      </c>
      <c r="C291" s="439" t="s">
        <v>260</v>
      </c>
      <c r="D291" s="184">
        <f>окт18!D281+окт18!D282</f>
        <v>135.76</v>
      </c>
      <c r="E291" s="41">
        <f>7.1352-7.332</f>
        <v>-0.19679999999999964</v>
      </c>
      <c r="F291" s="23">
        <f>+E291</f>
        <v>-0.19679999999999964</v>
      </c>
      <c r="G291" s="185">
        <f>ROUND(D291*(E291),2)</f>
        <v>-26.72</v>
      </c>
      <c r="H291" s="620"/>
      <c r="I291" s="620"/>
      <c r="J291" s="620"/>
      <c r="K291" s="634"/>
      <c r="L291" s="603">
        <f>SUM(G291:G293)</f>
        <v>1329.3999999999999</v>
      </c>
      <c r="M291" s="187">
        <v>1329.4</v>
      </c>
      <c r="N291" s="615"/>
      <c r="O291" s="615"/>
      <c r="P291" s="615"/>
      <c r="Q291" s="615"/>
    </row>
    <row r="292" spans="1:20">
      <c r="A292" s="934"/>
      <c r="B292" s="506"/>
      <c r="C292" s="48" t="s">
        <v>263</v>
      </c>
      <c r="D292" s="49">
        <v>8.06</v>
      </c>
      <c r="E292" s="41">
        <v>7.1352000000000002</v>
      </c>
      <c r="F292" s="41">
        <f>+E292</f>
        <v>7.1352000000000002</v>
      </c>
      <c r="G292" s="50">
        <f>ROUND(D292*(E292),2)</f>
        <v>57.51</v>
      </c>
      <c r="H292" s="296"/>
      <c r="I292" s="298"/>
      <c r="J292" s="298"/>
      <c r="K292" s="637"/>
      <c r="L292" s="606"/>
      <c r="M292" s="935"/>
      <c r="N292" s="615"/>
      <c r="O292" s="615"/>
      <c r="P292" s="615"/>
      <c r="Q292" s="615"/>
    </row>
    <row r="293" spans="1:20" ht="15.75" thickBot="1">
      <c r="A293" s="934"/>
      <c r="B293" s="506"/>
      <c r="C293" s="54" t="s">
        <v>29</v>
      </c>
      <c r="D293" s="296">
        <v>182</v>
      </c>
      <c r="E293" s="56">
        <v>7.1352000000000002</v>
      </c>
      <c r="F293" s="41">
        <f>+E293</f>
        <v>7.1352000000000002</v>
      </c>
      <c r="G293" s="50">
        <f t="shared" ref="G293" si="53">ROUND(D293*(E293),2)</f>
        <v>1298.6099999999999</v>
      </c>
      <c r="H293" s="296"/>
      <c r="I293" s="298"/>
      <c r="J293" s="298"/>
      <c r="K293" s="637"/>
      <c r="L293" s="614"/>
      <c r="M293" s="935"/>
      <c r="N293" s="615"/>
      <c r="O293" s="615"/>
      <c r="P293" s="615"/>
      <c r="Q293" s="615"/>
    </row>
    <row r="294" spans="1:20" hidden="1">
      <c r="A294" s="376">
        <v>201</v>
      </c>
      <c r="B294" s="602" t="s">
        <v>107</v>
      </c>
      <c r="C294" s="618" t="s">
        <v>73</v>
      </c>
      <c r="D294" s="619"/>
      <c r="E294" s="21">
        <v>40.556600000000003</v>
      </c>
      <c r="F294" s="21">
        <v>47.5304</v>
      </c>
      <c r="G294" s="185">
        <f>ROUND(D294*(E294+F294),2)</f>
        <v>0</v>
      </c>
      <c r="H294" s="620"/>
      <c r="I294" s="620"/>
      <c r="J294" s="620"/>
      <c r="K294" s="620"/>
      <c r="L294" s="603">
        <f>SUM(G294:G298,J294:J298)</f>
        <v>0.01</v>
      </c>
      <c r="M294" s="187"/>
      <c r="N294" s="621"/>
      <c r="O294" s="621"/>
      <c r="P294" s="621"/>
      <c r="Q294" s="622"/>
    </row>
    <row r="295" spans="1:20" hidden="1">
      <c r="A295" s="936"/>
      <c r="B295" s="612"/>
      <c r="C295" s="542" t="s">
        <v>96</v>
      </c>
      <c r="D295" s="234"/>
      <c r="E295" s="38"/>
      <c r="F295" s="38"/>
      <c r="G295" s="235">
        <f>ROUND(D295*(E295+F295),2)</f>
        <v>0</v>
      </c>
      <c r="H295" s="298"/>
      <c r="I295" s="298"/>
      <c r="J295" s="298"/>
      <c r="K295" s="298"/>
      <c r="L295" s="606"/>
      <c r="M295" s="935"/>
      <c r="N295" s="615"/>
      <c r="O295" s="615"/>
      <c r="P295" s="615"/>
      <c r="Q295" s="616"/>
    </row>
    <row r="296" spans="1:20" hidden="1">
      <c r="A296" s="936"/>
      <c r="B296" s="612"/>
      <c r="C296" s="48" t="s">
        <v>260</v>
      </c>
      <c r="D296" s="623"/>
      <c r="E296" s="41">
        <f>7.332-6.6439</f>
        <v>0.68809999999999949</v>
      </c>
      <c r="F296" s="41">
        <f t="shared" ref="F296:F304" si="54">+E296</f>
        <v>0.68809999999999949</v>
      </c>
      <c r="G296" s="50">
        <f>ROUND(D296*(E296),2)+0.01</f>
        <v>0.01</v>
      </c>
      <c r="H296" s="298"/>
      <c r="I296" s="298"/>
      <c r="J296" s="298"/>
      <c r="K296" s="298"/>
      <c r="L296" s="614"/>
      <c r="M296" s="935"/>
      <c r="N296" s="615"/>
      <c r="O296" s="615"/>
      <c r="P296" s="615"/>
      <c r="Q296" s="616"/>
    </row>
    <row r="297" spans="1:20" hidden="1">
      <c r="A297" s="936"/>
      <c r="B297" s="612"/>
      <c r="C297" s="48" t="s">
        <v>263</v>
      </c>
      <c r="D297" s="623"/>
      <c r="E297" s="41">
        <v>7.3319999999999999</v>
      </c>
      <c r="F297" s="41">
        <f t="shared" si="54"/>
        <v>7.3319999999999999</v>
      </c>
      <c r="G297" s="39">
        <f t="shared" ref="G297:G307" si="55">ROUND(D297*(E297),2)</f>
        <v>0</v>
      </c>
      <c r="H297" s="298"/>
      <c r="I297" s="298"/>
      <c r="J297" s="298"/>
      <c r="K297" s="298"/>
      <c r="L297" s="614"/>
      <c r="M297" s="273"/>
      <c r="N297" s="615"/>
      <c r="O297" s="615"/>
      <c r="P297" s="615"/>
      <c r="Q297" s="616"/>
    </row>
    <row r="298" spans="1:20" ht="15.75" hidden="1" thickBot="1">
      <c r="A298" s="937"/>
      <c r="B298" s="526"/>
      <c r="C298" s="99" t="s">
        <v>29</v>
      </c>
      <c r="D298" s="625"/>
      <c r="E298" s="56">
        <v>7.3319999999999999</v>
      </c>
      <c r="F298" s="281">
        <f t="shared" si="54"/>
        <v>7.3319999999999999</v>
      </c>
      <c r="G298" s="414">
        <f t="shared" si="55"/>
        <v>0</v>
      </c>
      <c r="H298" s="41"/>
      <c r="I298" s="41"/>
      <c r="J298" s="281"/>
      <c r="K298" s="281"/>
      <c r="L298" s="784"/>
      <c r="M298" s="938"/>
      <c r="N298" s="626"/>
      <c r="O298" s="626"/>
      <c r="P298" s="626"/>
      <c r="Q298" s="627"/>
    </row>
    <row r="299" spans="1:20">
      <c r="A299" s="376">
        <v>203</v>
      </c>
      <c r="B299" s="602" t="s">
        <v>255</v>
      </c>
      <c r="C299" s="439" t="s">
        <v>260</v>
      </c>
      <c r="D299" s="184">
        <f>окт18!D289+окт18!D290</f>
        <v>166.04</v>
      </c>
      <c r="E299" s="41">
        <f>7.1352-7.332</f>
        <v>-0.19679999999999964</v>
      </c>
      <c r="F299" s="23">
        <f t="shared" si="54"/>
        <v>-0.19679999999999964</v>
      </c>
      <c r="G299" s="185">
        <f>ROUND(D299*(E299),2)</f>
        <v>-32.68</v>
      </c>
      <c r="H299" s="620"/>
      <c r="I299" s="620"/>
      <c r="J299" s="620"/>
      <c r="K299" s="634"/>
      <c r="L299" s="603">
        <f>SUM(G299:G301)</f>
        <v>1226.6099999999999</v>
      </c>
      <c r="M299" s="187">
        <v>1226.6099999999999</v>
      </c>
      <c r="N299" s="615"/>
      <c r="O299" s="615"/>
      <c r="P299" s="615"/>
      <c r="Q299" s="615"/>
    </row>
    <row r="300" spans="1:20">
      <c r="A300" s="934"/>
      <c r="B300" s="506"/>
      <c r="C300" s="48" t="s">
        <v>263</v>
      </c>
      <c r="D300" s="49">
        <v>7.49</v>
      </c>
      <c r="E300" s="41">
        <v>7.1352000000000002</v>
      </c>
      <c r="F300" s="41">
        <f t="shared" si="54"/>
        <v>7.1352000000000002</v>
      </c>
      <c r="G300" s="50">
        <f>ROUND(D300*(E300),2)</f>
        <v>53.44</v>
      </c>
      <c r="H300" s="296"/>
      <c r="I300" s="298"/>
      <c r="J300" s="298"/>
      <c r="K300" s="637"/>
      <c r="L300" s="606"/>
      <c r="M300" s="935"/>
      <c r="N300" s="615"/>
      <c r="O300" s="615"/>
      <c r="P300" s="615"/>
      <c r="Q300" s="615"/>
    </row>
    <row r="301" spans="1:20" ht="15.75" thickBot="1">
      <c r="A301" s="934"/>
      <c r="B301" s="506"/>
      <c r="C301" s="54" t="s">
        <v>29</v>
      </c>
      <c r="D301" s="296">
        <v>169</v>
      </c>
      <c r="E301" s="56">
        <v>7.1352000000000002</v>
      </c>
      <c r="F301" s="41">
        <f t="shared" si="54"/>
        <v>7.1352000000000002</v>
      </c>
      <c r="G301" s="50">
        <f t="shared" ref="G301" si="56">ROUND(D301*(E301),2)</f>
        <v>1205.8499999999999</v>
      </c>
      <c r="H301" s="296"/>
      <c r="I301" s="298"/>
      <c r="J301" s="298"/>
      <c r="K301" s="637"/>
      <c r="L301" s="614"/>
      <c r="M301" s="935"/>
      <c r="N301" s="615"/>
      <c r="O301" s="615"/>
      <c r="P301" s="615"/>
      <c r="Q301" s="615"/>
    </row>
    <row r="302" spans="1:20">
      <c r="A302" s="376">
        <v>301</v>
      </c>
      <c r="B302" s="602" t="s">
        <v>106</v>
      </c>
      <c r="C302" s="48" t="s">
        <v>260</v>
      </c>
      <c r="D302" s="184">
        <f>окт18!D292+окт18!D293</f>
        <v>1067.27</v>
      </c>
      <c r="E302" s="41">
        <f>7.1352-7.332</f>
        <v>-0.19679999999999964</v>
      </c>
      <c r="F302" s="23">
        <f t="shared" si="54"/>
        <v>-0.19679999999999964</v>
      </c>
      <c r="G302" s="185">
        <f>ROUND(D302*(E302),2)+0.01</f>
        <v>-210.03</v>
      </c>
      <c r="H302" s="23"/>
      <c r="I302" s="23"/>
      <c r="J302" s="23"/>
      <c r="K302" s="23"/>
      <c r="L302" s="603">
        <f>SUM(G302:G304)</f>
        <v>6645.18</v>
      </c>
      <c r="M302" s="187">
        <v>6645.18</v>
      </c>
      <c r="N302" s="604"/>
      <c r="O302" s="500"/>
      <c r="P302" s="501"/>
      <c r="Q302" s="605"/>
    </row>
    <row r="303" spans="1:20">
      <c r="A303" s="389"/>
      <c r="B303" s="506"/>
      <c r="C303" s="48" t="s">
        <v>263</v>
      </c>
      <c r="D303" s="49">
        <v>40.76</v>
      </c>
      <c r="E303" s="41">
        <v>7.1352000000000002</v>
      </c>
      <c r="F303" s="41">
        <f t="shared" si="54"/>
        <v>7.1352000000000002</v>
      </c>
      <c r="G303" s="50">
        <f t="shared" si="55"/>
        <v>290.83</v>
      </c>
      <c r="H303" s="41"/>
      <c r="I303" s="41"/>
      <c r="J303" s="41"/>
      <c r="K303" s="41"/>
      <c r="L303" s="606"/>
      <c r="M303" s="935"/>
      <c r="N303" s="607"/>
      <c r="O303" s="608"/>
      <c r="P303" s="609"/>
      <c r="Q303" s="610"/>
    </row>
    <row r="304" spans="1:20" ht="15.75" thickBot="1">
      <c r="A304" s="936"/>
      <c r="B304" s="612"/>
      <c r="C304" s="99" t="s">
        <v>29</v>
      </c>
      <c r="D304" s="613">
        <v>920</v>
      </c>
      <c r="E304" s="56">
        <v>7.1352000000000002</v>
      </c>
      <c r="F304" s="281">
        <f t="shared" si="54"/>
        <v>7.1352000000000002</v>
      </c>
      <c r="G304" s="58">
        <f t="shared" si="55"/>
        <v>6564.38</v>
      </c>
      <c r="H304" s="57"/>
      <c r="I304" s="57"/>
      <c r="J304" s="57"/>
      <c r="K304" s="57"/>
      <c r="L304" s="614"/>
      <c r="M304" s="935"/>
      <c r="N304" s="615"/>
      <c r="O304" s="615"/>
      <c r="P304" s="615"/>
      <c r="Q304" s="616"/>
    </row>
    <row r="305" spans="1:17" hidden="1">
      <c r="A305" s="447" t="s">
        <v>205</v>
      </c>
      <c r="B305" s="602" t="s">
        <v>183</v>
      </c>
      <c r="C305" s="439" t="s">
        <v>260</v>
      </c>
      <c r="D305" s="184"/>
      <c r="E305" s="41">
        <f>7.332-6.6439</f>
        <v>0.68809999999999949</v>
      </c>
      <c r="F305" s="23">
        <f>+E305</f>
        <v>0.68809999999999949</v>
      </c>
      <c r="G305" s="185">
        <f>ROUND(D305*(E305),2)-0.01</f>
        <v>-0.01</v>
      </c>
      <c r="H305" s="620"/>
      <c r="I305" s="620"/>
      <c r="J305" s="620"/>
      <c r="K305" s="634"/>
      <c r="L305" s="603">
        <f>SUM(G305:G307)</f>
        <v>-0.01</v>
      </c>
      <c r="M305" s="187"/>
      <c r="N305" s="604"/>
      <c r="O305" s="635"/>
      <c r="P305" s="636"/>
      <c r="Q305" s="605"/>
    </row>
    <row r="306" spans="1:17" hidden="1">
      <c r="A306" s="450" t="s">
        <v>206</v>
      </c>
      <c r="B306" s="506"/>
      <c r="C306" s="48" t="s">
        <v>263</v>
      </c>
      <c r="D306" s="49"/>
      <c r="E306" s="41">
        <v>7.3319999999999999</v>
      </c>
      <c r="F306" s="41">
        <f>+E306</f>
        <v>7.3319999999999999</v>
      </c>
      <c r="G306" s="50">
        <f t="shared" si="55"/>
        <v>0</v>
      </c>
      <c r="H306" s="296"/>
      <c r="I306" s="298"/>
      <c r="J306" s="298"/>
      <c r="K306" s="637"/>
      <c r="L306" s="606"/>
      <c r="M306" s="935"/>
      <c r="N306" s="607"/>
      <c r="O306" s="608"/>
      <c r="P306" s="609"/>
      <c r="Q306" s="610"/>
    </row>
    <row r="307" spans="1:17" ht="15.75" hidden="1" thickBot="1">
      <c r="A307" s="451">
        <v>305</v>
      </c>
      <c r="B307" s="506"/>
      <c r="C307" s="54" t="s">
        <v>29</v>
      </c>
      <c r="D307" s="296"/>
      <c r="E307" s="56">
        <v>7.3319999999999999</v>
      </c>
      <c r="F307" s="41">
        <f t="shared" ref="F307:F311" si="57">+E307</f>
        <v>7.3319999999999999</v>
      </c>
      <c r="G307" s="50">
        <f t="shared" si="55"/>
        <v>0</v>
      </c>
      <c r="H307" s="296"/>
      <c r="I307" s="298"/>
      <c r="J307" s="298"/>
      <c r="K307" s="637"/>
      <c r="L307" s="614"/>
      <c r="M307" s="935"/>
      <c r="N307" s="615"/>
      <c r="O307" s="615"/>
      <c r="P307" s="615"/>
      <c r="Q307" s="616"/>
    </row>
    <row r="308" spans="1:17">
      <c r="A308" s="376">
        <v>304</v>
      </c>
      <c r="B308" s="602" t="s">
        <v>299</v>
      </c>
      <c r="C308" s="48" t="s">
        <v>260</v>
      </c>
      <c r="D308" s="184"/>
      <c r="E308" s="41">
        <f>7.1352-7.332</f>
        <v>-0.19679999999999964</v>
      </c>
      <c r="F308" s="23">
        <f t="shared" si="57"/>
        <v>-0.19679999999999964</v>
      </c>
      <c r="G308" s="185">
        <f>ROUND(D308*(E308),2)</f>
        <v>0</v>
      </c>
      <c r="H308" s="23"/>
      <c r="I308" s="23"/>
      <c r="J308" s="23"/>
      <c r="K308" s="23"/>
      <c r="L308" s="603">
        <f>SUM(G308:G310)</f>
        <v>342.78000000000003</v>
      </c>
      <c r="M308" s="187">
        <v>372.78</v>
      </c>
      <c r="N308" s="604"/>
      <c r="O308" s="500"/>
      <c r="P308" s="501"/>
      <c r="Q308" s="605"/>
    </row>
    <row r="309" spans="1:17">
      <c r="A309" s="389"/>
      <c r="B309" s="506"/>
      <c r="C309" s="48" t="s">
        <v>263</v>
      </c>
      <c r="D309" s="49">
        <v>2.04</v>
      </c>
      <c r="E309" s="41">
        <v>7.1352000000000002</v>
      </c>
      <c r="F309" s="41">
        <f t="shared" si="57"/>
        <v>7.1352000000000002</v>
      </c>
      <c r="G309" s="50">
        <f t="shared" ref="G309:G310" si="58">ROUND(D309*(E309),2)</f>
        <v>14.56</v>
      </c>
      <c r="H309" s="41"/>
      <c r="I309" s="41"/>
      <c r="J309" s="41"/>
      <c r="K309" s="41"/>
      <c r="L309" s="606"/>
      <c r="M309" s="935"/>
      <c r="N309" s="607"/>
      <c r="O309" s="608"/>
      <c r="P309" s="609"/>
      <c r="Q309" s="610"/>
    </row>
    <row r="310" spans="1:17" ht="15.75" thickBot="1">
      <c r="A310" s="936"/>
      <c r="B310" s="612"/>
      <c r="C310" s="99" t="s">
        <v>29</v>
      </c>
      <c r="D310" s="613">
        <v>46</v>
      </c>
      <c r="E310" s="56">
        <v>7.1352000000000002</v>
      </c>
      <c r="F310" s="281">
        <f t="shared" si="57"/>
        <v>7.1352000000000002</v>
      </c>
      <c r="G310" s="58">
        <f t="shared" si="58"/>
        <v>328.22</v>
      </c>
      <c r="H310" s="57"/>
      <c r="I310" s="57"/>
      <c r="J310" s="57"/>
      <c r="K310" s="57"/>
      <c r="L310" s="614"/>
      <c r="M310" s="935"/>
      <c r="N310" s="615"/>
      <c r="O310" s="615"/>
      <c r="P310" s="615"/>
      <c r="Q310" s="616"/>
    </row>
    <row r="311" spans="1:17" collapsed="1">
      <c r="A311" s="376">
        <v>307</v>
      </c>
      <c r="B311" s="602" t="s">
        <v>251</v>
      </c>
      <c r="C311" s="439" t="s">
        <v>260</v>
      </c>
      <c r="D311" s="184">
        <f>окт18!D298+окт18!D299</f>
        <v>422.94</v>
      </c>
      <c r="E311" s="23">
        <f>7.1352-7.332</f>
        <v>-0.19679999999999964</v>
      </c>
      <c r="F311" s="23">
        <f t="shared" si="57"/>
        <v>-0.19679999999999964</v>
      </c>
      <c r="G311" s="185">
        <f>ROUND(D311*(E311),2)-0.01</f>
        <v>-83.240000000000009</v>
      </c>
      <c r="H311" s="669"/>
      <c r="I311" s="620"/>
      <c r="J311" s="620"/>
      <c r="K311" s="634"/>
      <c r="L311" s="603">
        <f>SUM(G311:G313)</f>
        <v>2599.2400000000002</v>
      </c>
      <c r="M311" s="187">
        <v>2599.2399999999998</v>
      </c>
      <c r="N311" s="604"/>
      <c r="O311" s="635"/>
      <c r="P311" s="636"/>
      <c r="Q311" s="605"/>
    </row>
    <row r="312" spans="1:17">
      <c r="A312" s="934"/>
      <c r="B312" s="506"/>
      <c r="C312" s="48" t="s">
        <v>263</v>
      </c>
      <c r="D312" s="49">
        <v>15.95</v>
      </c>
      <c r="E312" s="41">
        <v>7.1352000000000002</v>
      </c>
      <c r="F312" s="41">
        <f>+E312</f>
        <v>7.1352000000000002</v>
      </c>
      <c r="G312" s="50">
        <f>ROUND(D312*(E312),2)</f>
        <v>113.81</v>
      </c>
      <c r="H312" s="296"/>
      <c r="I312" s="298"/>
      <c r="J312" s="298"/>
      <c r="K312" s="637"/>
      <c r="L312" s="606"/>
      <c r="M312" s="935"/>
      <c r="N312" s="607"/>
      <c r="O312" s="608"/>
      <c r="P312" s="609"/>
      <c r="Q312" s="610"/>
    </row>
    <row r="313" spans="1:17" ht="15.75" thickBot="1">
      <c r="A313" s="960"/>
      <c r="B313" s="506"/>
      <c r="C313" s="54" t="s">
        <v>29</v>
      </c>
      <c r="D313" s="296">
        <v>360</v>
      </c>
      <c r="E313" s="56">
        <v>7.1352000000000002</v>
      </c>
      <c r="F313" s="41">
        <f t="shared" ref="F313:F317" si="59">+E313</f>
        <v>7.1352000000000002</v>
      </c>
      <c r="G313" s="50">
        <f t="shared" ref="G313" si="60">ROUND(D313*(E313),2)</f>
        <v>2568.67</v>
      </c>
      <c r="H313" s="296"/>
      <c r="I313" s="298"/>
      <c r="J313" s="298"/>
      <c r="K313" s="637"/>
      <c r="L313" s="614"/>
      <c r="M313" s="935"/>
      <c r="N313" s="615"/>
      <c r="O313" s="615"/>
      <c r="P313" s="615"/>
      <c r="Q313" s="616"/>
    </row>
    <row r="314" spans="1:17" collapsed="1">
      <c r="A314" s="376">
        <v>308</v>
      </c>
      <c r="B314" s="602" t="s">
        <v>247</v>
      </c>
      <c r="C314" s="439" t="s">
        <v>260</v>
      </c>
      <c r="D314" s="184">
        <f>окт18!D301+окт18!D302</f>
        <v>443.83</v>
      </c>
      <c r="E314" s="23">
        <f>7.1352-7.332</f>
        <v>-0.19679999999999964</v>
      </c>
      <c r="F314" s="23">
        <f t="shared" si="59"/>
        <v>-0.19679999999999964</v>
      </c>
      <c r="G314" s="185">
        <f>ROUND(D314*(E314),2)+0.01</f>
        <v>-87.339999999999989</v>
      </c>
      <c r="H314" s="669"/>
      <c r="I314" s="620"/>
      <c r="J314" s="620"/>
      <c r="K314" s="634"/>
      <c r="L314" s="603">
        <f>SUM(G314:G316)</f>
        <v>2662.2</v>
      </c>
      <c r="M314" s="187">
        <v>2662.2</v>
      </c>
      <c r="N314" s="604"/>
      <c r="O314" s="635"/>
      <c r="P314" s="636"/>
      <c r="Q314" s="605"/>
    </row>
    <row r="315" spans="1:17">
      <c r="A315" s="934"/>
      <c r="B315" s="506"/>
      <c r="C315" s="48" t="s">
        <v>263</v>
      </c>
      <c r="D315" s="49">
        <v>16.350000000000001</v>
      </c>
      <c r="E315" s="41">
        <v>7.1352000000000002</v>
      </c>
      <c r="F315" s="41">
        <f>+E315</f>
        <v>7.1352000000000002</v>
      </c>
      <c r="G315" s="50">
        <f>ROUND(D315*(E315),2)-0.01</f>
        <v>116.64999999999999</v>
      </c>
      <c r="H315" s="296"/>
      <c r="I315" s="298"/>
      <c r="J315" s="298"/>
      <c r="K315" s="637"/>
      <c r="L315" s="606"/>
      <c r="M315" s="935"/>
      <c r="N315" s="607"/>
      <c r="O315" s="608"/>
      <c r="P315" s="609"/>
      <c r="Q315" s="610"/>
    </row>
    <row r="316" spans="1:17" ht="15.75" thickBot="1">
      <c r="A316" s="960"/>
      <c r="B316" s="506"/>
      <c r="C316" s="54" t="s">
        <v>29</v>
      </c>
      <c r="D316" s="296">
        <v>369</v>
      </c>
      <c r="E316" s="56">
        <v>7.1352000000000002</v>
      </c>
      <c r="F316" s="41">
        <f t="shared" ref="F316" si="61">+E316</f>
        <v>7.1352000000000002</v>
      </c>
      <c r="G316" s="50">
        <f t="shared" ref="G316" si="62">ROUND(D316*(E316),2)</f>
        <v>2632.89</v>
      </c>
      <c r="H316" s="296"/>
      <c r="I316" s="298"/>
      <c r="J316" s="298"/>
      <c r="K316" s="637"/>
      <c r="L316" s="614"/>
      <c r="M316" s="935"/>
      <c r="N316" s="615"/>
      <c r="O316" s="615"/>
      <c r="P316" s="615"/>
      <c r="Q316" s="616"/>
    </row>
    <row r="317" spans="1:17" collapsed="1">
      <c r="A317" s="376" t="s">
        <v>254</v>
      </c>
      <c r="B317" s="602" t="s">
        <v>235</v>
      </c>
      <c r="C317" s="439" t="s">
        <v>260</v>
      </c>
      <c r="D317" s="184">
        <f>окт18!D304+окт18!D305</f>
        <v>185.89</v>
      </c>
      <c r="E317" s="41">
        <f>7.1352-7.332</f>
        <v>-0.19679999999999964</v>
      </c>
      <c r="F317" s="23">
        <f t="shared" si="59"/>
        <v>-0.19679999999999964</v>
      </c>
      <c r="G317" s="185">
        <f>ROUND(D317*(E317),2)-0.01</f>
        <v>-36.589999999999996</v>
      </c>
      <c r="H317" s="620"/>
      <c r="I317" s="620"/>
      <c r="J317" s="620"/>
      <c r="K317" s="634"/>
      <c r="L317" s="603">
        <f>SUM(G317:G319)</f>
        <v>768.12</v>
      </c>
      <c r="M317" s="187">
        <v>768.12</v>
      </c>
      <c r="N317" s="615"/>
      <c r="O317" s="615"/>
      <c r="P317" s="615"/>
      <c r="Q317" s="615"/>
    </row>
    <row r="318" spans="1:17">
      <c r="A318" s="934">
        <v>314</v>
      </c>
      <c r="B318" s="506"/>
      <c r="C318" s="48" t="s">
        <v>263</v>
      </c>
      <c r="D318" s="49">
        <v>4.78</v>
      </c>
      <c r="E318" s="41">
        <v>7.1352000000000002</v>
      </c>
      <c r="F318" s="41">
        <f>+E318</f>
        <v>7.1352000000000002</v>
      </c>
      <c r="G318" s="50">
        <f>ROUND(D318*(E318),2)</f>
        <v>34.11</v>
      </c>
      <c r="H318" s="296"/>
      <c r="I318" s="298"/>
      <c r="J318" s="298"/>
      <c r="K318" s="637"/>
      <c r="L318" s="606"/>
      <c r="M318" s="935"/>
      <c r="N318" s="615"/>
      <c r="O318" s="615"/>
      <c r="P318" s="615"/>
      <c r="Q318" s="615"/>
    </row>
    <row r="319" spans="1:17" ht="15.75" thickBot="1">
      <c r="A319" s="934"/>
      <c r="B319" s="506"/>
      <c r="C319" s="54" t="s">
        <v>29</v>
      </c>
      <c r="D319" s="296">
        <v>108</v>
      </c>
      <c r="E319" s="56">
        <v>7.1352000000000002</v>
      </c>
      <c r="F319" s="41">
        <f t="shared" ref="F319:F322" si="63">+E319</f>
        <v>7.1352000000000002</v>
      </c>
      <c r="G319" s="50">
        <f t="shared" ref="G319" si="64">ROUND(D319*(E319),2)</f>
        <v>770.6</v>
      </c>
      <c r="H319" s="296"/>
      <c r="I319" s="298"/>
      <c r="J319" s="298"/>
      <c r="K319" s="637"/>
      <c r="L319" s="614"/>
      <c r="M319" s="935"/>
      <c r="N319" s="615"/>
      <c r="O319" s="615"/>
      <c r="P319" s="615"/>
      <c r="Q319" s="615"/>
    </row>
    <row r="320" spans="1:17" ht="15.75" hidden="1" thickBot="1">
      <c r="A320" s="376">
        <v>311</v>
      </c>
      <c r="B320" s="602" t="s">
        <v>204</v>
      </c>
      <c r="C320" s="439" t="s">
        <v>260</v>
      </c>
      <c r="D320" s="184"/>
      <c r="E320" s="41">
        <f>6.7023-6.509</f>
        <v>0.19329999999999981</v>
      </c>
      <c r="F320" s="23">
        <f t="shared" si="63"/>
        <v>0.19329999999999981</v>
      </c>
      <c r="G320" s="185">
        <f>ROUND(D320*(E320),2)-0.01</f>
        <v>-0.01</v>
      </c>
      <c r="H320" s="620"/>
      <c r="I320" s="620"/>
      <c r="J320" s="620"/>
      <c r="K320" s="634"/>
      <c r="L320" s="603">
        <f>SUM(G320:G323)</f>
        <v>-0.01</v>
      </c>
      <c r="M320" s="187"/>
      <c r="N320" s="604"/>
      <c r="O320" s="635" t="s">
        <v>274</v>
      </c>
      <c r="P320" s="636"/>
      <c r="Q320" s="605"/>
    </row>
    <row r="321" spans="1:17" ht="15.75" hidden="1" thickBot="1">
      <c r="A321" s="389"/>
      <c r="B321" s="939" t="s">
        <v>273</v>
      </c>
      <c r="C321" s="48" t="s">
        <v>263</v>
      </c>
      <c r="D321" s="49"/>
      <c r="E321" s="41">
        <v>6.7023000000000001</v>
      </c>
      <c r="F321" s="41">
        <f t="shared" si="63"/>
        <v>6.7023000000000001</v>
      </c>
      <c r="G321" s="50">
        <f>ROUND(D321*(E321),2)</f>
        <v>0</v>
      </c>
      <c r="H321" s="296"/>
      <c r="I321" s="298"/>
      <c r="J321" s="298"/>
      <c r="K321" s="637"/>
      <c r="L321" s="606"/>
      <c r="M321" s="935"/>
      <c r="N321" s="607"/>
      <c r="O321" s="608"/>
      <c r="P321" s="609"/>
      <c r="Q321" s="610"/>
    </row>
    <row r="322" spans="1:17" ht="15.75" hidden="1" thickBot="1">
      <c r="A322" s="936"/>
      <c r="B322" s="506"/>
      <c r="C322" s="99" t="s">
        <v>29</v>
      </c>
      <c r="D322" s="296"/>
      <c r="E322" s="101">
        <v>6.7023000000000001</v>
      </c>
      <c r="F322" s="41">
        <f t="shared" si="63"/>
        <v>6.7023000000000001</v>
      </c>
      <c r="G322" s="50">
        <f>ROUND(D322*(E322),2)</f>
        <v>0</v>
      </c>
      <c r="H322" s="296"/>
      <c r="I322" s="298"/>
      <c r="J322" s="298"/>
      <c r="K322" s="940"/>
      <c r="L322" s="614"/>
      <c r="M322" s="935"/>
      <c r="N322" s="615"/>
      <c r="O322" s="615"/>
      <c r="P322" s="615"/>
      <c r="Q322" s="616"/>
    </row>
    <row r="323" spans="1:17" ht="15.75" hidden="1" thickBot="1">
      <c r="A323" s="937"/>
      <c r="B323" s="278"/>
      <c r="C323" s="784"/>
      <c r="D323" s="941"/>
      <c r="E323" s="281"/>
      <c r="F323" s="57"/>
      <c r="G323" s="58">
        <f>ROUND(D323*(E323),2)</f>
        <v>0</v>
      </c>
      <c r="H323" s="613"/>
      <c r="I323" s="57"/>
      <c r="J323" s="57"/>
      <c r="K323" s="666"/>
      <c r="L323" s="784"/>
      <c r="M323" s="938"/>
      <c r="N323" s="626"/>
      <c r="O323" s="626"/>
      <c r="P323" s="626"/>
      <c r="Q323" s="626"/>
    </row>
    <row r="324" spans="1:17" collapsed="1">
      <c r="A324" s="376">
        <v>311</v>
      </c>
      <c r="B324" s="602" t="s">
        <v>278</v>
      </c>
      <c r="C324" s="439" t="s">
        <v>260</v>
      </c>
      <c r="D324" s="184">
        <f>окт18!D311+окт18!D312</f>
        <v>248.54</v>
      </c>
      <c r="E324" s="41">
        <f>7.1352-7.332</f>
        <v>-0.19679999999999964</v>
      </c>
      <c r="F324" s="23">
        <f t="shared" ref="F324" si="65">+E324</f>
        <v>-0.19679999999999964</v>
      </c>
      <c r="G324" s="185">
        <f>ROUND(D324*(E324),2)-0.01</f>
        <v>-48.919999999999995</v>
      </c>
      <c r="H324" s="620"/>
      <c r="I324" s="620"/>
      <c r="J324" s="620"/>
      <c r="K324" s="634"/>
      <c r="L324" s="603">
        <f>SUM(G324:G326)</f>
        <v>1612.73</v>
      </c>
      <c r="M324" s="187">
        <v>1612.73</v>
      </c>
      <c r="N324" s="615"/>
      <c r="O324" s="615"/>
      <c r="P324" s="615"/>
      <c r="Q324" s="615"/>
    </row>
    <row r="325" spans="1:17">
      <c r="A325" s="934"/>
      <c r="B325" s="506"/>
      <c r="C325" s="48" t="s">
        <v>263</v>
      </c>
      <c r="D325" s="49">
        <v>9.8800000000000008</v>
      </c>
      <c r="E325" s="41">
        <v>7.1352000000000002</v>
      </c>
      <c r="F325" s="41">
        <f>+E325</f>
        <v>7.1352000000000002</v>
      </c>
      <c r="G325" s="50">
        <f>ROUND(D325*(E325),2)</f>
        <v>70.5</v>
      </c>
      <c r="H325" s="296"/>
      <c r="I325" s="298"/>
      <c r="J325" s="298"/>
      <c r="K325" s="637"/>
      <c r="L325" s="606"/>
      <c r="M325" s="935"/>
      <c r="N325" s="615"/>
      <c r="O325" s="615"/>
      <c r="P325" s="615"/>
      <c r="Q325" s="615"/>
    </row>
    <row r="326" spans="1:17" ht="15.75" thickBot="1">
      <c r="A326" s="934"/>
      <c r="B326" s="506"/>
      <c r="C326" s="54" t="s">
        <v>29</v>
      </c>
      <c r="D326" s="296">
        <v>223</v>
      </c>
      <c r="E326" s="56">
        <v>7.1352000000000002</v>
      </c>
      <c r="F326" s="41">
        <f t="shared" ref="F326" si="66">+E326</f>
        <v>7.1352000000000002</v>
      </c>
      <c r="G326" s="50">
        <f t="shared" ref="G326" si="67">ROUND(D326*(E326),2)</f>
        <v>1591.15</v>
      </c>
      <c r="H326" s="296"/>
      <c r="I326" s="298"/>
      <c r="J326" s="298"/>
      <c r="K326" s="637"/>
      <c r="L326" s="614"/>
      <c r="M326" s="935"/>
      <c r="N326" s="615"/>
      <c r="O326" s="615"/>
      <c r="P326" s="615"/>
      <c r="Q326" s="615"/>
    </row>
    <row r="327" spans="1:17">
      <c r="A327" s="376">
        <v>312</v>
      </c>
      <c r="B327" s="602" t="s">
        <v>112</v>
      </c>
      <c r="C327" s="439" t="s">
        <v>260</v>
      </c>
      <c r="D327" s="184">
        <f>окт18!D314+окт18!D315</f>
        <v>823.95</v>
      </c>
      <c r="E327" s="23">
        <f>7.1352-7.332</f>
        <v>-0.19679999999999964</v>
      </c>
      <c r="F327" s="23">
        <f>+E327</f>
        <v>-0.19679999999999964</v>
      </c>
      <c r="G327" s="185">
        <f>ROUND(D327*(E327),2)</f>
        <v>-162.15</v>
      </c>
      <c r="H327" s="620"/>
      <c r="I327" s="620"/>
      <c r="J327" s="620"/>
      <c r="K327" s="634"/>
      <c r="L327" s="603">
        <f>SUM(G327:G330)</f>
        <v>5359.2800000000007</v>
      </c>
      <c r="M327" s="187">
        <v>5359.28</v>
      </c>
      <c r="N327" s="604"/>
      <c r="O327" s="635"/>
      <c r="P327" s="636"/>
      <c r="Q327" s="605"/>
    </row>
    <row r="328" spans="1:17">
      <c r="A328" s="934"/>
      <c r="B328" s="506"/>
      <c r="C328" s="48" t="s">
        <v>263</v>
      </c>
      <c r="D328" s="49">
        <v>32.83</v>
      </c>
      <c r="E328" s="41">
        <v>7.1352000000000002</v>
      </c>
      <c r="F328" s="41">
        <f>+E328</f>
        <v>7.1352000000000002</v>
      </c>
      <c r="G328" s="50">
        <f t="shared" ref="G328:G329" si="68">ROUND(D328*(E328),2)</f>
        <v>234.25</v>
      </c>
      <c r="H328" s="296"/>
      <c r="I328" s="298"/>
      <c r="J328" s="298"/>
      <c r="K328" s="637"/>
      <c r="L328" s="606"/>
      <c r="M328" s="935"/>
      <c r="N328" s="607"/>
      <c r="O328" s="608"/>
      <c r="P328" s="609"/>
      <c r="Q328" s="610"/>
    </row>
    <row r="329" spans="1:17">
      <c r="A329" s="934"/>
      <c r="B329" s="506"/>
      <c r="C329" s="99" t="s">
        <v>29</v>
      </c>
      <c r="D329" s="296">
        <v>741</v>
      </c>
      <c r="E329" s="101">
        <v>7.1352000000000002</v>
      </c>
      <c r="F329" s="41">
        <f>+E329</f>
        <v>7.1352000000000002</v>
      </c>
      <c r="G329" s="50">
        <f t="shared" si="68"/>
        <v>5287.18</v>
      </c>
      <c r="H329" s="296"/>
      <c r="I329" s="298"/>
      <c r="J329" s="298"/>
      <c r="K329" s="637"/>
      <c r="L329" s="614"/>
      <c r="M329" s="935"/>
      <c r="N329" s="615"/>
      <c r="O329" s="615"/>
      <c r="P329" s="615"/>
      <c r="Q329" s="616"/>
    </row>
    <row r="330" spans="1:17" ht="15.75" thickBot="1">
      <c r="A330" s="942"/>
      <c r="B330" s="278"/>
      <c r="C330" s="54"/>
      <c r="D330" s="941"/>
      <c r="E330" s="281"/>
      <c r="F330" s="57"/>
      <c r="G330" s="58"/>
      <c r="H330" s="613"/>
      <c r="I330" s="57"/>
      <c r="J330" s="57"/>
      <c r="K330" s="943"/>
      <c r="L330" s="784"/>
      <c r="M330" s="938"/>
      <c r="N330" s="615"/>
      <c r="O330" s="615"/>
      <c r="P330" s="615"/>
      <c r="Q330" s="615"/>
    </row>
    <row r="331" spans="1:17" ht="15.75" hidden="1" collapsed="1" thickBot="1">
      <c r="A331" s="376">
        <v>314</v>
      </c>
      <c r="B331" s="602" t="s">
        <v>235</v>
      </c>
      <c r="C331" s="439" t="s">
        <v>149</v>
      </c>
      <c r="D331" s="184"/>
      <c r="E331" s="41">
        <f>6.509-6.4709</f>
        <v>3.8100000000000023E-2</v>
      </c>
      <c r="F331" s="23">
        <f t="shared" ref="F331" si="69">+E331</f>
        <v>3.8100000000000023E-2</v>
      </c>
      <c r="G331" s="185">
        <f>ROUND(D331*(E331),2)</f>
        <v>0</v>
      </c>
      <c r="H331" s="620"/>
      <c r="I331" s="620"/>
      <c r="J331" s="620"/>
      <c r="K331" s="634"/>
      <c r="L331" s="603">
        <f>SUM(G331:G333)</f>
        <v>0</v>
      </c>
      <c r="M331" s="187"/>
      <c r="N331" s="615"/>
      <c r="O331" s="967" t="s">
        <v>249</v>
      </c>
      <c r="P331" s="615"/>
      <c r="Q331" s="615"/>
    </row>
    <row r="332" spans="1:17" ht="15.75" hidden="1" thickBot="1">
      <c r="A332" s="934"/>
      <c r="B332" s="516" t="s">
        <v>246</v>
      </c>
      <c r="C332" s="48" t="s">
        <v>150</v>
      </c>
      <c r="D332" s="49"/>
      <c r="E332" s="41">
        <v>6.5090000000000003</v>
      </c>
      <c r="F332" s="41">
        <f>+E332</f>
        <v>6.5090000000000003</v>
      </c>
      <c r="G332" s="50">
        <f>ROUND(D332*(E332),2)</f>
        <v>0</v>
      </c>
      <c r="H332" s="296"/>
      <c r="I332" s="298"/>
      <c r="J332" s="298"/>
      <c r="K332" s="637"/>
      <c r="L332" s="606"/>
      <c r="M332" s="935"/>
      <c r="N332" s="615"/>
      <c r="O332" s="615"/>
      <c r="P332" s="615"/>
      <c r="Q332" s="615"/>
    </row>
    <row r="333" spans="1:17" ht="15.75" hidden="1" thickBot="1">
      <c r="A333" s="942"/>
      <c r="B333" s="982"/>
      <c r="C333" s="54" t="s">
        <v>29</v>
      </c>
      <c r="D333" s="613"/>
      <c r="E333" s="56">
        <v>6.5090000000000003</v>
      </c>
      <c r="F333" s="281">
        <f t="shared" ref="F333:F334" si="70">+E333</f>
        <v>6.5090000000000003</v>
      </c>
      <c r="G333" s="58">
        <f t="shared" ref="G333" si="71">ROUND(D333*(E333),2)</f>
        <v>0</v>
      </c>
      <c r="H333" s="613"/>
      <c r="I333" s="57"/>
      <c r="J333" s="57"/>
      <c r="K333" s="943"/>
      <c r="L333" s="783"/>
      <c r="M333" s="938"/>
      <c r="N333" s="615"/>
      <c r="O333" s="615"/>
      <c r="P333" s="615"/>
      <c r="Q333" s="615"/>
    </row>
    <row r="334" spans="1:17" collapsed="1">
      <c r="A334" s="376">
        <v>316</v>
      </c>
      <c r="B334" s="602" t="s">
        <v>288</v>
      </c>
      <c r="C334" s="439" t="s">
        <v>260</v>
      </c>
      <c r="D334" s="184">
        <f>окт18!D321+окт18!D322</f>
        <v>69.97</v>
      </c>
      <c r="E334" s="41">
        <f>7.1352-7.332</f>
        <v>-0.19679999999999964</v>
      </c>
      <c r="F334" s="23">
        <f t="shared" si="70"/>
        <v>-0.19679999999999964</v>
      </c>
      <c r="G334" s="185">
        <f>ROUND(D334*(E334),2)-0.01</f>
        <v>-13.78</v>
      </c>
      <c r="H334" s="620"/>
      <c r="I334" s="620"/>
      <c r="J334" s="620"/>
      <c r="K334" s="634"/>
      <c r="L334" s="603">
        <f>SUM(G334:G336)</f>
        <v>813.34</v>
      </c>
      <c r="M334" s="187">
        <v>813.34</v>
      </c>
      <c r="N334" s="615"/>
      <c r="O334" s="615"/>
      <c r="P334" s="615"/>
      <c r="Q334" s="615"/>
    </row>
    <row r="335" spans="1:17">
      <c r="A335" s="934"/>
      <c r="B335" s="506"/>
      <c r="C335" s="48" t="s">
        <v>263</v>
      </c>
      <c r="D335" s="49">
        <v>4.92</v>
      </c>
      <c r="E335" s="41">
        <v>7.1352000000000002</v>
      </c>
      <c r="F335" s="41">
        <f>+E335</f>
        <v>7.1352000000000002</v>
      </c>
      <c r="G335" s="50">
        <f>ROUND(D335*(E335),2)</f>
        <v>35.11</v>
      </c>
      <c r="H335" s="296"/>
      <c r="I335" s="298"/>
      <c r="J335" s="298"/>
      <c r="K335" s="637"/>
      <c r="L335" s="606"/>
      <c r="M335" s="935"/>
      <c r="N335" s="615"/>
      <c r="O335" s="615"/>
      <c r="P335" s="615"/>
      <c r="Q335" s="615"/>
    </row>
    <row r="336" spans="1:17" ht="15.75" thickBot="1">
      <c r="A336" s="934"/>
      <c r="B336" s="506"/>
      <c r="C336" s="54" t="s">
        <v>29</v>
      </c>
      <c r="D336" s="296">
        <v>111</v>
      </c>
      <c r="E336" s="56">
        <v>7.1352000000000002</v>
      </c>
      <c r="F336" s="41">
        <f t="shared" ref="F336" si="72">+E336</f>
        <v>7.1352000000000002</v>
      </c>
      <c r="G336" s="50">
        <f t="shared" ref="G336" si="73">ROUND(D336*(E336),2)</f>
        <v>792.01</v>
      </c>
      <c r="H336" s="296"/>
      <c r="I336" s="298"/>
      <c r="J336" s="298"/>
      <c r="K336" s="637"/>
      <c r="L336" s="614"/>
      <c r="M336" s="935"/>
      <c r="N336" s="615"/>
      <c r="O336" s="615"/>
      <c r="P336" s="615"/>
      <c r="Q336" s="615"/>
    </row>
    <row r="337" spans="1:21">
      <c r="A337" s="376">
        <v>403</v>
      </c>
      <c r="B337" s="602" t="s">
        <v>279</v>
      </c>
      <c r="C337" s="618" t="s">
        <v>73</v>
      </c>
      <c r="D337" s="619">
        <v>2</v>
      </c>
      <c r="E337" s="21">
        <v>40.556600000000003</v>
      </c>
      <c r="F337" s="21">
        <v>47.5304</v>
      </c>
      <c r="G337" s="185">
        <f>ROUND(D337*(E337+F337),2)</f>
        <v>176.17</v>
      </c>
      <c r="H337" s="620"/>
      <c r="I337" s="620"/>
      <c r="J337" s="620"/>
      <c r="K337" s="620"/>
      <c r="L337" s="603">
        <f>SUM(G337:G343,J337:J343)</f>
        <v>3577.92</v>
      </c>
      <c r="M337" s="187">
        <v>3577.92</v>
      </c>
      <c r="N337" s="621"/>
      <c r="O337" s="621"/>
      <c r="P337" s="621"/>
      <c r="Q337" s="622"/>
    </row>
    <row r="338" spans="1:21">
      <c r="A338" s="936"/>
      <c r="B338" s="612"/>
      <c r="C338" s="542" t="s">
        <v>96</v>
      </c>
      <c r="D338" s="234"/>
      <c r="E338" s="38"/>
      <c r="F338" s="38"/>
      <c r="G338" s="235">
        <f>ROUND(D338*(E338+F338),2)</f>
        <v>0</v>
      </c>
      <c r="H338" s="298"/>
      <c r="I338" s="298"/>
      <c r="J338" s="298"/>
      <c r="K338" s="298"/>
      <c r="L338" s="606"/>
      <c r="M338" s="935"/>
      <c r="N338" s="615"/>
      <c r="O338" s="615"/>
      <c r="P338" s="615"/>
      <c r="Q338" s="616"/>
    </row>
    <row r="339" spans="1:21">
      <c r="A339" s="389"/>
      <c r="B339" s="516"/>
      <c r="C339" s="99" t="s">
        <v>90</v>
      </c>
      <c r="D339" s="508">
        <v>3</v>
      </c>
      <c r="E339" s="101">
        <v>461.99</v>
      </c>
      <c r="F339" s="38">
        <f>F337</f>
        <v>47.5304</v>
      </c>
      <c r="G339" s="50">
        <f>ROUND(D339*(E339+F339),2)</f>
        <v>1528.56</v>
      </c>
      <c r="H339" s="270"/>
      <c r="I339" s="41"/>
      <c r="J339" s="409"/>
      <c r="K339" s="510"/>
      <c r="L339" s="597"/>
      <c r="M339" s="99"/>
      <c r="N339" s="518"/>
      <c r="O339" s="519"/>
      <c r="P339" s="515"/>
      <c r="Q339" s="271"/>
      <c r="R339" s="502"/>
      <c r="S339" s="503"/>
      <c r="T339" s="504"/>
    </row>
    <row r="340" spans="1:21">
      <c r="A340" s="389"/>
      <c r="B340" s="506"/>
      <c r="C340" s="390" t="s">
        <v>97</v>
      </c>
      <c r="D340" s="508">
        <f>окт18!D325</f>
        <v>4</v>
      </c>
      <c r="E340" s="41">
        <f>461.99-237.98</f>
        <v>224.01000000000002</v>
      </c>
      <c r="F340" s="38"/>
      <c r="G340" s="50">
        <f>D340*(E340+F340)</f>
        <v>896.04000000000008</v>
      </c>
      <c r="H340" s="432"/>
      <c r="I340" s="362"/>
      <c r="J340" s="41"/>
      <c r="K340" s="510"/>
      <c r="L340" s="597"/>
      <c r="M340" s="99"/>
      <c r="N340" s="521"/>
      <c r="O340" s="522"/>
      <c r="P340" s="523"/>
      <c r="Q340" s="362"/>
      <c r="R340" s="502"/>
      <c r="S340" s="503"/>
      <c r="T340" s="504"/>
    </row>
    <row r="341" spans="1:21">
      <c r="A341" s="936"/>
      <c r="B341" s="612"/>
      <c r="C341" s="48" t="s">
        <v>260</v>
      </c>
      <c r="D341" s="623">
        <f>окт18!D328+окт18!D329</f>
        <v>146.19999999999999</v>
      </c>
      <c r="E341" s="41">
        <f>7.1352-7.332</f>
        <v>-0.19679999999999964</v>
      </c>
      <c r="F341" s="41">
        <f t="shared" ref="F341:F343" si="74">+E341</f>
        <v>-0.19679999999999964</v>
      </c>
      <c r="G341" s="50">
        <f>ROUND(D341*(E341),2)</f>
        <v>-28.77</v>
      </c>
      <c r="H341" s="298"/>
      <c r="I341" s="298"/>
      <c r="J341" s="298"/>
      <c r="K341" s="298"/>
      <c r="L341" s="614"/>
      <c r="M341" s="935"/>
      <c r="N341" s="615"/>
      <c r="O341" s="615"/>
      <c r="P341" s="615"/>
      <c r="Q341" s="616"/>
    </row>
    <row r="342" spans="1:21">
      <c r="A342" s="936"/>
      <c r="B342" s="612"/>
      <c r="C342" s="48" t="s">
        <v>263</v>
      </c>
      <c r="D342" s="623">
        <v>5.98</v>
      </c>
      <c r="E342" s="41">
        <v>7.1352000000000002</v>
      </c>
      <c r="F342" s="41">
        <f t="shared" si="74"/>
        <v>7.1352000000000002</v>
      </c>
      <c r="G342" s="39">
        <f t="shared" ref="G342:G343" si="75">ROUND(D342*(E342),2)</f>
        <v>42.67</v>
      </c>
      <c r="H342" s="298"/>
      <c r="I342" s="298"/>
      <c r="J342" s="298"/>
      <c r="K342" s="298"/>
      <c r="L342" s="614"/>
      <c r="M342" s="273"/>
      <c r="N342" s="615"/>
      <c r="O342" s="615"/>
      <c r="P342" s="615"/>
      <c r="Q342" s="616"/>
    </row>
    <row r="343" spans="1:21" ht="15.75" thickBot="1">
      <c r="A343" s="937"/>
      <c r="B343" s="526"/>
      <c r="C343" s="99" t="s">
        <v>29</v>
      </c>
      <c r="D343" s="995">
        <v>135</v>
      </c>
      <c r="E343" s="56">
        <v>7.1352000000000002</v>
      </c>
      <c r="F343" s="281">
        <f t="shared" si="74"/>
        <v>7.1352000000000002</v>
      </c>
      <c r="G343" s="414">
        <f t="shared" si="75"/>
        <v>963.25</v>
      </c>
      <c r="H343" s="41"/>
      <c r="I343" s="41"/>
      <c r="J343" s="281"/>
      <c r="K343" s="281"/>
      <c r="L343" s="784"/>
      <c r="M343" s="938"/>
      <c r="N343" s="626"/>
      <c r="O343" s="626"/>
      <c r="P343" s="626"/>
      <c r="Q343" s="627"/>
    </row>
    <row r="344" spans="1:21" collapsed="1">
      <c r="A344" s="353" t="s">
        <v>203</v>
      </c>
      <c r="B344" s="494" t="s">
        <v>104</v>
      </c>
      <c r="C344" s="71" t="s">
        <v>243</v>
      </c>
      <c r="D344" s="495">
        <v>19</v>
      </c>
      <c r="E344" s="21">
        <v>40.556600000000003</v>
      </c>
      <c r="F344" s="21">
        <v>47.5304</v>
      </c>
      <c r="G344" s="185">
        <f>ROUND(D344*(E344+F344),2)</f>
        <v>1673.65</v>
      </c>
      <c r="H344" s="496"/>
      <c r="I344" s="73"/>
      <c r="J344" s="73"/>
      <c r="K344" s="497"/>
      <c r="L344" s="439">
        <f>SUM(G344:G351)+SUM(J344:J350)</f>
        <v>19009.219999999998</v>
      </c>
      <c r="M344" s="26">
        <v>19009.22</v>
      </c>
      <c r="N344" s="499"/>
      <c r="O344" s="500"/>
      <c r="P344" s="501" t="s">
        <v>87</v>
      </c>
      <c r="Q344" s="185" t="e">
        <f t="shared" ref="Q344" si="76">C344+G344+J344-M344-N344-O344</f>
        <v>#VALUE!</v>
      </c>
      <c r="R344" s="502" t="s">
        <v>88</v>
      </c>
      <c r="S344" s="503"/>
      <c r="T344" s="504"/>
    </row>
    <row r="345" spans="1:21" ht="15.75" thickBot="1">
      <c r="A345" s="934">
        <v>417</v>
      </c>
      <c r="B345" s="506"/>
      <c r="C345" s="599" t="s">
        <v>96</v>
      </c>
      <c r="D345" s="234"/>
      <c r="E345" s="38"/>
      <c r="F345" s="38"/>
      <c r="G345" s="235">
        <f>ROUND(D345*(E345+F345),2)</f>
        <v>0</v>
      </c>
      <c r="H345" s="448"/>
      <c r="I345" s="509"/>
      <c r="J345" s="409"/>
      <c r="K345" s="510"/>
      <c r="L345" s="48"/>
      <c r="M345" s="512"/>
      <c r="N345" s="513"/>
      <c r="O345" s="514"/>
      <c r="P345" s="515"/>
      <c r="Q345" s="262"/>
      <c r="R345" s="502"/>
      <c r="S345" s="503"/>
      <c r="T345" s="504"/>
    </row>
    <row r="346" spans="1:21">
      <c r="A346" s="934"/>
      <c r="B346" s="516" t="s">
        <v>89</v>
      </c>
      <c r="C346" s="512" t="s">
        <v>90</v>
      </c>
      <c r="D346" s="508">
        <v>0</v>
      </c>
      <c r="E346" s="101">
        <v>461.99</v>
      </c>
      <c r="F346" s="21">
        <f>F33</f>
        <v>47.5304</v>
      </c>
      <c r="G346" s="50">
        <f>ROUND(D346*(E346+F346),2)</f>
        <v>0</v>
      </c>
      <c r="H346" s="270"/>
      <c r="I346" s="41"/>
      <c r="J346" s="409"/>
      <c r="K346" s="510"/>
      <c r="L346" s="600"/>
      <c r="M346" s="99"/>
      <c r="N346" s="518"/>
      <c r="O346" s="519"/>
      <c r="P346" s="515" t="s">
        <v>87</v>
      </c>
      <c r="Q346" s="271">
        <f>+G346+J346-M346-N346-O346</f>
        <v>0</v>
      </c>
      <c r="R346" s="502" t="s">
        <v>88</v>
      </c>
      <c r="S346" s="503"/>
      <c r="T346" s="504"/>
    </row>
    <row r="347" spans="1:21">
      <c r="A347" s="934"/>
      <c r="B347" s="541"/>
      <c r="C347" s="84" t="s">
        <v>97</v>
      </c>
      <c r="D347" s="508"/>
      <c r="E347" s="41"/>
      <c r="F347" s="38"/>
      <c r="G347" s="50">
        <f>ROUND(D347*(E347+F347),2)</f>
        <v>0</v>
      </c>
      <c r="H347" s="432"/>
      <c r="I347" s="362"/>
      <c r="J347" s="41"/>
      <c r="K347" s="510"/>
      <c r="L347" s="600"/>
      <c r="M347" s="520"/>
      <c r="N347" s="521"/>
      <c r="O347" s="522"/>
      <c r="P347" s="523"/>
      <c r="Q347" s="362"/>
      <c r="R347" s="502"/>
      <c r="S347" s="503"/>
      <c r="T347" s="504"/>
    </row>
    <row r="348" spans="1:21">
      <c r="A348" s="934"/>
      <c r="B348" s="541"/>
      <c r="C348" s="84" t="s">
        <v>97</v>
      </c>
      <c r="D348" s="508"/>
      <c r="E348" s="41"/>
      <c r="F348" s="41"/>
      <c r="G348" s="50">
        <f>D348*(E348+F348)</f>
        <v>0</v>
      </c>
      <c r="H348" s="432"/>
      <c r="I348" s="362"/>
      <c r="J348" s="41"/>
      <c r="K348" s="510"/>
      <c r="L348" s="600"/>
      <c r="M348" s="520"/>
      <c r="N348" s="521"/>
      <c r="O348" s="522"/>
      <c r="P348" s="523"/>
      <c r="Q348" s="362"/>
      <c r="R348" s="502"/>
      <c r="S348" s="503"/>
      <c r="T348" s="504"/>
    </row>
    <row r="349" spans="1:21">
      <c r="A349" s="934"/>
      <c r="B349" s="506"/>
      <c r="C349" s="48" t="s">
        <v>260</v>
      </c>
      <c r="D349" s="37">
        <f>окт18!D336+окт18!D337</f>
        <v>2630.59</v>
      </c>
      <c r="E349" s="41">
        <f>7.1352-7.332</f>
        <v>-0.19679999999999964</v>
      </c>
      <c r="F349" s="297">
        <f t="shared" ref="F349:F351" si="77">+E349</f>
        <v>-0.19679999999999964</v>
      </c>
      <c r="G349" s="39">
        <f>ROUND(D349*(E349),2)</f>
        <v>-517.70000000000005</v>
      </c>
      <c r="H349" s="432"/>
      <c r="I349" s="362"/>
      <c r="J349" s="41"/>
      <c r="K349" s="510"/>
      <c r="L349" s="600"/>
      <c r="M349" s="520"/>
      <c r="N349" s="521"/>
      <c r="O349" s="522"/>
      <c r="P349" s="523"/>
      <c r="Q349" s="362"/>
      <c r="R349" s="502"/>
      <c r="S349" s="503"/>
      <c r="T349" s="504"/>
    </row>
    <row r="350" spans="1:21">
      <c r="A350" s="934"/>
      <c r="B350" s="506"/>
      <c r="C350" s="48" t="s">
        <v>263</v>
      </c>
      <c r="D350" s="37">
        <v>106.14</v>
      </c>
      <c r="E350" s="41">
        <v>7.1352000000000002</v>
      </c>
      <c r="F350" s="298">
        <f t="shared" si="77"/>
        <v>7.1352000000000002</v>
      </c>
      <c r="G350" s="39">
        <f>ROUND(D350*(E350),2)</f>
        <v>757.33</v>
      </c>
      <c r="H350" s="432"/>
      <c r="I350" s="362"/>
      <c r="J350" s="41"/>
      <c r="K350" s="510"/>
      <c r="L350" s="600"/>
      <c r="M350" s="520"/>
      <c r="N350" s="521"/>
      <c r="O350" s="522"/>
      <c r="P350" s="523"/>
      <c r="Q350" s="362"/>
      <c r="R350" s="502"/>
      <c r="S350" s="503"/>
      <c r="T350" s="504"/>
      <c r="U350" s="33"/>
    </row>
    <row r="351" spans="1:21" ht="15.75" thickBot="1">
      <c r="A351" s="934"/>
      <c r="B351" s="526"/>
      <c r="C351" s="99" t="s">
        <v>29</v>
      </c>
      <c r="D351" s="55">
        <v>2396</v>
      </c>
      <c r="E351" s="56">
        <v>7.1352000000000002</v>
      </c>
      <c r="F351" s="57">
        <f t="shared" si="77"/>
        <v>7.1352000000000002</v>
      </c>
      <c r="G351" s="414">
        <f>ROUND(D351*(E351),2)</f>
        <v>17095.939999999999</v>
      </c>
      <c r="H351" s="248"/>
      <c r="I351" s="203"/>
      <c r="J351" s="60"/>
      <c r="K351" s="61"/>
      <c r="L351" s="204"/>
      <c r="M351" s="54"/>
      <c r="N351" s="527"/>
      <c r="O351" s="528"/>
      <c r="P351" s="529" t="s">
        <v>87</v>
      </c>
      <c r="Q351" s="362">
        <f>+G351+J351-M351-N351-O351</f>
        <v>17095.939999999999</v>
      </c>
      <c r="R351" s="502" t="s">
        <v>88</v>
      </c>
      <c r="S351" s="598">
        <f>SUM(N344:N351)+O344:O351</f>
        <v>0</v>
      </c>
      <c r="T351" s="598" t="e">
        <f>SUM(Q344:Q351)</f>
        <v>#VALUE!</v>
      </c>
    </row>
    <row r="352" spans="1:21">
      <c r="A352" s="376">
        <v>407</v>
      </c>
      <c r="B352" s="494" t="s">
        <v>108</v>
      </c>
      <c r="C352" s="71">
        <f>+[1]дек!U87</f>
        <v>0</v>
      </c>
      <c r="D352" s="495">
        <v>5</v>
      </c>
      <c r="E352" s="21">
        <v>40.556600000000003</v>
      </c>
      <c r="F352" s="21">
        <v>47.5304</v>
      </c>
      <c r="G352" s="185">
        <f>ROUND(D352*(E352+F352),2)</f>
        <v>440.44</v>
      </c>
      <c r="H352" s="496"/>
      <c r="I352" s="73"/>
      <c r="J352" s="73"/>
      <c r="K352" s="497"/>
      <c r="L352" s="498">
        <f>SUM(G352:G358)+SUM(J352:J357)</f>
        <v>3521.98</v>
      </c>
      <c r="M352" s="26">
        <v>3521.98</v>
      </c>
      <c r="N352" s="499"/>
      <c r="O352" s="500"/>
      <c r="P352" s="501" t="s">
        <v>87</v>
      </c>
      <c r="Q352" s="304">
        <f t="shared" ref="Q352:Q354" si="78">C352+G352+J352-M352-N352-O352</f>
        <v>-3081.54</v>
      </c>
    </row>
    <row r="353" spans="1:21">
      <c r="A353" s="389"/>
      <c r="B353" s="506"/>
      <c r="C353" s="542" t="s">
        <v>96</v>
      </c>
      <c r="D353" s="234"/>
      <c r="E353" s="38"/>
      <c r="F353" s="38"/>
      <c r="G353" s="235">
        <f>ROUND(D353*(E353+F353),2)</f>
        <v>0</v>
      </c>
      <c r="H353" s="448"/>
      <c r="I353" s="509"/>
      <c r="J353" s="409"/>
      <c r="K353" s="510"/>
      <c r="L353" s="632"/>
      <c r="M353" s="512"/>
      <c r="N353" s="513"/>
      <c r="O353" s="514"/>
      <c r="P353" s="515"/>
      <c r="Q353" s="262"/>
    </row>
    <row r="354" spans="1:21">
      <c r="A354" s="389"/>
      <c r="B354" s="516" t="s">
        <v>109</v>
      </c>
      <c r="C354" s="633"/>
      <c r="D354" s="508">
        <v>0</v>
      </c>
      <c r="E354" s="101">
        <v>461.99</v>
      </c>
      <c r="F354" s="38">
        <f>F352</f>
        <v>47.5304</v>
      </c>
      <c r="G354" s="50">
        <f>D354*(E354+F354)</f>
        <v>0</v>
      </c>
      <c r="H354" s="270"/>
      <c r="I354" s="41"/>
      <c r="J354" s="409"/>
      <c r="K354" s="510"/>
      <c r="L354" s="597"/>
      <c r="M354" s="99"/>
      <c r="N354" s="518"/>
      <c r="O354" s="519"/>
      <c r="P354" s="515" t="s">
        <v>87</v>
      </c>
      <c r="Q354" s="271">
        <f t="shared" si="78"/>
        <v>0</v>
      </c>
    </row>
    <row r="355" spans="1:21">
      <c r="A355" s="389"/>
      <c r="B355" s="541"/>
      <c r="C355" s="84" t="s">
        <v>97</v>
      </c>
      <c r="D355" s="508">
        <f>окт18!D340</f>
        <v>0</v>
      </c>
      <c r="E355" s="41">
        <f>461.99-237.98</f>
        <v>224.01000000000002</v>
      </c>
      <c r="F355" s="41"/>
      <c r="G355" s="50">
        <f>D355*(E355+F355)</f>
        <v>0</v>
      </c>
      <c r="H355" s="432"/>
      <c r="I355" s="362"/>
      <c r="J355" s="207"/>
      <c r="K355" s="510"/>
      <c r="L355" s="597"/>
      <c r="M355" s="520"/>
      <c r="N355" s="521"/>
      <c r="O355" s="522"/>
      <c r="P355" s="523"/>
      <c r="Q355" s="362"/>
    </row>
    <row r="356" spans="1:21">
      <c r="A356" s="389"/>
      <c r="B356" s="506"/>
      <c r="C356" s="48" t="s">
        <v>260</v>
      </c>
      <c r="D356" s="37">
        <f>окт18!D343+окт18!D344</f>
        <v>470.98</v>
      </c>
      <c r="E356" s="41">
        <f>7.1352-7.332</f>
        <v>-0.19679999999999964</v>
      </c>
      <c r="F356" s="41">
        <f>+E356</f>
        <v>-0.19679999999999964</v>
      </c>
      <c r="G356" s="39">
        <f>ROUND(D356*(E356),2)-0.01</f>
        <v>-92.7</v>
      </c>
      <c r="H356" s="432"/>
      <c r="I356" s="362"/>
      <c r="J356" s="207"/>
      <c r="K356" s="510"/>
      <c r="L356" s="597"/>
      <c r="M356" s="520"/>
      <c r="N356" s="521"/>
      <c r="O356" s="522"/>
      <c r="P356" s="523"/>
      <c r="Q356" s="362"/>
    </row>
    <row r="357" spans="1:21">
      <c r="A357" s="389"/>
      <c r="B357" s="506"/>
      <c r="C357" s="48" t="s">
        <v>263</v>
      </c>
      <c r="D357" s="37">
        <v>18.87</v>
      </c>
      <c r="E357" s="41">
        <v>7.1352000000000002</v>
      </c>
      <c r="F357" s="41">
        <f>+E357</f>
        <v>7.1352000000000002</v>
      </c>
      <c r="G357" s="39">
        <f t="shared" ref="G357:G358" si="79">ROUND(D357*(E357),2)</f>
        <v>134.63999999999999</v>
      </c>
      <c r="H357" s="432"/>
      <c r="I357" s="362"/>
      <c r="J357" s="207"/>
      <c r="K357" s="510"/>
      <c r="L357" s="597"/>
      <c r="M357" s="520"/>
      <c r="N357" s="521"/>
      <c r="O357" s="522"/>
      <c r="P357" s="523"/>
      <c r="Q357" s="362"/>
    </row>
    <row r="358" spans="1:21" ht="15.75" thickBot="1">
      <c r="A358" s="411"/>
      <c r="B358" s="526"/>
      <c r="C358" s="54" t="s">
        <v>29</v>
      </c>
      <c r="D358" s="55">
        <v>426</v>
      </c>
      <c r="E358" s="56">
        <v>7.1352000000000002</v>
      </c>
      <c r="F358" s="281">
        <f>+E358</f>
        <v>7.1352000000000002</v>
      </c>
      <c r="G358" s="414">
        <f t="shared" si="79"/>
        <v>3039.6</v>
      </c>
      <c r="H358" s="248"/>
      <c r="I358" s="203"/>
      <c r="J358" s="60"/>
      <c r="K358" s="61"/>
      <c r="L358" s="249"/>
      <c r="M358" s="54"/>
      <c r="N358" s="527"/>
      <c r="O358" s="528"/>
      <c r="P358" s="529" t="s">
        <v>87</v>
      </c>
      <c r="Q358" s="282">
        <f>+G358+J358-M358-N358-O358</f>
        <v>3039.6</v>
      </c>
    </row>
    <row r="359" spans="1:21" collapsed="1">
      <c r="A359" s="376">
        <v>411</v>
      </c>
      <c r="B359" s="602" t="s">
        <v>127</v>
      </c>
      <c r="C359" s="439" t="s">
        <v>260</v>
      </c>
      <c r="D359" s="184">
        <f>окт18!D346+окт18!D347</f>
        <v>573.32000000000005</v>
      </c>
      <c r="E359" s="23">
        <f>7.1352-7.332</f>
        <v>-0.19679999999999964</v>
      </c>
      <c r="F359" s="23">
        <f t="shared" ref="F359" si="80">+E359</f>
        <v>-0.19679999999999964</v>
      </c>
      <c r="G359" s="185">
        <f>ROUND(D359*(E359),2)</f>
        <v>-112.83</v>
      </c>
      <c r="H359" s="669"/>
      <c r="I359" s="620"/>
      <c r="J359" s="620"/>
      <c r="K359" s="634"/>
      <c r="L359" s="603">
        <f>SUM(G359:G362)</f>
        <v>3769.29</v>
      </c>
      <c r="M359" s="187">
        <v>3769.29</v>
      </c>
      <c r="N359" s="604"/>
      <c r="O359" s="635"/>
      <c r="P359" s="636"/>
      <c r="Q359" s="605"/>
    </row>
    <row r="360" spans="1:21">
      <c r="A360" s="934"/>
      <c r="B360" s="506"/>
      <c r="C360" s="48" t="s">
        <v>263</v>
      </c>
      <c r="D360" s="49">
        <v>23.08</v>
      </c>
      <c r="E360" s="41">
        <v>7.1352000000000002</v>
      </c>
      <c r="F360" s="41">
        <f>+E360</f>
        <v>7.1352000000000002</v>
      </c>
      <c r="G360" s="50">
        <f>ROUND(D360*(E360),2)</f>
        <v>164.68</v>
      </c>
      <c r="H360" s="296"/>
      <c r="I360" s="298"/>
      <c r="J360" s="298"/>
      <c r="K360" s="637"/>
      <c r="L360" s="606"/>
      <c r="M360" s="935"/>
      <c r="N360" s="607"/>
      <c r="O360" s="608"/>
      <c r="P360" s="609"/>
      <c r="Q360" s="610"/>
    </row>
    <row r="361" spans="1:21">
      <c r="A361" s="934"/>
      <c r="B361" s="506"/>
      <c r="C361" s="99" t="s">
        <v>29</v>
      </c>
      <c r="D361" s="296">
        <v>521</v>
      </c>
      <c r="E361" s="101">
        <v>7.1352000000000002</v>
      </c>
      <c r="F361" s="41">
        <f t="shared" ref="F361" si="81">+E361</f>
        <v>7.1352000000000002</v>
      </c>
      <c r="G361" s="50">
        <f t="shared" ref="G361" si="82">ROUND(D361*(E361),2)</f>
        <v>3717.44</v>
      </c>
      <c r="H361" s="296"/>
      <c r="I361" s="298"/>
      <c r="J361" s="298"/>
      <c r="K361" s="637"/>
      <c r="L361" s="606"/>
      <c r="M361" s="935"/>
      <c r="N361" s="615"/>
      <c r="O361" s="615"/>
      <c r="P361" s="615"/>
      <c r="Q361" s="616"/>
    </row>
    <row r="362" spans="1:21" ht="15.75" thickBot="1">
      <c r="A362" s="942"/>
      <c r="B362" s="278"/>
      <c r="C362" s="784"/>
      <c r="D362" s="941"/>
      <c r="E362" s="281"/>
      <c r="F362" s="57"/>
      <c r="G362" s="58"/>
      <c r="H362" s="613"/>
      <c r="I362" s="57"/>
      <c r="J362" s="57"/>
      <c r="K362" s="637"/>
      <c r="L362" s="606"/>
      <c r="M362" s="935"/>
      <c r="N362" s="615"/>
      <c r="O362" s="615"/>
      <c r="P362" s="615"/>
      <c r="Q362" s="615"/>
    </row>
    <row r="363" spans="1:21">
      <c r="A363" s="376">
        <v>501</v>
      </c>
      <c r="B363" s="494" t="s">
        <v>202</v>
      </c>
      <c r="C363" s="71"/>
      <c r="D363" s="495">
        <v>30</v>
      </c>
      <c r="E363" s="21">
        <v>40.556600000000003</v>
      </c>
      <c r="F363" s="21">
        <v>47.5304</v>
      </c>
      <c r="G363" s="185">
        <f>ROUND(D363*(E363+F363),2)</f>
        <v>2642.61</v>
      </c>
      <c r="H363" s="496"/>
      <c r="I363" s="73"/>
      <c r="J363" s="73"/>
      <c r="K363" s="497"/>
      <c r="L363" s="498">
        <f>+SUM(G363:G370,C370)+SUM(J363:J370)</f>
        <v>64967.402800000003</v>
      </c>
      <c r="M363" s="26">
        <v>64967.4</v>
      </c>
      <c r="N363" s="499"/>
      <c r="O363" s="500"/>
      <c r="P363" s="501" t="s">
        <v>87</v>
      </c>
      <c r="Q363" s="304">
        <f t="shared" ref="Q363:Q380" si="83">C363+G363+J363-M363-N363-O363</f>
        <v>-62324.79</v>
      </c>
      <c r="R363" s="502" t="s">
        <v>88</v>
      </c>
      <c r="S363" s="503"/>
      <c r="T363" s="504"/>
      <c r="U363" s="33"/>
    </row>
    <row r="364" spans="1:21">
      <c r="A364" s="389"/>
      <c r="B364" s="506"/>
      <c r="C364" s="507" t="s">
        <v>264</v>
      </c>
      <c r="D364" s="508"/>
      <c r="E364" s="38"/>
      <c r="F364" s="38"/>
      <c r="G364" s="50">
        <f>ROUND(D364*(E364+F364),2)</f>
        <v>0</v>
      </c>
      <c r="H364" s="448"/>
      <c r="I364" s="509"/>
      <c r="J364" s="409"/>
      <c r="K364" s="510"/>
      <c r="L364" s="511"/>
      <c r="M364" s="512"/>
      <c r="N364" s="513"/>
      <c r="O364" s="514"/>
      <c r="P364" s="515"/>
      <c r="Q364" s="262"/>
      <c r="R364" s="502"/>
      <c r="S364" s="503"/>
      <c r="T364" s="504"/>
      <c r="U364" s="33"/>
    </row>
    <row r="365" spans="1:21">
      <c r="A365" s="389"/>
      <c r="B365" s="516" t="s">
        <v>89</v>
      </c>
      <c r="C365" s="512" t="s">
        <v>90</v>
      </c>
      <c r="D365" s="508">
        <v>7</v>
      </c>
      <c r="E365" s="101">
        <v>461.99</v>
      </c>
      <c r="F365" s="38">
        <f>F363</f>
        <v>47.5304</v>
      </c>
      <c r="G365" s="50">
        <f>D365*(E365+F365)</f>
        <v>3566.6428000000001</v>
      </c>
      <c r="H365" s="270"/>
      <c r="I365" s="41"/>
      <c r="J365" s="409"/>
      <c r="K365" s="510"/>
      <c r="L365" s="517"/>
      <c r="M365" s="99"/>
      <c r="N365" s="518"/>
      <c r="O365" s="519"/>
      <c r="P365" s="515" t="s">
        <v>87</v>
      </c>
      <c r="Q365" s="271">
        <f>+G365+J365-M365-N365-O365</f>
        <v>3566.6428000000001</v>
      </c>
      <c r="R365" s="502" t="s">
        <v>88</v>
      </c>
      <c r="S365" s="503"/>
      <c r="T365" s="504"/>
    </row>
    <row r="366" spans="1:21">
      <c r="A366" s="389"/>
      <c r="B366" s="506" t="s">
        <v>91</v>
      </c>
      <c r="C366" s="507"/>
      <c r="D366" s="508">
        <f>окт18!D351</f>
        <v>7</v>
      </c>
      <c r="E366" s="41">
        <f>461.99-237.98</f>
        <v>224.01000000000002</v>
      </c>
      <c r="F366" s="38"/>
      <c r="G366" s="50">
        <f>ROUND(D366*(E366+F366),2)</f>
        <v>1568.07</v>
      </c>
      <c r="H366" s="432"/>
      <c r="I366" s="362"/>
      <c r="J366" s="409"/>
      <c r="K366" s="510"/>
      <c r="L366" s="517"/>
      <c r="M366" s="520"/>
      <c r="N366" s="521"/>
      <c r="O366" s="522"/>
      <c r="P366" s="523"/>
      <c r="Q366" s="362"/>
      <c r="R366" s="502"/>
      <c r="S366" s="503"/>
      <c r="T366" s="504"/>
    </row>
    <row r="367" spans="1:21">
      <c r="A367" s="389"/>
      <c r="B367" s="506" t="s">
        <v>91</v>
      </c>
      <c r="C367" s="507"/>
      <c r="D367" s="508"/>
      <c r="E367" s="38"/>
      <c r="F367" s="41"/>
      <c r="G367" s="50">
        <f>D367*(E367+F367)</f>
        <v>0</v>
      </c>
      <c r="H367" s="432"/>
      <c r="I367" s="362"/>
      <c r="J367" s="409"/>
      <c r="K367" s="510"/>
      <c r="L367" s="517"/>
      <c r="M367" s="520"/>
      <c r="N367" s="521"/>
      <c r="O367" s="522"/>
      <c r="P367" s="523"/>
      <c r="Q367" s="362"/>
      <c r="R367" s="502"/>
      <c r="S367" s="503"/>
      <c r="T367" s="504"/>
    </row>
    <row r="368" spans="1:21">
      <c r="A368" s="389"/>
      <c r="B368" s="506" t="s">
        <v>92</v>
      </c>
      <c r="C368" s="48" t="s">
        <v>260</v>
      </c>
      <c r="D368" s="508">
        <f>окт18!D355+окт18!D356</f>
        <v>8852.5300000000007</v>
      </c>
      <c r="E368" s="41">
        <f>7.1352-7.332</f>
        <v>-0.19679999999999964</v>
      </c>
      <c r="F368" s="41">
        <f>+E368</f>
        <v>-0.19679999999999964</v>
      </c>
      <c r="G368" s="39">
        <f>ROUNDDOWN(D368*E368,2)-0.01</f>
        <v>-1742.18</v>
      </c>
      <c r="H368" s="432"/>
      <c r="I368" s="362"/>
      <c r="J368" s="41"/>
      <c r="K368" s="510"/>
      <c r="L368" s="517"/>
      <c r="M368" s="520"/>
      <c r="N368" s="521"/>
      <c r="O368" s="522"/>
      <c r="P368" s="523"/>
      <c r="Q368" s="362"/>
      <c r="R368" s="502"/>
      <c r="S368" s="503"/>
      <c r="T368" s="504"/>
    </row>
    <row r="369" spans="1:21">
      <c r="A369" s="389"/>
      <c r="B369" s="506"/>
      <c r="C369" s="48" t="s">
        <v>263</v>
      </c>
      <c r="D369" s="508">
        <v>350.37</v>
      </c>
      <c r="E369" s="41">
        <v>7.1352000000000002</v>
      </c>
      <c r="F369" s="41">
        <f>+E369</f>
        <v>7.1352000000000002</v>
      </c>
      <c r="G369" s="39">
        <f>ROUND(D369*E369,2)</f>
        <v>2499.96</v>
      </c>
      <c r="H369" s="432"/>
      <c r="I369" s="362"/>
      <c r="J369" s="207"/>
      <c r="K369" s="524"/>
      <c r="L369" s="517"/>
      <c r="M369" s="520"/>
      <c r="N369" s="521"/>
      <c r="O369" s="522"/>
      <c r="P369" s="523"/>
      <c r="Q369" s="362"/>
      <c r="R369" s="502"/>
      <c r="S369" s="503"/>
      <c r="T369" s="504"/>
    </row>
    <row r="370" spans="1:21" ht="15.75" thickBot="1">
      <c r="A370" s="411"/>
      <c r="B370" s="526"/>
      <c r="C370" s="99" t="s">
        <v>29</v>
      </c>
      <c r="D370" s="55">
        <v>7909</v>
      </c>
      <c r="E370" s="56">
        <v>7.1352000000000002</v>
      </c>
      <c r="F370" s="57">
        <f>+E370</f>
        <v>7.1352000000000002</v>
      </c>
      <c r="G370" s="58">
        <f>ROUND(D370*E370,2)</f>
        <v>56432.3</v>
      </c>
      <c r="H370" s="248"/>
      <c r="I370" s="203"/>
      <c r="J370" s="60"/>
      <c r="K370" s="61"/>
      <c r="L370" s="249"/>
      <c r="M370" s="54"/>
      <c r="N370" s="527"/>
      <c r="O370" s="528"/>
      <c r="P370" s="529" t="s">
        <v>87</v>
      </c>
      <c r="Q370" s="282">
        <f>+G370+J370-M370-N370-O370</f>
        <v>56432.3</v>
      </c>
      <c r="R370" s="530" t="s">
        <v>88</v>
      </c>
      <c r="S370" s="531">
        <f>SUM(N363:N370)+O363:O370</f>
        <v>0</v>
      </c>
      <c r="T370" s="531">
        <f>SUM(Q363:Q370)</f>
        <v>-2325.8471999999965</v>
      </c>
      <c r="U370" s="33"/>
    </row>
    <row r="371" spans="1:21" ht="15.75" thickTop="1">
      <c r="A371" s="339">
        <v>502</v>
      </c>
      <c r="B371" s="532" t="s">
        <v>192</v>
      </c>
      <c r="C371" s="71">
        <f>+[1]дек!U51</f>
        <v>-6.0000000303261913E-4</v>
      </c>
      <c r="D371" s="213">
        <v>39</v>
      </c>
      <c r="E371" s="21">
        <v>40.556600000000003</v>
      </c>
      <c r="F371" s="21">
        <v>47.5304</v>
      </c>
      <c r="G371" s="214">
        <f>ROUND(D371*(E371+F371),2)</f>
        <v>3435.39</v>
      </c>
      <c r="H371" s="496"/>
      <c r="I371" s="73"/>
      <c r="J371" s="73"/>
      <c r="K371" s="497"/>
      <c r="L371" s="533">
        <f>+SUM(G371:G378,)+SUM(J371:J378)</f>
        <v>53724.46</v>
      </c>
      <c r="M371" s="26">
        <v>53724.46</v>
      </c>
      <c r="N371" s="534"/>
      <c r="O371" s="535"/>
      <c r="P371" s="536" t="s">
        <v>87</v>
      </c>
      <c r="Q371" s="537">
        <f t="shared" si="83"/>
        <v>-50289.070599999999</v>
      </c>
      <c r="R371" s="538" t="s">
        <v>95</v>
      </c>
      <c r="S371" s="539"/>
      <c r="T371" s="540"/>
      <c r="U371" s="33"/>
    </row>
    <row r="372" spans="1:21">
      <c r="A372" s="353"/>
      <c r="B372" s="541"/>
      <c r="C372" s="542" t="s">
        <v>96</v>
      </c>
      <c r="D372" s="234"/>
      <c r="E372" s="38"/>
      <c r="F372" s="38"/>
      <c r="G372" s="235">
        <f>ROUND(D372*(E372+F372),2)</f>
        <v>0</v>
      </c>
      <c r="H372" s="448"/>
      <c r="I372" s="509"/>
      <c r="J372" s="509"/>
      <c r="K372" s="543"/>
      <c r="L372" s="544"/>
      <c r="M372" s="545"/>
      <c r="N372" s="546"/>
      <c r="O372" s="547"/>
      <c r="P372" s="548"/>
      <c r="Q372" s="549"/>
      <c r="R372" s="550"/>
      <c r="S372" s="551"/>
      <c r="T372" s="552"/>
      <c r="U372" s="33"/>
    </row>
    <row r="373" spans="1:21">
      <c r="A373" s="353"/>
      <c r="B373" s="516" t="s">
        <v>32</v>
      </c>
      <c r="C373" s="99" t="s">
        <v>90</v>
      </c>
      <c r="D373" s="234">
        <v>23</v>
      </c>
      <c r="E373" s="101">
        <v>461.99</v>
      </c>
      <c r="F373" s="38">
        <f>F371</f>
        <v>47.5304</v>
      </c>
      <c r="G373" s="235">
        <f>ROUND(D373*(E373+F373),2)</f>
        <v>11718.97</v>
      </c>
      <c r="H373" s="270"/>
      <c r="I373" s="41"/>
      <c r="J373" s="41"/>
      <c r="K373" s="510"/>
      <c r="L373" s="553"/>
      <c r="M373" s="554"/>
      <c r="N373" s="555"/>
      <c r="O373" s="556"/>
      <c r="P373" s="557" t="s">
        <v>87</v>
      </c>
      <c r="Q373" s="558">
        <f>+G373+J373-M373-N373-O373</f>
        <v>11718.97</v>
      </c>
      <c r="R373" s="550" t="s">
        <v>95</v>
      </c>
      <c r="S373" s="551"/>
      <c r="T373" s="552"/>
    </row>
    <row r="374" spans="1:21">
      <c r="A374" s="353"/>
      <c r="B374" s="541"/>
      <c r="C374" s="84" t="s">
        <v>97</v>
      </c>
      <c r="D374" s="234">
        <f>окт18!D359</f>
        <v>27</v>
      </c>
      <c r="E374" s="41">
        <f>461.99-237.98</f>
        <v>224.01000000000002</v>
      </c>
      <c r="F374" s="38"/>
      <c r="G374" s="50">
        <f>ROUND(D374*(E374+F374),2)</f>
        <v>6048.27</v>
      </c>
      <c r="H374" s="432"/>
      <c r="I374" s="362"/>
      <c r="J374" s="41"/>
      <c r="K374" s="510"/>
      <c r="L374" s="559"/>
      <c r="M374" s="560"/>
      <c r="N374" s="561"/>
      <c r="O374" s="562"/>
      <c r="P374" s="563"/>
      <c r="Q374" s="564"/>
      <c r="R374" s="550"/>
      <c r="S374" s="551"/>
      <c r="T374" s="552"/>
    </row>
    <row r="375" spans="1:21">
      <c r="A375" s="353"/>
      <c r="B375" s="541"/>
      <c r="C375" s="84" t="s">
        <v>97</v>
      </c>
      <c r="D375" s="234"/>
      <c r="E375" s="38"/>
      <c r="F375" s="240"/>
      <c r="G375" s="50">
        <f>D375*(E375+F375)</f>
        <v>0</v>
      </c>
      <c r="H375" s="432"/>
      <c r="I375" s="362"/>
      <c r="J375" s="41"/>
      <c r="K375" s="510"/>
      <c r="L375" s="559"/>
      <c r="M375" s="560"/>
      <c r="N375" s="561"/>
      <c r="O375" s="562"/>
      <c r="P375" s="563"/>
      <c r="Q375" s="564"/>
      <c r="R375" s="550"/>
      <c r="S375" s="551"/>
      <c r="T375" s="552"/>
    </row>
    <row r="376" spans="1:21">
      <c r="A376" s="353"/>
      <c r="B376" s="541"/>
      <c r="C376" s="48" t="s">
        <v>260</v>
      </c>
      <c r="D376" s="37">
        <f>окт18!D363+окт18!D364</f>
        <v>5656.97</v>
      </c>
      <c r="E376" s="41">
        <f>7.1352-7.332</f>
        <v>-0.19679999999999964</v>
      </c>
      <c r="F376" s="41">
        <f>+E376</f>
        <v>-0.19679999999999964</v>
      </c>
      <c r="G376" s="235">
        <f>ROUND(D376*E376,2)</f>
        <v>-1113.29</v>
      </c>
      <c r="H376" s="565"/>
      <c r="I376" s="564"/>
      <c r="J376" s="566"/>
      <c r="K376" s="567"/>
      <c r="L376" s="559"/>
      <c r="M376" s="560"/>
      <c r="N376" s="561"/>
      <c r="O376" s="562"/>
      <c r="P376" s="563"/>
      <c r="Q376" s="564"/>
      <c r="R376" s="550"/>
      <c r="S376" s="551"/>
      <c r="T376" s="552"/>
      <c r="U376" s="352"/>
    </row>
    <row r="377" spans="1:21">
      <c r="A377" s="353"/>
      <c r="B377" s="541"/>
      <c r="C377" s="48" t="s">
        <v>263</v>
      </c>
      <c r="D377" s="37">
        <v>199.97</v>
      </c>
      <c r="E377" s="41">
        <v>7.1352000000000002</v>
      </c>
      <c r="F377" s="41">
        <f>+E377</f>
        <v>7.1352000000000002</v>
      </c>
      <c r="G377" s="235">
        <f>ROUND(D377*E377,2)</f>
        <v>1426.83</v>
      </c>
      <c r="H377" s="565"/>
      <c r="I377" s="564"/>
      <c r="J377" s="566"/>
      <c r="K377" s="567"/>
      <c r="L377" s="559"/>
      <c r="M377" s="560"/>
      <c r="N377" s="561"/>
      <c r="O377" s="562"/>
      <c r="P377" s="563"/>
      <c r="Q377" s="564"/>
      <c r="R377" s="550"/>
      <c r="S377" s="551"/>
      <c r="T377" s="552"/>
      <c r="U377" s="33"/>
    </row>
    <row r="378" spans="1:21" ht="15.75" thickBot="1">
      <c r="A378" s="369"/>
      <c r="B378" s="568"/>
      <c r="C378" s="99" t="s">
        <v>29</v>
      </c>
      <c r="D378" s="246">
        <v>4514</v>
      </c>
      <c r="E378" s="56">
        <v>7.1352000000000002</v>
      </c>
      <c r="F378" s="57">
        <f>+E378</f>
        <v>7.1352000000000002</v>
      </c>
      <c r="G378" s="247">
        <f>ROUND(D378*E378,2)</f>
        <v>32208.29</v>
      </c>
      <c r="H378" s="248"/>
      <c r="I378" s="203"/>
      <c r="J378" s="60"/>
      <c r="K378" s="61"/>
      <c r="L378" s="204"/>
      <c r="M378" s="560"/>
      <c r="N378" s="561"/>
      <c r="O378" s="528"/>
      <c r="P378" s="529" t="s">
        <v>87</v>
      </c>
      <c r="Q378" s="564">
        <f>+G378+J378-M378-N378-O378</f>
        <v>32208.29</v>
      </c>
      <c r="R378" s="550" t="s">
        <v>95</v>
      </c>
      <c r="S378" s="569">
        <f>SUM(N371:N378)+O371:O378</f>
        <v>0</v>
      </c>
      <c r="T378" s="570">
        <f>SUM(Q373:Q378)</f>
        <v>43927.26</v>
      </c>
    </row>
    <row r="379" spans="1:21" ht="15.75" hidden="1" outlineLevel="1" thickBot="1">
      <c r="A379" s="571"/>
      <c r="B379" s="572" t="s">
        <v>98</v>
      </c>
      <c r="C379" s="573" t="s">
        <v>99</v>
      </c>
      <c r="D379" s="574"/>
      <c r="E379" s="575">
        <f>3.193-2.9732</f>
        <v>0.21980000000000022</v>
      </c>
      <c r="F379" s="575">
        <f>3.193-2.9732</f>
        <v>0.21980000000000022</v>
      </c>
      <c r="G379" s="576">
        <f>D379*E379*70%+D379*F379*30%</f>
        <v>0</v>
      </c>
      <c r="H379" s="577"/>
      <c r="I379" s="578"/>
      <c r="J379" s="579"/>
      <c r="K379" s="579"/>
      <c r="L379" s="580"/>
      <c r="M379" s="581"/>
      <c r="N379" s="582"/>
      <c r="O379" s="535"/>
      <c r="P379" s="536"/>
      <c r="Q379" s="583"/>
      <c r="R379" s="584"/>
      <c r="S379" s="569"/>
      <c r="T379" s="585"/>
    </row>
    <row r="380" spans="1:21" s="81" customFormat="1" ht="16.5" hidden="1" customHeight="1" outlineLevel="1" thickBot="1">
      <c r="A380" s="933" t="s">
        <v>100</v>
      </c>
      <c r="B380" s="587" t="s">
        <v>98</v>
      </c>
      <c r="C380" s="588">
        <f>+[1]авг!C52</f>
        <v>0</v>
      </c>
      <c r="D380" s="589"/>
      <c r="E380" s="575">
        <v>3.1930000000000001</v>
      </c>
      <c r="F380" s="575">
        <f>+E380</f>
        <v>3.1930000000000001</v>
      </c>
      <c r="G380" s="576">
        <f>D380*E380*70%+D380*F380*30%</f>
        <v>0</v>
      </c>
      <c r="H380" s="579"/>
      <c r="I380" s="579"/>
      <c r="J380" s="579"/>
      <c r="K380" s="579"/>
      <c r="L380" s="579">
        <f>+C380+G380+G379</f>
        <v>0</v>
      </c>
      <c r="M380" s="590"/>
      <c r="N380" s="500"/>
      <c r="O380" s="528"/>
      <c r="P380" s="529" t="s">
        <v>87</v>
      </c>
      <c r="Q380" s="591">
        <f t="shared" si="83"/>
        <v>0</v>
      </c>
      <c r="R380" s="592" t="s">
        <v>101</v>
      </c>
      <c r="S380" s="77">
        <f>SUM(N380:N380)+SUM(O380:O380)</f>
        <v>0</v>
      </c>
      <c r="T380" s="593">
        <f>SUM(Q380:Q380)</f>
        <v>0</v>
      </c>
    </row>
    <row r="381" spans="1:21" ht="15.75" hidden="1" outlineLevel="1" thickBot="1">
      <c r="A381" s="944"/>
      <c r="B381" s="945" t="s">
        <v>128</v>
      </c>
      <c r="C381" s="573" t="s">
        <v>115</v>
      </c>
      <c r="D381" s="946"/>
      <c r="E381" s="579">
        <f>6.8021-6.8946</f>
        <v>-9.2499999999999361E-2</v>
      </c>
      <c r="F381" s="579">
        <f t="shared" ref="F381" si="84">+E381</f>
        <v>-9.2499999999999361E-2</v>
      </c>
      <c r="G381" s="947">
        <f>ROUND(D381*(E381),2)</f>
        <v>0</v>
      </c>
      <c r="H381" s="948"/>
      <c r="I381" s="949"/>
      <c r="J381" s="949"/>
      <c r="K381" s="950"/>
      <c r="L381" s="951"/>
      <c r="M381" s="952"/>
      <c r="N381" s="604"/>
      <c r="O381" s="635"/>
      <c r="P381" s="636"/>
      <c r="Q381" s="605"/>
    </row>
    <row r="382" spans="1:21" ht="15.75" hidden="1" outlineLevel="1" thickBot="1">
      <c r="A382" s="953"/>
      <c r="B382" s="954"/>
      <c r="C382" s="573" t="s">
        <v>114</v>
      </c>
      <c r="D382" s="946"/>
      <c r="E382" s="579">
        <v>6.8021000000000003</v>
      </c>
      <c r="F382" s="579">
        <f>+E382</f>
        <v>6.8021000000000003</v>
      </c>
      <c r="G382" s="947">
        <f>ROUND(D382*(E382),2)</f>
        <v>0</v>
      </c>
      <c r="H382" s="948"/>
      <c r="I382" s="949"/>
      <c r="J382" s="949"/>
      <c r="K382" s="950"/>
      <c r="L382" s="955"/>
      <c r="M382" s="956"/>
      <c r="N382" s="607"/>
      <c r="O382" s="608"/>
      <c r="P382" s="609"/>
      <c r="Q382" s="610"/>
    </row>
    <row r="383" spans="1:21" ht="15.75" hidden="1" outlineLevel="1" thickBot="1">
      <c r="A383" s="944"/>
      <c r="B383" s="954"/>
      <c r="C383" s="916" t="s">
        <v>29</v>
      </c>
      <c r="D383" s="948"/>
      <c r="E383" s="917">
        <v>6.8021000000000003</v>
      </c>
      <c r="F383" s="579">
        <f t="shared" ref="F383" si="85">+E383</f>
        <v>6.8021000000000003</v>
      </c>
      <c r="G383" s="947">
        <f t="shared" ref="G383" si="86">ROUND(D383*(E383),2)</f>
        <v>0</v>
      </c>
      <c r="H383" s="948"/>
      <c r="I383" s="949"/>
      <c r="J383" s="949"/>
      <c r="K383" s="950"/>
      <c r="L383" s="951"/>
      <c r="M383" s="956"/>
      <c r="N383" s="615"/>
      <c r="O383" s="615"/>
      <c r="P383" s="615"/>
      <c r="Q383" s="616"/>
    </row>
    <row r="384" spans="1:21" ht="15.75" hidden="1" outlineLevel="1" thickBot="1">
      <c r="A384" s="953"/>
      <c r="B384" s="955"/>
      <c r="C384" s="575"/>
      <c r="D384" s="957"/>
      <c r="E384" s="580"/>
      <c r="F384" s="575"/>
      <c r="G384" s="958"/>
      <c r="H384" s="959"/>
      <c r="I384" s="575"/>
      <c r="J384" s="575"/>
      <c r="K384" s="575"/>
      <c r="L384" s="955"/>
      <c r="M384" s="956"/>
      <c r="N384" s="615"/>
      <c r="O384" s="615"/>
      <c r="P384" s="615"/>
      <c r="Q384" s="615"/>
    </row>
    <row r="385" spans="1:20" collapsed="1">
      <c r="A385" s="963"/>
      <c r="B385" s="621"/>
      <c r="C385" s="621"/>
      <c r="D385" s="964"/>
      <c r="E385" s="905"/>
      <c r="F385" s="621"/>
      <c r="G385" s="905"/>
      <c r="H385" s="621"/>
      <c r="I385" s="621"/>
      <c r="J385" s="621"/>
      <c r="K385" s="621"/>
      <c r="L385" s="621"/>
      <c r="M385" s="965"/>
      <c r="N385" s="615"/>
      <c r="O385" s="615"/>
      <c r="P385" s="615"/>
      <c r="Q385" s="615"/>
    </row>
    <row r="386" spans="1:20" ht="15.75" thickBot="1">
      <c r="A386" s="966"/>
      <c r="B386" s="615"/>
      <c r="C386" s="615"/>
      <c r="D386" s="696"/>
      <c r="E386" s="473"/>
      <c r="F386" s="615"/>
      <c r="G386" s="473"/>
      <c r="H386" s="615"/>
      <c r="I386" s="615"/>
      <c r="J386" s="615"/>
      <c r="K386" s="615"/>
      <c r="L386" s="615"/>
      <c r="M386" s="967"/>
      <c r="N386" s="615"/>
      <c r="O386" s="615"/>
      <c r="P386" s="615"/>
      <c r="Q386" s="615"/>
    </row>
    <row r="387" spans="1:20" s="81" customFormat="1" ht="15" customHeight="1" thickTop="1">
      <c r="A387" s="476"/>
      <c r="B387" s="158"/>
      <c r="C387" s="322"/>
      <c r="D387" s="477"/>
      <c r="E387" s="163"/>
      <c r="F387" s="163"/>
      <c r="G387" s="478"/>
      <c r="H387" s="163"/>
      <c r="I387" s="163"/>
      <c r="J387" s="163"/>
      <c r="K387" s="163"/>
      <c r="L387" s="163"/>
      <c r="M387" s="164"/>
      <c r="N387" s="479"/>
      <c r="O387" s="479"/>
      <c r="P387" s="479"/>
      <c r="Q387" s="479"/>
      <c r="R387" s="422"/>
      <c r="S387"/>
      <c r="T387" s="399"/>
    </row>
    <row r="388" spans="1:20" ht="15.75" thickBot="1">
      <c r="A388" s="968" t="s">
        <v>113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3"/>
      <c r="N388" s="2"/>
      <c r="O388" s="2"/>
      <c r="P388" s="2"/>
      <c r="Q388" s="2"/>
    </row>
    <row r="389" spans="1:20" ht="15.75" customHeight="1" thickTop="1" thickBot="1">
      <c r="A389" s="1559" t="s">
        <v>1</v>
      </c>
      <c r="B389" s="1543" t="s">
        <v>2</v>
      </c>
      <c r="C389" s="1545" t="s">
        <v>3</v>
      </c>
      <c r="D389" s="1546" t="s">
        <v>4</v>
      </c>
      <c r="E389" s="1546"/>
      <c r="F389" s="1546"/>
      <c r="G389" s="1546"/>
      <c r="H389" s="1547"/>
      <c r="I389" s="1548"/>
      <c r="J389" s="1548"/>
      <c r="K389" s="1549"/>
      <c r="L389" s="1524" t="s">
        <v>6</v>
      </c>
      <c r="M389" s="1511" t="s">
        <v>7</v>
      </c>
      <c r="N389" s="1551" t="s">
        <v>8</v>
      </c>
      <c r="O389" s="1551"/>
      <c r="P389" s="1551"/>
      <c r="Q389" s="1552"/>
      <c r="R389" s="481"/>
      <c r="S389" s="482" t="s">
        <v>20</v>
      </c>
      <c r="T389" s="482" t="s">
        <v>21</v>
      </c>
    </row>
    <row r="390" spans="1:20" ht="26.25" thickBot="1">
      <c r="A390" s="1560"/>
      <c r="B390" s="1557"/>
      <c r="C390" s="1558" t="s">
        <v>10</v>
      </c>
      <c r="D390" s="483" t="s">
        <v>11</v>
      </c>
      <c r="E390" s="649" t="s">
        <v>12</v>
      </c>
      <c r="F390" s="649" t="s">
        <v>13</v>
      </c>
      <c r="G390" s="650" t="s">
        <v>14</v>
      </c>
      <c r="H390" s="651" t="s">
        <v>11</v>
      </c>
      <c r="I390" s="652" t="s">
        <v>15</v>
      </c>
      <c r="J390" s="653"/>
      <c r="K390" s="654" t="s">
        <v>16</v>
      </c>
      <c r="L390" s="1525"/>
      <c r="M390" s="1554"/>
      <c r="N390" s="655"/>
      <c r="O390" s="653"/>
      <c r="P390" s="656" t="s">
        <v>18</v>
      </c>
      <c r="Q390" s="657" t="s">
        <v>19</v>
      </c>
      <c r="R390" s="491"/>
      <c r="S390" s="492"/>
      <c r="T390" s="492"/>
    </row>
    <row r="391" spans="1:20">
      <c r="A391" s="961" t="s">
        <v>212</v>
      </c>
      <c r="B391" s="659" t="s">
        <v>116</v>
      </c>
      <c r="C391" s="668" t="s">
        <v>73</v>
      </c>
      <c r="D391" s="669">
        <v>5</v>
      </c>
      <c r="E391" s="21">
        <v>40.556600000000003</v>
      </c>
      <c r="F391" s="21">
        <v>47.5304</v>
      </c>
      <c r="G391" s="214">
        <f>+D391*(E391+F391)</f>
        <v>440.435</v>
      </c>
      <c r="H391" s="687">
        <f>сент18!D366</f>
        <v>5</v>
      </c>
      <c r="I391" s="688">
        <v>87.306399999999996</v>
      </c>
      <c r="J391" s="670">
        <f>ROUND(H391*I391,2)</f>
        <v>436.53</v>
      </c>
      <c r="K391" s="689">
        <v>43344</v>
      </c>
      <c r="L391" s="603">
        <f>SUM(G391:G397)+SUM(J391:J395)</f>
        <v>13066.205000000002</v>
      </c>
      <c r="M391" s="187">
        <v>13066.21</v>
      </c>
      <c r="N391" s="670"/>
      <c r="O391" s="670"/>
      <c r="P391" s="670"/>
      <c r="Q391" s="670"/>
    </row>
    <row r="392" spans="1:20">
      <c r="A392" s="970"/>
      <c r="B392" s="672"/>
      <c r="C392" s="48" t="s">
        <v>264</v>
      </c>
      <c r="D392" s="673"/>
      <c r="E392" s="41"/>
      <c r="F392" s="298"/>
      <c r="G392" s="235">
        <f>+D392*(E392+F392)</f>
        <v>0</v>
      </c>
      <c r="H392" s="687"/>
      <c r="I392" s="688"/>
      <c r="J392" s="670"/>
      <c r="K392" s="689"/>
      <c r="L392" s="606"/>
      <c r="M392" s="935"/>
      <c r="N392" s="298"/>
      <c r="O392" s="298"/>
      <c r="P392" s="298"/>
      <c r="Q392" s="298"/>
    </row>
    <row r="393" spans="1:20">
      <c r="A393" s="970"/>
      <c r="B393" s="442"/>
      <c r="C393" s="48"/>
      <c r="D393" s="673"/>
      <c r="E393" s="41"/>
      <c r="F393" s="298"/>
      <c r="G393" s="235">
        <f t="shared" ref="G393:G409" si="87">ROUND(D393*E393,2)</f>
        <v>0</v>
      </c>
      <c r="H393" s="687"/>
      <c r="I393" s="688"/>
      <c r="J393" s="670"/>
      <c r="K393" s="850"/>
      <c r="L393" s="614"/>
      <c r="M393" s="935"/>
      <c r="N393" s="298"/>
      <c r="O393" s="298"/>
      <c r="P393" s="298"/>
      <c r="Q393" s="298"/>
    </row>
    <row r="394" spans="1:20">
      <c r="A394" s="970"/>
      <c r="B394" s="35"/>
      <c r="C394" s="606"/>
      <c r="D394" s="673"/>
      <c r="E394" s="41"/>
      <c r="F394" s="298"/>
      <c r="G394" s="235">
        <f t="shared" si="87"/>
        <v>0</v>
      </c>
      <c r="H394" s="270"/>
      <c r="I394" s="688"/>
      <c r="J394" s="670"/>
      <c r="K394" s="689"/>
      <c r="L394" s="614"/>
      <c r="M394" s="273"/>
      <c r="N394" s="298"/>
      <c r="O394" s="298"/>
      <c r="P394" s="298"/>
      <c r="Q394" s="298"/>
    </row>
    <row r="395" spans="1:20" ht="15.75">
      <c r="A395" s="971"/>
      <c r="B395" s="672"/>
      <c r="C395" s="48" t="s">
        <v>260</v>
      </c>
      <c r="D395" s="269">
        <f>окт18!D382+окт18!D383</f>
        <v>1759.34</v>
      </c>
      <c r="E395" s="41">
        <f>7.1352-7.332</f>
        <v>-0.19679999999999964</v>
      </c>
      <c r="F395" s="298">
        <f t="shared" ref="F395:F396" si="88">+E395</f>
        <v>-0.19679999999999964</v>
      </c>
      <c r="G395" s="235">
        <f>ROUND(D395*E395,2)+0.01</f>
        <v>-346.23</v>
      </c>
      <c r="H395" s="270"/>
      <c r="I395" s="41"/>
      <c r="J395" s="670"/>
      <c r="K395" s="689"/>
      <c r="L395" s="606"/>
      <c r="M395" s="935"/>
      <c r="N395" s="663"/>
      <c r="O395" s="237"/>
      <c r="P395" s="275"/>
      <c r="Q395" s="237"/>
    </row>
    <row r="396" spans="1:20" ht="15.75">
      <c r="A396" s="972"/>
      <c r="B396" s="35"/>
      <c r="C396" s="48" t="s">
        <v>263</v>
      </c>
      <c r="D396" s="269">
        <v>58.75</v>
      </c>
      <c r="E396" s="41">
        <v>7.1352000000000002</v>
      </c>
      <c r="F396" s="298">
        <f t="shared" si="88"/>
        <v>7.1352000000000002</v>
      </c>
      <c r="G396" s="235">
        <f t="shared" si="87"/>
        <v>419.19</v>
      </c>
      <c r="H396" s="270"/>
      <c r="I396" s="41"/>
      <c r="J396" s="41"/>
      <c r="K396" s="41"/>
      <c r="L396" s="614"/>
      <c r="M396" s="935"/>
      <c r="N396" s="663"/>
      <c r="O396" s="237"/>
      <c r="P396" s="275"/>
      <c r="Q396" s="237"/>
    </row>
    <row r="397" spans="1:20" ht="15.75" thickBot="1">
      <c r="A397" s="973"/>
      <c r="B397" s="665"/>
      <c r="C397" s="54" t="s">
        <v>29</v>
      </c>
      <c r="D397" s="613">
        <v>1698.1</v>
      </c>
      <c r="E397" s="56">
        <v>7.1352000000000002</v>
      </c>
      <c r="F397" s="57"/>
      <c r="G397" s="247">
        <f t="shared" si="87"/>
        <v>12116.28</v>
      </c>
      <c r="H397" s="613"/>
      <c r="I397" s="57"/>
      <c r="J397" s="57"/>
      <c r="K397" s="57"/>
      <c r="L397" s="783"/>
      <c r="M397" s="250"/>
      <c r="N397" s="57"/>
      <c r="O397" s="57"/>
      <c r="P397" s="57"/>
      <c r="Q397" s="57"/>
      <c r="R397" s="615"/>
    </row>
    <row r="398" spans="1:20" ht="15.75">
      <c r="A398" s="658">
        <v>212</v>
      </c>
      <c r="B398" s="659" t="s">
        <v>148</v>
      </c>
      <c r="C398" s="786" t="s">
        <v>260</v>
      </c>
      <c r="D398" s="259">
        <f>окт18!D385+окт18!D386</f>
        <v>185.39999999999998</v>
      </c>
      <c r="E398" s="41">
        <f>7.1352-7.332</f>
        <v>-0.19679999999999964</v>
      </c>
      <c r="F398" s="691">
        <f>+E398</f>
        <v>-0.19679999999999964</v>
      </c>
      <c r="G398" s="214">
        <f>ROUND(D398*E398,2)</f>
        <v>-36.49</v>
      </c>
      <c r="H398" s="303"/>
      <c r="I398" s="23"/>
      <c r="J398" s="23"/>
      <c r="K398" s="23"/>
      <c r="L398" s="603">
        <f>SUM(G398:G400)</f>
        <v>1183.06</v>
      </c>
      <c r="M398" s="187">
        <v>1183.06</v>
      </c>
      <c r="N398" s="660"/>
      <c r="O398" s="217"/>
      <c r="P398" s="661"/>
      <c r="Q398" s="219"/>
    </row>
    <row r="399" spans="1:20" ht="15.75">
      <c r="A399" s="662"/>
      <c r="B399" s="35"/>
      <c r="C399" s="48" t="s">
        <v>263</v>
      </c>
      <c r="D399" s="269">
        <v>5.72</v>
      </c>
      <c r="E399" s="41">
        <v>7.1352000000000002</v>
      </c>
      <c r="F399" s="298">
        <f t="shared" ref="F399" si="89">+E399</f>
        <v>7.1352000000000002</v>
      </c>
      <c r="G399" s="235">
        <f t="shared" si="87"/>
        <v>40.81</v>
      </c>
      <c r="H399" s="270"/>
      <c r="I399" s="41"/>
      <c r="J399" s="41"/>
      <c r="K399" s="41"/>
      <c r="L399" s="606"/>
      <c r="M399" s="935"/>
      <c r="N399" s="663"/>
      <c r="O399" s="237"/>
      <c r="P399" s="275"/>
      <c r="Q399" s="238"/>
    </row>
    <row r="400" spans="1:20" ht="15.75" thickBot="1">
      <c r="A400" s="975"/>
      <c r="B400" s="665"/>
      <c r="C400" s="99" t="s">
        <v>29</v>
      </c>
      <c r="D400" s="613">
        <v>165.2</v>
      </c>
      <c r="E400" s="56">
        <v>7.1352000000000002</v>
      </c>
      <c r="F400" s="57"/>
      <c r="G400" s="247">
        <f t="shared" si="87"/>
        <v>1178.74</v>
      </c>
      <c r="H400" s="613"/>
      <c r="I400" s="57"/>
      <c r="J400" s="57"/>
      <c r="K400" s="57"/>
      <c r="L400" s="614"/>
      <c r="M400" s="606"/>
      <c r="N400" s="57"/>
      <c r="O400" s="57"/>
      <c r="P400" s="57"/>
      <c r="Q400" s="666"/>
    </row>
    <row r="401" spans="1:18" ht="15.75">
      <c r="A401" s="658">
        <v>215</v>
      </c>
      <c r="B401" s="659" t="s">
        <v>292</v>
      </c>
      <c r="C401" s="786" t="s">
        <v>260</v>
      </c>
      <c r="D401" s="259"/>
      <c r="E401" s="41">
        <f>7.1352-7.332</f>
        <v>-0.19679999999999964</v>
      </c>
      <c r="F401" s="691">
        <f>+E401</f>
        <v>-0.19679999999999964</v>
      </c>
      <c r="G401" s="214">
        <f>ROUND(D401*E401,2)</f>
        <v>0</v>
      </c>
      <c r="H401" s="303"/>
      <c r="I401" s="23"/>
      <c r="J401" s="23"/>
      <c r="K401" s="23"/>
      <c r="L401" s="603">
        <f>SUM(G401:G403)</f>
        <v>369.09999999999997</v>
      </c>
      <c r="M401" s="187">
        <v>369.1</v>
      </c>
      <c r="N401" s="660"/>
      <c r="O401" s="217"/>
      <c r="P401" s="661"/>
      <c r="Q401" s="219"/>
    </row>
    <row r="402" spans="1:18" ht="15.75">
      <c r="A402" s="662"/>
      <c r="B402" s="35"/>
      <c r="C402" s="48" t="s">
        <v>263</v>
      </c>
      <c r="D402" s="269">
        <v>1.73</v>
      </c>
      <c r="E402" s="41">
        <v>7.1352000000000002</v>
      </c>
      <c r="F402" s="298">
        <f t="shared" ref="F402" si="90">+E402</f>
        <v>7.1352000000000002</v>
      </c>
      <c r="G402" s="235">
        <f>ROUND(D402*E402,2)</f>
        <v>12.34</v>
      </c>
      <c r="H402" s="270"/>
      <c r="I402" s="41"/>
      <c r="J402" s="41"/>
      <c r="K402" s="41"/>
      <c r="L402" s="606"/>
      <c r="M402" s="935"/>
      <c r="N402" s="663"/>
      <c r="O402" s="237"/>
      <c r="P402" s="275"/>
      <c r="Q402" s="238"/>
    </row>
    <row r="403" spans="1:18" ht="15.75" thickBot="1">
      <c r="A403" s="975"/>
      <c r="B403" s="665"/>
      <c r="C403" s="99" t="s">
        <v>29</v>
      </c>
      <c r="D403" s="613">
        <v>50</v>
      </c>
      <c r="E403" s="56">
        <v>7.1352000000000002</v>
      </c>
      <c r="F403" s="57"/>
      <c r="G403" s="247">
        <f t="shared" ref="G403" si="91">ROUND(D403*E403,2)</f>
        <v>356.76</v>
      </c>
      <c r="H403" s="613"/>
      <c r="I403" s="57"/>
      <c r="J403" s="57"/>
      <c r="K403" s="57"/>
      <c r="L403" s="614"/>
      <c r="M403" s="606"/>
      <c r="N403" s="57"/>
      <c r="O403" s="57"/>
      <c r="P403" s="57"/>
      <c r="Q403" s="666"/>
    </row>
    <row r="404" spans="1:18" ht="15.75">
      <c r="A404" s="658">
        <v>216</v>
      </c>
      <c r="B404" s="659" t="s">
        <v>240</v>
      </c>
      <c r="C404" s="786" t="s">
        <v>260</v>
      </c>
      <c r="D404" s="259">
        <f>окт18!D388+окт18!D389</f>
        <v>165.54</v>
      </c>
      <c r="E404" s="41">
        <f>7.1352-7.332</f>
        <v>-0.19679999999999964</v>
      </c>
      <c r="F404" s="691">
        <f>+E404</f>
        <v>-0.19679999999999964</v>
      </c>
      <c r="G404" s="214">
        <f>ROUND(D404*E404,2)</f>
        <v>-32.58</v>
      </c>
      <c r="H404" s="303"/>
      <c r="I404" s="23"/>
      <c r="J404" s="23"/>
      <c r="K404" s="23"/>
      <c r="L404" s="603">
        <f>SUM(G404:G406)</f>
        <v>1148.5800000000002</v>
      </c>
      <c r="M404" s="187">
        <v>1148.58</v>
      </c>
      <c r="N404" s="660"/>
      <c r="O404" s="217"/>
      <c r="P404" s="661"/>
      <c r="Q404" s="219"/>
    </row>
    <row r="405" spans="1:18" ht="15.75">
      <c r="A405" s="662"/>
      <c r="B405" s="35"/>
      <c r="C405" s="48" t="s">
        <v>263</v>
      </c>
      <c r="D405" s="269">
        <v>5.54</v>
      </c>
      <c r="E405" s="41">
        <v>7.1352000000000002</v>
      </c>
      <c r="F405" s="298">
        <f t="shared" ref="F405" si="92">+E405</f>
        <v>7.1352000000000002</v>
      </c>
      <c r="G405" s="235">
        <f t="shared" ref="G405:G406" si="93">ROUND(D405*E405,2)</f>
        <v>39.53</v>
      </c>
      <c r="H405" s="270"/>
      <c r="I405" s="41"/>
      <c r="J405" s="41"/>
      <c r="K405" s="41"/>
      <c r="L405" s="606"/>
      <c r="M405" s="935"/>
      <c r="N405" s="663"/>
      <c r="O405" s="237"/>
      <c r="P405" s="275"/>
      <c r="Q405" s="238"/>
    </row>
    <row r="406" spans="1:18" ht="15.75" thickBot="1">
      <c r="A406" s="975"/>
      <c r="B406" s="665"/>
      <c r="C406" s="99" t="s">
        <v>29</v>
      </c>
      <c r="D406" s="613">
        <v>160</v>
      </c>
      <c r="E406" s="56">
        <v>7.1352000000000002</v>
      </c>
      <c r="F406" s="57"/>
      <c r="G406" s="247">
        <f t="shared" si="93"/>
        <v>1141.6300000000001</v>
      </c>
      <c r="H406" s="613"/>
      <c r="I406" s="57"/>
      <c r="J406" s="57"/>
      <c r="K406" s="57"/>
      <c r="L406" s="614"/>
      <c r="M406" s="606"/>
      <c r="N406" s="57"/>
      <c r="O406" s="57"/>
      <c r="P406" s="57"/>
      <c r="Q406" s="666"/>
    </row>
    <row r="407" spans="1:18" ht="15.75">
      <c r="A407" s="658">
        <v>218</v>
      </c>
      <c r="B407" s="659" t="s">
        <v>117</v>
      </c>
      <c r="C407" s="439" t="s">
        <v>260</v>
      </c>
      <c r="D407" s="259">
        <f>окт18!D391+окт18!D392</f>
        <v>378.66</v>
      </c>
      <c r="E407" s="23">
        <f>7.1352-7.332</f>
        <v>-0.19679999999999964</v>
      </c>
      <c r="F407" s="691">
        <f>+E407</f>
        <v>-0.19679999999999964</v>
      </c>
      <c r="G407" s="214">
        <f>ROUND(D407*E407,2)</f>
        <v>-74.52</v>
      </c>
      <c r="H407" s="303"/>
      <c r="I407" s="23"/>
      <c r="J407" s="23"/>
      <c r="K407" s="23"/>
      <c r="L407" s="603">
        <f>SUM(G407:G409)</f>
        <v>2498.15</v>
      </c>
      <c r="M407" s="187">
        <v>2498.15</v>
      </c>
      <c r="N407" s="660"/>
      <c r="O407" s="217"/>
      <c r="P407" s="661"/>
      <c r="Q407" s="219"/>
      <c r="R407" s="615"/>
    </row>
    <row r="408" spans="1:18" ht="15.75">
      <c r="A408" s="662"/>
      <c r="B408" s="506"/>
      <c r="C408" s="48" t="s">
        <v>263</v>
      </c>
      <c r="D408" s="773">
        <v>12.06</v>
      </c>
      <c r="E408" s="41">
        <v>7.1352000000000002</v>
      </c>
      <c r="F408" s="774">
        <f t="shared" ref="F408" si="94">+E408</f>
        <v>7.1352000000000002</v>
      </c>
      <c r="G408" s="775">
        <f t="shared" si="87"/>
        <v>86.05</v>
      </c>
      <c r="H408" s="432"/>
      <c r="I408" s="207"/>
      <c r="J408" s="207"/>
      <c r="K408" s="207"/>
      <c r="L408" s="776"/>
      <c r="M408" s="974"/>
      <c r="N408" s="777"/>
      <c r="O408" s="778"/>
      <c r="P408" s="779"/>
      <c r="Q408" s="780"/>
    </row>
    <row r="409" spans="1:18" ht="15.75" thickBot="1">
      <c r="A409" s="975"/>
      <c r="B409" s="278"/>
      <c r="C409" s="54" t="s">
        <v>29</v>
      </c>
      <c r="D409" s="613">
        <v>348.5</v>
      </c>
      <c r="E409" s="56">
        <v>7.1352000000000002</v>
      </c>
      <c r="F409" s="57"/>
      <c r="G409" s="247">
        <f t="shared" si="87"/>
        <v>2486.62</v>
      </c>
      <c r="H409" s="613"/>
      <c r="I409" s="57"/>
      <c r="J409" s="57"/>
      <c r="K409" s="57"/>
      <c r="L409" s="783"/>
      <c r="M409" s="938"/>
      <c r="N409" s="57"/>
      <c r="O409" s="57"/>
      <c r="P409" s="57"/>
      <c r="Q409" s="666"/>
    </row>
    <row r="410" spans="1:18" ht="15.75">
      <c r="A410" s="658">
        <v>221</v>
      </c>
      <c r="B410" s="659" t="s">
        <v>284</v>
      </c>
      <c r="C410" s="786" t="s">
        <v>260</v>
      </c>
      <c r="D410" s="259">
        <f>окт18!D394+окт18!D395</f>
        <v>15.52</v>
      </c>
      <c r="E410" s="41">
        <f>7.1352-7.332</f>
        <v>-0.19679999999999964</v>
      </c>
      <c r="F410" s="691">
        <f>+E410</f>
        <v>-0.19679999999999964</v>
      </c>
      <c r="G410" s="214">
        <f>ROUND(D410*E410,2)</f>
        <v>-3.05</v>
      </c>
      <c r="H410" s="303"/>
      <c r="I410" s="23"/>
      <c r="J410" s="23"/>
      <c r="K410" s="23"/>
      <c r="L410" s="603">
        <f>SUM(G410:G412)</f>
        <v>366.05</v>
      </c>
      <c r="M410" s="187">
        <v>366.05</v>
      </c>
      <c r="N410" s="660"/>
      <c r="O410" s="217"/>
      <c r="P410" s="661"/>
      <c r="Q410" s="219"/>
    </row>
    <row r="411" spans="1:18" ht="15.75">
      <c r="A411" s="662"/>
      <c r="B411" s="35"/>
      <c r="C411" s="48" t="s">
        <v>263</v>
      </c>
      <c r="D411" s="269">
        <v>1.73</v>
      </c>
      <c r="E411" s="41">
        <v>7.1352000000000002</v>
      </c>
      <c r="F411" s="298">
        <f t="shared" ref="F411" si="95">+E411</f>
        <v>7.1352000000000002</v>
      </c>
      <c r="G411" s="235">
        <f>ROUND(D411*E411,2)</f>
        <v>12.34</v>
      </c>
      <c r="H411" s="270"/>
      <c r="I411" s="41"/>
      <c r="J411" s="41"/>
      <c r="K411" s="41"/>
      <c r="L411" s="606"/>
      <c r="M411" s="935"/>
      <c r="N411" s="663"/>
      <c r="O411" s="237"/>
      <c r="P411" s="275"/>
      <c r="Q411" s="238"/>
    </row>
    <row r="412" spans="1:18" ht="15.75" thickBot="1">
      <c r="A412" s="975"/>
      <c r="B412" s="665"/>
      <c r="C412" s="99" t="s">
        <v>29</v>
      </c>
      <c r="D412" s="613">
        <v>50</v>
      </c>
      <c r="E412" s="56">
        <v>7.1352000000000002</v>
      </c>
      <c r="F412" s="57"/>
      <c r="G412" s="247">
        <f t="shared" ref="G412" si="96">ROUND(D412*E412,2)</f>
        <v>356.76</v>
      </c>
      <c r="H412" s="613"/>
      <c r="I412" s="57"/>
      <c r="J412" s="57"/>
      <c r="K412" s="57"/>
      <c r="L412" s="614"/>
      <c r="M412" s="606"/>
      <c r="N412" s="57"/>
      <c r="O412" s="57"/>
      <c r="P412" s="57"/>
      <c r="Q412" s="666"/>
    </row>
    <row r="413" spans="1:18" ht="16.5" thickBot="1">
      <c r="A413" s="658">
        <v>311</v>
      </c>
      <c r="B413" s="602" t="s">
        <v>142</v>
      </c>
      <c r="C413" s="786" t="s">
        <v>73</v>
      </c>
      <c r="D413" s="787">
        <v>7</v>
      </c>
      <c r="E413" s="21">
        <v>40.556600000000003</v>
      </c>
      <c r="F413" s="21">
        <v>47.5304</v>
      </c>
      <c r="G413" s="214">
        <f>+D413*(E413+F413)</f>
        <v>616.60900000000004</v>
      </c>
      <c r="H413" s="687">
        <f>сент18!D385</f>
        <v>6</v>
      </c>
      <c r="I413" s="688">
        <v>87.306399999999996</v>
      </c>
      <c r="J413" s="670">
        <f>ROUND(H413*I413,2)</f>
        <v>523.84</v>
      </c>
      <c r="K413" s="850">
        <v>43344</v>
      </c>
      <c r="L413" s="603">
        <f>SUM(G413:G417,J413:J417)</f>
        <v>17994.499</v>
      </c>
      <c r="M413" s="187">
        <v>17994.5</v>
      </c>
      <c r="N413" s="788"/>
      <c r="O413" s="789"/>
      <c r="P413" s="790"/>
      <c r="Q413" s="791"/>
    </row>
    <row r="414" spans="1:18" ht="15.75">
      <c r="A414" s="658"/>
      <c r="B414" s="602"/>
      <c r="C414" s="786" t="s">
        <v>264</v>
      </c>
      <c r="D414" s="787"/>
      <c r="E414" s="21"/>
      <c r="F414" s="21"/>
      <c r="G414" s="214">
        <f>+D414*(E414+F414)</f>
        <v>0</v>
      </c>
      <c r="H414" s="687"/>
      <c r="I414" s="688"/>
      <c r="J414" s="670"/>
      <c r="K414" s="850"/>
      <c r="L414" s="603"/>
      <c r="M414" s="187"/>
      <c r="N414" s="788"/>
      <c r="O414" s="789"/>
      <c r="P414" s="790"/>
      <c r="Q414" s="791"/>
    </row>
    <row r="415" spans="1:18" ht="15.75">
      <c r="A415" s="662"/>
      <c r="B415" s="939"/>
      <c r="C415" s="48" t="s">
        <v>260</v>
      </c>
      <c r="D415" s="269">
        <f>окт18!D399+окт18!D400</f>
        <v>2384.96</v>
      </c>
      <c r="E415" s="41">
        <f>7.1352-7.332</f>
        <v>-0.19679999999999964</v>
      </c>
      <c r="F415" s="297">
        <f>+E415</f>
        <v>-0.19679999999999964</v>
      </c>
      <c r="G415" s="235">
        <f>ROUND(D415*E415,2)</f>
        <v>-469.36</v>
      </c>
      <c r="H415" s="270"/>
      <c r="I415" s="688"/>
      <c r="J415" s="670"/>
      <c r="K415" s="689"/>
      <c r="L415" s="614"/>
      <c r="M415" s="273"/>
      <c r="N415" s="663"/>
      <c r="O415" s="237"/>
      <c r="P415" s="275"/>
      <c r="Q415" s="238"/>
    </row>
    <row r="416" spans="1:18" ht="15.75">
      <c r="A416" s="662"/>
      <c r="B416" s="506"/>
      <c r="C416" s="48" t="s">
        <v>263</v>
      </c>
      <c r="D416" s="269">
        <v>81.2</v>
      </c>
      <c r="E416" s="41">
        <v>7.1352000000000002</v>
      </c>
      <c r="F416" s="298">
        <f t="shared" ref="F416" si="97">+E416</f>
        <v>7.1352000000000002</v>
      </c>
      <c r="G416" s="235">
        <f t="shared" ref="G416:G417" si="98">ROUND(D416*E416,2)</f>
        <v>579.38</v>
      </c>
      <c r="H416" s="270"/>
      <c r="I416" s="41"/>
      <c r="J416" s="670"/>
      <c r="K416" s="689"/>
      <c r="L416" s="606"/>
      <c r="M416" s="935"/>
      <c r="N416" s="663"/>
      <c r="O416" s="237"/>
      <c r="P416" s="275"/>
      <c r="Q416" s="238"/>
    </row>
    <row r="417" spans="1:17" ht="15.75" thickBot="1">
      <c r="A417" s="975"/>
      <c r="B417" s="278"/>
      <c r="C417" s="54" t="s">
        <v>29</v>
      </c>
      <c r="D417" s="795">
        <v>2346.6799999999998</v>
      </c>
      <c r="E417" s="56">
        <v>7.1352000000000002</v>
      </c>
      <c r="F417" s="797"/>
      <c r="G417" s="798">
        <f t="shared" si="98"/>
        <v>16744.03</v>
      </c>
      <c r="H417" s="795"/>
      <c r="I417" s="797"/>
      <c r="J417" s="797"/>
      <c r="K417" s="797"/>
      <c r="L417" s="799"/>
      <c r="M417" s="976"/>
      <c r="N417" s="797"/>
      <c r="O417" s="797"/>
      <c r="P417" s="797"/>
      <c r="Q417" s="800"/>
    </row>
    <row r="418" spans="1:17" ht="15.75">
      <c r="A418" s="658">
        <v>500</v>
      </c>
      <c r="B418" s="659" t="s">
        <v>55</v>
      </c>
      <c r="C418" s="48" t="s">
        <v>260</v>
      </c>
      <c r="D418" s="259">
        <f>окт18!D402+окт18!D403</f>
        <v>2656.23</v>
      </c>
      <c r="E418" s="41">
        <f>7.1352-7.332</f>
        <v>-0.19679999999999964</v>
      </c>
      <c r="F418" s="691">
        <f>+E418</f>
        <v>-0.19679999999999964</v>
      </c>
      <c r="G418" s="214">
        <f t="shared" ref="G418:G423" si="99">ROUND(D418*E418,2)</f>
        <v>-522.75</v>
      </c>
      <c r="H418" s="303"/>
      <c r="I418" s="23"/>
      <c r="J418" s="23"/>
      <c r="K418" s="23"/>
      <c r="L418" s="603">
        <f>SUM(G418:G420)</f>
        <v>17537.440000000002</v>
      </c>
      <c r="M418" s="187">
        <v>17537.439999999999</v>
      </c>
      <c r="N418" s="660"/>
      <c r="O418" s="217"/>
      <c r="P418" s="661"/>
      <c r="Q418" s="219"/>
    </row>
    <row r="419" spans="1:17" ht="15.75">
      <c r="A419" s="662" t="s">
        <v>211</v>
      </c>
      <c r="B419" s="35"/>
      <c r="C419" s="48" t="s">
        <v>263</v>
      </c>
      <c r="D419" s="269">
        <v>84.65</v>
      </c>
      <c r="E419" s="41">
        <v>7.1352000000000002</v>
      </c>
      <c r="F419" s="298">
        <f t="shared" ref="F419" si="100">+E419</f>
        <v>7.1352000000000002</v>
      </c>
      <c r="G419" s="235">
        <f t="shared" si="99"/>
        <v>603.99</v>
      </c>
      <c r="H419" s="270"/>
      <c r="I419" s="41"/>
      <c r="J419" s="41"/>
      <c r="K419" s="41"/>
      <c r="L419" s="606"/>
      <c r="M419" s="935"/>
      <c r="N419" s="663"/>
      <c r="O419" s="237"/>
      <c r="P419" s="275"/>
      <c r="Q419" s="238"/>
    </row>
    <row r="420" spans="1:17" ht="15.75" thickBot="1">
      <c r="A420" s="969"/>
      <c r="B420" s="665"/>
      <c r="C420" s="99" t="s">
        <v>29</v>
      </c>
      <c r="D420" s="613">
        <v>2446.4899999999998</v>
      </c>
      <c r="E420" s="56">
        <v>7.1352000000000002</v>
      </c>
      <c r="F420" s="57"/>
      <c r="G420" s="247">
        <f t="shared" si="99"/>
        <v>17456.2</v>
      </c>
      <c r="H420" s="613"/>
      <c r="I420" s="57"/>
      <c r="J420" s="57"/>
      <c r="K420" s="57"/>
      <c r="L420" s="614"/>
      <c r="M420" s="935"/>
      <c r="N420" s="57"/>
      <c r="O420" s="57"/>
      <c r="P420" s="57"/>
      <c r="Q420" s="666"/>
    </row>
    <row r="421" spans="1:17" ht="15.75">
      <c r="A421" s="658">
        <v>501</v>
      </c>
      <c r="B421" s="659" t="s">
        <v>300</v>
      </c>
      <c r="C421" s="48" t="s">
        <v>260</v>
      </c>
      <c r="D421" s="259"/>
      <c r="E421" s="41">
        <f>7.1352-7.332</f>
        <v>-0.19679999999999964</v>
      </c>
      <c r="F421" s="691">
        <f>+E421</f>
        <v>-0.19679999999999964</v>
      </c>
      <c r="G421" s="214">
        <f t="shared" si="99"/>
        <v>0</v>
      </c>
      <c r="H421" s="303"/>
      <c r="I421" s="23"/>
      <c r="J421" s="23"/>
      <c r="K421" s="23"/>
      <c r="L421" s="603">
        <f>SUM(G421:G423)</f>
        <v>15318.42</v>
      </c>
      <c r="M421" s="187">
        <v>15318.42</v>
      </c>
      <c r="N421" s="660"/>
      <c r="O421" s="217"/>
      <c r="P421" s="661"/>
      <c r="Q421" s="219"/>
    </row>
    <row r="422" spans="1:17" ht="15.75">
      <c r="A422" s="662"/>
      <c r="B422" s="35"/>
      <c r="C422" s="48" t="s">
        <v>263</v>
      </c>
      <c r="D422" s="269">
        <v>71.8</v>
      </c>
      <c r="E422" s="41">
        <v>7.1352000000000002</v>
      </c>
      <c r="F422" s="298">
        <f t="shared" ref="F422" si="101">+E422</f>
        <v>7.1352000000000002</v>
      </c>
      <c r="G422" s="235">
        <f t="shared" si="99"/>
        <v>512.30999999999995</v>
      </c>
      <c r="H422" s="270"/>
      <c r="I422" s="41"/>
      <c r="J422" s="41"/>
      <c r="K422" s="41"/>
      <c r="L422" s="606"/>
      <c r="M422" s="935"/>
      <c r="N422" s="663"/>
      <c r="O422" s="237"/>
      <c r="P422" s="275"/>
      <c r="Q422" s="238"/>
    </row>
    <row r="423" spans="1:17" ht="15.75" thickBot="1">
      <c r="A423" s="969"/>
      <c r="B423" s="665"/>
      <c r="C423" s="99" t="s">
        <v>29</v>
      </c>
      <c r="D423" s="613">
        <v>2075.08</v>
      </c>
      <c r="E423" s="56">
        <v>7.1352000000000002</v>
      </c>
      <c r="F423" s="57"/>
      <c r="G423" s="247">
        <f t="shared" si="99"/>
        <v>14806.11</v>
      </c>
      <c r="H423" s="613"/>
      <c r="I423" s="57"/>
      <c r="J423" s="57"/>
      <c r="K423" s="57"/>
      <c r="L423" s="614"/>
      <c r="M423" s="935"/>
      <c r="N423" s="57"/>
      <c r="O423" s="57"/>
      <c r="P423" s="57"/>
      <c r="Q423" s="666"/>
    </row>
    <row r="424" spans="1:17">
      <c r="A424" s="977"/>
    </row>
    <row r="425" spans="1:17">
      <c r="A425" s="977"/>
    </row>
    <row r="426" spans="1:17">
      <c r="A426" s="977"/>
    </row>
  </sheetData>
  <mergeCells count="41"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  <mergeCell ref="M123:M124"/>
    <mergeCell ref="N123:Q123"/>
    <mergeCell ref="O262:Q262"/>
    <mergeCell ref="A268:A269"/>
    <mergeCell ref="B268:B269"/>
    <mergeCell ref="C268:C269"/>
    <mergeCell ref="D268:G268"/>
    <mergeCell ref="H268:K268"/>
    <mergeCell ref="L268:L269"/>
    <mergeCell ref="M268:M269"/>
    <mergeCell ref="A123:A124"/>
    <mergeCell ref="B123:B124"/>
    <mergeCell ref="C123:C124"/>
    <mergeCell ref="D123:G123"/>
    <mergeCell ref="H123:K123"/>
    <mergeCell ref="L123:L124"/>
    <mergeCell ref="N268:Q268"/>
    <mergeCell ref="A389:A390"/>
    <mergeCell ref="B389:B390"/>
    <mergeCell ref="C389:C390"/>
    <mergeCell ref="D389:G389"/>
    <mergeCell ref="H389:K389"/>
    <mergeCell ref="L389:L390"/>
    <mergeCell ref="M389:M390"/>
    <mergeCell ref="N389:Q389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447"/>
  <sheetViews>
    <sheetView topLeftCell="A421" workbookViewId="0">
      <pane xSplit="3" topLeftCell="D1" activePane="topRight" state="frozen"/>
      <selection pane="topRight" activeCell="L288" sqref="L288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74</v>
      </c>
      <c r="E4" s="21">
        <v>40.556600000000003</v>
      </c>
      <c r="F4" s="21">
        <v>47.5304</v>
      </c>
      <c r="G4" s="22">
        <f>ROUND(D4*(E4+F4),2)</f>
        <v>6518.44</v>
      </c>
      <c r="H4" s="20"/>
      <c r="I4" s="23"/>
      <c r="J4" s="23"/>
      <c r="K4" s="24"/>
      <c r="L4" s="25">
        <f>SUM(G4:G8,J4:J7)</f>
        <v>111235.95999999999</v>
      </c>
      <c r="M4" s="26">
        <v>111235.96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032" t="s">
        <v>221</v>
      </c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104717.52</v>
      </c>
      <c r="S6" s="31"/>
      <c r="T6" s="32"/>
    </row>
    <row r="7" spans="1:22">
      <c r="A7" s="34"/>
      <c r="B7" s="35"/>
      <c r="C7" s="48" t="s">
        <v>263</v>
      </c>
      <c r="D7" s="49">
        <f>340.93+108.68</f>
        <v>449.61</v>
      </c>
      <c r="E7" s="41">
        <v>6.7838000000000003</v>
      </c>
      <c r="F7" s="41">
        <f>+E7</f>
        <v>6.7838000000000003</v>
      </c>
      <c r="G7" s="50">
        <f>ROUND(D7*E7,2)+0.01</f>
        <v>3050.07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104717.52</v>
      </c>
    </row>
    <row r="8" spans="1:22" ht="15.75" thickBot="1">
      <c r="A8" s="52"/>
      <c r="B8" s="53"/>
      <c r="C8" s="99" t="s">
        <v>29</v>
      </c>
      <c r="D8" s="55">
        <f>11364.3+3622.5</f>
        <v>14986.8</v>
      </c>
      <c r="E8" s="1012">
        <v>6.7838000000000003</v>
      </c>
      <c r="F8" s="57">
        <f>+E8</f>
        <v>6.7838000000000003</v>
      </c>
      <c r="G8" s="58">
        <f>ROUND(D8*E8,2)</f>
        <v>101667.45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101667.45</v>
      </c>
      <c r="R8" s="66" t="s">
        <v>25</v>
      </c>
      <c r="S8" s="67">
        <f>SUM(O4:O8)</f>
        <v>0</v>
      </c>
      <c r="T8" s="68">
        <f>SUM(Q4:Q8)</f>
        <v>101667.45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85</v>
      </c>
      <c r="E13" s="21">
        <v>40.556600000000003</v>
      </c>
      <c r="F13" s="21">
        <v>47.5304</v>
      </c>
      <c r="G13" s="22">
        <f>ROUND(D13*(E13+F13),2)</f>
        <v>7487.4</v>
      </c>
      <c r="H13" s="72"/>
      <c r="I13" s="21"/>
      <c r="J13" s="73"/>
      <c r="K13" s="24"/>
      <c r="L13" s="74">
        <f>SUM(G13:G20,J13:J19)</f>
        <v>51667.92</v>
      </c>
      <c r="M13" s="26">
        <v>51667.92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45</v>
      </c>
      <c r="E15" s="101">
        <v>330.44</v>
      </c>
      <c r="F15" s="38">
        <f>F13</f>
        <v>47.5304</v>
      </c>
      <c r="G15" s="39">
        <f>ROUND(D15*(E15+F15),2)</f>
        <v>17008.669999999998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ноя18!D15</f>
        <v>42</v>
      </c>
      <c r="E16" s="41">
        <f>330.44-461.99</f>
        <v>-131.55000000000001</v>
      </c>
      <c r="F16" s="38"/>
      <c r="G16" s="50">
        <f>+D16*(E16+F16)</f>
        <v>-5525.1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ноя18!D19+ноя18!D20</f>
        <v>4447.03</v>
      </c>
      <c r="E18" s="881">
        <f>7.0643-7.1352</f>
        <v>-7.0899999999999963E-2</v>
      </c>
      <c r="F18" s="41">
        <f>+E18</f>
        <v>-7.0899999999999963E-2</v>
      </c>
      <c r="G18" s="50">
        <f>ROUND(D18*E18*70%+D18*F18*30%,2)-0.01</f>
        <v>-315.3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17.58+113.73+4.8</f>
        <v>136.11000000000001</v>
      </c>
      <c r="E19" s="41">
        <v>7.0643000000000002</v>
      </c>
      <c r="F19" s="41">
        <f>E19</f>
        <v>7.0643000000000002</v>
      </c>
      <c r="G19" s="50">
        <f>ROUND(D19*E19*70%+D19*F19*30%,2)</f>
        <v>961.52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586+3791+160</f>
        <v>4537</v>
      </c>
      <c r="E20" s="56">
        <v>7.0643000000000002</v>
      </c>
      <c r="F20" s="109">
        <f>+E20</f>
        <v>7.0643000000000002</v>
      </c>
      <c r="G20" s="110">
        <f>ROUND(D20*E20*70%+D20*F20*30%,2)</f>
        <v>32050.73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ноя18!D28+ноя18!D29</f>
        <v>2363.06</v>
      </c>
      <c r="E27" s="41">
        <f>7.0643-7.1352</f>
        <v>-7.0899999999999963E-2</v>
      </c>
      <c r="F27" s="691">
        <f>+E27</f>
        <v>-7.0899999999999963E-2</v>
      </c>
      <c r="G27" s="214">
        <f>ROUND(D27*E27,2)-0.01</f>
        <v>-167.54999999999998</v>
      </c>
      <c r="H27" s="303"/>
      <c r="I27" s="23"/>
      <c r="J27" s="23"/>
      <c r="K27" s="23"/>
      <c r="L27" s="603">
        <f>SUM(G27:G29)</f>
        <v>17440.43</v>
      </c>
      <c r="M27" s="187">
        <v>17440.43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72.599999999999994</v>
      </c>
      <c r="E28" s="41">
        <v>7.0643000000000002</v>
      </c>
      <c r="F28" s="298">
        <f t="shared" ref="F28" si="0">+E28</f>
        <v>7.0643000000000002</v>
      </c>
      <c r="G28" s="235">
        <f>ROUND(D28*E28,2)</f>
        <v>512.87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2419.9299999999998</v>
      </c>
      <c r="E29" s="56">
        <v>7.0643000000000002</v>
      </c>
      <c r="F29" s="57"/>
      <c r="G29" s="247">
        <f>ROUND(D29*E29,2)</f>
        <v>17095.11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>
      <c r="A33" s="888" t="s">
        <v>241</v>
      </c>
      <c r="B33" s="183" t="s">
        <v>242</v>
      </c>
      <c r="C33" s="439" t="s">
        <v>243</v>
      </c>
      <c r="D33" s="1008">
        <v>0.81</v>
      </c>
      <c r="E33" s="23">
        <v>40.556600000000003</v>
      </c>
      <c r="F33" s="23">
        <v>47.5304</v>
      </c>
      <c r="G33" s="214">
        <f>ROUND(D33*(E33+F33),2)</f>
        <v>71.349999999999994</v>
      </c>
      <c r="H33" s="1001"/>
      <c r="I33" s="23"/>
      <c r="J33" s="23"/>
      <c r="K33" s="304"/>
      <c r="L33" s="343">
        <f>SUM(G33:G37)+J33:J34</f>
        <v>13140.94</v>
      </c>
      <c r="M33" s="187">
        <v>13155.03</v>
      </c>
      <c r="N33" s="274"/>
      <c r="O33" s="237" t="s">
        <v>305</v>
      </c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002"/>
      <c r="I34" s="281"/>
      <c r="J34" s="281"/>
      <c r="K34" s="28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v>0</v>
      </c>
      <c r="E35" s="41">
        <f>7.0643-7.1352</f>
        <v>-7.0899999999999963E-2</v>
      </c>
      <c r="F35" s="41">
        <f t="shared" ref="F35:F45" si="1">+E35</f>
        <v>-7.0899999999999963E-2</v>
      </c>
      <c r="G35" s="50">
        <f>ROUND(D35*E35,2)</f>
        <v>0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19.59</v>
      </c>
      <c r="E36" s="41">
        <v>7.0643000000000002</v>
      </c>
      <c r="F36" s="41">
        <f t="shared" si="1"/>
        <v>7.0643000000000002</v>
      </c>
      <c r="G36" s="50">
        <f>ROUND(D36*E36,2)</f>
        <v>138.38999999999999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1830.5</v>
      </c>
      <c r="E37" s="56">
        <v>7.0643000000000002</v>
      </c>
      <c r="F37" s="57">
        <f t="shared" si="1"/>
        <v>7.0643000000000002</v>
      </c>
      <c r="G37" s="247">
        <f>ROUND(D37*E37*70%+D37*F37*30%,2)</f>
        <v>12931.2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35.5+21.4</f>
        <v>56.9</v>
      </c>
      <c r="E38" s="21">
        <v>40.556600000000003</v>
      </c>
      <c r="F38" s="21">
        <v>47.5304</v>
      </c>
      <c r="G38" s="214">
        <f>ROUND(D38*(E38+F38),2)</f>
        <v>5012.1499999999996</v>
      </c>
      <c r="H38" s="213"/>
      <c r="I38" s="41"/>
      <c r="J38" s="215"/>
      <c r="K38" s="679"/>
      <c r="L38" s="294">
        <f>SUM(G38:G42)</f>
        <v>47594.409999999996</v>
      </c>
      <c r="M38" s="227">
        <v>47594.41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225"/>
      <c r="I39" s="41"/>
      <c r="J39" s="194"/>
      <c r="K39" s="295"/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/>
      <c r="E40" s="41">
        <f>7.0643-7.1352</f>
        <v>-7.0899999999999963E-2</v>
      </c>
      <c r="F40" s="41">
        <f t="shared" ref="F40:F42" si="2">+E40</f>
        <v>-7.0899999999999963E-2</v>
      </c>
      <c r="G40" s="235">
        <f>ROUND(D40*E40,2)</f>
        <v>0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63.81</v>
      </c>
      <c r="E41" s="41">
        <v>7.0643000000000002</v>
      </c>
      <c r="F41" s="41">
        <f t="shared" si="2"/>
        <v>7.0643000000000002</v>
      </c>
      <c r="G41" s="235">
        <f t="shared" ref="G41:G42" si="3">ROUND(D41*E41,2)</f>
        <v>450.77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5964</v>
      </c>
      <c r="E42" s="56">
        <v>7.0643000000000002</v>
      </c>
      <c r="F42" s="57">
        <f t="shared" si="2"/>
        <v>7.0643000000000002</v>
      </c>
      <c r="G42" s="247">
        <f t="shared" si="3"/>
        <v>42131.49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>
      <c r="A43" s="892">
        <v>112</v>
      </c>
      <c r="B43" s="183" t="s">
        <v>307</v>
      </c>
      <c r="C43" s="439" t="s">
        <v>260</v>
      </c>
      <c r="D43" s="296"/>
      <c r="E43" s="41">
        <f>7.0643-7.1352</f>
        <v>-7.0899999999999963E-2</v>
      </c>
      <c r="F43" s="41">
        <f t="shared" si="1"/>
        <v>-7.0899999999999963E-2</v>
      </c>
      <c r="G43" s="235">
        <f>ROUND(D43*E43,2)</f>
        <v>0</v>
      </c>
      <c r="H43" s="270"/>
      <c r="I43" s="41"/>
      <c r="J43" s="41"/>
      <c r="K43" s="271"/>
      <c r="L43" s="294">
        <f>SUM(G43:G45)</f>
        <v>2475.4</v>
      </c>
      <c r="M43" s="227">
        <v>2475.4</v>
      </c>
      <c r="N43" s="274"/>
      <c r="O43" s="237"/>
      <c r="P43" s="275"/>
      <c r="Q43" s="237"/>
      <c r="R43" s="242"/>
      <c r="S43" s="266"/>
      <c r="T43" s="266"/>
    </row>
    <row r="44" spans="1:21" ht="15.75">
      <c r="A44" s="896"/>
      <c r="B44" s="192"/>
      <c r="C44" s="48" t="s">
        <v>263</v>
      </c>
      <c r="D44" s="269">
        <v>3.71</v>
      </c>
      <c r="E44" s="41">
        <v>7.0643000000000002</v>
      </c>
      <c r="F44" s="41">
        <f t="shared" si="1"/>
        <v>7.0643000000000002</v>
      </c>
      <c r="G44" s="235">
        <f>ROUND(D44*E44,2)</f>
        <v>26.21</v>
      </c>
      <c r="H44" s="270"/>
      <c r="I44" s="41"/>
      <c r="J44" s="41"/>
      <c r="K44" s="271"/>
      <c r="L44" s="272"/>
      <c r="M44" s="273"/>
      <c r="N44" s="274"/>
      <c r="O44" s="237"/>
      <c r="P44" s="275"/>
      <c r="Q44" s="237"/>
      <c r="R44" s="242"/>
      <c r="S44" s="266"/>
      <c r="T44" s="266"/>
    </row>
    <row r="45" spans="1:21" ht="16.5" thickBot="1">
      <c r="A45" s="891"/>
      <c r="B45" s="202"/>
      <c r="C45" s="54" t="s">
        <v>29</v>
      </c>
      <c r="D45" s="279">
        <v>346.7</v>
      </c>
      <c r="E45" s="56">
        <v>7.0643000000000002</v>
      </c>
      <c r="F45" s="57">
        <f t="shared" si="1"/>
        <v>7.0643000000000002</v>
      </c>
      <c r="G45" s="247">
        <f t="shared" ref="G45" si="4">ROUND(D45*E45,2)</f>
        <v>2449.19</v>
      </c>
      <c r="H45" s="280"/>
      <c r="I45" s="281"/>
      <c r="J45" s="281"/>
      <c r="K45" s="282"/>
      <c r="L45" s="204"/>
      <c r="M45" s="250"/>
      <c r="N45" s="283"/>
      <c r="O45" s="252"/>
      <c r="P45" s="284"/>
      <c r="Q45" s="252"/>
      <c r="R45" s="242"/>
      <c r="S45" s="266"/>
      <c r="T45" s="266"/>
    </row>
    <row r="46" spans="1:21">
      <c r="A46" s="896">
        <v>202</v>
      </c>
      <c r="B46" s="192" t="s">
        <v>159</v>
      </c>
      <c r="C46" s="700" t="s">
        <v>260</v>
      </c>
      <c r="D46" s="985">
        <f>ноя18!D36+ноя18!D37</f>
        <v>104.71</v>
      </c>
      <c r="E46" s="261">
        <f>7.0643-7.1352</f>
        <v>-7.0899999999999963E-2</v>
      </c>
      <c r="F46" s="261">
        <f t="shared" ref="F46:F60" si="5">+E46</f>
        <v>-7.0899999999999963E-2</v>
      </c>
      <c r="G46" s="195">
        <f>ROUND(D46*E46,2)</f>
        <v>-7.42</v>
      </c>
      <c r="H46" s="260"/>
      <c r="I46" s="261"/>
      <c r="J46" s="261"/>
      <c r="K46" s="262"/>
      <c r="L46" s="294">
        <f>SUM(G46:G48)</f>
        <v>974.30000000000007</v>
      </c>
      <c r="M46" s="227">
        <v>974.3</v>
      </c>
      <c r="N46" s="274"/>
      <c r="O46" s="237"/>
      <c r="P46" s="275"/>
      <c r="Q46" s="237"/>
      <c r="R46" s="242"/>
      <c r="S46" s="266"/>
      <c r="T46" s="266"/>
    </row>
    <row r="47" spans="1:21" ht="15.75">
      <c r="A47" s="896"/>
      <c r="B47" s="192"/>
      <c r="C47" s="48" t="s">
        <v>263</v>
      </c>
      <c r="D47" s="269">
        <v>1.47</v>
      </c>
      <c r="E47" s="41">
        <v>7.0643000000000002</v>
      </c>
      <c r="F47" s="41">
        <f t="shared" si="5"/>
        <v>7.0643000000000002</v>
      </c>
      <c r="G47" s="235">
        <f t="shared" ref="G47:G48" si="6">ROUND(D47*E47,2)</f>
        <v>10.38</v>
      </c>
      <c r="H47" s="270"/>
      <c r="I47" s="41"/>
      <c r="J47" s="41"/>
      <c r="K47" s="271"/>
      <c r="L47" s="272"/>
      <c r="M47" s="273"/>
      <c r="N47" s="274"/>
      <c r="O47" s="237"/>
      <c r="P47" s="275"/>
      <c r="Q47" s="237"/>
      <c r="R47" s="242"/>
      <c r="S47" s="266"/>
      <c r="T47" s="266"/>
    </row>
    <row r="48" spans="1:21" ht="16.5" thickBot="1">
      <c r="A48" s="891"/>
      <c r="B48" s="887"/>
      <c r="C48" s="54" t="s">
        <v>29</v>
      </c>
      <c r="D48" s="279">
        <v>137.5</v>
      </c>
      <c r="E48" s="56">
        <v>7.0643000000000002</v>
      </c>
      <c r="F48" s="57">
        <f t="shared" si="5"/>
        <v>7.0643000000000002</v>
      </c>
      <c r="G48" s="247">
        <f t="shared" si="6"/>
        <v>971.34</v>
      </c>
      <c r="H48" s="280"/>
      <c r="I48" s="281"/>
      <c r="J48" s="281"/>
      <c r="K48" s="282"/>
      <c r="L48" s="204"/>
      <c r="M48" s="250"/>
      <c r="N48" s="283"/>
      <c r="O48" s="252"/>
      <c r="P48" s="284"/>
      <c r="Q48" s="252"/>
      <c r="R48" s="242"/>
      <c r="S48" s="266"/>
      <c r="T48" s="266"/>
    </row>
    <row r="49" spans="1:21" ht="15.75" hidden="1" thickBot="1">
      <c r="A49" s="892">
        <v>204</v>
      </c>
      <c r="B49" s="183" t="s">
        <v>137</v>
      </c>
      <c r="C49" s="439" t="s">
        <v>260</v>
      </c>
      <c r="D49" s="296"/>
      <c r="E49" s="41">
        <f>6.6439-6.7023</f>
        <v>-5.8399999999999785E-2</v>
      </c>
      <c r="F49" s="41">
        <f t="shared" si="5"/>
        <v>-5.8399999999999785E-2</v>
      </c>
      <c r="G49" s="235">
        <f>ROUND(D49*E49,2)</f>
        <v>0</v>
      </c>
      <c r="H49" s="270"/>
      <c r="I49" s="41"/>
      <c r="J49" s="41"/>
      <c r="K49" s="271"/>
      <c r="L49" s="294">
        <f>SUM(G49:G51)</f>
        <v>0</v>
      </c>
      <c r="M49" s="227"/>
      <c r="N49" s="274"/>
      <c r="O49" s="237"/>
      <c r="P49" s="275"/>
      <c r="Q49" s="237"/>
      <c r="R49" s="242"/>
      <c r="S49" s="266"/>
      <c r="T49" s="266"/>
    </row>
    <row r="50" spans="1:21" ht="16.5" hidden="1" thickBot="1">
      <c r="A50" s="896"/>
      <c r="B50" s="991" t="s">
        <v>275</v>
      </c>
      <c r="C50" s="48" t="s">
        <v>263</v>
      </c>
      <c r="D50" s="269"/>
      <c r="E50" s="41">
        <v>6.6439000000000004</v>
      </c>
      <c r="F50" s="41">
        <f t="shared" si="5"/>
        <v>6.6439000000000004</v>
      </c>
      <c r="G50" s="235">
        <f>ROUND(D50*E50,2)</f>
        <v>0</v>
      </c>
      <c r="H50" s="270"/>
      <c r="I50" s="41"/>
      <c r="J50" s="41"/>
      <c r="K50" s="271"/>
      <c r="L50" s="272"/>
      <c r="M50" s="273"/>
      <c r="N50" s="274"/>
      <c r="O50" s="237"/>
      <c r="P50" s="275"/>
      <c r="Q50" s="237"/>
      <c r="R50" s="242"/>
      <c r="S50" s="266"/>
      <c r="T50" s="266"/>
    </row>
    <row r="51" spans="1:21" ht="16.5" hidden="1" thickBot="1">
      <c r="A51" s="891"/>
      <c r="B51" s="887"/>
      <c r="C51" s="54" t="s">
        <v>29</v>
      </c>
      <c r="D51" s="279"/>
      <c r="E51" s="56">
        <v>6.6439000000000004</v>
      </c>
      <c r="F51" s="57">
        <f t="shared" si="5"/>
        <v>6.6439000000000004</v>
      </c>
      <c r="G51" s="247">
        <f>ROUND(D51*E51,2)</f>
        <v>0</v>
      </c>
      <c r="H51" s="280"/>
      <c r="I51" s="281"/>
      <c r="J51" s="281"/>
      <c r="K51" s="282"/>
      <c r="L51" s="204"/>
      <c r="M51" s="250"/>
      <c r="N51" s="283"/>
      <c r="O51" s="252"/>
      <c r="P51" s="284"/>
      <c r="Q51" s="252"/>
      <c r="R51" s="242"/>
      <c r="S51" s="266"/>
      <c r="T51" s="266"/>
    </row>
    <row r="52" spans="1:21">
      <c r="A52" s="892">
        <v>204</v>
      </c>
      <c r="B52" s="183" t="s">
        <v>289</v>
      </c>
      <c r="C52" s="439" t="s">
        <v>260</v>
      </c>
      <c r="D52" s="296">
        <f>ноя18!D42+ноя18!D43</f>
        <v>161.21</v>
      </c>
      <c r="E52" s="41">
        <f>7.0643-7.1352</f>
        <v>-7.0899999999999963E-2</v>
      </c>
      <c r="F52" s="41">
        <f t="shared" si="5"/>
        <v>-7.0899999999999963E-2</v>
      </c>
      <c r="G52" s="235">
        <f>ROUND(D52*E52,2)+0.01</f>
        <v>-11.42</v>
      </c>
      <c r="H52" s="270"/>
      <c r="I52" s="41"/>
      <c r="J52" s="41"/>
      <c r="K52" s="271"/>
      <c r="L52" s="294">
        <f>SUM(G52:G54)</f>
        <v>1281.6199999999999</v>
      </c>
      <c r="M52" s="227">
        <v>1281.6199999999999</v>
      </c>
      <c r="N52" s="274"/>
      <c r="O52" s="237"/>
      <c r="P52" s="275"/>
      <c r="Q52" s="237"/>
      <c r="R52" s="242"/>
      <c r="S52" s="266"/>
      <c r="T52" s="266"/>
    </row>
    <row r="53" spans="1:21" ht="15.75">
      <c r="A53" s="896"/>
      <c r="B53" s="192"/>
      <c r="C53" s="48" t="s">
        <v>263</v>
      </c>
      <c r="D53" s="269">
        <v>1.94</v>
      </c>
      <c r="E53" s="41">
        <v>7.0643000000000002</v>
      </c>
      <c r="F53" s="41">
        <f t="shared" si="5"/>
        <v>7.0643000000000002</v>
      </c>
      <c r="G53" s="235">
        <f>ROUND(D53*E53,2)</f>
        <v>13.7</v>
      </c>
      <c r="H53" s="270"/>
      <c r="I53" s="41"/>
      <c r="J53" s="41"/>
      <c r="K53" s="271"/>
      <c r="L53" s="272"/>
      <c r="M53" s="273"/>
      <c r="N53" s="274"/>
      <c r="O53" s="237"/>
      <c r="P53" s="275"/>
      <c r="Q53" s="237"/>
      <c r="R53" s="242"/>
      <c r="S53" s="266"/>
      <c r="T53" s="266"/>
    </row>
    <row r="54" spans="1:21" ht="16.5" thickBot="1">
      <c r="A54" s="891"/>
      <c r="B54" s="887"/>
      <c r="C54" s="54" t="s">
        <v>29</v>
      </c>
      <c r="D54" s="279">
        <v>181.1</v>
      </c>
      <c r="E54" s="56">
        <v>7.0643000000000002</v>
      </c>
      <c r="F54" s="57">
        <f t="shared" si="5"/>
        <v>7.0643000000000002</v>
      </c>
      <c r="G54" s="247">
        <f t="shared" ref="G54" si="7">ROUND(D54*E54,2)</f>
        <v>1279.3399999999999</v>
      </c>
      <c r="H54" s="280"/>
      <c r="I54" s="281"/>
      <c r="J54" s="281"/>
      <c r="K54" s="282"/>
      <c r="L54" s="204"/>
      <c r="M54" s="250"/>
      <c r="N54" s="283"/>
      <c r="O54" s="252"/>
      <c r="P54" s="284"/>
      <c r="Q54" s="252"/>
      <c r="R54" s="242"/>
      <c r="S54" s="266"/>
      <c r="T54" s="266"/>
    </row>
    <row r="55" spans="1:21">
      <c r="A55" s="892">
        <v>210</v>
      </c>
      <c r="B55" s="183" t="s">
        <v>245</v>
      </c>
      <c r="C55" s="439" t="s">
        <v>260</v>
      </c>
      <c r="D55" s="296">
        <f>ноя18!D45+ноя18!D46</f>
        <v>252.98000000000002</v>
      </c>
      <c r="E55" s="41">
        <f>7.0643-7.1352</f>
        <v>-7.0899999999999963E-2</v>
      </c>
      <c r="F55" s="41">
        <f t="shared" si="5"/>
        <v>-7.0899999999999963E-2</v>
      </c>
      <c r="G55" s="235">
        <f>ROUND(D55*E55,2)-0.01</f>
        <v>-17.950000000000003</v>
      </c>
      <c r="H55" s="270"/>
      <c r="I55" s="41"/>
      <c r="J55" s="41"/>
      <c r="K55" s="271"/>
      <c r="L55" s="294">
        <f>SUM(G55:G57)</f>
        <v>2318.9300000000003</v>
      </c>
      <c r="M55" s="227">
        <v>2318.9299999999998</v>
      </c>
      <c r="N55" s="274"/>
      <c r="O55" s="237"/>
      <c r="P55" s="275"/>
      <c r="Q55" s="237"/>
      <c r="R55" s="242"/>
      <c r="S55" s="266"/>
      <c r="T55" s="266"/>
    </row>
    <row r="56" spans="1:21" ht="15.75">
      <c r="A56" s="896"/>
      <c r="B56" s="192"/>
      <c r="C56" s="48" t="s">
        <v>263</v>
      </c>
      <c r="D56" s="269">
        <v>3.5</v>
      </c>
      <c r="E56" s="41">
        <v>7.0643000000000002</v>
      </c>
      <c r="F56" s="41">
        <f t="shared" si="5"/>
        <v>7.0643000000000002</v>
      </c>
      <c r="G56" s="235">
        <f>ROUND(D56*E56,2)</f>
        <v>24.73</v>
      </c>
      <c r="H56" s="270"/>
      <c r="I56" s="41"/>
      <c r="J56" s="41"/>
      <c r="K56" s="271"/>
      <c r="L56" s="272"/>
      <c r="M56" s="273"/>
      <c r="N56" s="274"/>
      <c r="O56" s="237"/>
      <c r="P56" s="275"/>
      <c r="Q56" s="237"/>
      <c r="R56" s="242"/>
      <c r="S56" s="266"/>
      <c r="T56" s="266"/>
    </row>
    <row r="57" spans="1:21" ht="16.5" thickBot="1">
      <c r="A57" s="891"/>
      <c r="B57" s="887"/>
      <c r="C57" s="54" t="s">
        <v>29</v>
      </c>
      <c r="D57" s="279">
        <v>327.3</v>
      </c>
      <c r="E57" s="56">
        <v>7.0643000000000002</v>
      </c>
      <c r="F57" s="57">
        <f t="shared" si="5"/>
        <v>7.0643000000000002</v>
      </c>
      <c r="G57" s="247">
        <f t="shared" ref="G57" si="8">ROUND(D57*E57,2)</f>
        <v>2312.15</v>
      </c>
      <c r="H57" s="280"/>
      <c r="I57" s="281"/>
      <c r="J57" s="281"/>
      <c r="K57" s="282"/>
      <c r="L57" s="204"/>
      <c r="M57" s="250"/>
      <c r="N57" s="283"/>
      <c r="O57" s="252"/>
      <c r="P57" s="284"/>
      <c r="Q57" s="252"/>
      <c r="R57" s="242"/>
      <c r="S57" s="266"/>
      <c r="T57" s="266"/>
    </row>
    <row r="58" spans="1:21">
      <c r="A58" s="892">
        <v>213</v>
      </c>
      <c r="B58" s="183" t="s">
        <v>262</v>
      </c>
      <c r="C58" s="439" t="s">
        <v>260</v>
      </c>
      <c r="D58" s="296">
        <f>ноя18!D48+ноя18!D49</f>
        <v>120.17</v>
      </c>
      <c r="E58" s="41">
        <f>7.0643-7.1352</f>
        <v>-7.0899999999999963E-2</v>
      </c>
      <c r="F58" s="41">
        <f t="shared" si="5"/>
        <v>-7.0899999999999963E-2</v>
      </c>
      <c r="G58" s="235">
        <f>ROUND(D58*E58,2)</f>
        <v>-8.52</v>
      </c>
      <c r="H58" s="270"/>
      <c r="I58" s="41"/>
      <c r="J58" s="41"/>
      <c r="K58" s="271"/>
      <c r="L58" s="294">
        <f>SUM(G58:G60)</f>
        <v>1248.08</v>
      </c>
      <c r="M58" s="227">
        <v>1248.08</v>
      </c>
      <c r="N58" s="274"/>
      <c r="O58" s="237"/>
      <c r="P58" s="275"/>
      <c r="Q58" s="237"/>
      <c r="R58" s="242"/>
      <c r="S58" s="266"/>
      <c r="T58" s="266"/>
    </row>
    <row r="59" spans="1:21" ht="15.75">
      <c r="A59" s="896"/>
      <c r="B59" s="192"/>
      <c r="C59" s="48" t="s">
        <v>263</v>
      </c>
      <c r="D59" s="269">
        <v>1.88</v>
      </c>
      <c r="E59" s="41">
        <v>7.0643000000000002</v>
      </c>
      <c r="F59" s="41">
        <f t="shared" si="5"/>
        <v>7.0643000000000002</v>
      </c>
      <c r="G59" s="235">
        <f>ROUND(D59*E59,2)</f>
        <v>13.28</v>
      </c>
      <c r="H59" s="270"/>
      <c r="I59" s="41"/>
      <c r="J59" s="41"/>
      <c r="K59" s="271"/>
      <c r="L59" s="272"/>
      <c r="M59" s="273"/>
      <c r="N59" s="274"/>
      <c r="O59" s="237"/>
      <c r="P59" s="275"/>
      <c r="Q59" s="237"/>
      <c r="R59" s="242"/>
      <c r="S59" s="266"/>
      <c r="T59" s="266"/>
    </row>
    <row r="60" spans="1:21" ht="16.5" thickBot="1">
      <c r="A60" s="891"/>
      <c r="B60" s="887"/>
      <c r="C60" s="54" t="s">
        <v>29</v>
      </c>
      <c r="D60" s="279">
        <v>176</v>
      </c>
      <c r="E60" s="56">
        <v>7.0643000000000002</v>
      </c>
      <c r="F60" s="57">
        <f t="shared" si="5"/>
        <v>7.0643000000000002</v>
      </c>
      <c r="G60" s="247">
        <f t="shared" ref="G60" si="9">ROUND(D60*E60,2)</f>
        <v>1243.32</v>
      </c>
      <c r="H60" s="280"/>
      <c r="I60" s="281"/>
      <c r="J60" s="281"/>
      <c r="K60" s="282"/>
      <c r="L60" s="204"/>
      <c r="M60" s="250"/>
      <c r="N60" s="283"/>
      <c r="O60" s="252"/>
      <c r="P60" s="284"/>
      <c r="Q60" s="252"/>
      <c r="R60" s="242"/>
      <c r="S60" s="266"/>
      <c r="T60" s="266"/>
    </row>
    <row r="61" spans="1:21">
      <c r="A61" s="892">
        <v>215</v>
      </c>
      <c r="B61" s="183" t="s">
        <v>189</v>
      </c>
      <c r="C61" s="71" t="s">
        <v>243</v>
      </c>
      <c r="D61" s="213">
        <v>0</v>
      </c>
      <c r="E61" s="21">
        <v>40.556600000000003</v>
      </c>
      <c r="F61" s="21">
        <v>47.5304</v>
      </c>
      <c r="G61" s="214">
        <f>ROUND(D61*(E61+F61),2)</f>
        <v>0</v>
      </c>
      <c r="H61" s="213"/>
      <c r="I61" s="194"/>
      <c r="J61" s="215"/>
      <c r="K61" s="679"/>
      <c r="L61" s="216">
        <f>SUM(G61:G68)+SUM(J61:J68)</f>
        <v>3733.36</v>
      </c>
      <c r="M61" s="187">
        <v>3733.36</v>
      </c>
      <c r="N61" s="188"/>
      <c r="O61" s="217"/>
      <c r="P61" s="218"/>
      <c r="Q61" s="219"/>
      <c r="R61" s="220"/>
      <c r="S61" s="221"/>
      <c r="T61" s="222"/>
      <c r="U61" s="33"/>
    </row>
    <row r="62" spans="1:21">
      <c r="A62" s="890"/>
      <c r="B62" s="872"/>
      <c r="C62" s="84" t="s">
        <v>26</v>
      </c>
      <c r="D62" s="37"/>
      <c r="E62" s="38"/>
      <c r="F62" s="38"/>
      <c r="G62" s="39">
        <f>ROUND(D62*(E62+F62),2)</f>
        <v>0</v>
      </c>
      <c r="H62" s="225"/>
      <c r="I62" s="194"/>
      <c r="J62" s="194"/>
      <c r="K62" s="226"/>
      <c r="L62" s="196"/>
      <c r="M62" s="227"/>
      <c r="N62" s="228"/>
      <c r="O62" s="229"/>
      <c r="P62" s="230"/>
      <c r="Q62" s="231"/>
      <c r="R62" s="232"/>
      <c r="S62" s="233"/>
      <c r="T62" s="224"/>
      <c r="U62" s="33"/>
    </row>
    <row r="63" spans="1:21">
      <c r="A63" s="890"/>
      <c r="B63" s="873" t="s">
        <v>32</v>
      </c>
      <c r="C63" s="99" t="s">
        <v>33</v>
      </c>
      <c r="D63" s="234">
        <v>0</v>
      </c>
      <c r="E63" s="101">
        <v>148.66999999999999</v>
      </c>
      <c r="F63" s="38">
        <f>F61</f>
        <v>47.5304</v>
      </c>
      <c r="G63" s="235">
        <f>ROUND(D63*(E63+F63),2)</f>
        <v>0</v>
      </c>
      <c r="H63" s="234"/>
      <c r="I63" s="194"/>
      <c r="J63" s="194"/>
      <c r="K63" s="195"/>
      <c r="L63" s="196"/>
      <c r="M63" s="227"/>
      <c r="N63" s="236"/>
      <c r="O63" s="237"/>
      <c r="P63" s="230"/>
      <c r="Q63" s="238"/>
      <c r="R63" s="232"/>
      <c r="S63" s="233"/>
      <c r="T63" s="224"/>
    </row>
    <row r="64" spans="1:21">
      <c r="A64" s="890"/>
      <c r="B64" s="872" t="s">
        <v>33</v>
      </c>
      <c r="C64" s="239" t="s">
        <v>26</v>
      </c>
      <c r="D64" s="234"/>
      <c r="E64" s="240"/>
      <c r="F64" s="240"/>
      <c r="G64" s="235">
        <f>+ROUND(D64*E64,2)</f>
        <v>0</v>
      </c>
      <c r="H64" s="241"/>
      <c r="I64" s="194"/>
      <c r="J64" s="194"/>
      <c r="K64" s="195"/>
      <c r="L64" s="196"/>
      <c r="M64" s="227"/>
      <c r="N64" s="236"/>
      <c r="O64" s="237"/>
      <c r="P64" s="230"/>
      <c r="Q64" s="238"/>
      <c r="R64" s="242"/>
      <c r="S64" s="233"/>
      <c r="T64" s="224"/>
    </row>
    <row r="65" spans="1:21">
      <c r="A65" s="890"/>
      <c r="B65" s="872"/>
      <c r="C65" s="239" t="s">
        <v>26</v>
      </c>
      <c r="D65" s="234"/>
      <c r="E65" s="240"/>
      <c r="F65" s="41"/>
      <c r="G65" s="235">
        <f>+ROUND(D65*F65,2)</f>
        <v>0</v>
      </c>
      <c r="H65" s="241"/>
      <c r="I65" s="194"/>
      <c r="J65" s="194"/>
      <c r="K65" s="195"/>
      <c r="L65" s="196"/>
      <c r="M65" s="227"/>
      <c r="N65" s="236"/>
      <c r="O65" s="237"/>
      <c r="P65" s="230"/>
      <c r="Q65" s="238"/>
      <c r="R65" s="242"/>
      <c r="S65" s="233"/>
      <c r="T65" s="224"/>
    </row>
    <row r="66" spans="1:21">
      <c r="A66" s="890"/>
      <c r="B66" s="872"/>
      <c r="C66" s="48" t="s">
        <v>260</v>
      </c>
      <c r="D66" s="49">
        <f>ноя18!D56+ноя18!D57</f>
        <v>424.19</v>
      </c>
      <c r="E66" s="41">
        <f>7.0643-7.1352</f>
        <v>-7.0899999999999963E-2</v>
      </c>
      <c r="F66" s="41">
        <f t="shared" ref="F66:F71" si="10">+E66</f>
        <v>-7.0899999999999963E-2</v>
      </c>
      <c r="G66" s="50">
        <f>ROUND(D66*E66,2)+0.01</f>
        <v>-30.069999999999997</v>
      </c>
      <c r="H66" s="241"/>
      <c r="I66" s="194"/>
      <c r="J66" s="194"/>
      <c r="K66" s="195"/>
      <c r="L66" s="196"/>
      <c r="M66" s="227"/>
      <c r="N66" s="236"/>
      <c r="O66" s="237"/>
      <c r="P66" s="230"/>
      <c r="Q66" s="238"/>
      <c r="R66" s="242"/>
      <c r="S66" s="233"/>
      <c r="T66" s="224"/>
    </row>
    <row r="67" spans="1:21">
      <c r="A67" s="890"/>
      <c r="B67" s="872"/>
      <c r="C67" s="48" t="s">
        <v>263</v>
      </c>
      <c r="D67" s="49">
        <v>5.64</v>
      </c>
      <c r="E67" s="41">
        <v>7.0643000000000002</v>
      </c>
      <c r="F67" s="41">
        <f t="shared" si="10"/>
        <v>7.0643000000000002</v>
      </c>
      <c r="G67" s="50">
        <f>ROUND(D67*E67,2)</f>
        <v>39.840000000000003</v>
      </c>
      <c r="H67" s="241"/>
      <c r="I67" s="194"/>
      <c r="J67" s="243"/>
      <c r="K67" s="195"/>
      <c r="L67" s="196"/>
      <c r="M67" s="227"/>
      <c r="N67" s="236"/>
      <c r="O67" s="237"/>
      <c r="P67" s="230"/>
      <c r="Q67" s="238"/>
      <c r="R67" s="242"/>
      <c r="S67" s="233"/>
      <c r="T67" s="224"/>
      <c r="U67" s="33"/>
    </row>
    <row r="68" spans="1:21" ht="15.75" thickBot="1">
      <c r="A68" s="897"/>
      <c r="B68" s="875"/>
      <c r="C68" s="99" t="s">
        <v>29</v>
      </c>
      <c r="D68" s="246">
        <v>527.1</v>
      </c>
      <c r="E68" s="56">
        <v>7.0643000000000002</v>
      </c>
      <c r="F68" s="57">
        <f t="shared" si="10"/>
        <v>7.0643000000000002</v>
      </c>
      <c r="G68" s="247">
        <f>ROUND(D68*E68*70%+D68*F68*30%,2)</f>
        <v>3723.59</v>
      </c>
      <c r="H68" s="248"/>
      <c r="I68" s="203"/>
      <c r="J68" s="60"/>
      <c r="K68" s="61"/>
      <c r="L68" s="249"/>
      <c r="M68" s="250"/>
      <c r="N68" s="251"/>
      <c r="O68" s="252"/>
      <c r="P68" s="253"/>
      <c r="Q68" s="254"/>
      <c r="R68" s="255"/>
      <c r="S68" s="256"/>
      <c r="T68" s="256"/>
    </row>
    <row r="69" spans="1:21" ht="15.75" thickTop="1">
      <c r="A69" s="892">
        <v>217</v>
      </c>
      <c r="B69" s="183" t="s">
        <v>269</v>
      </c>
      <c r="C69" s="439" t="s">
        <v>260</v>
      </c>
      <c r="D69" s="296">
        <f>ноя18!D59+ноя18!D60</f>
        <v>33.86</v>
      </c>
      <c r="E69" s="41">
        <f>7.0643-7.1352</f>
        <v>-7.0899999999999963E-2</v>
      </c>
      <c r="F69" s="41">
        <f t="shared" si="10"/>
        <v>-7.0899999999999963E-2</v>
      </c>
      <c r="G69" s="235">
        <f>ROUND(D69*E69,2)</f>
        <v>-2.4</v>
      </c>
      <c r="H69" s="270"/>
      <c r="I69" s="41"/>
      <c r="J69" s="41"/>
      <c r="K69" s="271"/>
      <c r="L69" s="294">
        <f>SUM(G69:G71)</f>
        <v>368.9</v>
      </c>
      <c r="M69" s="227">
        <v>368.9</v>
      </c>
      <c r="N69" s="274"/>
      <c r="O69" s="237"/>
      <c r="P69" s="275"/>
      <c r="Q69" s="237"/>
      <c r="R69" s="242"/>
      <c r="S69" s="266"/>
      <c r="T69" s="266"/>
    </row>
    <row r="70" spans="1:21" ht="15.75">
      <c r="A70" s="896"/>
      <c r="B70" s="192"/>
      <c r="C70" s="48" t="s">
        <v>263</v>
      </c>
      <c r="D70" s="269">
        <v>0.56000000000000005</v>
      </c>
      <c r="E70" s="41">
        <v>7.0643000000000002</v>
      </c>
      <c r="F70" s="41">
        <f t="shared" si="10"/>
        <v>7.0643000000000002</v>
      </c>
      <c r="G70" s="235">
        <f>ROUND(D70*E70,2)</f>
        <v>3.96</v>
      </c>
      <c r="H70" s="270"/>
      <c r="I70" s="41"/>
      <c r="J70" s="41"/>
      <c r="K70" s="271"/>
      <c r="L70" s="272"/>
      <c r="M70" s="273"/>
      <c r="N70" s="274"/>
      <c r="O70" s="237"/>
      <c r="P70" s="275"/>
      <c r="Q70" s="237"/>
      <c r="R70" s="242"/>
      <c r="S70" s="266"/>
      <c r="T70" s="266"/>
    </row>
    <row r="71" spans="1:21" ht="16.5" thickBot="1">
      <c r="A71" s="891"/>
      <c r="B71" s="887"/>
      <c r="C71" s="54" t="s">
        <v>29</v>
      </c>
      <c r="D71" s="279">
        <v>52</v>
      </c>
      <c r="E71" s="56">
        <v>7.0643000000000002</v>
      </c>
      <c r="F71" s="57">
        <f t="shared" si="10"/>
        <v>7.0643000000000002</v>
      </c>
      <c r="G71" s="247">
        <f t="shared" ref="G71" si="11">ROUND(D71*E71,2)</f>
        <v>367.34</v>
      </c>
      <c r="H71" s="280"/>
      <c r="I71" s="281"/>
      <c r="J71" s="281"/>
      <c r="K71" s="282"/>
      <c r="L71" s="204"/>
      <c r="M71" s="250"/>
      <c r="N71" s="283"/>
      <c r="O71" s="252"/>
      <c r="P71" s="284"/>
      <c r="Q71" s="252"/>
      <c r="R71" s="242"/>
      <c r="S71" s="266"/>
      <c r="T71" s="266"/>
    </row>
    <row r="72" spans="1:21" ht="15.75" collapsed="1" thickBot="1">
      <c r="A72" s="891">
        <v>309</v>
      </c>
      <c r="B72" s="887" t="s">
        <v>251</v>
      </c>
      <c r="C72" s="54" t="s">
        <v>260</v>
      </c>
      <c r="D72" s="296">
        <f>ноя18!D62+ноя18!D63</f>
        <v>346.06</v>
      </c>
      <c r="E72" s="41">
        <f>7.0643-7.1352</f>
        <v>-7.0899999999999963E-2</v>
      </c>
      <c r="F72" s="41">
        <f>+E72</f>
        <v>-7.0899999999999963E-2</v>
      </c>
      <c r="G72" s="235">
        <f>ROUND(D72*E72,2)+0.01</f>
        <v>-24.529999999999998</v>
      </c>
      <c r="H72" s="270"/>
      <c r="I72" s="41"/>
      <c r="J72" s="41"/>
      <c r="K72" s="271"/>
      <c r="L72" s="294">
        <f>SUM(G72:G74)</f>
        <v>3220.52</v>
      </c>
      <c r="M72" s="227">
        <v>3220.52</v>
      </c>
      <c r="N72" s="274"/>
      <c r="O72" s="237"/>
      <c r="P72" s="275"/>
      <c r="Q72" s="237"/>
      <c r="R72" s="242"/>
      <c r="S72" s="266"/>
      <c r="T72" s="266"/>
    </row>
    <row r="73" spans="1:21" ht="15.75">
      <c r="A73" s="896"/>
      <c r="B73" s="885"/>
      <c r="C73" s="48" t="s">
        <v>263</v>
      </c>
      <c r="D73" s="269">
        <v>4.8600000000000003</v>
      </c>
      <c r="E73" s="41">
        <v>7.0643000000000002</v>
      </c>
      <c r="F73" s="41">
        <f>+E73</f>
        <v>7.0643000000000002</v>
      </c>
      <c r="G73" s="235">
        <f t="shared" ref="G73:G74" si="12">ROUND(D73*E73,2)</f>
        <v>34.33</v>
      </c>
      <c r="H73" s="270"/>
      <c r="I73" s="41"/>
      <c r="J73" s="41"/>
      <c r="K73" s="271"/>
      <c r="L73" s="272"/>
      <c r="M73" s="273"/>
      <c r="N73" s="274"/>
      <c r="O73" s="237"/>
      <c r="P73" s="275"/>
      <c r="Q73" s="237"/>
      <c r="R73" s="242"/>
      <c r="S73" s="266"/>
      <c r="T73" s="266"/>
    </row>
    <row r="74" spans="1:21" ht="16.5" thickBot="1">
      <c r="A74" s="891"/>
      <c r="B74" s="887"/>
      <c r="C74" s="54" t="s">
        <v>29</v>
      </c>
      <c r="D74" s="279">
        <v>454.5</v>
      </c>
      <c r="E74" s="56">
        <v>7.0643000000000002</v>
      </c>
      <c r="F74" s="57">
        <f>+E74</f>
        <v>7.0643000000000002</v>
      </c>
      <c r="G74" s="247">
        <f t="shared" si="12"/>
        <v>3210.72</v>
      </c>
      <c r="H74" s="280"/>
      <c r="I74" s="281"/>
      <c r="J74" s="281"/>
      <c r="K74" s="282"/>
      <c r="L74" s="204"/>
      <c r="M74" s="250"/>
      <c r="N74" s="283"/>
      <c r="O74" s="252"/>
      <c r="P74" s="284"/>
      <c r="Q74" s="252"/>
      <c r="R74" s="242"/>
      <c r="S74" s="266"/>
      <c r="T74" s="266"/>
    </row>
    <row r="75" spans="1:21">
      <c r="A75" s="888">
        <v>314</v>
      </c>
      <c r="B75" s="889" t="s">
        <v>52</v>
      </c>
      <c r="C75" s="71">
        <v>0</v>
      </c>
      <c r="D75" s="213">
        <v>231.65</v>
      </c>
      <c r="E75" s="21">
        <v>40.556600000000003</v>
      </c>
      <c r="F75" s="21">
        <v>47.5304</v>
      </c>
      <c r="G75" s="214">
        <f>ROUND(D75*(E75+F75),2)</f>
        <v>20405.349999999999</v>
      </c>
      <c r="H75" s="213"/>
      <c r="I75" s="194"/>
      <c r="J75" s="215"/>
      <c r="K75" s="679"/>
      <c r="L75" s="216">
        <f>SUM(G75:G82)+SUM(J75:J82)</f>
        <v>111200.91</v>
      </c>
      <c r="M75" s="187">
        <v>111200.91</v>
      </c>
      <c r="N75" s="188"/>
      <c r="O75" s="217">
        <v>4253.6899999999996</v>
      </c>
      <c r="P75" s="218" t="s">
        <v>47</v>
      </c>
      <c r="Q75" s="219">
        <f t="shared" ref="Q75" si="13">C75+G75+J75-M75-N75-O75</f>
        <v>-95049.25</v>
      </c>
      <c r="R75" s="220" t="s">
        <v>53</v>
      </c>
      <c r="S75" s="221"/>
      <c r="T75" s="222"/>
      <c r="U75" s="33">
        <f>+C75+L75-M75</f>
        <v>0</v>
      </c>
    </row>
    <row r="76" spans="1:21" ht="15.75" thickBot="1">
      <c r="A76" s="890"/>
      <c r="B76" s="872"/>
      <c r="C76" s="84" t="s">
        <v>26</v>
      </c>
      <c r="D76" s="37"/>
      <c r="E76" s="38"/>
      <c r="F76" s="38"/>
      <c r="G76" s="39">
        <f>ROUND(D76*(E76+F76),2)</f>
        <v>0</v>
      </c>
      <c r="H76" s="225"/>
      <c r="I76" s="194"/>
      <c r="J76" s="194"/>
      <c r="K76" s="226"/>
      <c r="L76" s="196"/>
      <c r="M76" s="227"/>
      <c r="N76" s="228"/>
      <c r="O76" s="229"/>
      <c r="P76" s="230"/>
      <c r="Q76" s="231"/>
      <c r="R76" s="232"/>
      <c r="S76" s="233"/>
      <c r="T76" s="224"/>
      <c r="U76" s="33"/>
    </row>
    <row r="77" spans="1:21">
      <c r="A77" s="890"/>
      <c r="B77" s="873" t="s">
        <v>32</v>
      </c>
      <c r="C77" s="99" t="s">
        <v>33</v>
      </c>
      <c r="D77" s="234">
        <v>0</v>
      </c>
      <c r="E77" s="101">
        <v>148.66999999999999</v>
      </c>
      <c r="F77" s="21">
        <v>47.5304</v>
      </c>
      <c r="G77" s="235">
        <f>ROUND(D77*(E77+F77),2)</f>
        <v>0</v>
      </c>
      <c r="H77" s="234"/>
      <c r="I77" s="194"/>
      <c r="J77" s="194"/>
      <c r="K77" s="195"/>
      <c r="L77" s="196"/>
      <c r="M77" s="227"/>
      <c r="N77" s="236"/>
      <c r="O77" s="237">
        <v>5456.6</v>
      </c>
      <c r="P77" s="230" t="s">
        <v>47</v>
      </c>
      <c r="Q77" s="238">
        <f>+G77+J77-M77-N77-O77</f>
        <v>-5456.6</v>
      </c>
      <c r="R77" s="232"/>
      <c r="S77" s="233"/>
      <c r="T77" s="224"/>
    </row>
    <row r="78" spans="1:21">
      <c r="A78" s="890"/>
      <c r="B78" s="872" t="s">
        <v>33</v>
      </c>
      <c r="C78" s="239" t="s">
        <v>26</v>
      </c>
      <c r="D78" s="234"/>
      <c r="E78" s="240"/>
      <c r="F78" s="240"/>
      <c r="G78" s="235">
        <f>+ROUND(D78*E78,2)</f>
        <v>0</v>
      </c>
      <c r="H78" s="241"/>
      <c r="I78" s="194"/>
      <c r="J78" s="194"/>
      <c r="K78" s="195"/>
      <c r="L78" s="196"/>
      <c r="M78" s="227"/>
      <c r="N78" s="236"/>
      <c r="O78" s="237"/>
      <c r="P78" s="230"/>
      <c r="Q78" s="238"/>
      <c r="R78" s="242"/>
      <c r="S78" s="233"/>
      <c r="T78" s="224"/>
    </row>
    <row r="79" spans="1:21">
      <c r="A79" s="890"/>
      <c r="B79" s="872"/>
      <c r="C79" s="239" t="s">
        <v>26</v>
      </c>
      <c r="D79" s="234"/>
      <c r="E79" s="240"/>
      <c r="F79" s="41"/>
      <c r="G79" s="235">
        <f>+ROUND(D79*F79,2)</f>
        <v>0</v>
      </c>
      <c r="H79" s="241"/>
      <c r="I79" s="194"/>
      <c r="J79" s="194"/>
      <c r="K79" s="195"/>
      <c r="L79" s="196"/>
      <c r="M79" s="227"/>
      <c r="N79" s="236"/>
      <c r="O79" s="237"/>
      <c r="P79" s="230"/>
      <c r="Q79" s="238"/>
      <c r="R79" s="242"/>
      <c r="S79" s="233"/>
      <c r="T79" s="224"/>
    </row>
    <row r="80" spans="1:21">
      <c r="A80" s="890"/>
      <c r="B80" s="872"/>
      <c r="C80" s="48" t="s">
        <v>260</v>
      </c>
      <c r="D80" s="49">
        <f>ноя18!D70+ноя18!D71</f>
        <v>8899.25</v>
      </c>
      <c r="E80" s="41">
        <f>7.0643-7.1352</f>
        <v>-7.0899999999999963E-2</v>
      </c>
      <c r="F80" s="41">
        <f t="shared" ref="F80:F126" si="14">+E80</f>
        <v>-7.0899999999999963E-2</v>
      </c>
      <c r="G80" s="50">
        <f>ROUND(D80*E80,2)</f>
        <v>-630.96</v>
      </c>
      <c r="H80" s="241"/>
      <c r="I80" s="194"/>
      <c r="J80" s="194"/>
      <c r="K80" s="195"/>
      <c r="L80" s="196"/>
      <c r="M80" s="227"/>
      <c r="N80" s="236"/>
      <c r="O80" s="237"/>
      <c r="P80" s="230"/>
      <c r="Q80" s="238"/>
      <c r="R80" s="242"/>
      <c r="S80" s="233"/>
      <c r="T80" s="224"/>
    </row>
    <row r="81" spans="1:21">
      <c r="A81" s="890"/>
      <c r="B81" s="872"/>
      <c r="C81" s="48" t="s">
        <v>263</v>
      </c>
      <c r="D81" s="49">
        <v>137.01</v>
      </c>
      <c r="E81" s="41">
        <v>7.0643000000000002</v>
      </c>
      <c r="F81" s="41">
        <f t="shared" si="14"/>
        <v>7.0643000000000002</v>
      </c>
      <c r="G81" s="50">
        <f>ROUND(D81*E81,2)</f>
        <v>967.88</v>
      </c>
      <c r="H81" s="241"/>
      <c r="I81" s="194"/>
      <c r="J81" s="243"/>
      <c r="K81" s="195"/>
      <c r="L81" s="196"/>
      <c r="M81" s="227"/>
      <c r="N81" s="236"/>
      <c r="O81" s="237"/>
      <c r="P81" s="230"/>
      <c r="Q81" s="238"/>
      <c r="R81" s="242"/>
      <c r="S81" s="233"/>
      <c r="T81" s="224"/>
      <c r="U81" s="33"/>
    </row>
    <row r="82" spans="1:21" ht="15.75" thickBot="1">
      <c r="A82" s="891"/>
      <c r="B82" s="887"/>
      <c r="C82" s="54" t="s">
        <v>29</v>
      </c>
      <c r="D82" s="246">
        <v>12805.04</v>
      </c>
      <c r="E82" s="56">
        <v>7.0643000000000002</v>
      </c>
      <c r="F82" s="57">
        <f t="shared" si="14"/>
        <v>7.0643000000000002</v>
      </c>
      <c r="G82" s="247">
        <f>ROUND(D82*E82*70%+D82*F82*30%,2)</f>
        <v>90458.64</v>
      </c>
      <c r="H82" s="248"/>
      <c r="I82" s="203"/>
      <c r="J82" s="60"/>
      <c r="K82" s="61"/>
      <c r="L82" s="249"/>
      <c r="M82" s="250"/>
      <c r="N82" s="251"/>
      <c r="O82" s="252">
        <v>15777.9</v>
      </c>
      <c r="P82" s="253" t="s">
        <v>47</v>
      </c>
      <c r="Q82" s="254">
        <f>+G82+J82-M82-N82-O82</f>
        <v>74680.740000000005</v>
      </c>
      <c r="R82" s="255" t="s">
        <v>54</v>
      </c>
      <c r="S82" s="256">
        <f>SUM(O75:O82)</f>
        <v>25488.190000000002</v>
      </c>
      <c r="T82" s="256">
        <f>SUM(Q75:Q82)</f>
        <v>-25825.11</v>
      </c>
    </row>
    <row r="83" spans="1:21">
      <c r="A83" s="892">
        <v>402</v>
      </c>
      <c r="B83" s="183" t="s">
        <v>178</v>
      </c>
      <c r="C83" s="439" t="s">
        <v>260</v>
      </c>
      <c r="D83" s="296">
        <f>ноя18!D73+ноя18!D74</f>
        <v>167.78</v>
      </c>
      <c r="E83" s="41">
        <f>7.0643-7.1352</f>
        <v>-7.0899999999999963E-2</v>
      </c>
      <c r="F83" s="41">
        <f t="shared" si="14"/>
        <v>-7.0899999999999963E-2</v>
      </c>
      <c r="G83" s="235">
        <f>ROUND(D83*E83,2)</f>
        <v>-11.9</v>
      </c>
      <c r="H83" s="270"/>
      <c r="I83" s="41"/>
      <c r="J83" s="41"/>
      <c r="K83" s="271"/>
      <c r="L83" s="294">
        <f>SUM(G83:G85)</f>
        <v>1540.2</v>
      </c>
      <c r="M83" s="227">
        <v>1540.2</v>
      </c>
      <c r="N83" s="274"/>
      <c r="O83" s="237"/>
      <c r="P83" s="275"/>
      <c r="Q83" s="237"/>
      <c r="R83" s="242"/>
      <c r="S83" s="266"/>
      <c r="T83" s="266"/>
    </row>
    <row r="84" spans="1:21" ht="15.75">
      <c r="A84" s="896"/>
      <c r="B84" s="192"/>
      <c r="C84" s="48" t="s">
        <v>263</v>
      </c>
      <c r="D84" s="269">
        <v>2.33</v>
      </c>
      <c r="E84" s="41">
        <v>7.0643000000000002</v>
      </c>
      <c r="F84" s="41">
        <f t="shared" si="14"/>
        <v>7.0643000000000002</v>
      </c>
      <c r="G84" s="235">
        <f t="shared" ref="G84:G97" si="15">ROUND(D84*E84,2)</f>
        <v>16.46</v>
      </c>
      <c r="H84" s="270"/>
      <c r="I84" s="41"/>
      <c r="J84" s="41"/>
      <c r="K84" s="271"/>
      <c r="L84" s="272"/>
      <c r="M84" s="273"/>
      <c r="N84" s="274"/>
      <c r="O84" s="237"/>
      <c r="P84" s="275"/>
      <c r="Q84" s="237"/>
      <c r="R84" s="242"/>
      <c r="S84" s="266"/>
      <c r="T84" s="266"/>
    </row>
    <row r="85" spans="1:21" ht="16.5" thickBot="1">
      <c r="A85" s="891"/>
      <c r="B85" s="202"/>
      <c r="C85" s="54" t="s">
        <v>29</v>
      </c>
      <c r="D85" s="279">
        <v>217.38</v>
      </c>
      <c r="E85" s="56">
        <v>7.0643000000000002</v>
      </c>
      <c r="F85" s="57">
        <f t="shared" si="14"/>
        <v>7.0643000000000002</v>
      </c>
      <c r="G85" s="247">
        <f t="shared" si="15"/>
        <v>1535.64</v>
      </c>
      <c r="H85" s="280"/>
      <c r="I85" s="281"/>
      <c r="J85" s="281"/>
      <c r="K85" s="282"/>
      <c r="L85" s="204"/>
      <c r="M85" s="250"/>
      <c r="N85" s="283"/>
      <c r="O85" s="252"/>
      <c r="P85" s="284"/>
      <c r="Q85" s="252"/>
      <c r="R85" s="242"/>
      <c r="S85" s="266"/>
      <c r="T85" s="266"/>
    </row>
    <row r="86" spans="1:21">
      <c r="A86" s="892">
        <v>403</v>
      </c>
      <c r="B86" s="183" t="s">
        <v>290</v>
      </c>
      <c r="C86" s="439" t="s">
        <v>260</v>
      </c>
      <c r="D86" s="296">
        <f>ноя18!D76+ноя18!D77</f>
        <v>39.11</v>
      </c>
      <c r="E86" s="41">
        <f>7.0643-7.1352</f>
        <v>-7.0899999999999963E-2</v>
      </c>
      <c r="F86" s="41">
        <f t="shared" si="14"/>
        <v>-7.0899999999999963E-2</v>
      </c>
      <c r="G86" s="235">
        <f>ROUND(D86*E86,2)</f>
        <v>-2.77</v>
      </c>
      <c r="H86" s="270"/>
      <c r="I86" s="41"/>
      <c r="J86" s="41"/>
      <c r="K86" s="271"/>
      <c r="L86" s="294">
        <f>SUM(G86:G88)</f>
        <v>244.97</v>
      </c>
      <c r="M86" s="996">
        <v>1001.45</v>
      </c>
      <c r="N86" s="997"/>
      <c r="O86" s="998" t="s">
        <v>294</v>
      </c>
      <c r="P86" s="275"/>
      <c r="Q86" s="237"/>
      <c r="R86" s="242"/>
      <c r="S86" s="266"/>
      <c r="T86" s="266"/>
    </row>
    <row r="87" spans="1:21" ht="15.75">
      <c r="A87" s="896"/>
      <c r="B87" s="192"/>
      <c r="C87" s="48" t="s">
        <v>263</v>
      </c>
      <c r="D87" s="269">
        <v>0.37</v>
      </c>
      <c r="E87" s="41">
        <v>7.0643000000000002</v>
      </c>
      <c r="F87" s="41">
        <f t="shared" si="14"/>
        <v>7.0643000000000002</v>
      </c>
      <c r="G87" s="235">
        <f>ROUND(D87*E87,2)</f>
        <v>2.61</v>
      </c>
      <c r="H87" s="270"/>
      <c r="I87" s="41"/>
      <c r="J87" s="41"/>
      <c r="K87" s="271"/>
      <c r="L87" s="272"/>
      <c r="M87" s="273"/>
      <c r="N87" s="274"/>
      <c r="O87" s="237"/>
      <c r="P87" s="275"/>
      <c r="Q87" s="237"/>
      <c r="R87" s="242"/>
      <c r="S87" s="266"/>
      <c r="T87" s="266"/>
    </row>
    <row r="88" spans="1:21" ht="16.5" thickBot="1">
      <c r="A88" s="891"/>
      <c r="B88" s="202"/>
      <c r="C88" s="54" t="s">
        <v>29</v>
      </c>
      <c r="D88" s="279">
        <v>34.700000000000003</v>
      </c>
      <c r="E88" s="56">
        <v>7.0643000000000002</v>
      </c>
      <c r="F88" s="57">
        <f t="shared" si="14"/>
        <v>7.0643000000000002</v>
      </c>
      <c r="G88" s="247">
        <f t="shared" ref="G88" si="16">ROUND(D88*E88,2)</f>
        <v>245.13</v>
      </c>
      <c r="H88" s="280"/>
      <c r="I88" s="281"/>
      <c r="J88" s="281"/>
      <c r="K88" s="282"/>
      <c r="L88" s="204"/>
      <c r="M88" s="250"/>
      <c r="N88" s="283"/>
      <c r="O88" s="252"/>
      <c r="P88" s="284"/>
      <c r="Q88" s="252"/>
      <c r="R88" s="242"/>
      <c r="S88" s="266"/>
      <c r="T88" s="266"/>
    </row>
    <row r="89" spans="1:21">
      <c r="A89" s="892">
        <v>409</v>
      </c>
      <c r="B89" s="183" t="s">
        <v>218</v>
      </c>
      <c r="C89" s="439" t="s">
        <v>260</v>
      </c>
      <c r="D89" s="296">
        <f>ноя18!D79+ноя18!D80</f>
        <v>148.26999999999998</v>
      </c>
      <c r="E89" s="41">
        <f>7.0643-7.1352</f>
        <v>-7.0899999999999963E-2</v>
      </c>
      <c r="F89" s="41">
        <f t="shared" si="14"/>
        <v>-7.0899999999999963E-2</v>
      </c>
      <c r="G89" s="235">
        <f>ROUND(D89*E89,2)</f>
        <v>-10.51</v>
      </c>
      <c r="H89" s="270"/>
      <c r="I89" s="41"/>
      <c r="J89" s="41"/>
      <c r="K89" s="271"/>
      <c r="L89" s="294">
        <f>SUM(G89:G91)</f>
        <v>1033.31</v>
      </c>
      <c r="M89" s="227">
        <v>1033.31</v>
      </c>
      <c r="N89" s="274"/>
      <c r="O89" s="237"/>
      <c r="P89" s="275"/>
      <c r="Q89" s="237"/>
      <c r="R89" s="242"/>
      <c r="S89" s="266"/>
      <c r="T89" s="266"/>
    </row>
    <row r="90" spans="1:21" ht="15.75">
      <c r="A90" s="896"/>
      <c r="B90" s="192"/>
      <c r="C90" s="48" t="s">
        <v>263</v>
      </c>
      <c r="D90" s="269">
        <v>1.56</v>
      </c>
      <c r="E90" s="41">
        <v>7.0643000000000002</v>
      </c>
      <c r="F90" s="41">
        <f t="shared" si="14"/>
        <v>7.0643000000000002</v>
      </c>
      <c r="G90" s="235">
        <f t="shared" si="15"/>
        <v>11.02</v>
      </c>
      <c r="H90" s="270"/>
      <c r="I90" s="41"/>
      <c r="J90" s="41"/>
      <c r="K90" s="271"/>
      <c r="L90" s="272"/>
      <c r="M90" s="273"/>
      <c r="N90" s="274"/>
      <c r="O90" s="237"/>
      <c r="P90" s="275"/>
      <c r="Q90" s="237"/>
      <c r="R90" s="242"/>
      <c r="S90" s="266"/>
      <c r="T90" s="266"/>
    </row>
    <row r="91" spans="1:21" ht="16.5" thickBot="1">
      <c r="A91" s="891"/>
      <c r="B91" s="887"/>
      <c r="C91" s="54" t="s">
        <v>29</v>
      </c>
      <c r="D91" s="279">
        <v>146.19999999999999</v>
      </c>
      <c r="E91" s="56">
        <v>7.0643000000000002</v>
      </c>
      <c r="F91" s="57">
        <f t="shared" si="14"/>
        <v>7.0643000000000002</v>
      </c>
      <c r="G91" s="247">
        <f t="shared" si="15"/>
        <v>1032.8</v>
      </c>
      <c r="H91" s="280"/>
      <c r="I91" s="281"/>
      <c r="J91" s="281"/>
      <c r="K91" s="282"/>
      <c r="L91" s="204"/>
      <c r="M91" s="250"/>
      <c r="N91" s="283"/>
      <c r="O91" s="252"/>
      <c r="P91" s="284"/>
      <c r="Q91" s="252"/>
      <c r="R91" s="242"/>
      <c r="S91" s="266"/>
      <c r="T91" s="266"/>
    </row>
    <row r="92" spans="1:21">
      <c r="A92" s="892">
        <v>410</v>
      </c>
      <c r="B92" s="183" t="s">
        <v>138</v>
      </c>
      <c r="C92" s="439" t="s">
        <v>260</v>
      </c>
      <c r="D92" s="296">
        <f>ноя18!D82+ноя18!D83</f>
        <v>250.25</v>
      </c>
      <c r="E92" s="41">
        <f>7.0643-7.1352</f>
        <v>-7.0899999999999963E-2</v>
      </c>
      <c r="F92" s="41">
        <f t="shared" si="14"/>
        <v>-7.0899999999999963E-2</v>
      </c>
      <c r="G92" s="235">
        <f>ROUND(D92*E92,2)-0.01</f>
        <v>-17.75</v>
      </c>
      <c r="H92" s="270"/>
      <c r="I92" s="41"/>
      <c r="J92" s="41"/>
      <c r="K92" s="271"/>
      <c r="L92" s="294">
        <f>SUM(G92:G94)</f>
        <v>2013.52</v>
      </c>
      <c r="M92" s="227">
        <v>2013.52</v>
      </c>
      <c r="N92" s="274"/>
      <c r="O92" s="237"/>
      <c r="P92" s="275"/>
      <c r="Q92" s="237"/>
      <c r="R92" s="242"/>
      <c r="S92" s="266"/>
      <c r="T92" s="266"/>
    </row>
    <row r="93" spans="1:21" ht="15.75">
      <c r="A93" s="896"/>
      <c r="B93" s="192"/>
      <c r="C93" s="48" t="s">
        <v>263</v>
      </c>
      <c r="D93" s="269">
        <v>3.04</v>
      </c>
      <c r="E93" s="41">
        <v>7.0643000000000002</v>
      </c>
      <c r="F93" s="41">
        <f t="shared" si="14"/>
        <v>7.0643000000000002</v>
      </c>
      <c r="G93" s="235">
        <f t="shared" si="15"/>
        <v>21.48</v>
      </c>
      <c r="H93" s="270"/>
      <c r="I93" s="41"/>
      <c r="J93" s="41"/>
      <c r="K93" s="271"/>
      <c r="L93" s="272"/>
      <c r="M93" s="273"/>
      <c r="N93" s="274"/>
      <c r="O93" s="237"/>
      <c r="P93" s="275"/>
      <c r="Q93" s="237"/>
      <c r="R93" s="242"/>
      <c r="S93" s="266"/>
      <c r="T93" s="266"/>
    </row>
    <row r="94" spans="1:21" ht="16.5" thickBot="1">
      <c r="A94" s="891"/>
      <c r="B94" s="887"/>
      <c r="C94" s="54" t="s">
        <v>29</v>
      </c>
      <c r="D94" s="279">
        <v>284.5</v>
      </c>
      <c r="E94" s="56">
        <v>7.0643000000000002</v>
      </c>
      <c r="F94" s="57">
        <f t="shared" si="14"/>
        <v>7.0643000000000002</v>
      </c>
      <c r="G94" s="247">
        <f t="shared" si="15"/>
        <v>2009.79</v>
      </c>
      <c r="H94" s="280"/>
      <c r="I94" s="281"/>
      <c r="J94" s="281"/>
      <c r="K94" s="282"/>
      <c r="L94" s="204"/>
      <c r="M94" s="250"/>
      <c r="N94" s="283"/>
      <c r="O94" s="252"/>
      <c r="P94" s="284"/>
      <c r="Q94" s="252"/>
      <c r="R94" s="242"/>
      <c r="S94" s="266"/>
      <c r="T94" s="266"/>
    </row>
    <row r="95" spans="1:21" ht="15.75" hidden="1" thickBot="1">
      <c r="A95" s="892">
        <v>411</v>
      </c>
      <c r="B95" s="183" t="s">
        <v>229</v>
      </c>
      <c r="C95" s="439" t="s">
        <v>260</v>
      </c>
      <c r="D95" s="296"/>
      <c r="E95" s="41">
        <f>6.6439-6.7023</f>
        <v>-5.8399999999999785E-2</v>
      </c>
      <c r="F95" s="41">
        <f t="shared" si="14"/>
        <v>-5.8399999999999785E-2</v>
      </c>
      <c r="G95" s="235">
        <f t="shared" si="15"/>
        <v>0</v>
      </c>
      <c r="H95" s="270"/>
      <c r="I95" s="41"/>
      <c r="J95" s="41"/>
      <c r="K95" s="271"/>
      <c r="L95" s="294">
        <f>SUM(G95:G97)</f>
        <v>0</v>
      </c>
      <c r="M95" s="227"/>
      <c r="N95" s="274"/>
      <c r="O95" s="983" t="s">
        <v>271</v>
      </c>
      <c r="P95" s="275"/>
      <c r="Q95" s="237"/>
      <c r="R95" s="242"/>
      <c r="S95" s="266"/>
      <c r="T95" s="266"/>
    </row>
    <row r="96" spans="1:21" ht="16.5" hidden="1" thickBot="1">
      <c r="A96" s="896"/>
      <c r="B96" s="192"/>
      <c r="C96" s="48" t="s">
        <v>263</v>
      </c>
      <c r="D96" s="269"/>
      <c r="E96" s="41">
        <v>6.6439000000000004</v>
      </c>
      <c r="F96" s="41">
        <f t="shared" si="14"/>
        <v>6.6439000000000004</v>
      </c>
      <c r="G96" s="235">
        <f>ROUND(D96*E96,2)</f>
        <v>0</v>
      </c>
      <c r="H96" s="270"/>
      <c r="I96" s="41"/>
      <c r="J96" s="41"/>
      <c r="K96" s="271"/>
      <c r="L96" s="272"/>
      <c r="M96" s="273"/>
      <c r="N96" s="274"/>
      <c r="O96" s="237"/>
      <c r="P96" s="275"/>
      <c r="Q96" s="237"/>
      <c r="R96" s="242"/>
      <c r="S96" s="266"/>
      <c r="T96" s="266"/>
    </row>
    <row r="97" spans="1:20" ht="16.5" hidden="1" thickBot="1">
      <c r="A97" s="891"/>
      <c r="B97" s="887"/>
      <c r="C97" s="54" t="s">
        <v>29</v>
      </c>
      <c r="D97" s="279"/>
      <c r="E97" s="56">
        <v>6.6439000000000004</v>
      </c>
      <c r="F97" s="57">
        <f t="shared" si="14"/>
        <v>6.6439000000000004</v>
      </c>
      <c r="G97" s="247">
        <f t="shared" si="15"/>
        <v>0</v>
      </c>
      <c r="H97" s="280"/>
      <c r="I97" s="281"/>
      <c r="J97" s="281"/>
      <c r="K97" s="282"/>
      <c r="L97" s="204"/>
      <c r="M97" s="250"/>
      <c r="N97" s="283"/>
      <c r="O97" s="252"/>
      <c r="P97" s="284"/>
      <c r="Q97" s="252"/>
      <c r="R97" s="242"/>
      <c r="S97" s="266"/>
      <c r="T97" s="266"/>
    </row>
    <row r="98" spans="1:20" ht="16.5" collapsed="1" thickBot="1">
      <c r="A98" s="891">
        <v>412</v>
      </c>
      <c r="B98" s="887" t="s">
        <v>58</v>
      </c>
      <c r="C98" s="54" t="s">
        <v>59</v>
      </c>
      <c r="D98" s="822">
        <v>0.52900000000000003</v>
      </c>
      <c r="E98" s="21">
        <v>40.556600000000003</v>
      </c>
      <c r="F98" s="21">
        <v>47.5304</v>
      </c>
      <c r="G98" s="214">
        <f>ROUND(D98*(E98+F98),2)</f>
        <v>46.6</v>
      </c>
      <c r="H98" s="213"/>
      <c r="I98" s="41"/>
      <c r="J98" s="215"/>
      <c r="K98" s="679"/>
      <c r="L98" s="294">
        <f>SUM(G98:G102)</f>
        <v>1888.96</v>
      </c>
      <c r="M98" s="227">
        <v>1888.96</v>
      </c>
      <c r="N98" s="264"/>
      <c r="O98" s="229"/>
      <c r="P98" s="265"/>
      <c r="Q98" s="229"/>
      <c r="R98" s="242"/>
      <c r="S98" s="266"/>
      <c r="T98" s="266"/>
    </row>
    <row r="99" spans="1:20" ht="15.75">
      <c r="A99" s="896"/>
      <c r="B99" s="885"/>
      <c r="C99" s="292" t="s">
        <v>264</v>
      </c>
      <c r="D99" s="269"/>
      <c r="E99" s="38"/>
      <c r="F99" s="38"/>
      <c r="G99" s="235">
        <f>ROUND(D99*(E99+F99),2)</f>
        <v>0</v>
      </c>
      <c r="H99" s="225"/>
      <c r="I99" s="41"/>
      <c r="J99" s="194"/>
      <c r="K99" s="295"/>
      <c r="L99" s="294"/>
      <c r="M99" s="227"/>
      <c r="N99" s="264"/>
      <c r="O99" s="229"/>
      <c r="P99" s="265"/>
      <c r="Q99" s="229"/>
      <c r="R99" s="242"/>
      <c r="S99" s="266"/>
      <c r="T99" s="266"/>
    </row>
    <row r="100" spans="1:20">
      <c r="A100" s="896"/>
      <c r="B100" s="885"/>
      <c r="C100" s="48" t="s">
        <v>260</v>
      </c>
      <c r="D100" s="296">
        <f>ноя18!D90+ноя18!D91</f>
        <v>197.49</v>
      </c>
      <c r="E100" s="41">
        <f>7.0643-7.1352</f>
        <v>-7.0899999999999963E-2</v>
      </c>
      <c r="F100" s="41">
        <f t="shared" ref="F100:F120" si="17">+E100</f>
        <v>-7.0899999999999963E-2</v>
      </c>
      <c r="G100" s="235">
        <f>ROUND(D100*E100,2)</f>
        <v>-14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5.75">
      <c r="A101" s="896"/>
      <c r="B101" s="885"/>
      <c r="C101" s="48" t="s">
        <v>263</v>
      </c>
      <c r="D101" s="269">
        <v>2.78</v>
      </c>
      <c r="E101" s="41">
        <v>7.0643000000000002</v>
      </c>
      <c r="F101" s="41">
        <f t="shared" si="17"/>
        <v>7.0643000000000002</v>
      </c>
      <c r="G101" s="235">
        <f t="shared" ref="G101:G102" si="18">ROUND(D101*E101,2)</f>
        <v>19.64</v>
      </c>
      <c r="H101" s="270"/>
      <c r="I101" s="41"/>
      <c r="J101" s="41"/>
      <c r="K101" s="271"/>
      <c r="L101" s="272"/>
      <c r="M101" s="273"/>
      <c r="N101" s="274"/>
      <c r="O101" s="237"/>
      <c r="P101" s="275"/>
      <c r="Q101" s="237"/>
      <c r="R101" s="242"/>
      <c r="S101" s="266"/>
      <c r="T101" s="266"/>
    </row>
    <row r="102" spans="1:20" ht="16.5" thickBot="1">
      <c r="A102" s="891"/>
      <c r="B102" s="887"/>
      <c r="C102" s="54" t="s">
        <v>29</v>
      </c>
      <c r="D102" s="279">
        <v>260</v>
      </c>
      <c r="E102" s="56">
        <v>7.0643000000000002</v>
      </c>
      <c r="F102" s="57">
        <f t="shared" si="17"/>
        <v>7.0643000000000002</v>
      </c>
      <c r="G102" s="247">
        <f t="shared" si="18"/>
        <v>1836.72</v>
      </c>
      <c r="H102" s="280"/>
      <c r="I102" s="281"/>
      <c r="J102" s="281"/>
      <c r="K102" s="282"/>
      <c r="L102" s="204"/>
      <c r="M102" s="250"/>
      <c r="N102" s="283"/>
      <c r="O102" s="252"/>
      <c r="P102" s="284"/>
      <c r="Q102" s="252"/>
      <c r="R102" s="242"/>
      <c r="S102" s="266"/>
      <c r="T102" s="266"/>
    </row>
    <row r="103" spans="1:20" ht="15" customHeight="1">
      <c r="A103" s="892">
        <v>413</v>
      </c>
      <c r="B103" s="883" t="s">
        <v>56</v>
      </c>
      <c r="C103" s="439" t="s">
        <v>260</v>
      </c>
      <c r="D103" s="894">
        <f>ноя18!D93+ноя18!D94</f>
        <v>335.15000000000003</v>
      </c>
      <c r="E103" s="41">
        <f>7.0643-7.1352</f>
        <v>-7.0899999999999963E-2</v>
      </c>
      <c r="F103" s="41">
        <f t="shared" si="17"/>
        <v>-7.0899999999999963E-2</v>
      </c>
      <c r="G103" s="214">
        <f>ROUND(D103*E103,2)</f>
        <v>-23.76</v>
      </c>
      <c r="H103" s="260"/>
      <c r="I103" s="261"/>
      <c r="J103" s="261"/>
      <c r="K103" s="262"/>
      <c r="L103" s="286">
        <f>SUM(G103:G105)</f>
        <v>2773.63</v>
      </c>
      <c r="M103" s="227">
        <v>2773.63</v>
      </c>
      <c r="N103" s="264"/>
      <c r="O103" s="229"/>
      <c r="P103" s="265"/>
      <c r="Q103" s="229"/>
      <c r="R103" s="287"/>
      <c r="S103" s="288"/>
      <c r="T103" s="288"/>
    </row>
    <row r="104" spans="1:20" ht="15.75">
      <c r="A104" s="893"/>
      <c r="B104" s="885"/>
      <c r="C104" s="48" t="s">
        <v>263</v>
      </c>
      <c r="D104" s="895">
        <v>4.1900000000000004</v>
      </c>
      <c r="E104" s="41">
        <v>7.0643000000000002</v>
      </c>
      <c r="F104" s="41">
        <f t="shared" si="17"/>
        <v>7.0643000000000002</v>
      </c>
      <c r="G104" s="235">
        <f t="shared" ref="G104:G108" si="19">ROUND(D104*E104,2)</f>
        <v>29.6</v>
      </c>
      <c r="H104" s="270"/>
      <c r="I104" s="41"/>
      <c r="J104" s="41"/>
      <c r="K104" s="271"/>
      <c r="L104" s="272"/>
      <c r="M104" s="273"/>
      <c r="N104" s="274"/>
      <c r="O104" s="237"/>
      <c r="P104" s="275"/>
      <c r="Q104" s="237"/>
      <c r="R104" s="287"/>
      <c r="S104" s="288"/>
      <c r="T104" s="288"/>
    </row>
    <row r="105" spans="1:20" ht="16.5" thickBot="1">
      <c r="A105" s="891"/>
      <c r="B105" s="887"/>
      <c r="C105" s="54" t="s">
        <v>29</v>
      </c>
      <c r="D105" s="279">
        <v>391.8</v>
      </c>
      <c r="E105" s="56">
        <v>7.0643000000000002</v>
      </c>
      <c r="F105" s="57">
        <f t="shared" si="17"/>
        <v>7.0643000000000002</v>
      </c>
      <c r="G105" s="247">
        <f t="shared" si="19"/>
        <v>2767.79</v>
      </c>
      <c r="H105" s="280"/>
      <c r="I105" s="281"/>
      <c r="J105" s="281"/>
      <c r="K105" s="682"/>
      <c r="L105" s="204"/>
      <c r="M105" s="250"/>
      <c r="N105" s="283"/>
      <c r="O105" s="252"/>
      <c r="P105" s="284"/>
      <c r="Q105" s="252"/>
      <c r="R105" s="287"/>
      <c r="S105" s="288"/>
      <c r="T105" s="288"/>
    </row>
    <row r="106" spans="1:20">
      <c r="A106" s="892">
        <v>414</v>
      </c>
      <c r="B106" s="183" t="s">
        <v>179</v>
      </c>
      <c r="C106" s="439" t="s">
        <v>260</v>
      </c>
      <c r="D106" s="296">
        <f>ноя18!D96+ноя18!D97</f>
        <v>48.01</v>
      </c>
      <c r="E106" s="41">
        <f>7.0643-7.1352</f>
        <v>-7.0899999999999963E-2</v>
      </c>
      <c r="F106" s="41">
        <f t="shared" si="17"/>
        <v>-7.0899999999999963E-2</v>
      </c>
      <c r="G106" s="235">
        <f>ROUND(D106*E106,2)-0.01</f>
        <v>-3.4099999999999997</v>
      </c>
      <c r="H106" s="270"/>
      <c r="I106" s="41"/>
      <c r="J106" s="41"/>
      <c r="K106" s="271"/>
      <c r="L106" s="294">
        <f>SUM(G106:G108)</f>
        <v>389.3</v>
      </c>
      <c r="M106" s="227">
        <v>389.3</v>
      </c>
      <c r="N106" s="274"/>
      <c r="O106" s="237"/>
      <c r="P106" s="275"/>
      <c r="Q106" s="237"/>
      <c r="R106" s="242"/>
      <c r="S106" s="266"/>
      <c r="T106" s="266"/>
    </row>
    <row r="107" spans="1:20" ht="15.75">
      <c r="A107" s="896"/>
      <c r="B107" s="192"/>
      <c r="C107" s="48" t="s">
        <v>263</v>
      </c>
      <c r="D107" s="269">
        <v>0.59</v>
      </c>
      <c r="E107" s="41">
        <v>7.0643000000000002</v>
      </c>
      <c r="F107" s="41">
        <f t="shared" si="17"/>
        <v>7.0643000000000002</v>
      </c>
      <c r="G107" s="235">
        <f t="shared" si="19"/>
        <v>4.17</v>
      </c>
      <c r="H107" s="270"/>
      <c r="I107" s="41"/>
      <c r="J107" s="41"/>
      <c r="K107" s="271"/>
      <c r="L107" s="272"/>
      <c r="M107" s="273"/>
      <c r="N107" s="274"/>
      <c r="O107" s="237"/>
      <c r="P107" s="275"/>
      <c r="Q107" s="237"/>
      <c r="R107" s="242"/>
      <c r="S107" s="266"/>
      <c r="T107" s="266"/>
    </row>
    <row r="108" spans="1:20" ht="16.5" thickBot="1">
      <c r="A108" s="891"/>
      <c r="B108" s="887"/>
      <c r="C108" s="99" t="s">
        <v>29</v>
      </c>
      <c r="D108" s="279">
        <v>55</v>
      </c>
      <c r="E108" s="56">
        <v>7.0643000000000002</v>
      </c>
      <c r="F108" s="57">
        <f t="shared" si="17"/>
        <v>7.0643000000000002</v>
      </c>
      <c r="G108" s="247">
        <f t="shared" si="19"/>
        <v>388.54</v>
      </c>
      <c r="H108" s="280"/>
      <c r="I108" s="281"/>
      <c r="J108" s="281"/>
      <c r="K108" s="282"/>
      <c r="L108" s="204"/>
      <c r="M108" s="250"/>
      <c r="N108" s="283"/>
      <c r="O108" s="252"/>
      <c r="P108" s="284"/>
      <c r="Q108" s="252"/>
      <c r="R108" s="242"/>
      <c r="S108" s="266"/>
      <c r="T108" s="266"/>
    </row>
    <row r="109" spans="1:20" collapsed="1">
      <c r="A109" s="892">
        <v>415</v>
      </c>
      <c r="B109" s="183" t="s">
        <v>166</v>
      </c>
      <c r="C109" s="439" t="s">
        <v>260</v>
      </c>
      <c r="D109" s="296">
        <f>ноя18!D99+ноя18!D100</f>
        <v>241.15</v>
      </c>
      <c r="E109" s="41">
        <f>7.0643-7.1352</f>
        <v>-7.0899999999999963E-2</v>
      </c>
      <c r="F109" s="41">
        <f t="shared" si="17"/>
        <v>-7.0899999999999963E-2</v>
      </c>
      <c r="G109" s="235">
        <f>ROUND(D109*E109,2)</f>
        <v>-17.100000000000001</v>
      </c>
      <c r="H109" s="270"/>
      <c r="I109" s="41"/>
      <c r="J109" s="41"/>
      <c r="K109" s="271"/>
      <c r="L109" s="294">
        <f>SUM(G109:G111)</f>
        <v>2093.4299999999998</v>
      </c>
      <c r="M109" s="227">
        <v>2093.4299999999998</v>
      </c>
      <c r="N109" s="274"/>
      <c r="O109" s="237"/>
      <c r="P109" s="275"/>
      <c r="Q109" s="237"/>
      <c r="R109" s="242"/>
      <c r="S109" s="266"/>
      <c r="T109" s="266"/>
    </row>
    <row r="110" spans="1:20" ht="15.75">
      <c r="A110" s="896"/>
      <c r="B110" s="192"/>
      <c r="C110" s="48" t="s">
        <v>263</v>
      </c>
      <c r="D110" s="269">
        <v>3.16</v>
      </c>
      <c r="E110" s="41">
        <v>7.0643000000000002</v>
      </c>
      <c r="F110" s="41">
        <f t="shared" si="17"/>
        <v>7.0643000000000002</v>
      </c>
      <c r="G110" s="235">
        <f t="shared" ref="G110:G111" si="20">ROUND(D110*E110,2)</f>
        <v>22.32</v>
      </c>
      <c r="H110" s="270"/>
      <c r="I110" s="41"/>
      <c r="J110" s="41"/>
      <c r="K110" s="271"/>
      <c r="L110" s="272"/>
      <c r="M110" s="273"/>
      <c r="N110" s="274"/>
      <c r="O110" s="237"/>
      <c r="P110" s="275"/>
      <c r="Q110" s="237"/>
      <c r="R110" s="242"/>
      <c r="S110" s="266"/>
      <c r="T110" s="266"/>
    </row>
    <row r="111" spans="1:20" ht="16.5" thickBot="1">
      <c r="A111" s="891"/>
      <c r="B111" s="887"/>
      <c r="C111" s="54" t="s">
        <v>29</v>
      </c>
      <c r="D111" s="279">
        <v>295.60000000000002</v>
      </c>
      <c r="E111" s="56">
        <v>7.0643000000000002</v>
      </c>
      <c r="F111" s="57">
        <f t="shared" si="17"/>
        <v>7.0643000000000002</v>
      </c>
      <c r="G111" s="247">
        <f t="shared" si="20"/>
        <v>2088.21</v>
      </c>
      <c r="H111" s="280"/>
      <c r="I111" s="281"/>
      <c r="J111" s="281"/>
      <c r="K111" s="282"/>
      <c r="L111" s="204"/>
      <c r="M111" s="250"/>
      <c r="N111" s="283"/>
      <c r="O111" s="252"/>
      <c r="P111" s="284"/>
      <c r="Q111" s="252"/>
      <c r="R111" s="242"/>
      <c r="S111" s="266"/>
      <c r="T111" s="266"/>
    </row>
    <row r="112" spans="1:20" ht="15.75" hidden="1" thickBot="1">
      <c r="A112" s="892">
        <v>416</v>
      </c>
      <c r="B112" s="183" t="s">
        <v>173</v>
      </c>
      <c r="C112" s="439" t="s">
        <v>260</v>
      </c>
      <c r="D112" s="296"/>
      <c r="E112" s="41">
        <f>6.7023-6.509</f>
        <v>0.19329999999999981</v>
      </c>
      <c r="F112" s="41">
        <f t="shared" si="17"/>
        <v>0.19329999999999981</v>
      </c>
      <c r="G112" s="235">
        <f>ROUND(D112*E112,2)+0.01</f>
        <v>0.01</v>
      </c>
      <c r="H112" s="270"/>
      <c r="I112" s="41"/>
      <c r="J112" s="41"/>
      <c r="K112" s="271"/>
      <c r="L112" s="294">
        <f>SUM(G112:G114)</f>
        <v>0.01</v>
      </c>
      <c r="M112" s="227"/>
      <c r="N112" s="274"/>
      <c r="O112" s="237"/>
      <c r="P112" s="275"/>
      <c r="Q112" s="237"/>
      <c r="R112" s="242"/>
      <c r="S112" s="266"/>
      <c r="T112" s="266"/>
    </row>
    <row r="113" spans="1:20" ht="16.5" hidden="1" thickBot="1">
      <c r="A113" s="896"/>
      <c r="B113" s="192"/>
      <c r="C113" s="48" t="s">
        <v>263</v>
      </c>
      <c r="D113" s="269"/>
      <c r="E113" s="41">
        <v>6.7023000000000001</v>
      </c>
      <c r="F113" s="41">
        <f t="shared" si="17"/>
        <v>6.7023000000000001</v>
      </c>
      <c r="G113" s="235">
        <f>ROUND(D113*E113,2)</f>
        <v>0</v>
      </c>
      <c r="H113" s="270"/>
      <c r="I113" s="41"/>
      <c r="J113" s="41"/>
      <c r="K113" s="271"/>
      <c r="L113" s="272"/>
      <c r="M113" s="273"/>
      <c r="N113" s="274"/>
      <c r="O113" s="237"/>
      <c r="P113" s="275"/>
      <c r="Q113" s="237"/>
      <c r="R113" s="242"/>
      <c r="S113" s="266"/>
      <c r="T113" s="266"/>
    </row>
    <row r="114" spans="1:20" ht="16.5" hidden="1" thickBot="1">
      <c r="A114" s="891"/>
      <c r="B114" s="887"/>
      <c r="C114" s="54" t="s">
        <v>29</v>
      </c>
      <c r="D114" s="279"/>
      <c r="E114" s="56">
        <v>6.7023000000000001</v>
      </c>
      <c r="F114" s="57">
        <f t="shared" si="17"/>
        <v>6.7023000000000001</v>
      </c>
      <c r="G114" s="247">
        <f>ROUND(D114*E114,2)</f>
        <v>0</v>
      </c>
      <c r="H114" s="280"/>
      <c r="I114" s="281"/>
      <c r="J114" s="281"/>
      <c r="K114" s="282"/>
      <c r="L114" s="204"/>
      <c r="M114" s="250"/>
      <c r="N114" s="283"/>
      <c r="O114" s="252"/>
      <c r="P114" s="284"/>
      <c r="Q114" s="252"/>
      <c r="R114" s="242"/>
      <c r="S114" s="266"/>
      <c r="T114" s="266"/>
    </row>
    <row r="115" spans="1:20">
      <c r="A115" s="892">
        <v>416</v>
      </c>
      <c r="B115" s="183" t="s">
        <v>295</v>
      </c>
      <c r="C115" s="439" t="s">
        <v>260</v>
      </c>
      <c r="D115" s="296">
        <f>ноя18!D105+ноя18!D106</f>
        <v>94.2</v>
      </c>
      <c r="E115" s="41">
        <f>7.0643-7.1352</f>
        <v>-7.0899999999999963E-2</v>
      </c>
      <c r="F115" s="41">
        <f t="shared" si="17"/>
        <v>-7.0899999999999963E-2</v>
      </c>
      <c r="G115" s="235">
        <f>ROUND(D115*E115,2)+0.01</f>
        <v>-6.67</v>
      </c>
      <c r="H115" s="270"/>
      <c r="I115" s="41"/>
      <c r="J115" s="41"/>
      <c r="K115" s="271"/>
      <c r="L115" s="294">
        <f>SUM(G115:G117)</f>
        <v>756.55</v>
      </c>
      <c r="M115" s="227">
        <v>756.55</v>
      </c>
      <c r="N115" s="274"/>
      <c r="O115" s="237"/>
      <c r="P115" s="275"/>
      <c r="Q115" s="237"/>
      <c r="R115" s="242"/>
      <c r="S115" s="266"/>
      <c r="T115" s="266"/>
    </row>
    <row r="116" spans="1:20" ht="15.75">
      <c r="A116" s="896"/>
      <c r="B116" s="192"/>
      <c r="C116" s="48" t="s">
        <v>263</v>
      </c>
      <c r="D116" s="269">
        <v>1.1399999999999999</v>
      </c>
      <c r="E116" s="41">
        <v>7.0643000000000002</v>
      </c>
      <c r="F116" s="41">
        <f t="shared" si="17"/>
        <v>7.0643000000000002</v>
      </c>
      <c r="G116" s="235">
        <f t="shared" ref="G116:G117" si="21">ROUND(D116*E116,2)</f>
        <v>8.0500000000000007</v>
      </c>
      <c r="H116" s="270"/>
      <c r="I116" s="41"/>
      <c r="J116" s="41"/>
      <c r="K116" s="271"/>
      <c r="L116" s="272"/>
      <c r="M116" s="273"/>
      <c r="N116" s="274"/>
      <c r="O116" s="237"/>
      <c r="P116" s="275"/>
      <c r="Q116" s="237"/>
      <c r="R116" s="242"/>
      <c r="S116" s="266"/>
      <c r="T116" s="266"/>
    </row>
    <row r="117" spans="1:20" ht="16.5" thickBot="1">
      <c r="A117" s="891"/>
      <c r="B117" s="202"/>
      <c r="C117" s="54" t="s">
        <v>29</v>
      </c>
      <c r="D117" s="279">
        <v>106.9</v>
      </c>
      <c r="E117" s="56">
        <v>7.0643000000000002</v>
      </c>
      <c r="F117" s="57">
        <f t="shared" si="17"/>
        <v>7.0643000000000002</v>
      </c>
      <c r="G117" s="247">
        <f t="shared" si="21"/>
        <v>755.17</v>
      </c>
      <c r="H117" s="280"/>
      <c r="I117" s="281"/>
      <c r="J117" s="281"/>
      <c r="K117" s="282"/>
      <c r="L117" s="204"/>
      <c r="M117" s="250"/>
      <c r="N117" s="283"/>
      <c r="O117" s="252"/>
      <c r="P117" s="284"/>
      <c r="Q117" s="252"/>
      <c r="R117" s="242"/>
      <c r="S117" s="266"/>
      <c r="T117" s="266"/>
    </row>
    <row r="118" spans="1:20">
      <c r="A118" s="892">
        <v>417</v>
      </c>
      <c r="B118" s="183" t="s">
        <v>174</v>
      </c>
      <c r="C118" s="439" t="s">
        <v>260</v>
      </c>
      <c r="D118" s="296">
        <f>ноя18!D108+ноя18!D109</f>
        <v>161</v>
      </c>
      <c r="E118" s="41">
        <f>7.0643-7.1352</f>
        <v>-7.0899999999999963E-2</v>
      </c>
      <c r="F118" s="41">
        <f t="shared" si="17"/>
        <v>-7.0899999999999963E-2</v>
      </c>
      <c r="G118" s="235">
        <f>ROUND(D118*E118,2)-0.01</f>
        <v>-11.42</v>
      </c>
      <c r="H118" s="270"/>
      <c r="I118" s="41"/>
      <c r="J118" s="41"/>
      <c r="K118" s="271"/>
      <c r="L118" s="294">
        <f>SUM(G118:G120)</f>
        <v>1850.6599999999999</v>
      </c>
      <c r="M118" s="227">
        <v>1850.66</v>
      </c>
      <c r="N118" s="274"/>
      <c r="O118" s="237"/>
      <c r="P118" s="275"/>
      <c r="Q118" s="237"/>
      <c r="R118" s="242"/>
      <c r="S118" s="266"/>
      <c r="T118" s="266"/>
    </row>
    <row r="119" spans="1:20" ht="15.75">
      <c r="A119" s="896"/>
      <c r="B119" s="192"/>
      <c r="C119" s="48" t="s">
        <v>263</v>
      </c>
      <c r="D119" s="269">
        <v>2.79</v>
      </c>
      <c r="E119" s="41">
        <v>7.0643000000000002</v>
      </c>
      <c r="F119" s="41">
        <f t="shared" si="17"/>
        <v>7.0643000000000002</v>
      </c>
      <c r="G119" s="235">
        <f t="shared" ref="G119:G120" si="22">ROUND(D119*E119,2)</f>
        <v>19.71</v>
      </c>
      <c r="H119" s="270"/>
      <c r="I119" s="41"/>
      <c r="J119" s="41"/>
      <c r="K119" s="271"/>
      <c r="L119" s="272"/>
      <c r="M119" s="273"/>
      <c r="N119" s="274"/>
      <c r="O119" s="237"/>
      <c r="P119" s="275"/>
      <c r="Q119" s="237"/>
      <c r="R119" s="242"/>
      <c r="S119" s="266"/>
      <c r="T119" s="266"/>
    </row>
    <row r="120" spans="1:20" ht="16.5" thickBot="1">
      <c r="A120" s="891"/>
      <c r="B120" s="202"/>
      <c r="C120" s="54" t="s">
        <v>29</v>
      </c>
      <c r="D120" s="279">
        <v>260.8</v>
      </c>
      <c r="E120" s="56">
        <v>7.0643000000000002</v>
      </c>
      <c r="F120" s="57">
        <f t="shared" si="17"/>
        <v>7.0643000000000002</v>
      </c>
      <c r="G120" s="247">
        <f t="shared" si="22"/>
        <v>1842.37</v>
      </c>
      <c r="H120" s="280"/>
      <c r="I120" s="281"/>
      <c r="J120" s="281"/>
      <c r="K120" s="282"/>
      <c r="L120" s="204"/>
      <c r="M120" s="250"/>
      <c r="N120" s="283"/>
      <c r="O120" s="252"/>
      <c r="P120" s="284"/>
      <c r="Q120" s="252"/>
      <c r="R120" s="242"/>
      <c r="S120" s="266"/>
      <c r="T120" s="266"/>
    </row>
    <row r="121" spans="1:20">
      <c r="A121" s="892">
        <v>420</v>
      </c>
      <c r="B121" s="183" t="s">
        <v>306</v>
      </c>
      <c r="C121" s="439" t="s">
        <v>260</v>
      </c>
      <c r="D121" s="296"/>
      <c r="E121" s="41">
        <f>7.0643-7.1352</f>
        <v>-7.0899999999999963E-2</v>
      </c>
      <c r="F121" s="41">
        <f t="shared" ref="F121:F123" si="23">+E121</f>
        <v>-7.0899999999999963E-2</v>
      </c>
      <c r="G121" s="235">
        <f>ROUND(D121*E121,2)</f>
        <v>0</v>
      </c>
      <c r="H121" s="270"/>
      <c r="I121" s="41"/>
      <c r="J121" s="41"/>
      <c r="K121" s="271"/>
      <c r="L121" s="294">
        <f>SUM(G121:G123)</f>
        <v>2476.81</v>
      </c>
      <c r="M121" s="227">
        <v>2476.81</v>
      </c>
      <c r="N121" s="274"/>
      <c r="O121" s="237"/>
      <c r="P121" s="275"/>
      <c r="Q121" s="237"/>
      <c r="R121" s="242"/>
      <c r="S121" s="266"/>
      <c r="T121" s="266"/>
    </row>
    <row r="122" spans="1:20" ht="15.75">
      <c r="A122" s="896"/>
      <c r="B122" s="192"/>
      <c r="C122" s="48" t="s">
        <v>263</v>
      </c>
      <c r="D122" s="269">
        <v>3.71</v>
      </c>
      <c r="E122" s="41">
        <v>7.0643000000000002</v>
      </c>
      <c r="F122" s="41">
        <f t="shared" si="23"/>
        <v>7.0643000000000002</v>
      </c>
      <c r="G122" s="235">
        <f>ROUND(D122*E122,2)-0.01</f>
        <v>26.2</v>
      </c>
      <c r="H122" s="270"/>
      <c r="I122" s="41"/>
      <c r="J122" s="41"/>
      <c r="K122" s="271"/>
      <c r="L122" s="272"/>
      <c r="M122" s="273"/>
      <c r="N122" s="274"/>
      <c r="O122" s="237"/>
      <c r="P122" s="275"/>
      <c r="Q122" s="237"/>
      <c r="R122" s="242"/>
      <c r="S122" s="266"/>
      <c r="T122" s="266"/>
    </row>
    <row r="123" spans="1:20" ht="16.5" thickBot="1">
      <c r="A123" s="891"/>
      <c r="B123" s="202"/>
      <c r="C123" s="54" t="s">
        <v>29</v>
      </c>
      <c r="D123" s="279">
        <v>346.9</v>
      </c>
      <c r="E123" s="56">
        <v>7.0643000000000002</v>
      </c>
      <c r="F123" s="57">
        <f t="shared" si="23"/>
        <v>7.0643000000000002</v>
      </c>
      <c r="G123" s="247">
        <f t="shared" ref="G123" si="24">ROUND(D123*E123,2)</f>
        <v>2450.61</v>
      </c>
      <c r="H123" s="280"/>
      <c r="I123" s="281"/>
      <c r="J123" s="281"/>
      <c r="K123" s="282"/>
      <c r="L123" s="204"/>
      <c r="M123" s="250"/>
      <c r="N123" s="283"/>
      <c r="O123" s="252"/>
      <c r="P123" s="284"/>
      <c r="Q123" s="252"/>
      <c r="R123" s="242"/>
      <c r="S123" s="266"/>
      <c r="T123" s="266"/>
    </row>
    <row r="124" spans="1:20" ht="15.75">
      <c r="A124" s="892">
        <v>500</v>
      </c>
      <c r="B124" s="883" t="s">
        <v>55</v>
      </c>
      <c r="C124" s="439" t="s">
        <v>260</v>
      </c>
      <c r="D124" s="259">
        <f>ноя18!D111+ноя18!D112</f>
        <v>2490.13</v>
      </c>
      <c r="E124" s="41">
        <f>7.0643-7.1352</f>
        <v>-7.0899999999999963E-2</v>
      </c>
      <c r="F124" s="41">
        <f t="shared" si="14"/>
        <v>-7.0899999999999963E-2</v>
      </c>
      <c r="G124" s="214">
        <f>ROUND(D124*E124,2)+0.01</f>
        <v>-176.54000000000002</v>
      </c>
      <c r="H124" s="260"/>
      <c r="I124" s="261"/>
      <c r="J124" s="261"/>
      <c r="K124" s="262"/>
      <c r="L124" s="263">
        <f>SUM(G124:G126)</f>
        <v>24047.149999999998</v>
      </c>
      <c r="M124" s="187">
        <v>24047.15</v>
      </c>
      <c r="N124" s="264"/>
      <c r="O124" s="229"/>
      <c r="P124" s="265"/>
      <c r="Q124" s="229"/>
      <c r="R124" s="242"/>
      <c r="S124" s="266"/>
      <c r="T124" s="266"/>
    </row>
    <row r="125" spans="1:20" ht="15.75">
      <c r="A125" s="893" t="s">
        <v>197</v>
      </c>
      <c r="B125" s="885"/>
      <c r="C125" s="48" t="s">
        <v>263</v>
      </c>
      <c r="D125" s="269">
        <v>36.299999999999997</v>
      </c>
      <c r="E125" s="41">
        <v>7.0643000000000002</v>
      </c>
      <c r="F125" s="41">
        <f t="shared" si="14"/>
        <v>7.0643000000000002</v>
      </c>
      <c r="G125" s="235">
        <f>ROUND(D125*E125,2)</f>
        <v>256.43</v>
      </c>
      <c r="H125" s="270"/>
      <c r="I125" s="41"/>
      <c r="J125" s="41"/>
      <c r="K125" s="271"/>
      <c r="L125" s="272"/>
      <c r="M125" s="273"/>
      <c r="N125" s="274"/>
      <c r="O125" s="237"/>
      <c r="P125" s="275"/>
      <c r="Q125" s="237"/>
      <c r="R125" s="242"/>
      <c r="S125" s="266"/>
      <c r="T125" s="266"/>
    </row>
    <row r="126" spans="1:20" ht="16.5" thickBot="1">
      <c r="A126" s="891"/>
      <c r="B126" s="887"/>
      <c r="C126" s="54" t="s">
        <v>29</v>
      </c>
      <c r="D126" s="279">
        <v>3392.73</v>
      </c>
      <c r="E126" s="56">
        <v>7.0643000000000002</v>
      </c>
      <c r="F126" s="57">
        <f t="shared" si="14"/>
        <v>7.0643000000000002</v>
      </c>
      <c r="G126" s="247">
        <f t="shared" ref="G126" si="25">ROUND(D126*E126,2)</f>
        <v>23967.26</v>
      </c>
      <c r="H126" s="280"/>
      <c r="I126" s="281"/>
      <c r="J126" s="281"/>
      <c r="K126" s="282"/>
      <c r="L126" s="204"/>
      <c r="M126" s="250"/>
      <c r="N126" s="283"/>
      <c r="O126" s="252"/>
      <c r="P126" s="284"/>
      <c r="Q126" s="252"/>
      <c r="R126" s="242"/>
      <c r="S126" s="266"/>
      <c r="T126" s="266"/>
    </row>
    <row r="127" spans="1:20" ht="16.5" hidden="1" outlineLevel="1" thickBot="1">
      <c r="A127" s="892"/>
      <c r="B127" s="883" t="s">
        <v>57</v>
      </c>
      <c r="C127" s="439"/>
      <c r="D127" s="259"/>
      <c r="E127" s="21">
        <v>36.214199999999998</v>
      </c>
      <c r="F127" s="21">
        <v>42.4328</v>
      </c>
      <c r="G127" s="214">
        <f>ROUND(D127*(E127+F127),2)</f>
        <v>0</v>
      </c>
      <c r="H127" s="213">
        <v>0</v>
      </c>
      <c r="I127">
        <v>22.478999999999999</v>
      </c>
      <c r="J127" s="215">
        <f t="shared" ref="J127" si="26">H127*I127</f>
        <v>0</v>
      </c>
      <c r="K127" s="679">
        <v>42705</v>
      </c>
      <c r="L127" s="294">
        <f>SUM(G127:G131)+J127+J129</f>
        <v>0</v>
      </c>
      <c r="M127" s="227"/>
      <c r="N127" s="264"/>
      <c r="O127" s="229"/>
      <c r="P127" s="265"/>
      <c r="Q127" s="229"/>
      <c r="R127" s="242"/>
      <c r="S127" s="266"/>
      <c r="T127" s="266"/>
    </row>
    <row r="128" spans="1:20" ht="16.5" hidden="1" outlineLevel="1" thickBot="1">
      <c r="A128" s="891"/>
      <c r="B128" s="887"/>
      <c r="C128" s="54"/>
      <c r="D128" s="269"/>
      <c r="E128" s="38">
        <f>32.332-28.8628</f>
        <v>3.4692000000000007</v>
      </c>
      <c r="F128" s="38">
        <f>37.8898-33.8306</f>
        <v>4.0592000000000041</v>
      </c>
      <c r="G128" s="235">
        <f>ROUND(D128*(E128+F128),2)</f>
        <v>0</v>
      </c>
      <c r="H128" s="225"/>
      <c r="J128" s="194"/>
      <c r="K128" s="683"/>
      <c r="L128" s="294"/>
      <c r="M128" s="227"/>
      <c r="N128" s="264"/>
      <c r="O128" s="229"/>
      <c r="P128" s="265"/>
      <c r="Q128" s="229"/>
      <c r="R128" s="242"/>
      <c r="S128" s="266"/>
      <c r="T128" s="266"/>
    </row>
    <row r="129" spans="1:21" ht="15.75" hidden="1" outlineLevel="1" thickBot="1">
      <c r="A129" s="892"/>
      <c r="B129" s="883"/>
      <c r="C129" s="439" t="s">
        <v>170</v>
      </c>
      <c r="D129" s="296"/>
      <c r="E129" s="41">
        <f>7.0207-6.6426</f>
        <v>0.37809999999999988</v>
      </c>
      <c r="F129" s="41">
        <f>+E129</f>
        <v>0.37809999999999988</v>
      </c>
      <c r="G129" s="235">
        <f>ROUND(D129*E129,2)</f>
        <v>0</v>
      </c>
      <c r="H129" s="270"/>
      <c r="I129" s="41"/>
      <c r="J129" s="41"/>
      <c r="K129" s="684"/>
      <c r="L129" s="272"/>
      <c r="M129" s="273"/>
      <c r="N129" s="274"/>
      <c r="O129" s="237"/>
      <c r="P129" s="275"/>
      <c r="Q129" s="237"/>
      <c r="R129" s="242"/>
      <c r="S129" s="266"/>
      <c r="T129" s="266"/>
    </row>
    <row r="130" spans="1:21" ht="16.5" hidden="1" outlineLevel="1" thickBot="1">
      <c r="A130" s="891"/>
      <c r="B130" s="887"/>
      <c r="C130" s="54" t="s">
        <v>171</v>
      </c>
      <c r="D130" s="269"/>
      <c r="E130" s="41">
        <v>7.0206999999999997</v>
      </c>
      <c r="F130" s="41">
        <f>+E130</f>
        <v>7.0206999999999997</v>
      </c>
      <c r="G130" s="235">
        <f>ROUND(D130*E130,2)</f>
        <v>0</v>
      </c>
      <c r="H130" s="270"/>
      <c r="I130" s="41"/>
      <c r="J130" s="41"/>
      <c r="K130" s="684"/>
      <c r="L130" s="272"/>
      <c r="M130" s="273"/>
      <c r="N130" s="274"/>
      <c r="O130" s="237"/>
      <c r="P130" s="275"/>
      <c r="Q130" s="237"/>
      <c r="R130" s="242"/>
      <c r="S130" s="266"/>
      <c r="T130" s="266"/>
    </row>
    <row r="131" spans="1:21" ht="16.5" hidden="1" outlineLevel="1" thickBot="1">
      <c r="A131" s="892"/>
      <c r="B131" s="883"/>
      <c r="C131" s="439" t="s">
        <v>29</v>
      </c>
      <c r="D131" s="279"/>
      <c r="E131" s="56">
        <v>7.0206999999999997</v>
      </c>
      <c r="F131" s="57">
        <f>+E131</f>
        <v>7.0206999999999997</v>
      </c>
      <c r="G131" s="247">
        <f>ROUND(D131*E131,2)</f>
        <v>0</v>
      </c>
      <c r="H131" s="280"/>
      <c r="I131" s="281"/>
      <c r="J131" s="281"/>
      <c r="K131" s="682"/>
      <c r="L131" s="204"/>
      <c r="M131" s="250"/>
      <c r="N131" s="283"/>
      <c r="O131" s="252"/>
      <c r="P131" s="284"/>
      <c r="Q131" s="252"/>
      <c r="R131" s="242"/>
      <c r="S131" s="266"/>
      <c r="T131" s="266"/>
    </row>
    <row r="132" spans="1:21" ht="15.75" hidden="1" outlineLevel="1" thickBot="1">
      <c r="A132" s="892"/>
      <c r="B132" s="183" t="s">
        <v>145</v>
      </c>
      <c r="C132" s="439" t="s">
        <v>170</v>
      </c>
      <c r="D132" s="296"/>
      <c r="E132" s="41">
        <f>7.0207-6.6426</f>
        <v>0.37809999999999988</v>
      </c>
      <c r="F132" s="41">
        <f t="shared" ref="F132:F134" si="27">+E132</f>
        <v>0.37809999999999988</v>
      </c>
      <c r="G132" s="235">
        <f>ROUND(D132*E132,2)</f>
        <v>0</v>
      </c>
      <c r="H132" s="270"/>
      <c r="I132" s="41"/>
      <c r="J132" s="41"/>
      <c r="K132" s="271"/>
      <c r="L132" s="294">
        <f>SUM(G132:G134)</f>
        <v>0</v>
      </c>
      <c r="M132" s="227"/>
      <c r="N132" s="274"/>
      <c r="O132" s="237"/>
      <c r="P132" s="275"/>
      <c r="Q132" s="237"/>
      <c r="R132" s="242"/>
      <c r="S132" s="266"/>
      <c r="T132" s="266"/>
    </row>
    <row r="133" spans="1:21" ht="16.5" hidden="1" outlineLevel="1" thickBot="1">
      <c r="A133" s="891"/>
      <c r="B133" s="887"/>
      <c r="C133" s="54" t="s">
        <v>171</v>
      </c>
      <c r="D133" s="269"/>
      <c r="E133" s="41">
        <v>7.0206999999999997</v>
      </c>
      <c r="F133" s="41">
        <f t="shared" si="27"/>
        <v>7.0206999999999997</v>
      </c>
      <c r="G133" s="235">
        <f t="shared" ref="G133:G134" si="28">ROUND(D133*E133,2)</f>
        <v>0</v>
      </c>
      <c r="H133" s="270"/>
      <c r="I133" s="41"/>
      <c r="J133" s="41"/>
      <c r="K133" s="271"/>
      <c r="L133" s="272"/>
      <c r="M133" s="273"/>
      <c r="N133" s="274"/>
      <c r="O133" s="237"/>
      <c r="P133" s="275"/>
      <c r="Q133" s="237"/>
      <c r="R133" s="242"/>
      <c r="S133" s="266"/>
      <c r="T133" s="266"/>
    </row>
    <row r="134" spans="1:21" ht="16.5" hidden="1" outlineLevel="1" thickBot="1">
      <c r="A134" s="892"/>
      <c r="B134" s="183"/>
      <c r="C134" s="439" t="s">
        <v>29</v>
      </c>
      <c r="D134" s="279"/>
      <c r="E134" s="56">
        <v>7.0206999999999997</v>
      </c>
      <c r="F134" s="57">
        <f t="shared" si="27"/>
        <v>7.0206999999999997</v>
      </c>
      <c r="G134" s="247">
        <f t="shared" si="28"/>
        <v>0</v>
      </c>
      <c r="H134" s="280"/>
      <c r="I134" s="281"/>
      <c r="J134" s="281"/>
      <c r="K134" s="282"/>
      <c r="L134" s="204"/>
      <c r="M134" s="250"/>
      <c r="N134" s="283"/>
      <c r="O134" s="252"/>
      <c r="P134" s="284"/>
      <c r="Q134" s="252"/>
      <c r="R134" s="242"/>
      <c r="S134" s="266"/>
      <c r="T134" s="266"/>
    </row>
    <row r="135" spans="1:21" ht="16.5" collapsed="1" thickTop="1">
      <c r="A135" s="898"/>
      <c r="B135" s="321"/>
      <c r="C135" s="322"/>
      <c r="D135" s="323"/>
      <c r="E135" s="163"/>
      <c r="F135" s="324"/>
      <c r="G135" s="325"/>
      <c r="H135" s="163"/>
      <c r="I135" s="163"/>
      <c r="J135" s="163"/>
      <c r="K135" s="163"/>
      <c r="L135" s="163"/>
      <c r="M135" s="326"/>
      <c r="N135" s="327"/>
      <c r="O135" s="328"/>
      <c r="P135" s="329"/>
      <c r="Q135" s="328"/>
      <c r="R135" s="330"/>
      <c r="S135" s="331"/>
      <c r="T135" s="266"/>
    </row>
    <row r="136" spans="1:21" ht="21.75" thickBot="1">
      <c r="A136" s="171" t="s">
        <v>60</v>
      </c>
      <c r="B136" s="2"/>
      <c r="C136" s="3"/>
      <c r="D136" s="2"/>
      <c r="E136" s="2"/>
      <c r="F136" s="2"/>
      <c r="G136" s="332"/>
      <c r="H136" s="332"/>
      <c r="I136" s="332"/>
      <c r="J136" s="2"/>
      <c r="K136" s="2"/>
      <c r="L136" s="2"/>
      <c r="M136" s="3"/>
      <c r="N136" s="2"/>
      <c r="O136" s="2"/>
      <c r="P136" s="2"/>
      <c r="Q136" s="2"/>
      <c r="R136" s="2"/>
      <c r="S136" s="2"/>
    </row>
    <row r="137" spans="1:21" ht="15" customHeight="1" thickTop="1">
      <c r="A137" s="1553" t="s">
        <v>1</v>
      </c>
      <c r="B137" s="1516" t="s">
        <v>2</v>
      </c>
      <c r="C137" s="1518" t="s">
        <v>3</v>
      </c>
      <c r="D137" s="1532" t="s">
        <v>4</v>
      </c>
      <c r="E137" s="1532"/>
      <c r="F137" s="1532"/>
      <c r="G137" s="1532"/>
      <c r="H137" s="1533" t="s">
        <v>5</v>
      </c>
      <c r="I137" s="1534"/>
      <c r="J137" s="1534"/>
      <c r="K137" s="1534"/>
      <c r="L137" s="1524" t="s">
        <v>6</v>
      </c>
      <c r="M137" s="1537" t="s">
        <v>7</v>
      </c>
      <c r="N137" s="1538" t="s">
        <v>8</v>
      </c>
      <c r="O137" s="1538"/>
      <c r="P137" s="1538"/>
      <c r="Q137" s="1539"/>
      <c r="R137" s="5"/>
      <c r="S137" s="5"/>
      <c r="T137" s="5" t="s">
        <v>61</v>
      </c>
      <c r="U137" t="s">
        <v>21</v>
      </c>
    </row>
    <row r="138" spans="1:21" ht="27" customHeight="1" thickBot="1">
      <c r="A138" s="1531"/>
      <c r="B138" s="1517"/>
      <c r="C138" s="1519" t="s">
        <v>10</v>
      </c>
      <c r="D138" s="333" t="s">
        <v>11</v>
      </c>
      <c r="E138" s="7" t="s">
        <v>12</v>
      </c>
      <c r="F138" s="7" t="s">
        <v>13</v>
      </c>
      <c r="G138" s="334" t="s">
        <v>14</v>
      </c>
      <c r="H138" s="335" t="s">
        <v>11</v>
      </c>
      <c r="I138" s="333" t="s">
        <v>15</v>
      </c>
      <c r="J138" s="336" t="s">
        <v>14</v>
      </c>
      <c r="K138" s="11" t="s">
        <v>16</v>
      </c>
      <c r="L138" s="1525"/>
      <c r="M138" s="1511"/>
      <c r="N138" s="337" t="s">
        <v>62</v>
      </c>
      <c r="O138" s="338" t="s">
        <v>44</v>
      </c>
      <c r="P138" s="13" t="s">
        <v>18</v>
      </c>
      <c r="Q138" s="14" t="s">
        <v>19</v>
      </c>
    </row>
    <row r="139" spans="1:21" ht="14.25" customHeight="1">
      <c r="A139" s="339" t="s">
        <v>63</v>
      </c>
      <c r="B139" s="18" t="s">
        <v>64</v>
      </c>
      <c r="C139" s="71" t="s">
        <v>243</v>
      </c>
      <c r="D139" s="340">
        <v>63</v>
      </c>
      <c r="E139" s="21">
        <v>40.556600000000003</v>
      </c>
      <c r="F139" s="21">
        <v>47.5304</v>
      </c>
      <c r="G139" s="185">
        <f>ROUND(D139*(E139+F139),2)</f>
        <v>5549.48</v>
      </c>
      <c r="H139" s="184"/>
      <c r="I139" s="23"/>
      <c r="J139" s="341"/>
      <c r="K139" s="342"/>
      <c r="L139" s="343">
        <f>SUM(G139:G144,J139:J143)</f>
        <v>241325.29</v>
      </c>
      <c r="M139" s="344">
        <v>241325.29</v>
      </c>
      <c r="N139" s="345"/>
      <c r="O139" s="346">
        <v>7157.88</v>
      </c>
      <c r="P139" s="347" t="s">
        <v>24</v>
      </c>
      <c r="Q139" s="348" t="e">
        <f t="shared" ref="Q139:Q212" si="29">C139+G139+J139-M139-N139-O139</f>
        <v>#VALUE!</v>
      </c>
      <c r="R139" s="349" t="s">
        <v>65</v>
      </c>
      <c r="S139" s="350" t="s">
        <v>20</v>
      </c>
      <c r="T139" s="351" t="s">
        <v>21</v>
      </c>
      <c r="U139" s="352" t="e">
        <f>+L139-M139+C139</f>
        <v>#VALUE!</v>
      </c>
    </row>
    <row r="140" spans="1:21" ht="14.25" customHeight="1">
      <c r="A140" s="353"/>
      <c r="B140" s="1032" t="s">
        <v>221</v>
      </c>
      <c r="C140" s="84" t="s">
        <v>26</v>
      </c>
      <c r="D140" s="37"/>
      <c r="E140" s="38"/>
      <c r="F140" s="38"/>
      <c r="G140" s="39">
        <f>ROUND(D140*(E140+F140),2)</f>
        <v>0</v>
      </c>
      <c r="H140" s="49"/>
      <c r="I140" s="271"/>
      <c r="J140" s="101"/>
      <c r="K140" s="354"/>
      <c r="L140" s="355"/>
      <c r="M140" s="356"/>
      <c r="N140" s="357"/>
      <c r="O140" s="358"/>
      <c r="P140" s="359"/>
      <c r="Q140" s="358"/>
      <c r="R140" s="349"/>
      <c r="S140" s="350"/>
      <c r="T140" s="351"/>
      <c r="U140" s="352"/>
    </row>
    <row r="141" spans="1:21">
      <c r="A141" s="353"/>
      <c r="B141" s="35"/>
      <c r="C141" s="48"/>
      <c r="D141" s="49"/>
      <c r="E141" s="41"/>
      <c r="F141" s="41"/>
      <c r="G141" s="50">
        <f>ROUND(D141*E141*70%+D141*F141*30%,2)</f>
        <v>0</v>
      </c>
      <c r="H141" s="49"/>
      <c r="I141" s="271"/>
      <c r="J141" s="41"/>
      <c r="K141" s="354"/>
      <c r="L141" s="355"/>
      <c r="M141" s="356"/>
      <c r="N141" s="357"/>
      <c r="O141" s="358"/>
      <c r="P141" s="359"/>
      <c r="Q141" s="358"/>
      <c r="R141" s="349"/>
      <c r="S141" s="350"/>
      <c r="T141" s="351"/>
      <c r="U141" s="352"/>
    </row>
    <row r="142" spans="1:21">
      <c r="A142" s="353"/>
      <c r="B142" s="35"/>
      <c r="C142" s="48" t="s">
        <v>260</v>
      </c>
      <c r="D142" s="49"/>
      <c r="E142" s="41"/>
      <c r="F142" s="38"/>
      <c r="G142" s="50">
        <f>ROUND(+D142*E142,2)</f>
        <v>0</v>
      </c>
      <c r="H142" s="49"/>
      <c r="I142" s="271"/>
      <c r="J142" s="41"/>
      <c r="K142" s="354"/>
      <c r="L142" s="355"/>
      <c r="M142" s="356"/>
      <c r="N142" s="357"/>
      <c r="O142" s="358"/>
      <c r="P142" s="359"/>
      <c r="Q142" s="358"/>
      <c r="R142" s="349"/>
      <c r="S142" s="350"/>
      <c r="T142" s="351"/>
      <c r="U142" s="352"/>
    </row>
    <row r="143" spans="1:21">
      <c r="A143" s="353"/>
      <c r="B143" s="35"/>
      <c r="C143" s="48" t="s">
        <v>263</v>
      </c>
      <c r="D143" s="49">
        <f>55.13+17.86+7.85</f>
        <v>80.84</v>
      </c>
      <c r="E143" s="41">
        <v>6.9835000000000003</v>
      </c>
      <c r="F143" s="41">
        <f>+E143</f>
        <v>6.9835000000000003</v>
      </c>
      <c r="G143" s="50">
        <f>ROUND(D143*E143,2)</f>
        <v>564.54999999999995</v>
      </c>
      <c r="H143" s="361"/>
      <c r="I143" s="362"/>
      <c r="J143" s="207"/>
      <c r="K143" s="363"/>
      <c r="L143" s="364"/>
      <c r="M143" s="365"/>
      <c r="N143" s="366"/>
      <c r="O143" s="367"/>
      <c r="P143" s="368"/>
      <c r="Q143" s="358"/>
      <c r="R143" s="349"/>
      <c r="S143" s="350"/>
      <c r="T143" s="351"/>
      <c r="U143" s="352"/>
    </row>
    <row r="144" spans="1:21" ht="15.75" thickBot="1">
      <c r="A144" s="369"/>
      <c r="B144" s="53" t="s">
        <v>66</v>
      </c>
      <c r="C144" s="99" t="s">
        <v>29</v>
      </c>
      <c r="D144" s="55">
        <f>22971+7440+3270</f>
        <v>33681</v>
      </c>
      <c r="E144" s="1012">
        <v>6.9835000000000003</v>
      </c>
      <c r="F144" s="370">
        <f>+E144</f>
        <v>6.9835000000000003</v>
      </c>
      <c r="G144" s="58">
        <f>ROUND(D144*E144,2)</f>
        <v>235211.26</v>
      </c>
      <c r="H144" s="248"/>
      <c r="I144" s="203"/>
      <c r="J144" s="60"/>
      <c r="K144" s="203"/>
      <c r="L144" s="204"/>
      <c r="M144" s="371"/>
      <c r="N144" s="372"/>
      <c r="O144" s="373">
        <v>165882.5</v>
      </c>
      <c r="P144" s="374" t="s">
        <v>24</v>
      </c>
      <c r="Q144" s="373">
        <f>G144+J144-M144-N144-O144</f>
        <v>69328.760000000009</v>
      </c>
      <c r="R144" s="349" t="s">
        <v>65</v>
      </c>
      <c r="S144" s="375">
        <f>SUM(O139:O144)</f>
        <v>173040.38</v>
      </c>
      <c r="T144" s="375" t="e">
        <f>SUM(Q139:Q144)</f>
        <v>#VALUE!</v>
      </c>
    </row>
    <row r="145" spans="1:20" s="81" customFormat="1" ht="15" customHeight="1">
      <c r="A145" s="437">
        <v>101</v>
      </c>
      <c r="B145" s="438" t="s">
        <v>82</v>
      </c>
      <c r="C145" s="377" t="s">
        <v>73</v>
      </c>
      <c r="D145" s="378">
        <v>31</v>
      </c>
      <c r="E145" s="21">
        <v>40.556600000000003</v>
      </c>
      <c r="F145" s="21">
        <v>47.5304</v>
      </c>
      <c r="G145" s="22">
        <f>+D145*(E145+F145)</f>
        <v>2730.6970000000001</v>
      </c>
      <c r="H145" s="303"/>
      <c r="I145" s="381"/>
      <c r="J145" s="381"/>
      <c r="K145" s="342"/>
      <c r="L145" s="263">
        <f>SUM(G145:G149,J145:J149)</f>
        <v>107632.63699999999</v>
      </c>
      <c r="M145" s="26">
        <v>107632.64</v>
      </c>
      <c r="N145" s="421"/>
      <c r="O145" s="77"/>
      <c r="P145" s="77"/>
      <c r="Q145" s="384"/>
      <c r="R145" s="422"/>
      <c r="S145" s="399"/>
      <c r="T145" s="399"/>
    </row>
    <row r="146" spans="1:20" s="81" customFormat="1" ht="15" customHeight="1">
      <c r="A146" s="441"/>
      <c r="B146" s="442"/>
      <c r="C146" s="36" t="s">
        <v>26</v>
      </c>
      <c r="D146" s="37"/>
      <c r="E146" s="38"/>
      <c r="F146" s="38"/>
      <c r="G146" s="39">
        <f>ROUND(D146*(E146+F146),2)</f>
        <v>0</v>
      </c>
      <c r="H146" s="457"/>
      <c r="I146" s="392"/>
      <c r="J146" s="402"/>
      <c r="K146" s="393"/>
      <c r="L146" s="459"/>
      <c r="M146" s="44"/>
      <c r="N146" s="430"/>
      <c r="O146" s="435"/>
      <c r="P146" s="435"/>
      <c r="Q146" s="425"/>
      <c r="R146" s="422"/>
      <c r="S146" s="399"/>
      <c r="T146" s="399"/>
    </row>
    <row r="147" spans="1:20" s="81" customFormat="1" ht="15" customHeight="1">
      <c r="A147" s="441"/>
      <c r="B147" s="442"/>
      <c r="C147" s="48" t="s">
        <v>260</v>
      </c>
      <c r="D147" s="37">
        <f>ноя18!D134+ноя18!D135</f>
        <v>14487.69</v>
      </c>
      <c r="E147" s="41">
        <f>7.2015-7.1727</f>
        <v>2.8800000000000381E-2</v>
      </c>
      <c r="F147" s="38"/>
      <c r="G147" s="39">
        <f>ROUND(D147*(E147),2)</f>
        <v>417.25</v>
      </c>
      <c r="H147" s="270"/>
      <c r="I147" s="41"/>
      <c r="J147" s="41"/>
      <c r="K147" s="271"/>
      <c r="L147" s="272"/>
      <c r="M147" s="102"/>
      <c r="N147" s="430"/>
      <c r="O147" s="435"/>
      <c r="P147" s="435"/>
      <c r="Q147" s="425"/>
      <c r="R147" s="422"/>
      <c r="S147" s="399"/>
      <c r="T147" s="399"/>
    </row>
    <row r="148" spans="1:20" s="81" customFormat="1" ht="15" customHeight="1">
      <c r="A148" s="441"/>
      <c r="B148" s="442"/>
      <c r="C148" s="48" t="s">
        <v>263</v>
      </c>
      <c r="D148" s="37">
        <v>34.74</v>
      </c>
      <c r="E148" s="41">
        <v>7.2015000000000002</v>
      </c>
      <c r="F148" s="38"/>
      <c r="G148" s="39">
        <f>ROUND(D148*(E148),2)</f>
        <v>250.18</v>
      </c>
      <c r="H148" s="270"/>
      <c r="I148" s="41"/>
      <c r="J148" s="41"/>
      <c r="K148" s="271"/>
      <c r="L148" s="272"/>
      <c r="M148" s="102"/>
      <c r="N148" s="434"/>
      <c r="O148" s="435"/>
      <c r="P148" s="435"/>
      <c r="Q148" s="425"/>
      <c r="R148" s="422"/>
      <c r="S148" s="399"/>
      <c r="T148" s="399"/>
    </row>
    <row r="149" spans="1:20" s="81" customFormat="1" ht="15" customHeight="1" thickBot="1">
      <c r="A149" s="445"/>
      <c r="B149" s="446"/>
      <c r="C149" s="54" t="s">
        <v>29</v>
      </c>
      <c r="D149" s="413">
        <v>14474</v>
      </c>
      <c r="E149" s="56">
        <v>7.2015000000000002</v>
      </c>
      <c r="F149" s="281"/>
      <c r="G149" s="414">
        <f>ROUND(D149*(E149),2)</f>
        <v>104234.51</v>
      </c>
      <c r="H149" s="280"/>
      <c r="I149" s="281"/>
      <c r="J149" s="281"/>
      <c r="K149" s="282"/>
      <c r="L149" s="204"/>
      <c r="M149" s="371"/>
      <c r="N149" s="426"/>
      <c r="O149" s="416"/>
      <c r="P149" s="416"/>
      <c r="Q149" s="417"/>
      <c r="R149" s="899"/>
      <c r="S149" s="399"/>
      <c r="T149" s="399"/>
    </row>
    <row r="150" spans="1:20" s="81" customFormat="1" ht="15.75" customHeight="1">
      <c r="A150" s="902">
        <v>105</v>
      </c>
      <c r="B150" s="903" t="s">
        <v>256</v>
      </c>
      <c r="C150" s="439" t="s">
        <v>260</v>
      </c>
      <c r="D150" s="904">
        <f>ноя18!D137+ноя18!D138</f>
        <v>1513.62</v>
      </c>
      <c r="E150" s="23">
        <f>7.2015-7.1727</f>
        <v>2.8800000000000381E-2</v>
      </c>
      <c r="F150" s="905"/>
      <c r="G150" s="22">
        <f>ROUND(D150*E150,2)+0.01</f>
        <v>43.6</v>
      </c>
      <c r="H150" s="303"/>
      <c r="I150" s="23"/>
      <c r="J150" s="23"/>
      <c r="K150" s="304"/>
      <c r="L150" s="263">
        <f>SUM(G150:G152)</f>
        <v>11709.160000000002</v>
      </c>
      <c r="M150" s="26">
        <v>11709.16</v>
      </c>
      <c r="N150" s="421"/>
      <c r="O150" s="77"/>
      <c r="P150" s="77"/>
      <c r="Q150" s="384"/>
      <c r="R150" s="422"/>
      <c r="S150" s="399"/>
      <c r="T150" s="399"/>
    </row>
    <row r="151" spans="1:20" s="81" customFormat="1" ht="15.75" customHeight="1">
      <c r="A151" s="468"/>
      <c r="B151" s="469"/>
      <c r="C151" s="48" t="s">
        <v>263</v>
      </c>
      <c r="D151" s="471">
        <v>3.88</v>
      </c>
      <c r="E151" s="41">
        <v>7.2015000000000002</v>
      </c>
      <c r="F151" s="473"/>
      <c r="G151" s="449">
        <f>ROUND(D151*E151,2)</f>
        <v>27.94</v>
      </c>
      <c r="H151" s="260"/>
      <c r="I151" s="261"/>
      <c r="J151" s="261"/>
      <c r="K151" s="262"/>
      <c r="L151" s="286"/>
      <c r="M151" s="90"/>
      <c r="N151" s="423"/>
      <c r="O151" s="406"/>
      <c r="P151" s="406"/>
      <c r="Q151" s="407"/>
      <c r="R151" s="422"/>
      <c r="S151" s="399"/>
      <c r="T151" s="399"/>
    </row>
    <row r="152" spans="1:20" s="81" customFormat="1" ht="15.75" customHeight="1" thickBot="1">
      <c r="A152" s="858"/>
      <c r="B152" s="859"/>
      <c r="C152" s="54" t="s">
        <v>29</v>
      </c>
      <c r="D152" s="860">
        <v>1616</v>
      </c>
      <c r="E152" s="56">
        <v>7.2015000000000002</v>
      </c>
      <c r="F152" s="861"/>
      <c r="G152" s="414">
        <f t="shared" ref="G152" si="30">ROUND(D152*E152,2)</f>
        <v>11637.62</v>
      </c>
      <c r="H152" s="280"/>
      <c r="I152" s="281"/>
      <c r="J152" s="281"/>
      <c r="K152" s="282"/>
      <c r="L152" s="204"/>
      <c r="M152" s="371"/>
      <c r="N152" s="426"/>
      <c r="O152" s="416"/>
      <c r="P152" s="416"/>
      <c r="Q152" s="417"/>
      <c r="R152" s="422"/>
      <c r="S152" s="399"/>
      <c r="T152" s="399"/>
    </row>
    <row r="153" spans="1:20" s="81" customFormat="1" ht="15.75" customHeight="1">
      <c r="A153" s="902">
        <v>107</v>
      </c>
      <c r="B153" s="903" t="s">
        <v>239</v>
      </c>
      <c r="C153" s="439" t="s">
        <v>260</v>
      </c>
      <c r="D153" s="904">
        <f>ноя18!D140+ноя18!D141</f>
        <v>357.86</v>
      </c>
      <c r="E153" s="23">
        <f>7.2015-7.1727</f>
        <v>2.8800000000000381E-2</v>
      </c>
      <c r="F153" s="905"/>
      <c r="G153" s="22">
        <f>ROUND(D153*E153,2)</f>
        <v>10.31</v>
      </c>
      <c r="H153" s="303"/>
      <c r="I153" s="23"/>
      <c r="J153" s="23"/>
      <c r="K153" s="304"/>
      <c r="L153" s="263">
        <f>SUM(G153:G155)</f>
        <v>2428.5700000000002</v>
      </c>
      <c r="M153" s="26">
        <v>2428.5700000000002</v>
      </c>
      <c r="N153" s="421"/>
      <c r="O153" s="77"/>
      <c r="P153" s="77"/>
      <c r="Q153" s="384"/>
      <c r="R153" s="422"/>
      <c r="S153" s="399"/>
      <c r="T153" s="399"/>
    </row>
    <row r="154" spans="1:20" s="81" customFormat="1" ht="15.75" customHeight="1">
      <c r="A154" s="468"/>
      <c r="B154" s="469"/>
      <c r="C154" s="48" t="s">
        <v>263</v>
      </c>
      <c r="D154" s="471">
        <v>0.8</v>
      </c>
      <c r="E154" s="41">
        <v>7.2015000000000002</v>
      </c>
      <c r="F154" s="473"/>
      <c r="G154" s="449">
        <f>ROUND(D154*E154,2)</f>
        <v>5.76</v>
      </c>
      <c r="H154" s="260"/>
      <c r="I154" s="261"/>
      <c r="J154" s="261"/>
      <c r="K154" s="262"/>
      <c r="L154" s="286"/>
      <c r="M154" s="90"/>
      <c r="N154" s="423"/>
      <c r="O154" s="406"/>
      <c r="P154" s="406"/>
      <c r="Q154" s="407"/>
      <c r="R154" s="422"/>
      <c r="S154" s="399"/>
      <c r="T154" s="399"/>
    </row>
    <row r="155" spans="1:20" s="81" customFormat="1" ht="15.75" customHeight="1" thickBot="1">
      <c r="A155" s="858"/>
      <c r="B155" s="859"/>
      <c r="C155" s="54" t="s">
        <v>29</v>
      </c>
      <c r="D155" s="860">
        <v>335</v>
      </c>
      <c r="E155" s="56">
        <v>7.2015000000000002</v>
      </c>
      <c r="F155" s="861"/>
      <c r="G155" s="414">
        <f t="shared" ref="G155" si="31">ROUND(D155*E155,2)</f>
        <v>2412.5</v>
      </c>
      <c r="H155" s="280"/>
      <c r="I155" s="281"/>
      <c r="J155" s="281"/>
      <c r="K155" s="282"/>
      <c r="L155" s="204"/>
      <c r="M155" s="371"/>
      <c r="N155" s="426"/>
      <c r="O155" s="416"/>
      <c r="P155" s="416"/>
      <c r="Q155" s="417"/>
      <c r="R155" s="422"/>
      <c r="S155" s="399"/>
      <c r="T155" s="399"/>
    </row>
    <row r="156" spans="1:20" s="81" customFormat="1" ht="15.75" customHeight="1">
      <c r="A156" s="902">
        <v>108</v>
      </c>
      <c r="B156" s="903" t="s">
        <v>168</v>
      </c>
      <c r="C156" s="439" t="s">
        <v>260</v>
      </c>
      <c r="D156" s="904">
        <f>ноя18!D143+ноя18!D144</f>
        <v>250.6</v>
      </c>
      <c r="E156" s="23">
        <f>7.2015-7.1727</f>
        <v>2.8800000000000381E-2</v>
      </c>
      <c r="F156" s="905"/>
      <c r="G156" s="22">
        <f>ROUND(D156*E156,2)</f>
        <v>7.22</v>
      </c>
      <c r="H156" s="303"/>
      <c r="I156" s="23"/>
      <c r="J156" s="23"/>
      <c r="K156" s="304"/>
      <c r="L156" s="263">
        <f>SUM(G156:G158)</f>
        <v>2086.2200000000003</v>
      </c>
      <c r="M156" s="26">
        <v>2086.2199999999998</v>
      </c>
      <c r="N156" s="421"/>
      <c r="O156" s="77"/>
      <c r="P156" s="77"/>
      <c r="Q156" s="384"/>
      <c r="R156" s="422"/>
      <c r="S156" s="399"/>
      <c r="T156" s="399"/>
    </row>
    <row r="157" spans="1:20" s="81" customFormat="1" ht="15.75" customHeight="1">
      <c r="A157" s="468"/>
      <c r="B157" s="469"/>
      <c r="C157" s="48" t="s">
        <v>263</v>
      </c>
      <c r="D157" s="471">
        <v>0.69</v>
      </c>
      <c r="E157" s="41">
        <v>7.2015000000000002</v>
      </c>
      <c r="F157" s="473"/>
      <c r="G157" s="449">
        <f>ROUND(D157*E157,2)</f>
        <v>4.97</v>
      </c>
      <c r="H157" s="260"/>
      <c r="I157" s="261"/>
      <c r="J157" s="261"/>
      <c r="K157" s="262"/>
      <c r="L157" s="286"/>
      <c r="M157" s="90"/>
      <c r="N157" s="423"/>
      <c r="O157" s="406"/>
      <c r="P157" s="406"/>
      <c r="Q157" s="407"/>
      <c r="R157" s="422"/>
      <c r="S157" s="399"/>
      <c r="T157" s="399"/>
    </row>
    <row r="158" spans="1:20" s="81" customFormat="1" ht="15.75" customHeight="1" thickBot="1">
      <c r="A158" s="858"/>
      <c r="B158" s="859"/>
      <c r="C158" s="520" t="s">
        <v>29</v>
      </c>
      <c r="D158" s="471">
        <v>288</v>
      </c>
      <c r="E158" s="876">
        <v>7.2015000000000002</v>
      </c>
      <c r="F158" s="473"/>
      <c r="G158" s="453">
        <f t="shared" ref="G158" si="32">ROUND(D158*E158,2)</f>
        <v>2074.0300000000002</v>
      </c>
      <c r="H158" s="432"/>
      <c r="I158" s="207"/>
      <c r="J158" s="207"/>
      <c r="K158" s="362"/>
      <c r="L158" s="433"/>
      <c r="M158" s="371"/>
      <c r="N158" s="426"/>
      <c r="O158" s="416"/>
      <c r="P158" s="416"/>
      <c r="Q158" s="417"/>
      <c r="R158" s="422"/>
      <c r="S158" s="399"/>
      <c r="T158" s="399"/>
    </row>
    <row r="159" spans="1:20" s="81" customFormat="1" ht="15.75" customHeight="1">
      <c r="A159" s="376">
        <v>109</v>
      </c>
      <c r="B159" s="924" t="s">
        <v>175</v>
      </c>
      <c r="C159" s="439" t="s">
        <v>260</v>
      </c>
      <c r="D159" s="378">
        <f>ноя18!D146+ноя18!D147</f>
        <v>1233.95</v>
      </c>
      <c r="E159" s="23">
        <f>7.2015-7.1727</f>
        <v>2.8800000000000381E-2</v>
      </c>
      <c r="F159" s="23"/>
      <c r="G159" s="22">
        <f>ROUND(D159*E159,2)</f>
        <v>35.54</v>
      </c>
      <c r="H159" s="303"/>
      <c r="I159" s="23"/>
      <c r="J159" s="23"/>
      <c r="K159" s="185"/>
      <c r="L159" s="263">
        <f>SUM(G159:G163)+SUM(J159:J163)</f>
        <v>10209.704000000002</v>
      </c>
      <c r="M159" s="877">
        <v>10209.700000000001</v>
      </c>
      <c r="N159" s="443"/>
      <c r="O159" s="94"/>
      <c r="P159" s="94"/>
      <c r="Q159" s="396"/>
      <c r="R159" s="422"/>
      <c r="S159" s="399"/>
      <c r="T159" s="399"/>
    </row>
    <row r="160" spans="1:20" s="81" customFormat="1" ht="15.75" customHeight="1">
      <c r="A160" s="389"/>
      <c r="B160" s="920"/>
      <c r="C160" s="48" t="s">
        <v>263</v>
      </c>
      <c r="D160" s="37">
        <v>3.32</v>
      </c>
      <c r="E160" s="41">
        <v>7.2015000000000002</v>
      </c>
      <c r="F160" s="41"/>
      <c r="G160" s="39">
        <f>ROUND(D160*E160,2)</f>
        <v>23.91</v>
      </c>
      <c r="H160" s="270"/>
      <c r="I160" s="41"/>
      <c r="J160" s="41"/>
      <c r="K160" s="50"/>
      <c r="L160" s="272"/>
      <c r="M160" s="990"/>
      <c r="N160" s="423"/>
      <c r="O160" s="406"/>
      <c r="P160" s="406"/>
      <c r="Q160" s="407"/>
      <c r="R160" s="422"/>
      <c r="S160" s="399"/>
      <c r="T160" s="399"/>
    </row>
    <row r="161" spans="1:20" s="81" customFormat="1" ht="15.75" customHeight="1">
      <c r="A161" s="389"/>
      <c r="B161" s="920"/>
      <c r="C161" s="99" t="s">
        <v>29</v>
      </c>
      <c r="D161" s="37">
        <v>1385</v>
      </c>
      <c r="E161" s="101">
        <v>7.2015000000000002</v>
      </c>
      <c r="F161" s="41"/>
      <c r="G161" s="39">
        <f t="shared" ref="G161" si="33">ROUND(D161*E161,2)</f>
        <v>9974.08</v>
      </c>
      <c r="H161" s="270"/>
      <c r="I161" s="41"/>
      <c r="J161" s="41"/>
      <c r="K161" s="50"/>
      <c r="L161" s="272"/>
      <c r="M161" s="990"/>
      <c r="N161" s="423"/>
      <c r="O161" s="406"/>
      <c r="P161" s="406"/>
      <c r="Q161" s="407"/>
      <c r="R161" s="422"/>
      <c r="S161" s="399"/>
      <c r="T161" s="399"/>
    </row>
    <row r="162" spans="1:20" s="81" customFormat="1" ht="15.75" customHeight="1" thickBot="1">
      <c r="A162" s="389"/>
      <c r="B162" s="920"/>
      <c r="C162" s="99" t="s">
        <v>73</v>
      </c>
      <c r="D162" s="37">
        <v>2</v>
      </c>
      <c r="E162" s="101">
        <v>40.556600000000003</v>
      </c>
      <c r="F162" s="41">
        <v>47.5304</v>
      </c>
      <c r="G162" s="39">
        <f>+D162*(E162+F162)</f>
        <v>176.17400000000001</v>
      </c>
      <c r="H162" s="270"/>
      <c r="I162" s="41"/>
      <c r="J162" s="41"/>
      <c r="K162" s="50"/>
      <c r="L162" s="272"/>
      <c r="M162" s="880"/>
      <c r="N162" s="426"/>
      <c r="O162" s="416"/>
      <c r="P162" s="416"/>
      <c r="Q162" s="417"/>
      <c r="R162" s="422"/>
      <c r="S162" s="399"/>
      <c r="T162" s="399"/>
    </row>
    <row r="163" spans="1:20" s="81" customFormat="1" ht="15.75" customHeight="1" thickBot="1">
      <c r="A163" s="411"/>
      <c r="B163" s="921"/>
      <c r="C163" s="54" t="s">
        <v>264</v>
      </c>
      <c r="D163" s="413"/>
      <c r="E163" s="56"/>
      <c r="F163" s="281"/>
      <c r="G163" s="414">
        <f>+D163*(E163+F163)</f>
        <v>0</v>
      </c>
      <c r="H163" s="280"/>
      <c r="I163" s="281"/>
      <c r="J163" s="281"/>
      <c r="K163" s="58"/>
      <c r="L163" s="204"/>
      <c r="M163" s="880"/>
      <c r="N163" s="426"/>
      <c r="O163" s="416"/>
      <c r="P163" s="416"/>
      <c r="Q163" s="417"/>
      <c r="R163" s="422"/>
      <c r="S163" s="399"/>
      <c r="T163" s="399"/>
    </row>
    <row r="164" spans="1:20" s="81" customFormat="1" ht="15.75" customHeight="1">
      <c r="A164" s="376">
        <v>117</v>
      </c>
      <c r="B164" s="420" t="s">
        <v>72</v>
      </c>
      <c r="C164" s="390" t="s">
        <v>73</v>
      </c>
      <c r="D164" s="869">
        <v>94</v>
      </c>
      <c r="E164" s="86">
        <v>40.556600000000003</v>
      </c>
      <c r="F164" s="86">
        <v>47.5304</v>
      </c>
      <c r="G164" s="449">
        <f>+D164*(E164+F164)</f>
        <v>8280.1779999999999</v>
      </c>
      <c r="H164" s="260"/>
      <c r="I164" s="392"/>
      <c r="J164" s="392"/>
      <c r="K164" s="870"/>
      <c r="L164" s="286">
        <f>SUM(G164:G168,J164:J168)</f>
        <v>287671.16800000001</v>
      </c>
      <c r="M164" s="26">
        <v>287671.17</v>
      </c>
      <c r="N164" s="421"/>
      <c r="O164" s="77"/>
      <c r="P164" s="77"/>
      <c r="Q164" s="384"/>
      <c r="R164" s="422"/>
      <c r="S164" s="399"/>
      <c r="T164" s="399"/>
    </row>
    <row r="165" spans="1:20" s="81" customFormat="1" ht="15.75" customHeight="1">
      <c r="A165" s="389"/>
      <c r="B165" s="83"/>
      <c r="C165" s="84" t="s">
        <v>26</v>
      </c>
      <c r="D165" s="37"/>
      <c r="E165" s="38"/>
      <c r="F165" s="38"/>
      <c r="G165" s="39">
        <f>ROUND(D165*(E165+F165),2)</f>
        <v>0</v>
      </c>
      <c r="H165" s="270"/>
      <c r="I165" s="392"/>
      <c r="J165" s="402"/>
      <c r="K165" s="393"/>
      <c r="L165" s="272"/>
      <c r="M165" s="102"/>
      <c r="N165" s="423"/>
      <c r="O165" s="406"/>
      <c r="P165" s="406"/>
      <c r="Q165" s="407"/>
      <c r="R165" s="422"/>
      <c r="S165" s="399"/>
      <c r="T165" s="399"/>
    </row>
    <row r="166" spans="1:20" s="81" customFormat="1" ht="15.75" customHeight="1">
      <c r="A166" s="389"/>
      <c r="B166" s="83"/>
      <c r="C166" s="48" t="s">
        <v>260</v>
      </c>
      <c r="D166" s="37">
        <f>ноя18!D153+ноя18!D154</f>
        <v>30914.02</v>
      </c>
      <c r="E166" s="41">
        <f>7.2015-7.1727</f>
        <v>2.8800000000000381E-2</v>
      </c>
      <c r="F166" s="38"/>
      <c r="G166" s="39">
        <f>ROUND(D166*(E166),2)+0.01</f>
        <v>890.33</v>
      </c>
      <c r="H166" s="270"/>
      <c r="I166" s="41"/>
      <c r="J166" s="41"/>
      <c r="K166" s="271"/>
      <c r="L166" s="272"/>
      <c r="M166" s="102"/>
      <c r="N166" s="423"/>
      <c r="O166" s="406"/>
      <c r="P166" s="406"/>
      <c r="Q166" s="407"/>
      <c r="R166" s="422"/>
      <c r="S166" s="399"/>
      <c r="T166" s="399"/>
    </row>
    <row r="167" spans="1:20" s="81" customFormat="1" ht="15.75" customHeight="1">
      <c r="A167" s="389"/>
      <c r="B167" s="83"/>
      <c r="C167" s="48" t="s">
        <v>263</v>
      </c>
      <c r="D167" s="37">
        <v>92.59</v>
      </c>
      <c r="E167" s="41">
        <v>7.2015000000000002</v>
      </c>
      <c r="F167" s="38"/>
      <c r="G167" s="39">
        <f>ROUND(D167*(E167),2)</f>
        <v>666.79</v>
      </c>
      <c r="H167" s="270"/>
      <c r="I167" s="41"/>
      <c r="J167" s="41"/>
      <c r="K167" s="271"/>
      <c r="L167" s="272"/>
      <c r="M167" s="102"/>
      <c r="N167" s="423"/>
      <c r="O167" s="406"/>
      <c r="P167" s="406"/>
      <c r="Q167" s="425"/>
      <c r="R167" s="422"/>
      <c r="S167" s="399"/>
      <c r="T167" s="399"/>
    </row>
    <row r="168" spans="1:20" s="81" customFormat="1" ht="15.75" customHeight="1" thickBot="1">
      <c r="A168" s="411"/>
      <c r="B168" s="412"/>
      <c r="C168" s="99" t="s">
        <v>29</v>
      </c>
      <c r="D168" s="413">
        <v>38580</v>
      </c>
      <c r="E168" s="56">
        <v>7.2015000000000002</v>
      </c>
      <c r="F168" s="281"/>
      <c r="G168" s="414">
        <f>ROUND(D168*(E168),2)</f>
        <v>277833.87</v>
      </c>
      <c r="H168" s="280"/>
      <c r="I168" s="281"/>
      <c r="J168" s="281"/>
      <c r="K168" s="282"/>
      <c r="L168" s="204"/>
      <c r="M168" s="371"/>
      <c r="N168" s="426"/>
      <c r="O168" s="416"/>
      <c r="P168" s="416"/>
      <c r="Q168" s="417"/>
      <c r="R168" s="422"/>
      <c r="S168" s="399"/>
      <c r="T168" s="399"/>
    </row>
    <row r="169" spans="1:20" s="81" customFormat="1" ht="15.75" customHeight="1">
      <c r="A169" s="376">
        <v>118</v>
      </c>
      <c r="B169" s="924" t="s">
        <v>215</v>
      </c>
      <c r="C169" s="377" t="s">
        <v>73</v>
      </c>
      <c r="D169" s="378">
        <v>54</v>
      </c>
      <c r="E169" s="21">
        <v>40.556600000000003</v>
      </c>
      <c r="F169" s="21">
        <v>47.5304</v>
      </c>
      <c r="G169" s="22">
        <f>+D169*(E169+F169)</f>
        <v>4756.6980000000003</v>
      </c>
      <c r="H169" s="303"/>
      <c r="I169" s="381"/>
      <c r="J169" s="41"/>
      <c r="K169" s="342"/>
      <c r="L169" s="263">
        <f>SUM(G169:G173,J169:J173)</f>
        <v>51862.978000000003</v>
      </c>
      <c r="M169" s="26">
        <v>51862.98</v>
      </c>
      <c r="N169" s="421"/>
      <c r="O169" s="77"/>
      <c r="P169" s="77"/>
      <c r="Q169" s="384"/>
      <c r="R169" s="422"/>
      <c r="S169" s="399"/>
      <c r="T169" s="399"/>
    </row>
    <row r="170" spans="1:20" s="81" customFormat="1" ht="15.75" customHeight="1">
      <c r="A170" s="389"/>
      <c r="B170" s="920"/>
      <c r="C170" s="36" t="s">
        <v>26</v>
      </c>
      <c r="D170" s="37"/>
      <c r="E170" s="38"/>
      <c r="F170" s="38"/>
      <c r="G170" s="39">
        <f>ROUND(D170*(E170+F170),2)</f>
        <v>0</v>
      </c>
      <c r="H170" s="457"/>
      <c r="I170" s="392"/>
      <c r="J170" s="41"/>
      <c r="K170" s="393"/>
      <c r="L170" s="459"/>
      <c r="M170" s="44"/>
      <c r="N170" s="430"/>
      <c r="O170" s="406"/>
      <c r="P170" s="406"/>
      <c r="Q170" s="407"/>
      <c r="R170" s="422"/>
      <c r="S170" s="399"/>
      <c r="T170" s="399"/>
    </row>
    <row r="171" spans="1:20" s="81" customFormat="1" ht="15.75" customHeight="1">
      <c r="A171" s="389"/>
      <c r="B171" s="920"/>
      <c r="C171" s="48" t="s">
        <v>260</v>
      </c>
      <c r="D171" s="37">
        <f>ноя18!D158+ноя18!D159</f>
        <v>9903.7099999999991</v>
      </c>
      <c r="E171" s="41">
        <f>7.2015-7.1727</f>
        <v>2.8800000000000381E-2</v>
      </c>
      <c r="F171" s="38"/>
      <c r="G171" s="39">
        <f>ROUND(D171*(E171),2)-0.01</f>
        <v>285.22000000000003</v>
      </c>
      <c r="H171" s="270"/>
      <c r="I171" s="41"/>
      <c r="J171" s="41"/>
      <c r="K171" s="271"/>
      <c r="L171" s="272"/>
      <c r="M171" s="102"/>
      <c r="N171" s="430"/>
      <c r="O171" s="406"/>
      <c r="P171" s="406"/>
      <c r="Q171" s="407"/>
      <c r="R171" s="422"/>
      <c r="S171" s="399"/>
      <c r="T171" s="399"/>
    </row>
    <row r="172" spans="1:20" s="81" customFormat="1" ht="15.75" customHeight="1">
      <c r="A172" s="389"/>
      <c r="B172" s="920"/>
      <c r="C172" s="48" t="s">
        <v>263</v>
      </c>
      <c r="D172" s="37">
        <v>15.57</v>
      </c>
      <c r="E172" s="41">
        <v>7.2015000000000002</v>
      </c>
      <c r="F172" s="38"/>
      <c r="G172" s="39">
        <f>ROUND(D172*(E172),2)</f>
        <v>112.13</v>
      </c>
      <c r="H172" s="270"/>
      <c r="I172" s="41"/>
      <c r="J172" s="41"/>
      <c r="K172" s="271"/>
      <c r="L172" s="272"/>
      <c r="M172" s="102"/>
      <c r="N172" s="434"/>
      <c r="O172" s="435"/>
      <c r="P172" s="435"/>
      <c r="Q172" s="425"/>
      <c r="R172" s="422"/>
      <c r="S172" s="399"/>
      <c r="T172" s="399"/>
    </row>
    <row r="173" spans="1:20" s="81" customFormat="1" ht="15.75" customHeight="1" thickBot="1">
      <c r="A173" s="411"/>
      <c r="B173" s="921"/>
      <c r="C173" s="54" t="s">
        <v>29</v>
      </c>
      <c r="D173" s="413">
        <v>6486</v>
      </c>
      <c r="E173" s="56">
        <v>7.2015000000000002</v>
      </c>
      <c r="F173" s="281"/>
      <c r="G173" s="414">
        <f>ROUND(D173*(E173),2)</f>
        <v>46708.93</v>
      </c>
      <c r="H173" s="432"/>
      <c r="I173" s="207"/>
      <c r="J173" s="207"/>
      <c r="K173" s="362"/>
      <c r="L173" s="433"/>
      <c r="M173" s="63"/>
      <c r="N173" s="434"/>
      <c r="O173" s="435"/>
      <c r="P173" s="435"/>
      <c r="Q173" s="425"/>
      <c r="R173" s="422"/>
      <c r="S173" s="399"/>
      <c r="T173" s="399"/>
    </row>
    <row r="174" spans="1:20" s="81" customFormat="1" ht="15.75" customHeight="1">
      <c r="A174" s="468">
        <v>121</v>
      </c>
      <c r="B174" s="699" t="s">
        <v>154</v>
      </c>
      <c r="C174" s="700" t="s">
        <v>260</v>
      </c>
      <c r="D174" s="471">
        <f>ноя18!D161+ноя18!D162</f>
        <v>295.70999999999998</v>
      </c>
      <c r="E174" s="261">
        <f>7.2015-7.1727</f>
        <v>2.8800000000000381E-2</v>
      </c>
      <c r="F174" s="473"/>
      <c r="G174" s="449">
        <f>ROUND(D174*E174,2)-0.01</f>
        <v>8.51</v>
      </c>
      <c r="H174" s="303"/>
      <c r="I174" s="23"/>
      <c r="J174" s="23"/>
      <c r="K174" s="304"/>
      <c r="L174" s="263">
        <f>SUM(G174:G176)</f>
        <v>2036.9599999999998</v>
      </c>
      <c r="M174" s="26">
        <v>2036.96</v>
      </c>
      <c r="N174" s="421"/>
      <c r="O174" s="77"/>
      <c r="P174" s="77"/>
      <c r="Q174" s="384"/>
      <c r="R174" s="422"/>
      <c r="S174" s="399"/>
      <c r="T174" s="399"/>
    </row>
    <row r="175" spans="1:20" s="81" customFormat="1" ht="15.75" customHeight="1">
      <c r="A175" s="468"/>
      <c r="B175" s="469"/>
      <c r="C175" s="48" t="s">
        <v>263</v>
      </c>
      <c r="D175" s="471">
        <v>0.67</v>
      </c>
      <c r="E175" s="41">
        <v>7.2015000000000002</v>
      </c>
      <c r="F175" s="473"/>
      <c r="G175" s="449">
        <f>ROUND(D175*E175,2)</f>
        <v>4.83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 thickBot="1">
      <c r="A176" s="858"/>
      <c r="B176" s="859"/>
      <c r="C176" s="54" t="s">
        <v>29</v>
      </c>
      <c r="D176" s="860">
        <v>281</v>
      </c>
      <c r="E176" s="56">
        <v>7.2015000000000002</v>
      </c>
      <c r="F176" s="861"/>
      <c r="G176" s="414">
        <f t="shared" ref="G176" si="34">ROUND(D176*E176,2)</f>
        <v>2023.62</v>
      </c>
      <c r="H176" s="280"/>
      <c r="I176" s="281"/>
      <c r="J176" s="281"/>
      <c r="K176" s="282"/>
      <c r="L176" s="204"/>
      <c r="M176" s="371"/>
      <c r="N176" s="426"/>
      <c r="O176" s="416"/>
      <c r="P176" s="416"/>
      <c r="Q176" s="417"/>
      <c r="R176" s="422"/>
      <c r="S176" s="399"/>
      <c r="T176" s="399"/>
    </row>
    <row r="177" spans="1:20" s="81" customFormat="1" ht="15.75" customHeight="1">
      <c r="A177" s="376">
        <v>202</v>
      </c>
      <c r="B177" s="420" t="s">
        <v>74</v>
      </c>
      <c r="C177" s="377" t="s">
        <v>73</v>
      </c>
      <c r="D177" s="378">
        <v>13</v>
      </c>
      <c r="E177" s="21">
        <v>40.556600000000003</v>
      </c>
      <c r="F177" s="21">
        <v>47.5304</v>
      </c>
      <c r="G177" s="22">
        <f>ROUND(D177*(E177+F177),2)</f>
        <v>1145.1300000000001</v>
      </c>
      <c r="H177" s="303"/>
      <c r="I177" s="381"/>
      <c r="J177" s="381"/>
      <c r="K177" s="342"/>
      <c r="L177" s="263">
        <f>SUM(G177:G183,J177:J183)</f>
        <v>21555.59</v>
      </c>
      <c r="M177" s="26">
        <v>21555.59</v>
      </c>
      <c r="N177" s="421"/>
      <c r="O177" s="77"/>
      <c r="P177" s="77"/>
      <c r="Q177" s="384"/>
      <c r="R177" s="422"/>
      <c r="S177" s="399"/>
      <c r="T177" s="399"/>
    </row>
    <row r="178" spans="1:20" s="81" customFormat="1" ht="15.75" customHeight="1">
      <c r="A178" s="389"/>
      <c r="B178" s="98"/>
      <c r="C178" s="84" t="s">
        <v>26</v>
      </c>
      <c r="D178" s="37"/>
      <c r="E178" s="38"/>
      <c r="F178" s="38"/>
      <c r="G178" s="39">
        <f>ROUND(D178*(E178+F178),2)</f>
        <v>0</v>
      </c>
      <c r="H178" s="270"/>
      <c r="I178" s="392"/>
      <c r="J178" s="402"/>
      <c r="K178" s="393"/>
      <c r="L178" s="272"/>
      <c r="M178" s="102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>
      <c r="A179" s="389"/>
      <c r="B179" s="98" t="s">
        <v>32</v>
      </c>
      <c r="C179" s="99" t="s">
        <v>33</v>
      </c>
      <c r="D179" s="428">
        <v>7</v>
      </c>
      <c r="E179" s="101">
        <v>330.44</v>
      </c>
      <c r="F179" s="38">
        <f>F177</f>
        <v>47.5304</v>
      </c>
      <c r="G179" s="39">
        <f>ROUND(D179*(E179+F179),2)</f>
        <v>2645.79</v>
      </c>
      <c r="H179" s="270"/>
      <c r="I179" s="41"/>
      <c r="J179" s="41"/>
      <c r="K179" s="271"/>
      <c r="L179" s="272"/>
      <c r="M179" s="102"/>
      <c r="N179" s="423"/>
      <c r="O179" s="406"/>
      <c r="P179" s="406"/>
      <c r="Q179" s="407"/>
      <c r="R179" s="422"/>
      <c r="S179" s="399"/>
      <c r="T179" s="399"/>
    </row>
    <row r="180" spans="1:20" s="81" customFormat="1" ht="15.75" customHeight="1">
      <c r="A180" s="389"/>
      <c r="B180" s="83"/>
      <c r="C180" s="48" t="s">
        <v>76</v>
      </c>
      <c r="D180" s="37">
        <f>ноя18!D165</f>
        <v>6</v>
      </c>
      <c r="E180" s="41">
        <f>330.44-461.99</f>
        <v>-131.55000000000001</v>
      </c>
      <c r="F180" s="38"/>
      <c r="G180" s="39">
        <f>ROUND(D180*(E180+F180),2)</f>
        <v>-789.3</v>
      </c>
      <c r="H180" s="270"/>
      <c r="I180" s="41"/>
      <c r="J180" s="41"/>
      <c r="K180" s="271"/>
      <c r="L180" s="272"/>
      <c r="M180" s="102"/>
      <c r="N180" s="423"/>
      <c r="O180" s="406"/>
      <c r="P180" s="406"/>
      <c r="Q180" s="407"/>
      <c r="R180" s="422"/>
      <c r="S180" s="399"/>
      <c r="T180" s="399"/>
    </row>
    <row r="181" spans="1:20" s="81" customFormat="1" ht="15.75" customHeight="1">
      <c r="A181" s="389"/>
      <c r="B181" s="83"/>
      <c r="C181" s="48" t="s">
        <v>260</v>
      </c>
      <c r="D181" s="37">
        <f>ноя18!D168+ноя18!D169</f>
        <v>2566.14</v>
      </c>
      <c r="E181" s="41">
        <f>7.2015-7.1727</f>
        <v>2.8800000000000381E-2</v>
      </c>
      <c r="F181" s="38"/>
      <c r="G181" s="39">
        <f>ROUND(D181*(E181+F181),2)+0.01</f>
        <v>73.910000000000011</v>
      </c>
      <c r="H181" s="270"/>
      <c r="I181" s="41"/>
      <c r="J181" s="41"/>
      <c r="K181" s="271"/>
      <c r="L181" s="272"/>
      <c r="M181" s="102"/>
      <c r="N181" s="423"/>
      <c r="O181" s="406"/>
      <c r="P181" s="406"/>
      <c r="Q181" s="407"/>
      <c r="R181" s="422"/>
      <c r="S181" s="399"/>
      <c r="T181" s="399"/>
    </row>
    <row r="182" spans="1:20" s="81" customFormat="1" ht="15.75" customHeight="1">
      <c r="A182" s="389"/>
      <c r="B182" s="83"/>
      <c r="C182" s="48" t="s">
        <v>263</v>
      </c>
      <c r="D182" s="37">
        <v>6.14</v>
      </c>
      <c r="E182" s="41">
        <v>7.2015000000000002</v>
      </c>
      <c r="F182" s="38"/>
      <c r="G182" s="39">
        <f>ROUND(D182*E182,2)</f>
        <v>44.22</v>
      </c>
      <c r="H182" s="270"/>
      <c r="I182" s="41"/>
      <c r="J182" s="41"/>
      <c r="K182" s="271"/>
      <c r="L182" s="272"/>
      <c r="M182" s="102"/>
      <c r="N182" s="423"/>
      <c r="O182" s="406"/>
      <c r="P182" s="406"/>
      <c r="Q182" s="425"/>
      <c r="R182" s="422"/>
      <c r="S182" s="399"/>
      <c r="T182" s="399"/>
    </row>
    <row r="183" spans="1:20" s="81" customFormat="1" ht="15" customHeight="1" thickBot="1">
      <c r="A183" s="411"/>
      <c r="B183" s="412"/>
      <c r="C183" s="99" t="s">
        <v>29</v>
      </c>
      <c r="D183" s="413">
        <v>2560</v>
      </c>
      <c r="E183" s="56">
        <v>7.2015000000000002</v>
      </c>
      <c r="F183" s="281"/>
      <c r="G183" s="414">
        <f>ROUND(D183*(E183+F183),2)</f>
        <v>18435.84</v>
      </c>
      <c r="H183" s="280"/>
      <c r="I183" s="281"/>
      <c r="J183" s="281"/>
      <c r="K183" s="282"/>
      <c r="L183" s="204"/>
      <c r="M183" s="371"/>
      <c r="N183" s="426"/>
      <c r="O183" s="416"/>
      <c r="P183" s="416"/>
      <c r="Q183" s="417"/>
      <c r="R183" s="422"/>
      <c r="S183" s="399"/>
      <c r="T183" s="399"/>
    </row>
    <row r="184" spans="1:20" s="81" customFormat="1" ht="15.75" customHeight="1">
      <c r="A184" s="902">
        <v>203</v>
      </c>
      <c r="B184" s="903" t="s">
        <v>230</v>
      </c>
      <c r="C184" s="439" t="s">
        <v>260</v>
      </c>
      <c r="D184" s="904">
        <f>ноя18!D171+ноя18!D172</f>
        <v>0</v>
      </c>
      <c r="E184" s="23">
        <f>7.2015-7.1727</f>
        <v>2.8800000000000381E-2</v>
      </c>
      <c r="F184" s="905"/>
      <c r="G184" s="22">
        <f>ROUND(D184*E184,2)</f>
        <v>0</v>
      </c>
      <c r="H184" s="303"/>
      <c r="I184" s="23"/>
      <c r="J184" s="23"/>
      <c r="K184" s="304"/>
      <c r="L184" s="263">
        <f>SUM(G184:G186)</f>
        <v>0</v>
      </c>
      <c r="M184" s="26"/>
      <c r="N184" s="421"/>
      <c r="O184" s="1013" t="s">
        <v>296</v>
      </c>
      <c r="P184" s="77"/>
      <c r="Q184" s="384"/>
      <c r="R184" s="422"/>
      <c r="S184" s="399"/>
      <c r="T184" s="399"/>
    </row>
    <row r="185" spans="1:20" s="81" customFormat="1" ht="15.75" customHeight="1">
      <c r="A185" s="468"/>
      <c r="B185" s="469"/>
      <c r="C185" s="48" t="s">
        <v>263</v>
      </c>
      <c r="D185" s="471"/>
      <c r="E185" s="41">
        <v>7.2015000000000002</v>
      </c>
      <c r="F185" s="473"/>
      <c r="G185" s="449">
        <f>ROUND(D185*E185,2)</f>
        <v>0</v>
      </c>
      <c r="H185" s="260"/>
      <c r="I185" s="261"/>
      <c r="J185" s="261"/>
      <c r="K185" s="262"/>
      <c r="L185" s="286"/>
      <c r="M185" s="90"/>
      <c r="N185" s="423"/>
      <c r="O185" s="406"/>
      <c r="P185" s="406"/>
      <c r="Q185" s="407"/>
      <c r="R185" s="422"/>
      <c r="S185" s="399"/>
      <c r="T185" s="399"/>
    </row>
    <row r="186" spans="1:20" s="81" customFormat="1" ht="15.75" customHeight="1" thickBot="1">
      <c r="A186" s="858"/>
      <c r="B186" s="859"/>
      <c r="C186" s="54" t="s">
        <v>29</v>
      </c>
      <c r="D186" s="860"/>
      <c r="E186" s="56">
        <v>7.2015000000000002</v>
      </c>
      <c r="F186" s="861"/>
      <c r="G186" s="414">
        <f t="shared" ref="G186" si="35">ROUND(D186*E186,2)</f>
        <v>0</v>
      </c>
      <c r="H186" s="280"/>
      <c r="I186" s="281"/>
      <c r="J186" s="207"/>
      <c r="K186" s="362"/>
      <c r="L186" s="433"/>
      <c r="M186" s="63"/>
      <c r="N186" s="426"/>
      <c r="O186" s="416"/>
      <c r="P186" s="416"/>
      <c r="Q186" s="417"/>
      <c r="R186" s="422"/>
      <c r="S186" s="399"/>
      <c r="T186" s="399"/>
    </row>
    <row r="187" spans="1:20" s="81" customFormat="1" ht="15.75" customHeight="1">
      <c r="A187" s="902">
        <v>204</v>
      </c>
      <c r="B187" s="903" t="s">
        <v>257</v>
      </c>
      <c r="C187" s="439" t="s">
        <v>260</v>
      </c>
      <c r="D187" s="904">
        <f>ноя18!D174+ноя18!D175</f>
        <v>71.17</v>
      </c>
      <c r="E187" s="23">
        <f>7.2015-7.1727</f>
        <v>2.8800000000000381E-2</v>
      </c>
      <c r="F187" s="905"/>
      <c r="G187" s="22">
        <f>ROUND(D187*E187,2)</f>
        <v>2.0499999999999998</v>
      </c>
      <c r="H187" s="303"/>
      <c r="I187" s="23"/>
      <c r="J187" s="23"/>
      <c r="K187" s="304"/>
      <c r="L187" s="263">
        <f>SUM(G187:G189)</f>
        <v>586.74</v>
      </c>
      <c r="M187" s="26">
        <v>586.74</v>
      </c>
      <c r="N187" s="421"/>
      <c r="O187" s="77"/>
      <c r="P187" s="77"/>
      <c r="Q187" s="384"/>
      <c r="R187" s="422"/>
      <c r="S187" s="399"/>
      <c r="T187" s="399"/>
    </row>
    <row r="188" spans="1:20" s="81" customFormat="1" ht="15.75" customHeight="1">
      <c r="A188" s="468"/>
      <c r="B188" s="469"/>
      <c r="C188" s="48" t="s">
        <v>263</v>
      </c>
      <c r="D188" s="471">
        <v>0.19</v>
      </c>
      <c r="E188" s="41">
        <v>7.2015000000000002</v>
      </c>
      <c r="F188" s="473"/>
      <c r="G188" s="449">
        <f>ROUND(D188*E188,2)</f>
        <v>1.37</v>
      </c>
      <c r="H188" s="260"/>
      <c r="I188" s="261"/>
      <c r="J188" s="261"/>
      <c r="K188" s="262"/>
      <c r="L188" s="286"/>
      <c r="M188" s="90"/>
      <c r="N188" s="423"/>
      <c r="O188" s="406"/>
      <c r="P188" s="406"/>
      <c r="Q188" s="407"/>
      <c r="R188" s="422"/>
      <c r="S188" s="399"/>
      <c r="T188" s="399"/>
    </row>
    <row r="189" spans="1:20" s="81" customFormat="1" ht="15.75" customHeight="1" thickBot="1">
      <c r="A189" s="858"/>
      <c r="B189" s="859"/>
      <c r="C189" s="54" t="s">
        <v>29</v>
      </c>
      <c r="D189" s="860">
        <v>81</v>
      </c>
      <c r="E189" s="56">
        <v>7.2015000000000002</v>
      </c>
      <c r="F189" s="861"/>
      <c r="G189" s="414">
        <f t="shared" ref="G189" si="36">ROUND(D189*E189,2)</f>
        <v>583.32000000000005</v>
      </c>
      <c r="H189" s="280"/>
      <c r="I189" s="281"/>
      <c r="J189" s="281"/>
      <c r="K189" s="282"/>
      <c r="L189" s="204"/>
      <c r="M189" s="371"/>
      <c r="N189" s="426"/>
      <c r="O189" s="416"/>
      <c r="P189" s="416"/>
      <c r="Q189" s="417"/>
      <c r="R189" s="422"/>
      <c r="S189" s="399"/>
      <c r="T189" s="399"/>
    </row>
    <row r="190" spans="1:20" s="81" customFormat="1" ht="15.75" customHeight="1">
      <c r="A190" s="902">
        <v>207</v>
      </c>
      <c r="B190" s="903" t="s">
        <v>248</v>
      </c>
      <c r="C190" s="439" t="s">
        <v>260</v>
      </c>
      <c r="D190" s="904">
        <f>ноя18!D177+ноя18!D178</f>
        <v>0</v>
      </c>
      <c r="E190" s="23">
        <f>7.2015-7.1727</f>
        <v>2.8800000000000381E-2</v>
      </c>
      <c r="F190" s="905"/>
      <c r="G190" s="22">
        <f>ROUND(D190*E190,2)</f>
        <v>0</v>
      </c>
      <c r="H190" s="303"/>
      <c r="I190" s="23"/>
      <c r="J190" s="23"/>
      <c r="K190" s="304"/>
      <c r="L190" s="263">
        <f>SUM(G190:G192)</f>
        <v>1631.43</v>
      </c>
      <c r="M190" s="26">
        <v>1689.96</v>
      </c>
      <c r="N190" s="421"/>
      <c r="O190" s="77" t="s">
        <v>308</v>
      </c>
      <c r="P190" s="77"/>
      <c r="Q190" s="384"/>
      <c r="R190" s="422"/>
      <c r="S190" s="399"/>
      <c r="T190" s="399"/>
    </row>
    <row r="191" spans="1:20" s="81" customFormat="1" ht="15.75" customHeight="1">
      <c r="A191" s="468"/>
      <c r="B191" s="469"/>
      <c r="C191" s="48" t="s">
        <v>263</v>
      </c>
      <c r="D191" s="471">
        <v>0.54</v>
      </c>
      <c r="E191" s="41">
        <v>7.2015000000000002</v>
      </c>
      <c r="F191" s="473"/>
      <c r="G191" s="449">
        <f>ROUND(D191*E191,2)</f>
        <v>3.89</v>
      </c>
      <c r="H191" s="260"/>
      <c r="I191" s="261"/>
      <c r="J191" s="261"/>
      <c r="K191" s="262"/>
      <c r="L191" s="286"/>
      <c r="M191" s="90"/>
      <c r="N191" s="423"/>
      <c r="O191" s="406"/>
      <c r="P191" s="406"/>
      <c r="Q191" s="407"/>
      <c r="R191" s="422"/>
      <c r="S191" s="399"/>
      <c r="T191" s="399"/>
    </row>
    <row r="192" spans="1:20" s="81" customFormat="1" ht="15.75" customHeight="1" thickBot="1">
      <c r="A192" s="858"/>
      <c r="B192" s="859"/>
      <c r="C192" s="54" t="s">
        <v>29</v>
      </c>
      <c r="D192" s="860">
        <v>226</v>
      </c>
      <c r="E192" s="56">
        <v>7.2015000000000002</v>
      </c>
      <c r="F192" s="861"/>
      <c r="G192" s="414">
        <f t="shared" ref="G192" si="37">ROUND(D192*E192,2)</f>
        <v>1627.54</v>
      </c>
      <c r="H192" s="280"/>
      <c r="I192" s="281"/>
      <c r="J192" s="207"/>
      <c r="K192" s="362"/>
      <c r="L192" s="433"/>
      <c r="M192" s="63"/>
      <c r="N192" s="426"/>
      <c r="O192" s="416"/>
      <c r="P192" s="416"/>
      <c r="Q192" s="417"/>
      <c r="R192" s="422"/>
      <c r="S192" s="399"/>
      <c r="T192" s="399"/>
    </row>
    <row r="193" spans="1:20" s="81" customFormat="1" ht="15" customHeight="1">
      <c r="A193" s="376">
        <v>210</v>
      </c>
      <c r="B193" s="420" t="s">
        <v>77</v>
      </c>
      <c r="C193" s="377" t="s">
        <v>73</v>
      </c>
      <c r="D193" s="378">
        <v>4</v>
      </c>
      <c r="E193" s="21">
        <v>40.556600000000003</v>
      </c>
      <c r="F193" s="21">
        <v>47.5304</v>
      </c>
      <c r="G193" s="22">
        <f t="shared" ref="G193:G199" si="38">ROUND(D193*(E193+F193),2)</f>
        <v>352.35</v>
      </c>
      <c r="H193" s="303"/>
      <c r="I193" s="381"/>
      <c r="J193" s="381"/>
      <c r="K193" s="342"/>
      <c r="L193" s="382">
        <f>+SUM(G193:G199,J193:J199)</f>
        <v>5509.93</v>
      </c>
      <c r="M193" s="26">
        <v>5509.93</v>
      </c>
      <c r="N193" s="421"/>
      <c r="O193" s="77"/>
      <c r="P193" s="77"/>
      <c r="Q193" s="384"/>
      <c r="R193" s="422"/>
      <c r="S193" s="399"/>
      <c r="T193" s="399"/>
    </row>
    <row r="194" spans="1:20" s="81" customFormat="1" ht="15" customHeight="1">
      <c r="A194" s="389"/>
      <c r="B194" s="83"/>
      <c r="C194" s="84" t="s">
        <v>26</v>
      </c>
      <c r="D194" s="37"/>
      <c r="E194" s="38"/>
      <c r="F194" s="38"/>
      <c r="G194" s="39">
        <f t="shared" si="38"/>
        <v>0</v>
      </c>
      <c r="H194" s="270"/>
      <c r="I194" s="392"/>
      <c r="J194" s="402"/>
      <c r="K194" s="393"/>
      <c r="L194" s="429"/>
      <c r="M194" s="102"/>
      <c r="N194" s="430"/>
      <c r="O194" s="406"/>
      <c r="P194" s="406"/>
      <c r="Q194" s="407"/>
      <c r="R194" s="422"/>
      <c r="S194" s="399"/>
      <c r="T194" s="399"/>
    </row>
    <row r="195" spans="1:20" s="81" customFormat="1" ht="15" customHeight="1">
      <c r="A195" s="389"/>
      <c r="B195" s="98" t="s">
        <v>32</v>
      </c>
      <c r="C195" s="99" t="s">
        <v>33</v>
      </c>
      <c r="D195" s="37">
        <v>6</v>
      </c>
      <c r="E195" s="101">
        <v>330.44</v>
      </c>
      <c r="F195" s="38">
        <f>F193</f>
        <v>47.5304</v>
      </c>
      <c r="G195" s="39">
        <f t="shared" si="38"/>
        <v>2267.8200000000002</v>
      </c>
      <c r="H195" s="270"/>
      <c r="I195" s="41"/>
      <c r="J195" s="41"/>
      <c r="K195" s="271"/>
      <c r="L195" s="272"/>
      <c r="M195" s="102"/>
      <c r="N195" s="430"/>
      <c r="O195" s="406"/>
      <c r="P195" s="406"/>
      <c r="Q195" s="407"/>
      <c r="R195" s="422"/>
      <c r="S195" s="399"/>
      <c r="T195" s="399"/>
    </row>
    <row r="196" spans="1:20" s="81" customFormat="1" ht="15" customHeight="1">
      <c r="A196" s="389"/>
      <c r="B196" s="83"/>
      <c r="C196" s="48" t="s">
        <v>190</v>
      </c>
      <c r="D196" s="37">
        <f>ноя18!D181</f>
        <v>5</v>
      </c>
      <c r="E196" s="41">
        <f>330.44-461.99</f>
        <v>-131.55000000000001</v>
      </c>
      <c r="F196" s="38"/>
      <c r="G196" s="39">
        <f>ROUND(D196*(E196+F196),2)</f>
        <v>-657.75</v>
      </c>
      <c r="H196" s="270"/>
      <c r="I196" s="41"/>
      <c r="J196" s="41"/>
      <c r="K196" s="271"/>
      <c r="L196" s="272"/>
      <c r="M196" s="102"/>
      <c r="N196" s="430"/>
      <c r="O196" s="406"/>
      <c r="P196" s="406"/>
      <c r="Q196" s="407"/>
      <c r="R196" s="422"/>
      <c r="S196" s="399"/>
      <c r="T196" s="399"/>
    </row>
    <row r="197" spans="1:20" s="81" customFormat="1" ht="15" customHeight="1">
      <c r="A197" s="389"/>
      <c r="B197" s="83"/>
      <c r="C197" s="48" t="s">
        <v>260</v>
      </c>
      <c r="D197" s="37">
        <f>ноя18!D184+ноя18!D185</f>
        <v>356.85</v>
      </c>
      <c r="E197" s="41">
        <f>7.2015-7.1727</f>
        <v>2.8800000000000381E-2</v>
      </c>
      <c r="F197" s="38"/>
      <c r="G197" s="39">
        <f>ROUND(D197*(E197+F197),2)-0.01</f>
        <v>10.27</v>
      </c>
      <c r="H197" s="270"/>
      <c r="I197" s="41"/>
      <c r="J197" s="41"/>
      <c r="K197" s="271"/>
      <c r="L197" s="272"/>
      <c r="M197" s="102"/>
      <c r="N197" s="430"/>
      <c r="O197" s="406"/>
      <c r="P197" s="406"/>
      <c r="Q197" s="407"/>
      <c r="R197" s="899"/>
      <c r="S197" s="399"/>
      <c r="T197" s="399"/>
    </row>
    <row r="198" spans="1:20" s="81" customFormat="1" ht="15" customHeight="1">
      <c r="A198" s="389"/>
      <c r="B198" s="83"/>
      <c r="C198" s="48" t="s">
        <v>263</v>
      </c>
      <c r="D198" s="37">
        <v>1.18</v>
      </c>
      <c r="E198" s="41">
        <v>7.2015000000000002</v>
      </c>
      <c r="F198" s="38"/>
      <c r="G198" s="39">
        <f t="shared" si="38"/>
        <v>8.5</v>
      </c>
      <c r="H198" s="432"/>
      <c r="I198" s="207"/>
      <c r="J198" s="207"/>
      <c r="K198" s="362"/>
      <c r="L198" s="433"/>
      <c r="M198" s="63"/>
      <c r="N198" s="434"/>
      <c r="O198" s="435"/>
      <c r="P198" s="435"/>
      <c r="Q198" s="425"/>
      <c r="R198" s="899"/>
      <c r="S198" s="399"/>
      <c r="T198" s="399"/>
    </row>
    <row r="199" spans="1:20" s="81" customFormat="1" ht="15" customHeight="1" thickBot="1">
      <c r="A199" s="411"/>
      <c r="B199" s="412"/>
      <c r="C199" s="99" t="s">
        <v>29</v>
      </c>
      <c r="D199" s="413">
        <v>490</v>
      </c>
      <c r="E199" s="56">
        <v>7.2015000000000002</v>
      </c>
      <c r="F199" s="281"/>
      <c r="G199" s="414">
        <f t="shared" si="38"/>
        <v>3528.74</v>
      </c>
      <c r="H199" s="280"/>
      <c r="I199" s="281"/>
      <c r="J199" s="281"/>
      <c r="K199" s="282"/>
      <c r="L199" s="204"/>
      <c r="M199" s="371"/>
      <c r="N199" s="426"/>
      <c r="O199" s="416"/>
      <c r="P199" s="416"/>
      <c r="Q199" s="417"/>
      <c r="R199" s="899"/>
      <c r="S199" s="399"/>
      <c r="T199" s="399"/>
    </row>
    <row r="200" spans="1:20" s="81" customFormat="1" ht="15.75" customHeight="1">
      <c r="A200" s="902">
        <v>211</v>
      </c>
      <c r="B200" s="903" t="s">
        <v>231</v>
      </c>
      <c r="C200" s="439" t="s">
        <v>260</v>
      </c>
      <c r="D200" s="904">
        <f>ноя18!D187+ноя18!D188</f>
        <v>276.66000000000003</v>
      </c>
      <c r="E200" s="23">
        <f>7.2015-7.1727</f>
        <v>2.8800000000000381E-2</v>
      </c>
      <c r="F200" s="905"/>
      <c r="G200" s="22">
        <f>ROUND(D200*E200,2)</f>
        <v>7.97</v>
      </c>
      <c r="H200" s="303"/>
      <c r="I200" s="23"/>
      <c r="J200" s="23"/>
      <c r="K200" s="304"/>
      <c r="L200" s="263">
        <f>SUM(G200:G202)</f>
        <v>1798.26</v>
      </c>
      <c r="M200" s="26">
        <v>1798.26</v>
      </c>
      <c r="N200" s="421"/>
      <c r="O200" s="77"/>
      <c r="P200" s="77"/>
      <c r="Q200" s="384"/>
      <c r="R200" s="422"/>
      <c r="S200" s="399"/>
      <c r="T200" s="399"/>
    </row>
    <row r="201" spans="1:20" s="81" customFormat="1" ht="15.75" customHeight="1">
      <c r="A201" s="468"/>
      <c r="B201" s="469"/>
      <c r="C201" s="48" t="s">
        <v>263</v>
      </c>
      <c r="D201" s="471">
        <v>0.6</v>
      </c>
      <c r="E201" s="41">
        <v>7.2015000000000002</v>
      </c>
      <c r="F201" s="473"/>
      <c r="G201" s="449">
        <f>ROUND(D201*E201,2)</f>
        <v>4.32</v>
      </c>
      <c r="H201" s="260"/>
      <c r="I201" s="261"/>
      <c r="J201" s="261"/>
      <c r="K201" s="262"/>
      <c r="L201" s="286"/>
      <c r="M201" s="90"/>
      <c r="N201" s="423"/>
      <c r="O201" s="406"/>
      <c r="P201" s="406"/>
      <c r="Q201" s="407"/>
      <c r="R201" s="422"/>
      <c r="S201" s="399"/>
      <c r="T201" s="399"/>
    </row>
    <row r="202" spans="1:20" s="81" customFormat="1" ht="15.75" customHeight="1" thickBot="1">
      <c r="A202" s="858"/>
      <c r="B202" s="859"/>
      <c r="C202" s="54" t="s">
        <v>29</v>
      </c>
      <c r="D202" s="860">
        <v>248</v>
      </c>
      <c r="E202" s="56">
        <v>7.2015000000000002</v>
      </c>
      <c r="F202" s="861"/>
      <c r="G202" s="414">
        <f t="shared" ref="G202" si="39">ROUND(D202*E202,2)</f>
        <v>1785.97</v>
      </c>
      <c r="H202" s="280"/>
      <c r="I202" s="281"/>
      <c r="J202" s="207"/>
      <c r="K202" s="362"/>
      <c r="L202" s="433"/>
      <c r="M202" s="63"/>
      <c r="N202" s="426"/>
      <c r="O202" s="416"/>
      <c r="P202" s="416"/>
      <c r="Q202" s="417"/>
      <c r="R202" s="422"/>
      <c r="S202" s="399"/>
      <c r="T202" s="399"/>
    </row>
    <row r="203" spans="1:20" s="81" customFormat="1" ht="15.75" customHeight="1">
      <c r="A203" s="902">
        <v>212</v>
      </c>
      <c r="B203" s="903" t="s">
        <v>140</v>
      </c>
      <c r="C203" s="439" t="s">
        <v>260</v>
      </c>
      <c r="D203" s="904">
        <f>ноя18!D190+ноя18!D191</f>
        <v>588.41</v>
      </c>
      <c r="E203" s="23">
        <f>7.2015-7.1727</f>
        <v>2.8800000000000381E-2</v>
      </c>
      <c r="F203" s="905"/>
      <c r="G203" s="22">
        <f>ROUND(D203*E203,2)-0.01</f>
        <v>16.939999999999998</v>
      </c>
      <c r="H203" s="303"/>
      <c r="I203" s="23"/>
      <c r="J203" s="23"/>
      <c r="K203" s="304"/>
      <c r="L203" s="263">
        <f>SUM(G203:G205)</f>
        <v>4016.15</v>
      </c>
      <c r="M203" s="26">
        <v>4016.15</v>
      </c>
      <c r="N203" s="421"/>
      <c r="O203" s="77"/>
      <c r="P203" s="77"/>
      <c r="Q203" s="384"/>
      <c r="R203" s="422"/>
      <c r="S203" s="399"/>
      <c r="T203" s="399"/>
    </row>
    <row r="204" spans="1:20" s="81" customFormat="1" ht="15.75" customHeight="1">
      <c r="A204" s="468"/>
      <c r="B204" s="469"/>
      <c r="C204" s="48" t="s">
        <v>263</v>
      </c>
      <c r="D204" s="471">
        <v>1.33</v>
      </c>
      <c r="E204" s="41">
        <v>7.2015000000000002</v>
      </c>
      <c r="F204" s="473"/>
      <c r="G204" s="449">
        <f>ROUND(D204*E204,2)</f>
        <v>9.58</v>
      </c>
      <c r="H204" s="260"/>
      <c r="I204" s="261"/>
      <c r="J204" s="261"/>
      <c r="K204" s="262"/>
      <c r="L204" s="286"/>
      <c r="M204" s="90"/>
      <c r="N204" s="423"/>
      <c r="O204" s="406"/>
      <c r="P204" s="406"/>
      <c r="Q204" s="407"/>
      <c r="R204" s="422"/>
      <c r="S204" s="399"/>
      <c r="T204" s="399"/>
    </row>
    <row r="205" spans="1:20" s="81" customFormat="1" ht="15.75" customHeight="1" thickBot="1">
      <c r="A205" s="858"/>
      <c r="B205" s="859"/>
      <c r="C205" s="54" t="s">
        <v>29</v>
      </c>
      <c r="D205" s="860">
        <v>554</v>
      </c>
      <c r="E205" s="56">
        <v>7.2015000000000002</v>
      </c>
      <c r="F205" s="861"/>
      <c r="G205" s="414">
        <f t="shared" ref="G205" si="40">ROUND(D205*E205,2)</f>
        <v>3989.63</v>
      </c>
      <c r="H205" s="280"/>
      <c r="I205" s="281"/>
      <c r="J205" s="207"/>
      <c r="K205" s="362"/>
      <c r="L205" s="433"/>
      <c r="M205" s="63"/>
      <c r="N205" s="426"/>
      <c r="O205" s="416"/>
      <c r="P205" s="416"/>
      <c r="Q205" s="417"/>
      <c r="R205" s="422"/>
      <c r="S205" s="399"/>
      <c r="T205" s="399"/>
    </row>
    <row r="206" spans="1:20" s="81" customFormat="1" ht="15.75" hidden="1" customHeight="1">
      <c r="A206" s="902">
        <v>213</v>
      </c>
      <c r="B206" s="903" t="s">
        <v>134</v>
      </c>
      <c r="C206" s="439" t="s">
        <v>260</v>
      </c>
      <c r="D206" s="904"/>
      <c r="E206" s="23">
        <f>7.0999-6.7991</f>
        <v>0.30079999999999973</v>
      </c>
      <c r="F206" s="905"/>
      <c r="G206" s="22">
        <f>ROUND(D206*E206,2)-0.01</f>
        <v>-0.01</v>
      </c>
      <c r="H206" s="303"/>
      <c r="I206" s="23"/>
      <c r="J206" s="23"/>
      <c r="K206" s="304"/>
      <c r="L206" s="263">
        <f>SUM(G206:G208)</f>
        <v>-0.01</v>
      </c>
      <c r="M206" s="26"/>
      <c r="N206" s="421"/>
      <c r="O206" s="77"/>
      <c r="P206" s="77"/>
      <c r="Q206" s="384"/>
      <c r="R206" s="422"/>
      <c r="S206" s="399"/>
      <c r="T206" s="399"/>
    </row>
    <row r="207" spans="1:20" s="81" customFormat="1" ht="15.75" hidden="1" customHeight="1">
      <c r="A207" s="468"/>
      <c r="B207" s="469"/>
      <c r="C207" s="48" t="s">
        <v>263</v>
      </c>
      <c r="D207" s="471"/>
      <c r="E207" s="41">
        <v>7.0998999999999999</v>
      </c>
      <c r="F207" s="473"/>
      <c r="G207" s="449">
        <f t="shared" ref="G207:G208" si="41">ROUND(D207*E207,2)</f>
        <v>0</v>
      </c>
      <c r="H207" s="260"/>
      <c r="I207" s="261"/>
      <c r="J207" s="261"/>
      <c r="K207" s="262"/>
      <c r="L207" s="286"/>
      <c r="M207" s="90"/>
      <c r="N207" s="423"/>
      <c r="O207" s="406"/>
      <c r="P207" s="406"/>
      <c r="Q207" s="407"/>
      <c r="R207" s="422"/>
      <c r="S207" s="399"/>
      <c r="T207" s="399"/>
    </row>
    <row r="208" spans="1:20" s="81" customFormat="1" ht="15.75" hidden="1" customHeight="1" thickBot="1">
      <c r="A208" s="858"/>
      <c r="B208" s="859"/>
      <c r="C208" s="54" t="s">
        <v>29</v>
      </c>
      <c r="D208" s="860"/>
      <c r="E208" s="56">
        <v>7.0998999999999999</v>
      </c>
      <c r="F208" s="861"/>
      <c r="G208" s="414">
        <f t="shared" si="41"/>
        <v>0</v>
      </c>
      <c r="H208" s="280"/>
      <c r="I208" s="281"/>
      <c r="J208" s="281"/>
      <c r="K208" s="282"/>
      <c r="L208" s="204"/>
      <c r="M208" s="371"/>
      <c r="N208" s="426"/>
      <c r="O208" s="416"/>
      <c r="P208" s="416"/>
      <c r="Q208" s="417"/>
      <c r="R208" s="422"/>
      <c r="S208" s="399"/>
      <c r="T208" s="399"/>
    </row>
    <row r="209" spans="1:21" s="81" customFormat="1" ht="15.75" customHeight="1">
      <c r="A209" s="902">
        <v>215</v>
      </c>
      <c r="B209" s="903" t="s">
        <v>220</v>
      </c>
      <c r="C209" s="439"/>
      <c r="D209" s="904"/>
      <c r="E209" s="23"/>
      <c r="F209" s="905"/>
      <c r="G209" s="22">
        <f>ROUND(D209*E209,2)</f>
        <v>0</v>
      </c>
      <c r="H209" s="303"/>
      <c r="I209" s="23"/>
      <c r="J209" s="23"/>
      <c r="K209" s="304"/>
      <c r="L209" s="263">
        <f>SUM(G209:G211)</f>
        <v>3661.17</v>
      </c>
      <c r="M209" s="26">
        <v>3661.17</v>
      </c>
      <c r="N209" s="421"/>
      <c r="O209" s="77"/>
      <c r="P209" s="77"/>
      <c r="Q209" s="384"/>
      <c r="R209" s="422"/>
      <c r="S209" s="399"/>
      <c r="T209" s="399"/>
    </row>
    <row r="210" spans="1:21" s="81" customFormat="1" ht="15.75" customHeight="1">
      <c r="A210" s="468"/>
      <c r="B210" s="1032" t="s">
        <v>221</v>
      </c>
      <c r="C210" s="48" t="s">
        <v>263</v>
      </c>
      <c r="D210" s="471">
        <v>1.26</v>
      </c>
      <c r="E210" s="41">
        <v>6.9835000000000003</v>
      </c>
      <c r="F210" s="473"/>
      <c r="G210" s="449">
        <f>ROUND(D210*E210,2)</f>
        <v>8.8000000000000007</v>
      </c>
      <c r="H210" s="260"/>
      <c r="I210" s="261"/>
      <c r="J210" s="261"/>
      <c r="K210" s="262"/>
      <c r="L210" s="286"/>
      <c r="M210" s="90"/>
      <c r="N210" s="423"/>
      <c r="O210" s="406"/>
      <c r="P210" s="406"/>
      <c r="Q210" s="407"/>
      <c r="R210" s="422"/>
      <c r="S210" s="399"/>
      <c r="T210" s="399"/>
    </row>
    <row r="211" spans="1:21" s="81" customFormat="1" ht="15.75" customHeight="1" thickBot="1">
      <c r="A211" s="858"/>
      <c r="B211" s="859"/>
      <c r="C211" s="54" t="s">
        <v>29</v>
      </c>
      <c r="D211" s="860">
        <v>523</v>
      </c>
      <c r="E211" s="1012">
        <v>6.9835000000000003</v>
      </c>
      <c r="F211" s="861"/>
      <c r="G211" s="414">
        <f t="shared" ref="G211" si="42">ROUND(D211*E211,2)</f>
        <v>3652.37</v>
      </c>
      <c r="H211" s="280"/>
      <c r="I211" s="281"/>
      <c r="J211" s="281"/>
      <c r="K211" s="282"/>
      <c r="L211" s="204"/>
      <c r="M211" s="371"/>
      <c r="N211" s="426"/>
      <c r="O211" s="416"/>
      <c r="P211" s="416"/>
      <c r="Q211" s="417"/>
      <c r="R211" s="422"/>
      <c r="S211" s="399"/>
      <c r="T211" s="399"/>
    </row>
    <row r="212" spans="1:21" s="81" customFormat="1" ht="15" customHeight="1">
      <c r="A212" s="376">
        <v>301</v>
      </c>
      <c r="B212" s="70" t="s">
        <v>67</v>
      </c>
      <c r="C212" s="377" t="s">
        <v>243</v>
      </c>
      <c r="D212" s="378">
        <v>505</v>
      </c>
      <c r="E212" s="21">
        <v>40.556600000000003</v>
      </c>
      <c r="F212" s="21">
        <v>47.5304</v>
      </c>
      <c r="G212" s="379">
        <f>ROUND(D212*(E212+F212),2)</f>
        <v>44483.94</v>
      </c>
      <c r="H212" s="380"/>
      <c r="I212" s="381"/>
      <c r="J212" s="381"/>
      <c r="K212" s="342"/>
      <c r="L212" s="382">
        <f>+SUM(G212:G221,J212:J220)</f>
        <v>147266.75</v>
      </c>
      <c r="M212" s="26">
        <v>147266.75</v>
      </c>
      <c r="N212" s="383"/>
      <c r="O212" s="77"/>
      <c r="P212" s="77" t="s">
        <v>68</v>
      </c>
      <c r="Q212" s="384" t="e">
        <f t="shared" si="29"/>
        <v>#VALUE!</v>
      </c>
      <c r="R212" s="385" t="s">
        <v>69</v>
      </c>
      <c r="S212" s="386"/>
      <c r="T212" s="387"/>
      <c r="U212" s="388"/>
    </row>
    <row r="213" spans="1:21" s="81" customFormat="1" ht="12.75">
      <c r="A213" s="389"/>
      <c r="B213" s="83"/>
      <c r="C213" s="390" t="s">
        <v>26</v>
      </c>
      <c r="D213" s="37"/>
      <c r="E213" s="38"/>
      <c r="F213" s="38"/>
      <c r="G213" s="39">
        <f>ROUND(D213*(E213+F213),2)</f>
        <v>0</v>
      </c>
      <c r="H213" s="391"/>
      <c r="I213" s="392"/>
      <c r="J213" s="402"/>
      <c r="K213" s="393"/>
      <c r="L213" s="394"/>
      <c r="M213" s="90"/>
      <c r="N213" s="395"/>
      <c r="O213" s="94"/>
      <c r="P213" s="94"/>
      <c r="Q213" s="396"/>
      <c r="R213" s="397"/>
      <c r="S213" s="398"/>
      <c r="T213" s="399"/>
    </row>
    <row r="214" spans="1:21" s="81" customFormat="1" ht="12.75">
      <c r="A214" s="389"/>
      <c r="B214" s="98" t="s">
        <v>32</v>
      </c>
      <c r="C214" s="99" t="s">
        <v>33</v>
      </c>
      <c r="D214" s="37">
        <v>82</v>
      </c>
      <c r="E214" s="101">
        <v>330.44</v>
      </c>
      <c r="F214" s="38">
        <f>F212</f>
        <v>47.5304</v>
      </c>
      <c r="G214" s="400">
        <f>ROUND(D214*(E214+F214),2)</f>
        <v>30993.57</v>
      </c>
      <c r="H214" s="401"/>
      <c r="I214" s="402"/>
      <c r="J214" s="402"/>
      <c r="K214" s="403"/>
      <c r="L214" s="404"/>
      <c r="M214" s="102"/>
      <c r="N214" s="405"/>
      <c r="O214" s="406"/>
      <c r="P214" s="406" t="s">
        <v>68</v>
      </c>
      <c r="Q214" s="407">
        <f>+G214+J214-M214-N214-O214</f>
        <v>30993.57</v>
      </c>
      <c r="R214" s="397" t="s">
        <v>69</v>
      </c>
      <c r="S214" s="398"/>
      <c r="T214" s="399"/>
    </row>
    <row r="215" spans="1:21" s="81" customFormat="1" ht="15" customHeight="1">
      <c r="A215" s="389"/>
      <c r="B215" s="98"/>
      <c r="C215" s="84" t="s">
        <v>26</v>
      </c>
      <c r="D215" s="37">
        <f>ноя18!D200</f>
        <v>80</v>
      </c>
      <c r="E215" s="41">
        <f>330.44-461.99</f>
        <v>-131.55000000000001</v>
      </c>
      <c r="F215" s="38"/>
      <c r="G215" s="400">
        <f>+D215*(E215+F215)</f>
        <v>-10524</v>
      </c>
      <c r="H215" s="401"/>
      <c r="I215" s="402"/>
      <c r="J215" s="402"/>
      <c r="K215" s="408"/>
      <c r="L215" s="404"/>
      <c r="M215" s="102"/>
      <c r="N215" s="405"/>
      <c r="O215" s="406"/>
      <c r="P215" s="406"/>
      <c r="Q215" s="407"/>
      <c r="R215" s="397"/>
      <c r="S215" s="398"/>
      <c r="T215" s="399"/>
    </row>
    <row r="216" spans="1:21" s="81" customFormat="1" ht="15" customHeight="1">
      <c r="A216" s="389"/>
      <c r="B216" s="83"/>
      <c r="C216" s="84"/>
      <c r="D216" s="37"/>
      <c r="E216" s="41"/>
      <c r="F216" s="38"/>
      <c r="G216" s="400"/>
      <c r="H216" s="401"/>
      <c r="I216" s="402"/>
      <c r="J216" s="402"/>
      <c r="K216" s="408"/>
      <c r="L216" s="404"/>
      <c r="M216" s="102"/>
      <c r="N216" s="405"/>
      <c r="O216" s="406"/>
      <c r="P216" s="406"/>
      <c r="Q216" s="407"/>
      <c r="R216" s="397"/>
      <c r="S216" s="398"/>
      <c r="T216" s="399"/>
    </row>
    <row r="217" spans="1:21" s="81" customFormat="1" ht="15" customHeight="1">
      <c r="A217" s="389"/>
      <c r="B217" s="83" t="s">
        <v>70</v>
      </c>
      <c r="C217" s="84"/>
      <c r="D217" s="37"/>
      <c r="E217" s="41"/>
      <c r="F217" s="38"/>
      <c r="G217" s="400"/>
      <c r="H217" s="401"/>
      <c r="I217" s="402"/>
      <c r="J217" s="402"/>
      <c r="K217" s="408"/>
      <c r="L217" s="404"/>
      <c r="M217" s="102"/>
      <c r="N217" s="405"/>
      <c r="O217" s="406"/>
      <c r="P217" s="406"/>
      <c r="Q217" s="407"/>
      <c r="R217" s="397"/>
      <c r="S217" s="398"/>
      <c r="T217" s="399"/>
    </row>
    <row r="218" spans="1:21" s="81" customFormat="1" ht="15" customHeight="1">
      <c r="A218" s="389"/>
      <c r="B218" s="83"/>
      <c r="C218" s="48"/>
      <c r="D218" s="37"/>
      <c r="E218" s="41"/>
      <c r="F218" s="38"/>
      <c r="G218" s="39">
        <f>ROUND(D218*(E218+F218),2)</f>
        <v>0</v>
      </c>
      <c r="H218" s="37"/>
      <c r="I218" s="409"/>
      <c r="J218" s="409"/>
      <c r="K218" s="408"/>
      <c r="L218" s="404"/>
      <c r="M218" s="102"/>
      <c r="N218" s="405"/>
      <c r="O218" s="406"/>
      <c r="P218" s="406"/>
      <c r="Q218" s="407"/>
      <c r="R218" s="397"/>
      <c r="S218" s="398"/>
      <c r="T218" s="399"/>
    </row>
    <row r="219" spans="1:21" s="81" customFormat="1" ht="15" customHeight="1">
      <c r="A219" s="389"/>
      <c r="B219" s="83"/>
      <c r="C219" s="48" t="s">
        <v>260</v>
      </c>
      <c r="D219" s="37">
        <f>ноя18!D206+ноя18!D207</f>
        <v>12193.19</v>
      </c>
      <c r="E219" s="41">
        <f>7.2015-7.1727</f>
        <v>2.8800000000000381E-2</v>
      </c>
      <c r="F219" s="38">
        <f>+E219</f>
        <v>2.8800000000000381E-2</v>
      </c>
      <c r="G219" s="39">
        <f>ROUND(D219*E219,2)+0.01</f>
        <v>351.17</v>
      </c>
      <c r="H219" s="37"/>
      <c r="I219" s="409"/>
      <c r="J219" s="409"/>
      <c r="K219" s="408"/>
      <c r="L219" s="404"/>
      <c r="M219" s="102"/>
      <c r="N219" s="405"/>
      <c r="O219" s="406"/>
      <c r="P219" s="406"/>
      <c r="Q219" s="407"/>
      <c r="R219" s="397"/>
      <c r="S219" s="398"/>
      <c r="T219" s="399"/>
    </row>
    <row r="220" spans="1:21" s="81" customFormat="1" ht="15" customHeight="1">
      <c r="A220" s="389"/>
      <c r="B220" s="83"/>
      <c r="C220" s="48" t="s">
        <v>263</v>
      </c>
      <c r="D220" s="37">
        <f>25.54+1.71</f>
        <v>27.25</v>
      </c>
      <c r="E220" s="41">
        <v>7.2015000000000002</v>
      </c>
      <c r="F220" s="41">
        <f>+E220</f>
        <v>7.2015000000000002</v>
      </c>
      <c r="G220" s="39">
        <f>ROUND(D220*E220,2)</f>
        <v>196.24</v>
      </c>
      <c r="H220" s="37"/>
      <c r="I220" s="409"/>
      <c r="J220" s="409"/>
      <c r="K220" s="410"/>
      <c r="L220" s="404"/>
      <c r="M220" s="102"/>
      <c r="N220" s="405"/>
      <c r="O220" s="406"/>
      <c r="P220" s="406"/>
      <c r="Q220" s="407"/>
      <c r="R220" s="397"/>
      <c r="S220" s="398"/>
      <c r="T220" s="399"/>
    </row>
    <row r="221" spans="1:21" s="81" customFormat="1" ht="15.75" customHeight="1" thickBot="1">
      <c r="A221" s="411"/>
      <c r="B221" s="412"/>
      <c r="C221" s="99" t="s">
        <v>29</v>
      </c>
      <c r="D221" s="413">
        <f>10640+714</f>
        <v>11354</v>
      </c>
      <c r="E221" s="56">
        <v>7.2015000000000002</v>
      </c>
      <c r="F221" s="41">
        <f>+E221</f>
        <v>7.2015000000000002</v>
      </c>
      <c r="G221" s="414">
        <f>ROUND(D221*E221,2)</f>
        <v>81765.83</v>
      </c>
      <c r="H221" s="248"/>
      <c r="I221" s="60"/>
      <c r="J221" s="60"/>
      <c r="K221" s="203"/>
      <c r="L221" s="204"/>
      <c r="M221" s="371"/>
      <c r="N221" s="415"/>
      <c r="O221" s="416"/>
      <c r="P221" s="416" t="s">
        <v>68</v>
      </c>
      <c r="Q221" s="417">
        <f>+G221+J221-M221-N221-O221</f>
        <v>81765.83</v>
      </c>
      <c r="R221" s="418" t="s">
        <v>69</v>
      </c>
      <c r="S221" s="419">
        <f>SUM(O212:O221)</f>
        <v>0</v>
      </c>
      <c r="T221" s="419" t="e">
        <f>SUM(Q212:Q221)</f>
        <v>#VALUE!</v>
      </c>
    </row>
    <row r="222" spans="1:21" s="81" customFormat="1" ht="15.75" customHeight="1">
      <c r="A222" s="902">
        <v>303</v>
      </c>
      <c r="B222" s="903" t="s">
        <v>227</v>
      </c>
      <c r="C222" s="439" t="s">
        <v>260</v>
      </c>
      <c r="D222" s="904">
        <f>ноя18!D209+ноя18!D210</f>
        <v>687.65</v>
      </c>
      <c r="E222" s="23">
        <f>7.2015-7.1727</f>
        <v>2.8800000000000381E-2</v>
      </c>
      <c r="F222" s="905"/>
      <c r="G222" s="22">
        <f>ROUND(D222*E222,2)</f>
        <v>19.8</v>
      </c>
      <c r="H222" s="303"/>
      <c r="I222" s="23"/>
      <c r="J222" s="23"/>
      <c r="K222" s="304"/>
      <c r="L222" s="263">
        <f>SUM(G222:G224)</f>
        <v>4156.2</v>
      </c>
      <c r="M222" s="26">
        <v>4156.2</v>
      </c>
      <c r="N222" s="421"/>
      <c r="O222" s="77"/>
      <c r="P222" s="77"/>
      <c r="Q222" s="384"/>
      <c r="R222" s="422"/>
      <c r="S222" s="399"/>
      <c r="T222" s="399"/>
    </row>
    <row r="223" spans="1:21" s="81" customFormat="1" ht="15.75" customHeight="1">
      <c r="A223" s="468"/>
      <c r="B223" s="469"/>
      <c r="C223" s="48" t="s">
        <v>263</v>
      </c>
      <c r="D223" s="471">
        <v>1.38</v>
      </c>
      <c r="E223" s="41">
        <v>7.2015000000000002</v>
      </c>
      <c r="F223" s="473"/>
      <c r="G223" s="449">
        <f>ROUND(D223*E223,2)</f>
        <v>9.94</v>
      </c>
      <c r="H223" s="260"/>
      <c r="I223" s="261"/>
      <c r="J223" s="261"/>
      <c r="K223" s="262"/>
      <c r="L223" s="286"/>
      <c r="M223" s="90"/>
      <c r="N223" s="423"/>
      <c r="O223" s="406"/>
      <c r="P223" s="406"/>
      <c r="Q223" s="407"/>
      <c r="R223" s="422"/>
      <c r="S223" s="399"/>
      <c r="T223" s="399"/>
    </row>
    <row r="224" spans="1:21" s="81" customFormat="1" ht="15.75" customHeight="1" thickBot="1">
      <c r="A224" s="858"/>
      <c r="B224" s="859"/>
      <c r="C224" s="54" t="s">
        <v>29</v>
      </c>
      <c r="D224" s="860">
        <v>573</v>
      </c>
      <c r="E224" s="56">
        <v>7.2015000000000002</v>
      </c>
      <c r="F224" s="861"/>
      <c r="G224" s="414">
        <f t="shared" ref="G224" si="43">ROUND(D224*E224,2)</f>
        <v>4126.46</v>
      </c>
      <c r="H224" s="280"/>
      <c r="I224" s="281"/>
      <c r="J224" s="281"/>
      <c r="K224" s="282"/>
      <c r="L224" s="204"/>
      <c r="M224" s="371"/>
      <c r="N224" s="426"/>
      <c r="O224" s="416"/>
      <c r="P224" s="416"/>
      <c r="Q224" s="417"/>
      <c r="R224" s="422"/>
      <c r="S224" s="399"/>
      <c r="T224" s="399"/>
    </row>
    <row r="225" spans="1:20" s="81" customFormat="1" ht="15" customHeight="1">
      <c r="A225" s="437">
        <v>304</v>
      </c>
      <c r="B225" s="438" t="s">
        <v>83</v>
      </c>
      <c r="C225" s="377" t="s">
        <v>73</v>
      </c>
      <c r="D225" s="378">
        <v>0</v>
      </c>
      <c r="E225" s="21">
        <v>40.556600000000003</v>
      </c>
      <c r="F225" s="21">
        <v>47.5304</v>
      </c>
      <c r="G225" s="22">
        <f>+D225*(E225+F225)</f>
        <v>0</v>
      </c>
      <c r="H225" s="303"/>
      <c r="I225" s="381"/>
      <c r="J225" s="381"/>
      <c r="K225" s="342"/>
      <c r="L225" s="263">
        <f>SUM(G225:G229,J225:J229)</f>
        <v>434.83</v>
      </c>
      <c r="M225" s="26">
        <v>434.83</v>
      </c>
      <c r="N225" s="421"/>
      <c r="O225" s="77"/>
      <c r="P225" s="77"/>
      <c r="Q225" s="384"/>
      <c r="R225" s="899"/>
      <c r="S225" s="399"/>
      <c r="T225" s="399"/>
    </row>
    <row r="226" spans="1:20" s="81" customFormat="1" ht="15" customHeight="1">
      <c r="A226" s="441"/>
      <c r="B226" s="442"/>
      <c r="C226" s="36" t="s">
        <v>26</v>
      </c>
      <c r="D226" s="37"/>
      <c r="E226" s="38"/>
      <c r="F226" s="38"/>
      <c r="G226" s="39">
        <f>ROUND(D226*(E226+F226),2)</f>
        <v>0</v>
      </c>
      <c r="H226" s="457"/>
      <c r="I226" s="392"/>
      <c r="J226" s="402"/>
      <c r="K226" s="393"/>
      <c r="L226" s="459"/>
      <c r="M226" s="44"/>
      <c r="N226" s="430"/>
      <c r="O226" s="435"/>
      <c r="P226" s="435"/>
      <c r="Q226" s="425"/>
      <c r="R226" s="422"/>
      <c r="S226" s="399"/>
      <c r="T226" s="399"/>
    </row>
    <row r="227" spans="1:20" s="81" customFormat="1" ht="15" customHeight="1">
      <c r="A227" s="441"/>
      <c r="B227" s="442"/>
      <c r="C227" s="48" t="s">
        <v>260</v>
      </c>
      <c r="D227" s="37">
        <f>ноя18!D214+ноя18!D215</f>
        <v>60.14</v>
      </c>
      <c r="E227" s="41">
        <f>7.2015-7.1727</f>
        <v>2.8800000000000381E-2</v>
      </c>
      <c r="F227" s="38"/>
      <c r="G227" s="39">
        <f>ROUND(D227*(E227),2)</f>
        <v>1.73</v>
      </c>
      <c r="H227" s="270"/>
      <c r="I227" s="41"/>
      <c r="J227" s="41"/>
      <c r="K227" s="271"/>
      <c r="L227" s="272"/>
      <c r="M227" s="102"/>
      <c r="N227" s="430"/>
      <c r="O227" s="435"/>
      <c r="P227" s="435"/>
      <c r="Q227" s="425"/>
      <c r="R227" s="422"/>
      <c r="S227" s="399"/>
      <c r="T227" s="399"/>
    </row>
    <row r="228" spans="1:20" s="81" customFormat="1" ht="15" customHeight="1">
      <c r="A228" s="441"/>
      <c r="B228" s="442"/>
      <c r="C228" s="48" t="s">
        <v>263</v>
      </c>
      <c r="D228" s="37">
        <v>0.14000000000000001</v>
      </c>
      <c r="E228" s="41">
        <v>7.2015000000000002</v>
      </c>
      <c r="F228" s="38"/>
      <c r="G228" s="39">
        <f>ROUND(D228*(E228),2)</f>
        <v>1.01</v>
      </c>
      <c r="H228" s="270"/>
      <c r="I228" s="41"/>
      <c r="J228" s="41"/>
      <c r="K228" s="271"/>
      <c r="L228" s="272"/>
      <c r="M228" s="102"/>
      <c r="N228" s="434"/>
      <c r="O228" s="435"/>
      <c r="P228" s="435"/>
      <c r="Q228" s="425"/>
      <c r="R228" s="422"/>
      <c r="S228" s="399"/>
      <c r="T228" s="399"/>
    </row>
    <row r="229" spans="1:20" s="81" customFormat="1" ht="15.75" customHeight="1" thickBot="1">
      <c r="A229" s="445"/>
      <c r="B229" s="446"/>
      <c r="C229" s="54" t="s">
        <v>29</v>
      </c>
      <c r="D229" s="413">
        <v>60</v>
      </c>
      <c r="E229" s="56">
        <v>7.2015000000000002</v>
      </c>
      <c r="F229" s="281"/>
      <c r="G229" s="414">
        <f>ROUND(D229*(E229),2)</f>
        <v>432.09</v>
      </c>
      <c r="H229" s="280"/>
      <c r="I229" s="281"/>
      <c r="J229" s="281"/>
      <c r="K229" s="282"/>
      <c r="L229" s="204"/>
      <c r="M229" s="371"/>
      <c r="N229" s="426"/>
      <c r="O229" s="416"/>
      <c r="P229" s="416"/>
      <c r="Q229" s="417"/>
      <c r="R229" s="422"/>
      <c r="S229" s="399"/>
      <c r="T229" s="399"/>
    </row>
    <row r="230" spans="1:20" s="81" customFormat="1" ht="15" customHeight="1">
      <c r="A230" s="437">
        <v>305</v>
      </c>
      <c r="B230" s="438" t="s">
        <v>298</v>
      </c>
      <c r="C230" s="377" t="s">
        <v>73</v>
      </c>
      <c r="D230" s="378">
        <v>36</v>
      </c>
      <c r="E230" s="21">
        <v>40.556600000000003</v>
      </c>
      <c r="F230" s="21">
        <v>47.5304</v>
      </c>
      <c r="G230" s="22">
        <f>+D230*(E230+F230)</f>
        <v>3171.1320000000001</v>
      </c>
      <c r="H230" s="303"/>
      <c r="I230" s="381"/>
      <c r="J230" s="381"/>
      <c r="K230" s="342"/>
      <c r="L230" s="263">
        <f>SUM(G230:G234,J230:J234)</f>
        <v>20073.402000000002</v>
      </c>
      <c r="M230" s="26">
        <v>20073.400000000001</v>
      </c>
      <c r="N230" s="421"/>
      <c r="O230" s="77"/>
      <c r="P230" s="77"/>
      <c r="Q230" s="384"/>
      <c r="R230" s="899"/>
      <c r="S230" s="399"/>
      <c r="T230" s="399"/>
    </row>
    <row r="231" spans="1:20" s="81" customFormat="1" ht="15" customHeight="1">
      <c r="A231" s="441"/>
      <c r="B231" s="442"/>
      <c r="C231" s="36" t="s">
        <v>26</v>
      </c>
      <c r="D231" s="37"/>
      <c r="E231" s="38"/>
      <c r="F231" s="38"/>
      <c r="G231" s="39">
        <f>ROUND(D231*(E231+F231),2)</f>
        <v>0</v>
      </c>
      <c r="H231" s="457"/>
      <c r="I231" s="392"/>
      <c r="J231" s="402"/>
      <c r="K231" s="393"/>
      <c r="L231" s="459"/>
      <c r="M231" s="44"/>
      <c r="N231" s="430"/>
      <c r="O231" s="435"/>
      <c r="P231" s="435"/>
      <c r="Q231" s="425"/>
      <c r="R231" s="422"/>
      <c r="S231" s="399"/>
      <c r="T231" s="399"/>
    </row>
    <row r="232" spans="1:20" s="81" customFormat="1" ht="15" customHeight="1">
      <c r="A232" s="441"/>
      <c r="B232" s="442"/>
      <c r="C232" s="48" t="s">
        <v>260</v>
      </c>
      <c r="D232" s="37">
        <f>ноя18!D219+ноя18!D220</f>
        <v>607.46</v>
      </c>
      <c r="E232" s="41">
        <f>7.2015-7.1727</f>
        <v>2.8800000000000381E-2</v>
      </c>
      <c r="F232" s="38"/>
      <c r="G232" s="39">
        <f>ROUND(D232*(E232),2)</f>
        <v>17.489999999999998</v>
      </c>
      <c r="H232" s="270"/>
      <c r="I232" s="41"/>
      <c r="J232" s="41"/>
      <c r="K232" s="271"/>
      <c r="L232" s="272"/>
      <c r="M232" s="102"/>
      <c r="N232" s="430"/>
      <c r="O232" s="435"/>
      <c r="P232" s="435"/>
      <c r="Q232" s="425"/>
      <c r="R232" s="422"/>
      <c r="S232" s="399"/>
      <c r="T232" s="399"/>
    </row>
    <row r="233" spans="1:20" s="81" customFormat="1" ht="15" customHeight="1">
      <c r="A233" s="441"/>
      <c r="B233" s="442"/>
      <c r="C233" s="48" t="s">
        <v>263</v>
      </c>
      <c r="D233" s="37">
        <f>4.81+0.71+0.1</f>
        <v>5.6199999999999992</v>
      </c>
      <c r="E233" s="41">
        <v>7.2015000000000002</v>
      </c>
      <c r="F233" s="38"/>
      <c r="G233" s="39">
        <f>ROUND(D233*(E233),2)</f>
        <v>40.47</v>
      </c>
      <c r="H233" s="270"/>
      <c r="I233" s="41"/>
      <c r="J233" s="41"/>
      <c r="K233" s="271"/>
      <c r="L233" s="272"/>
      <c r="M233" s="102"/>
      <c r="N233" s="434"/>
      <c r="O233" s="435"/>
      <c r="P233" s="435"/>
      <c r="Q233" s="425"/>
      <c r="R233" s="422"/>
      <c r="S233" s="399"/>
      <c r="T233" s="399"/>
    </row>
    <row r="234" spans="1:20" s="81" customFormat="1" ht="15.75" customHeight="1" thickBot="1">
      <c r="A234" s="445"/>
      <c r="B234" s="446"/>
      <c r="C234" s="54" t="s">
        <v>29</v>
      </c>
      <c r="D234" s="413">
        <f>2003+294+42</f>
        <v>2339</v>
      </c>
      <c r="E234" s="56">
        <v>7.2015000000000002</v>
      </c>
      <c r="F234" s="281"/>
      <c r="G234" s="414">
        <f>ROUND(D234*(E234),2)</f>
        <v>16844.310000000001</v>
      </c>
      <c r="H234" s="280"/>
      <c r="I234" s="281"/>
      <c r="J234" s="281"/>
      <c r="K234" s="282"/>
      <c r="L234" s="204"/>
      <c r="M234" s="371"/>
      <c r="N234" s="426"/>
      <c r="O234" s="416"/>
      <c r="P234" s="416"/>
      <c r="Q234" s="417"/>
      <c r="R234" s="422"/>
      <c r="S234" s="399"/>
      <c r="T234" s="399"/>
    </row>
    <row r="235" spans="1:20" s="81" customFormat="1" ht="15" customHeight="1">
      <c r="A235" s="447">
        <v>400</v>
      </c>
      <c r="B235" s="903" t="s">
        <v>238</v>
      </c>
      <c r="C235" s="377" t="s">
        <v>73</v>
      </c>
      <c r="D235" s="378">
        <v>3</v>
      </c>
      <c r="E235" s="21">
        <v>40.556600000000003</v>
      </c>
      <c r="F235" s="21">
        <v>47.5304</v>
      </c>
      <c r="G235" s="22">
        <f>+D235*(E235+F235)</f>
        <v>264.26100000000002</v>
      </c>
      <c r="H235" s="303"/>
      <c r="I235" s="381"/>
      <c r="J235" s="381"/>
      <c r="K235" s="342"/>
      <c r="L235" s="263">
        <f>SUM(G235:G239,J235:J239)</f>
        <v>56379.210999999996</v>
      </c>
      <c r="M235" s="26">
        <v>56379.21</v>
      </c>
      <c r="N235" s="421"/>
      <c r="O235" s="77"/>
      <c r="P235" s="77"/>
      <c r="Q235" s="384"/>
      <c r="R235" s="899"/>
      <c r="S235" s="399"/>
      <c r="T235" s="399"/>
    </row>
    <row r="236" spans="1:20" s="81" customFormat="1" ht="15" customHeight="1" thickBot="1">
      <c r="A236" s="450"/>
      <c r="B236" s="469"/>
      <c r="C236" s="36" t="s">
        <v>26</v>
      </c>
      <c r="D236" s="37"/>
      <c r="E236" s="38"/>
      <c r="F236" s="38"/>
      <c r="G236" s="39">
        <f>ROUND(D236*(E236+F236),2)</f>
        <v>0</v>
      </c>
      <c r="H236" s="457"/>
      <c r="I236" s="392"/>
      <c r="J236" s="402"/>
      <c r="K236" s="393"/>
      <c r="L236" s="459"/>
      <c r="M236" s="44"/>
      <c r="N236" s="430"/>
      <c r="O236" s="435"/>
      <c r="P236" s="435"/>
      <c r="Q236" s="425"/>
      <c r="R236" s="422"/>
      <c r="S236" s="399"/>
      <c r="T236" s="399"/>
    </row>
    <row r="237" spans="1:20" s="81" customFormat="1" ht="15.75" customHeight="1">
      <c r="A237" s="984"/>
      <c r="C237" s="439" t="s">
        <v>260</v>
      </c>
      <c r="D237" s="904">
        <f>ноя18!D224+ноя18!D225</f>
        <v>8889.2900000000009</v>
      </c>
      <c r="E237" s="23">
        <f>7.2015-7.1727</f>
        <v>2.8800000000000381E-2</v>
      </c>
      <c r="F237" s="905"/>
      <c r="G237" s="22">
        <f>ROUND(D237*E237,2)</f>
        <v>256.01</v>
      </c>
      <c r="H237" s="303"/>
      <c r="I237" s="23"/>
      <c r="J237" s="23"/>
      <c r="K237" s="304"/>
      <c r="L237" s="263"/>
      <c r="M237" s="26"/>
      <c r="N237" s="421"/>
      <c r="O237" s="77"/>
      <c r="P237" s="77"/>
      <c r="Q237" s="384"/>
      <c r="R237" s="422"/>
      <c r="S237" s="399"/>
      <c r="T237" s="399"/>
    </row>
    <row r="238" spans="1:20" s="81" customFormat="1" ht="15.75" customHeight="1">
      <c r="A238" s="450"/>
      <c r="B238" s="469"/>
      <c r="C238" s="48" t="s">
        <v>263</v>
      </c>
      <c r="D238" s="471">
        <f>12.4+2.56+3.61</f>
        <v>18.57</v>
      </c>
      <c r="E238" s="41">
        <v>7.2015000000000002</v>
      </c>
      <c r="F238" s="473"/>
      <c r="G238" s="449">
        <f>ROUND(D238*E238,2)</f>
        <v>133.72999999999999</v>
      </c>
      <c r="H238" s="260"/>
      <c r="I238" s="261"/>
      <c r="J238" s="261"/>
      <c r="K238" s="262"/>
      <c r="L238" s="286"/>
      <c r="M238" s="90"/>
      <c r="N238" s="423"/>
      <c r="O238" s="406"/>
      <c r="P238" s="406"/>
      <c r="Q238" s="407"/>
      <c r="R238" s="422"/>
      <c r="S238" s="399"/>
      <c r="T238" s="399"/>
    </row>
    <row r="239" spans="1:20" s="81" customFormat="1" ht="15.75" customHeight="1" thickBot="1">
      <c r="A239" s="451"/>
      <c r="B239" s="859"/>
      <c r="C239" s="54" t="s">
        <v>29</v>
      </c>
      <c r="D239" s="860">
        <f>5165+1068+1505</f>
        <v>7738</v>
      </c>
      <c r="E239" s="56">
        <v>7.2015000000000002</v>
      </c>
      <c r="F239" s="861"/>
      <c r="G239" s="414">
        <f t="shared" ref="G239" si="44">ROUND(D239*E239,2)</f>
        <v>55725.21</v>
      </c>
      <c r="H239" s="280"/>
      <c r="I239" s="281"/>
      <c r="J239" s="281"/>
      <c r="K239" s="282"/>
      <c r="L239" s="204"/>
      <c r="M239" s="371"/>
      <c r="N239" s="426"/>
      <c r="O239" s="416"/>
      <c r="P239" s="416"/>
      <c r="Q239" s="417"/>
      <c r="R239" s="422"/>
      <c r="S239" s="399"/>
      <c r="T239" s="399"/>
    </row>
    <row r="240" spans="1:20" s="81" customFormat="1" ht="15" customHeight="1">
      <c r="A240" s="437">
        <v>402</v>
      </c>
      <c r="B240" s="438" t="s">
        <v>122</v>
      </c>
      <c r="C240" s="439"/>
      <c r="D240" s="378"/>
      <c r="E240" s="23"/>
      <c r="F240" s="23"/>
      <c r="G240" s="22"/>
      <c r="H240" s="303"/>
      <c r="I240" s="23"/>
      <c r="J240" s="23"/>
      <c r="K240" s="304"/>
      <c r="L240" s="382">
        <f>+SUM(G240:G243,J240:J243)</f>
        <v>2132.4299999999998</v>
      </c>
      <c r="M240" s="26">
        <v>2132.4299999999998</v>
      </c>
      <c r="N240" s="421"/>
      <c r="O240" s="77"/>
      <c r="P240" s="77"/>
      <c r="Q240" s="384"/>
      <c r="R240" s="899"/>
      <c r="S240" s="399"/>
      <c r="T240" s="399"/>
    </row>
    <row r="241" spans="1:20" s="81" customFormat="1" ht="15" customHeight="1" thickBot="1">
      <c r="A241" s="441"/>
      <c r="B241" s="442"/>
      <c r="C241" s="48" t="s">
        <v>260</v>
      </c>
      <c r="D241" s="37">
        <f>ноя18!D228+ноя18!D229</f>
        <v>349.84</v>
      </c>
      <c r="E241" s="41">
        <f>7.2015-7.1727</f>
        <v>2.8800000000000381E-2</v>
      </c>
      <c r="F241" s="41"/>
      <c r="G241" s="414">
        <f>ROUND(D241*E241,2)</f>
        <v>10.08</v>
      </c>
      <c r="H241" s="260"/>
      <c r="I241" s="261"/>
      <c r="J241" s="261"/>
      <c r="K241" s="262"/>
      <c r="L241" s="394"/>
      <c r="M241" s="90"/>
      <c r="N241" s="443"/>
      <c r="O241" s="94"/>
      <c r="P241" s="94"/>
      <c r="Q241" s="396"/>
      <c r="R241" s="899"/>
      <c r="S241" s="399"/>
      <c r="T241" s="399"/>
    </row>
    <row r="242" spans="1:20" s="81" customFormat="1" ht="15" customHeight="1" thickBot="1">
      <c r="A242" s="441"/>
      <c r="B242" s="444"/>
      <c r="C242" s="48" t="s">
        <v>263</v>
      </c>
      <c r="D242" s="37">
        <f>0.55+0.16</f>
        <v>0.71000000000000008</v>
      </c>
      <c r="E242" s="41">
        <v>7.2015000000000002</v>
      </c>
      <c r="F242" s="41"/>
      <c r="G242" s="414">
        <f>ROUND(D242*E242,2)</f>
        <v>5.1100000000000003</v>
      </c>
      <c r="H242" s="432"/>
      <c r="I242" s="207"/>
      <c r="J242" s="207"/>
      <c r="K242" s="362"/>
      <c r="L242" s="433"/>
      <c r="M242" s="63"/>
      <c r="N242" s="423"/>
      <c r="O242" s="406"/>
      <c r="P242" s="406"/>
      <c r="Q242" s="407"/>
      <c r="R242" s="899"/>
      <c r="S242" s="399"/>
      <c r="T242" s="399"/>
    </row>
    <row r="243" spans="1:20" s="81" customFormat="1" ht="15" customHeight="1" thickBot="1">
      <c r="A243" s="445"/>
      <c r="B243" s="446"/>
      <c r="C243" s="99" t="s">
        <v>29</v>
      </c>
      <c r="D243" s="413">
        <f>229+65</f>
        <v>294</v>
      </c>
      <c r="E243" s="56">
        <v>7.2015000000000002</v>
      </c>
      <c r="F243" s="281"/>
      <c r="G243" s="414">
        <f>ROUND(D243*E243,2)</f>
        <v>2117.2399999999998</v>
      </c>
      <c r="H243" s="280"/>
      <c r="I243" s="281"/>
      <c r="J243" s="281"/>
      <c r="K243" s="282"/>
      <c r="L243" s="204"/>
      <c r="M243" s="371"/>
      <c r="N243" s="434"/>
      <c r="O243" s="435"/>
      <c r="P243" s="435"/>
      <c r="Q243" s="425"/>
      <c r="R243" s="899"/>
      <c r="S243" s="399"/>
      <c r="T243" s="399"/>
    </row>
    <row r="244" spans="1:20" s="81" customFormat="1" ht="15.75" customHeight="1">
      <c r="A244" s="447">
        <v>403</v>
      </c>
      <c r="B244" s="438" t="s">
        <v>126</v>
      </c>
      <c r="C244" s="439" t="s">
        <v>260</v>
      </c>
      <c r="D244" s="900">
        <f>ноя18!D231+ноя18!D232</f>
        <v>134.32</v>
      </c>
      <c r="E244" s="23">
        <f>7.2015-7.1727</f>
        <v>2.8800000000000381E-2</v>
      </c>
      <c r="F244" s="23"/>
      <c r="G244" s="22">
        <f>ROUND(D244*E244,2)-0.01</f>
        <v>3.8600000000000003</v>
      </c>
      <c r="H244" s="303"/>
      <c r="I244" s="23"/>
      <c r="J244" s="23"/>
      <c r="K244" s="304"/>
      <c r="L244" s="263">
        <f>SUM(G244:G246)</f>
        <v>949.49</v>
      </c>
      <c r="M244" s="26">
        <v>949.49</v>
      </c>
      <c r="N244" s="421"/>
      <c r="O244" s="77"/>
      <c r="P244" s="77"/>
      <c r="Q244" s="384"/>
      <c r="R244" s="422"/>
      <c r="S244" s="399"/>
      <c r="T244" s="399"/>
    </row>
    <row r="245" spans="1:20" s="81" customFormat="1" ht="15.75" customHeight="1">
      <c r="A245" s="450"/>
      <c r="B245" s="442"/>
      <c r="C245" s="48" t="s">
        <v>263</v>
      </c>
      <c r="D245" s="448">
        <v>0.31</v>
      </c>
      <c r="E245" s="41">
        <v>7.2015000000000002</v>
      </c>
      <c r="F245" s="261"/>
      <c r="G245" s="449">
        <f t="shared" ref="G245:G246" si="45">ROUND(D245*E245,2)</f>
        <v>2.23</v>
      </c>
      <c r="H245" s="260"/>
      <c r="I245" s="261"/>
      <c r="J245" s="261"/>
      <c r="K245" s="262"/>
      <c r="L245" s="286"/>
      <c r="M245" s="90"/>
      <c r="N245" s="423"/>
      <c r="O245" s="406"/>
      <c r="P245" s="406"/>
      <c r="Q245" s="407"/>
      <c r="R245" s="422"/>
      <c r="S245" s="399"/>
      <c r="T245" s="399"/>
    </row>
    <row r="246" spans="1:20" s="81" customFormat="1" ht="15.75" customHeight="1" thickBot="1">
      <c r="A246" s="451"/>
      <c r="B246" s="446"/>
      <c r="C246" s="54" t="s">
        <v>29</v>
      </c>
      <c r="D246" s="901">
        <v>131</v>
      </c>
      <c r="E246" s="56">
        <v>7.2015000000000002</v>
      </c>
      <c r="F246" s="281"/>
      <c r="G246" s="414">
        <f t="shared" si="45"/>
        <v>943.4</v>
      </c>
      <c r="H246" s="280"/>
      <c r="I246" s="281"/>
      <c r="J246" s="281"/>
      <c r="K246" s="282"/>
      <c r="L246" s="204"/>
      <c r="M246" s="371"/>
      <c r="N246" s="426"/>
      <c r="O246" s="416"/>
      <c r="P246" s="416"/>
      <c r="Q246" s="417"/>
      <c r="R246" s="422"/>
      <c r="S246" s="399"/>
      <c r="T246" s="399"/>
    </row>
    <row r="247" spans="1:20" s="81" customFormat="1" ht="15.75" customHeight="1">
      <c r="A247" s="906">
        <v>404</v>
      </c>
      <c r="B247" s="903" t="s">
        <v>191</v>
      </c>
      <c r="C247" s="48" t="s">
        <v>260</v>
      </c>
      <c r="D247" s="471">
        <f>ноя18!D234+ноя18!D235</f>
        <v>422.01</v>
      </c>
      <c r="E247" s="41">
        <f>7.2015-7.1727</f>
        <v>2.8800000000000381E-2</v>
      </c>
      <c r="F247" s="473"/>
      <c r="G247" s="862">
        <f>ROUND(D247*E247,2)</f>
        <v>12.15</v>
      </c>
      <c r="H247" s="270"/>
      <c r="I247" s="41"/>
      <c r="J247" s="41"/>
      <c r="K247" s="271"/>
      <c r="L247" s="263">
        <f>SUM(G247:G249)</f>
        <v>2625.36</v>
      </c>
      <c r="M247" s="878">
        <v>2625.36</v>
      </c>
      <c r="N247" s="421"/>
      <c r="O247" s="406"/>
      <c r="P247" s="406"/>
      <c r="Q247" s="407"/>
      <c r="R247" s="422"/>
      <c r="S247" s="399"/>
      <c r="T247" s="399"/>
    </row>
    <row r="248" spans="1:20" s="81" customFormat="1" ht="15.75" customHeight="1">
      <c r="A248" s="468"/>
      <c r="B248" s="469"/>
      <c r="C248" s="48" t="s">
        <v>263</v>
      </c>
      <c r="D248" s="471">
        <v>0.87</v>
      </c>
      <c r="E248" s="41">
        <v>7.2015000000000002</v>
      </c>
      <c r="F248" s="473"/>
      <c r="G248" s="862">
        <f>ROUND(D248*E248,2)</f>
        <v>6.27</v>
      </c>
      <c r="H248" s="270"/>
      <c r="I248" s="41"/>
      <c r="J248" s="41"/>
      <c r="K248" s="271"/>
      <c r="L248" s="272"/>
      <c r="M248" s="878"/>
      <c r="N248" s="423"/>
      <c r="O248" s="406"/>
      <c r="P248" s="406"/>
      <c r="Q248" s="407"/>
      <c r="R248" s="422"/>
      <c r="S248" s="399"/>
      <c r="T248" s="399"/>
    </row>
    <row r="249" spans="1:20" s="81" customFormat="1" ht="15.75" customHeight="1" thickBot="1">
      <c r="A249" s="858"/>
      <c r="B249" s="859"/>
      <c r="C249" s="54" t="s">
        <v>29</v>
      </c>
      <c r="D249" s="860">
        <v>362</v>
      </c>
      <c r="E249" s="56">
        <v>7.2015000000000002</v>
      </c>
      <c r="F249" s="861"/>
      <c r="G249" s="866">
        <f t="shared" ref="G249" si="46">ROUND(D249*E249,2)</f>
        <v>2606.94</v>
      </c>
      <c r="H249" s="280"/>
      <c r="I249" s="281"/>
      <c r="J249" s="281"/>
      <c r="K249" s="282"/>
      <c r="L249" s="204"/>
      <c r="M249" s="880"/>
      <c r="N249" s="426"/>
      <c r="O249" s="416"/>
      <c r="P249" s="416"/>
      <c r="Q249" s="417"/>
      <c r="R249" s="422"/>
      <c r="S249" s="399"/>
      <c r="T249" s="399"/>
    </row>
    <row r="250" spans="1:20" s="81" customFormat="1" ht="15.75" customHeight="1">
      <c r="A250" s="902">
        <v>405</v>
      </c>
      <c r="B250" s="903" t="s">
        <v>147</v>
      </c>
      <c r="C250" s="439" t="s">
        <v>260</v>
      </c>
      <c r="D250" s="904">
        <f>ноя18!D237+ноя18!D238</f>
        <v>133.32</v>
      </c>
      <c r="E250" s="23">
        <f>7.2015-7.1727</f>
        <v>2.8800000000000381E-2</v>
      </c>
      <c r="F250" s="905"/>
      <c r="G250" s="22">
        <f>ROUND(D250*E250,2)</f>
        <v>3.84</v>
      </c>
      <c r="H250" s="303"/>
      <c r="I250" s="261"/>
      <c r="J250" s="261"/>
      <c r="K250" s="262"/>
      <c r="L250" s="286">
        <f>SUM(G250:G252)</f>
        <v>956.74</v>
      </c>
      <c r="M250" s="90">
        <v>956.74</v>
      </c>
      <c r="N250" s="421"/>
      <c r="O250" s="77"/>
      <c r="P250" s="77"/>
      <c r="Q250" s="384"/>
      <c r="R250" s="422"/>
      <c r="S250" s="399"/>
      <c r="T250" s="399"/>
    </row>
    <row r="251" spans="1:20" s="81" customFormat="1" ht="15.75" customHeight="1">
      <c r="A251" s="468"/>
      <c r="B251" s="469"/>
      <c r="C251" s="48" t="s">
        <v>263</v>
      </c>
      <c r="D251" s="471">
        <v>0.32</v>
      </c>
      <c r="E251" s="41">
        <v>7.2015000000000002</v>
      </c>
      <c r="F251" s="473"/>
      <c r="G251" s="449">
        <f>ROUND(D251*E251,2)</f>
        <v>2.2999999999999998</v>
      </c>
      <c r="H251" s="260"/>
      <c r="I251" s="261"/>
      <c r="J251" s="261"/>
      <c r="K251" s="262"/>
      <c r="L251" s="286"/>
      <c r="M251" s="90"/>
      <c r="N251" s="423"/>
      <c r="O251" s="406"/>
      <c r="P251" s="406"/>
      <c r="Q251" s="407"/>
      <c r="R251" s="422"/>
      <c r="S251" s="399"/>
      <c r="T251" s="399"/>
    </row>
    <row r="252" spans="1:20" s="81" customFormat="1" ht="15.75" customHeight="1" thickBot="1">
      <c r="A252" s="701"/>
      <c r="B252" s="702"/>
      <c r="C252" s="99" t="s">
        <v>29</v>
      </c>
      <c r="D252" s="703">
        <v>132</v>
      </c>
      <c r="E252" s="56">
        <v>7.2015000000000002</v>
      </c>
      <c r="F252" s="704"/>
      <c r="G252" s="39">
        <f t="shared" ref="G252" si="47">ROUND(D252*E252,2)</f>
        <v>950.6</v>
      </c>
      <c r="H252" s="280"/>
      <c r="I252" s="281"/>
      <c r="J252" s="281"/>
      <c r="K252" s="282"/>
      <c r="L252" s="204"/>
      <c r="M252" s="371"/>
      <c r="N252" s="426"/>
      <c r="O252" s="416"/>
      <c r="P252" s="416"/>
      <c r="Q252" s="417"/>
      <c r="R252" s="422"/>
      <c r="S252" s="399"/>
      <c r="T252" s="399"/>
    </row>
    <row r="253" spans="1:20" s="81" customFormat="1" ht="15.75" hidden="1" customHeight="1" outlineLevel="1" thickBot="1">
      <c r="A253" s="910"/>
      <c r="B253" s="911" t="s">
        <v>155</v>
      </c>
      <c r="C253" s="573" t="s">
        <v>115</v>
      </c>
      <c r="D253" s="912"/>
      <c r="E253" s="579">
        <f>7.0379-7.0426</f>
        <v>-4.7000000000005926E-3</v>
      </c>
      <c r="F253" s="580"/>
      <c r="G253" s="913">
        <f>ROUND(D253*E253,2)</f>
        <v>0</v>
      </c>
      <c r="H253" s="914"/>
      <c r="I253" s="23"/>
      <c r="J253" s="23"/>
      <c r="K253" s="304"/>
      <c r="L253" s="263">
        <f>SUM(G253:G255)</f>
        <v>0</v>
      </c>
      <c r="M253" s="26"/>
      <c r="N253" s="421"/>
      <c r="O253" s="77"/>
      <c r="P253" s="77"/>
      <c r="Q253" s="384"/>
      <c r="R253" s="422"/>
      <c r="S253" s="399"/>
      <c r="T253" s="399"/>
    </row>
    <row r="254" spans="1:20" s="81" customFormat="1" ht="15.75" hidden="1" customHeight="1" outlineLevel="1" thickBot="1">
      <c r="A254" s="910"/>
      <c r="B254" s="915"/>
      <c r="C254" s="573" t="s">
        <v>114</v>
      </c>
      <c r="D254" s="912"/>
      <c r="E254" s="579">
        <v>7.0378999999999996</v>
      </c>
      <c r="F254" s="580"/>
      <c r="G254" s="913">
        <f>ROUND(D254*E254,2)</f>
        <v>0</v>
      </c>
      <c r="H254" s="914"/>
      <c r="I254" s="261"/>
      <c r="J254" s="261"/>
      <c r="K254" s="262"/>
      <c r="L254" s="286"/>
      <c r="M254" s="90"/>
      <c r="N254" s="423"/>
      <c r="O254" s="406"/>
      <c r="P254" s="406"/>
      <c r="Q254" s="407"/>
      <c r="R254" s="422"/>
      <c r="S254" s="399"/>
      <c r="T254" s="399"/>
    </row>
    <row r="255" spans="1:20" s="81" customFormat="1" ht="15.75" hidden="1" customHeight="1" outlineLevel="1" thickBot="1">
      <c r="A255" s="910"/>
      <c r="B255" s="915"/>
      <c r="C255" s="916" t="s">
        <v>29</v>
      </c>
      <c r="D255" s="912"/>
      <c r="E255" s="917">
        <v>7.0378999999999996</v>
      </c>
      <c r="F255" s="580"/>
      <c r="G255" s="913">
        <f t="shared" ref="G255" si="48">ROUND(D255*E255,2)</f>
        <v>0</v>
      </c>
      <c r="H255" s="914"/>
      <c r="I255" s="281"/>
      <c r="J255" s="281"/>
      <c r="K255" s="282"/>
      <c r="L255" s="204"/>
      <c r="M255" s="371"/>
      <c r="N255" s="426"/>
      <c r="O255" s="416"/>
      <c r="P255" s="416"/>
      <c r="Q255" s="417"/>
      <c r="R255" s="422"/>
      <c r="S255" s="399"/>
      <c r="T255" s="399"/>
    </row>
    <row r="256" spans="1:20" s="81" customFormat="1" ht="15.75" customHeight="1" collapsed="1">
      <c r="A256" s="902">
        <v>407</v>
      </c>
      <c r="B256" s="903" t="s">
        <v>160</v>
      </c>
      <c r="C256" s="439" t="s">
        <v>260</v>
      </c>
      <c r="D256" s="904">
        <f>ноя18!D243+ноя18!D244</f>
        <v>21.05</v>
      </c>
      <c r="E256" s="23">
        <f>7.2015-7.1727</f>
        <v>2.8800000000000381E-2</v>
      </c>
      <c r="F256" s="905"/>
      <c r="G256" s="22">
        <f>ROUND(D256*E256,2)</f>
        <v>0.61</v>
      </c>
      <c r="H256" s="303"/>
      <c r="I256" s="23"/>
      <c r="J256" s="23"/>
      <c r="K256" s="304"/>
      <c r="L256" s="263">
        <f>SUM(G256:G258)</f>
        <v>137.80000000000001</v>
      </c>
      <c r="M256" s="26">
        <v>137.80000000000001</v>
      </c>
      <c r="N256" s="421"/>
      <c r="O256" s="77"/>
      <c r="P256" s="77"/>
      <c r="Q256" s="384"/>
      <c r="R256" s="422"/>
      <c r="S256" s="399"/>
      <c r="T256" s="399"/>
    </row>
    <row r="257" spans="1:20" s="81" customFormat="1" ht="15.75" customHeight="1">
      <c r="A257" s="468"/>
      <c r="B257" s="469"/>
      <c r="C257" s="48" t="s">
        <v>263</v>
      </c>
      <c r="D257" s="471">
        <v>0.05</v>
      </c>
      <c r="E257" s="41">
        <v>7.2015000000000002</v>
      </c>
      <c r="F257" s="473"/>
      <c r="G257" s="449">
        <f>ROUND(D257*E257,2)</f>
        <v>0.36</v>
      </c>
      <c r="H257" s="260"/>
      <c r="I257" s="261"/>
      <c r="J257" s="261"/>
      <c r="K257" s="262"/>
      <c r="L257" s="286"/>
      <c r="M257" s="90"/>
      <c r="N257" s="423"/>
      <c r="O257" s="406"/>
      <c r="P257" s="406"/>
      <c r="Q257" s="407"/>
      <c r="R257" s="422"/>
      <c r="S257" s="399"/>
      <c r="T257" s="399"/>
    </row>
    <row r="258" spans="1:20" s="81" customFormat="1" ht="15.75" customHeight="1" thickBot="1">
      <c r="A258" s="858"/>
      <c r="B258" s="859"/>
      <c r="C258" s="54" t="s">
        <v>29</v>
      </c>
      <c r="D258" s="860">
        <v>19</v>
      </c>
      <c r="E258" s="56">
        <v>7.2015000000000002</v>
      </c>
      <c r="F258" s="861"/>
      <c r="G258" s="414">
        <f t="shared" ref="G258" si="49">ROUND(D258*E258,2)</f>
        <v>136.83000000000001</v>
      </c>
      <c r="H258" s="280"/>
      <c r="I258" s="281"/>
      <c r="J258" s="281"/>
      <c r="K258" s="282"/>
      <c r="L258" s="204"/>
      <c r="M258" s="371"/>
      <c r="N258" s="426"/>
      <c r="O258" s="416"/>
      <c r="P258" s="416"/>
      <c r="Q258" s="417"/>
      <c r="R258" s="422"/>
      <c r="S258" s="399"/>
      <c r="T258" s="399"/>
    </row>
    <row r="259" spans="1:20" s="81" customFormat="1" ht="15.75" customHeight="1">
      <c r="A259" s="906">
        <v>408</v>
      </c>
      <c r="B259" s="903" t="s">
        <v>253</v>
      </c>
      <c r="C259" s="382" t="s">
        <v>73</v>
      </c>
      <c r="D259" s="904">
        <v>26</v>
      </c>
      <c r="E259" s="907">
        <v>40.556600000000003</v>
      </c>
      <c r="F259" s="905">
        <v>47.5304</v>
      </c>
      <c r="G259" s="908">
        <f>ROUND(D259*E259+D259*F259,2)</f>
        <v>2290.2600000000002</v>
      </c>
      <c r="H259" s="303"/>
      <c r="I259" s="23"/>
      <c r="J259" s="23"/>
      <c r="K259" s="304"/>
      <c r="L259" s="263">
        <f>SUM(G259:G263)</f>
        <v>10620</v>
      </c>
      <c r="M259" s="877">
        <v>10620</v>
      </c>
      <c r="N259" s="430"/>
      <c r="O259" s="77"/>
      <c r="P259" s="77"/>
      <c r="Q259" s="384"/>
      <c r="R259" s="422"/>
      <c r="S259" s="399"/>
      <c r="T259" s="399"/>
    </row>
    <row r="260" spans="1:20" s="81" customFormat="1" ht="15.75" customHeight="1" thickBot="1">
      <c r="A260" s="909"/>
      <c r="B260" s="469"/>
      <c r="C260" s="429" t="s">
        <v>26</v>
      </c>
      <c r="D260" s="471"/>
      <c r="E260" s="876"/>
      <c r="F260" s="473"/>
      <c r="G260" s="862">
        <f>ROUND(D260*E260+D260*F260,2)</f>
        <v>0</v>
      </c>
      <c r="H260" s="270"/>
      <c r="I260" s="41"/>
      <c r="J260" s="41"/>
      <c r="K260" s="271"/>
      <c r="L260" s="272"/>
      <c r="M260" s="878"/>
      <c r="N260" s="430"/>
      <c r="O260" s="406"/>
      <c r="P260" s="406"/>
      <c r="Q260" s="407"/>
      <c r="R260" s="422"/>
      <c r="S260" s="399"/>
      <c r="T260" s="399"/>
    </row>
    <row r="261" spans="1:20" s="81" customFormat="1" ht="15.75" customHeight="1">
      <c r="A261" s="468"/>
      <c r="B261" s="699"/>
      <c r="C261" s="48" t="s">
        <v>260</v>
      </c>
      <c r="D261" s="471">
        <f>ноя18!D248+ноя18!D249</f>
        <v>1226.93</v>
      </c>
      <c r="E261" s="41">
        <f>7.2015-7.1727</f>
        <v>2.8800000000000381E-2</v>
      </c>
      <c r="F261" s="473"/>
      <c r="G261" s="862">
        <f>ROUND(D261*E261,2)</f>
        <v>35.340000000000003</v>
      </c>
      <c r="H261" s="270"/>
      <c r="I261" s="41"/>
      <c r="J261" s="41"/>
      <c r="K261" s="271"/>
      <c r="L261" s="272"/>
      <c r="M261" s="878"/>
      <c r="N261" s="421"/>
      <c r="O261" s="406"/>
      <c r="P261" s="406"/>
      <c r="Q261" s="407"/>
      <c r="R261" s="422"/>
      <c r="S261" s="399"/>
      <c r="T261" s="399"/>
    </row>
    <row r="262" spans="1:20" s="81" customFormat="1" ht="15.75" customHeight="1">
      <c r="A262" s="468"/>
      <c r="B262" s="469"/>
      <c r="C262" s="48" t="s">
        <v>263</v>
      </c>
      <c r="D262" s="471">
        <f>2.51+0.25</f>
        <v>2.76</v>
      </c>
      <c r="E262" s="41">
        <v>7.2015000000000002</v>
      </c>
      <c r="F262" s="473"/>
      <c r="G262" s="862">
        <f>ROUND(D262*E262,2)</f>
        <v>19.88</v>
      </c>
      <c r="H262" s="270"/>
      <c r="I262" s="41"/>
      <c r="J262" s="41"/>
      <c r="K262" s="271"/>
      <c r="L262" s="272"/>
      <c r="M262" s="878"/>
      <c r="N262" s="423"/>
      <c r="O262" s="406"/>
      <c r="P262" s="406"/>
      <c r="Q262" s="407"/>
      <c r="R262" s="422"/>
      <c r="S262" s="399"/>
      <c r="T262" s="399"/>
    </row>
    <row r="263" spans="1:20" s="81" customFormat="1" ht="15.75" customHeight="1" thickBot="1">
      <c r="A263" s="858"/>
      <c r="B263" s="859"/>
      <c r="C263" s="54" t="s">
        <v>29</v>
      </c>
      <c r="D263" s="860">
        <f>1045+104</f>
        <v>1149</v>
      </c>
      <c r="E263" s="56">
        <v>7.2015000000000002</v>
      </c>
      <c r="F263" s="861"/>
      <c r="G263" s="866">
        <f t="shared" ref="G263" si="50">ROUND(D263*E263,2)</f>
        <v>8274.52</v>
      </c>
      <c r="H263" s="280"/>
      <c r="I263" s="281"/>
      <c r="J263" s="281"/>
      <c r="K263" s="282"/>
      <c r="L263" s="204"/>
      <c r="M263" s="880"/>
      <c r="N263" s="426"/>
      <c r="O263" s="416"/>
      <c r="P263" s="416"/>
      <c r="Q263" s="417"/>
      <c r="R263" s="422"/>
      <c r="S263" s="399"/>
      <c r="T263" s="399"/>
    </row>
    <row r="264" spans="1:20" s="81" customFormat="1" ht="15" hidden="1" customHeight="1">
      <c r="A264" s="437">
        <v>129</v>
      </c>
      <c r="B264" s="438" t="s">
        <v>38</v>
      </c>
      <c r="C264" s="439"/>
      <c r="D264" s="378"/>
      <c r="E264" s="23"/>
      <c r="F264" s="23"/>
      <c r="G264" s="22"/>
      <c r="H264" s="303"/>
      <c r="I264" s="23"/>
      <c r="J264" s="23"/>
      <c r="K264" s="304"/>
      <c r="L264" s="382">
        <f>+SUM(G264:G267,J264:J267)</f>
        <v>0</v>
      </c>
      <c r="M264" s="26"/>
      <c r="N264" s="421"/>
      <c r="O264" s="77"/>
      <c r="P264" s="77"/>
      <c r="Q264" s="384">
        <f>+L264-M264</f>
        <v>0</v>
      </c>
      <c r="R264" s="899"/>
      <c r="S264" s="399"/>
      <c r="T264" s="399"/>
    </row>
    <row r="265" spans="1:20" s="81" customFormat="1" ht="15" hidden="1" customHeight="1">
      <c r="A265" s="441"/>
      <c r="B265" s="442" t="s">
        <v>198</v>
      </c>
      <c r="C265" s="48" t="s">
        <v>118</v>
      </c>
      <c r="D265" s="37"/>
      <c r="E265" s="41">
        <f>6.8416-6.7432</f>
        <v>9.8399999999999821E-2</v>
      </c>
      <c r="F265" s="41"/>
      <c r="G265" s="39">
        <f>ROUND(D265*E265,2)</f>
        <v>0</v>
      </c>
      <c r="H265" s="260"/>
      <c r="I265" s="261"/>
      <c r="J265" s="261"/>
      <c r="K265" s="262"/>
      <c r="L265" s="394"/>
      <c r="M265" s="90"/>
      <c r="N265" s="443"/>
      <c r="O265" s="94"/>
      <c r="P265" s="94"/>
      <c r="Q265" s="396"/>
      <c r="R265" s="899"/>
      <c r="S265" s="399"/>
      <c r="T265" s="399"/>
    </row>
    <row r="266" spans="1:20" s="81" customFormat="1" ht="15.75" hidden="1" thickBot="1">
      <c r="A266" s="441"/>
      <c r="B266" s="444"/>
      <c r="C266" s="48" t="s">
        <v>119</v>
      </c>
      <c r="D266" s="37"/>
      <c r="E266" s="41">
        <v>6.8415999999999997</v>
      </c>
      <c r="F266" s="41"/>
      <c r="G266" s="39">
        <f t="shared" ref="G266:G267" si="51">ROUND(D266*E266,2)</f>
        <v>0</v>
      </c>
      <c r="H266" s="432"/>
      <c r="I266" s="207"/>
      <c r="J266" s="207"/>
      <c r="K266" s="362"/>
      <c r="L266" s="433"/>
      <c r="M266" s="63"/>
      <c r="N266" s="423"/>
      <c r="O266" s="406"/>
      <c r="P266" s="406"/>
      <c r="Q266" s="407"/>
      <c r="R266" s="899"/>
      <c r="S266" s="399"/>
      <c r="T266" s="399"/>
    </row>
    <row r="267" spans="1:20" s="81" customFormat="1" ht="15" hidden="1" customHeight="1" thickBot="1">
      <c r="A267" s="445"/>
      <c r="B267" s="446"/>
      <c r="C267" s="99" t="s">
        <v>29</v>
      </c>
      <c r="D267" s="413"/>
      <c r="E267" s="56">
        <v>6.8415999999999997</v>
      </c>
      <c r="F267" s="281"/>
      <c r="G267" s="414">
        <f t="shared" si="51"/>
        <v>0</v>
      </c>
      <c r="H267" s="280"/>
      <c r="I267" s="281"/>
      <c r="J267" s="281"/>
      <c r="K267" s="282"/>
      <c r="L267" s="204"/>
      <c r="M267" s="371"/>
      <c r="N267" s="434"/>
      <c r="O267" s="435"/>
      <c r="P267" s="435"/>
      <c r="Q267" s="425"/>
      <c r="R267" s="899"/>
      <c r="S267" s="399"/>
      <c r="T267" s="399"/>
    </row>
    <row r="268" spans="1:20" s="81" customFormat="1" ht="15.75" hidden="1" customHeight="1">
      <c r="A268" s="902">
        <v>118</v>
      </c>
      <c r="B268" s="924" t="s">
        <v>200</v>
      </c>
      <c r="C268" s="390" t="s">
        <v>73</v>
      </c>
      <c r="D268" s="869"/>
      <c r="E268" s="86">
        <v>36.214199999999998</v>
      </c>
      <c r="F268" s="86">
        <v>42.4328</v>
      </c>
      <c r="G268" s="449">
        <f>+D268*(E268+F268)</f>
        <v>0</v>
      </c>
      <c r="H268" s="260"/>
      <c r="I268" s="392"/>
      <c r="J268" s="41"/>
      <c r="K268" s="870"/>
      <c r="L268" s="286">
        <f>SUM(G268:G272,J268:J272)</f>
        <v>0</v>
      </c>
      <c r="M268" s="90"/>
      <c r="N268" s="443"/>
      <c r="O268" s="94"/>
      <c r="P268" s="94"/>
      <c r="Q268" s="396"/>
      <c r="R268" s="422"/>
      <c r="S268" s="399"/>
      <c r="T268" s="399"/>
    </row>
    <row r="269" spans="1:20" s="81" customFormat="1" ht="15.75" hidden="1" customHeight="1">
      <c r="A269" s="468"/>
      <c r="B269" s="920"/>
      <c r="C269" s="36" t="s">
        <v>26</v>
      </c>
      <c r="D269" s="37"/>
      <c r="E269" s="38"/>
      <c r="F269" s="38"/>
      <c r="G269" s="39">
        <f>ROUND(D269*(E269+F269),2)</f>
        <v>0</v>
      </c>
      <c r="H269" s="457"/>
      <c r="I269" s="392"/>
      <c r="J269" s="41"/>
      <c r="K269" s="393"/>
      <c r="L269" s="459"/>
      <c r="M269" s="44"/>
      <c r="N269" s="430"/>
      <c r="O269" s="406"/>
      <c r="P269" s="406"/>
      <c r="Q269" s="407"/>
      <c r="R269" s="422"/>
      <c r="S269" s="399"/>
      <c r="T269" s="399"/>
    </row>
    <row r="270" spans="1:20" s="81" customFormat="1" ht="15.75" hidden="1" customHeight="1">
      <c r="A270" s="468"/>
      <c r="B270" s="920"/>
      <c r="C270" s="48" t="s">
        <v>124</v>
      </c>
      <c r="D270" s="37"/>
      <c r="E270" s="41"/>
      <c r="F270" s="38"/>
      <c r="G270" s="39">
        <f>ROUND(D270*(E270),2)</f>
        <v>0</v>
      </c>
      <c r="H270" s="270"/>
      <c r="I270" s="41"/>
      <c r="J270" s="41"/>
      <c r="K270" s="271"/>
      <c r="L270" s="272"/>
      <c r="M270" s="102"/>
      <c r="N270" s="430"/>
      <c r="O270" s="406"/>
      <c r="P270" s="406"/>
      <c r="Q270" s="407"/>
      <c r="R270" s="422"/>
      <c r="S270" s="399"/>
      <c r="T270" s="399"/>
    </row>
    <row r="271" spans="1:20" s="81" customFormat="1" ht="15.75" hidden="1" customHeight="1">
      <c r="A271" s="468"/>
      <c r="B271" s="920"/>
      <c r="C271" s="48" t="s">
        <v>125</v>
      </c>
      <c r="D271" s="37"/>
      <c r="E271" s="41">
        <v>6.7431999999999999</v>
      </c>
      <c r="F271" s="38"/>
      <c r="G271" s="39">
        <f>ROUND(D271*(E271),2)</f>
        <v>0</v>
      </c>
      <c r="H271" s="270"/>
      <c r="I271" s="41"/>
      <c r="J271" s="41"/>
      <c r="K271" s="271"/>
      <c r="L271" s="272"/>
      <c r="M271" s="102"/>
      <c r="N271" s="434"/>
      <c r="O271" s="435"/>
      <c r="P271" s="435"/>
      <c r="Q271" s="425"/>
      <c r="R271" s="422"/>
      <c r="S271" s="399"/>
      <c r="T271" s="399"/>
    </row>
    <row r="272" spans="1:20" s="81" customFormat="1" ht="15.75" hidden="1" customHeight="1" thickBot="1">
      <c r="A272" s="858"/>
      <c r="B272" s="921"/>
      <c r="C272" s="54" t="s">
        <v>29</v>
      </c>
      <c r="D272" s="413"/>
      <c r="E272" s="56">
        <v>6.7431999999999999</v>
      </c>
      <c r="F272" s="281"/>
      <c r="G272" s="414">
        <f>ROUND(D272*(E272),2)</f>
        <v>0</v>
      </c>
      <c r="H272" s="280"/>
      <c r="I272" s="281"/>
      <c r="J272" s="281"/>
      <c r="K272" s="282"/>
      <c r="L272" s="204"/>
      <c r="M272" s="371"/>
      <c r="N272" s="426"/>
      <c r="O272" s="416"/>
      <c r="P272" s="416"/>
      <c r="Q272" s="417"/>
      <c r="R272" s="422"/>
      <c r="S272" s="399"/>
      <c r="T272" s="399"/>
    </row>
    <row r="273" spans="1:20" s="81" customFormat="1" ht="15.75" customHeight="1">
      <c r="A273" s="902" t="s">
        <v>258</v>
      </c>
      <c r="B273" s="903" t="s">
        <v>265</v>
      </c>
      <c r="C273" s="439" t="s">
        <v>260</v>
      </c>
      <c r="D273" s="904">
        <f>ноя18!D260+ноя18!D261</f>
        <v>823.97</v>
      </c>
      <c r="E273" s="23">
        <f>7.2015-7.1727</f>
        <v>2.8800000000000381E-2</v>
      </c>
      <c r="F273" s="905"/>
      <c r="G273" s="22">
        <f>ROUND(D273*E273,2)+0.01</f>
        <v>23.740000000000002</v>
      </c>
      <c r="H273" s="303"/>
      <c r="I273" s="23"/>
      <c r="J273" s="23"/>
      <c r="K273" s="304"/>
      <c r="L273" s="263">
        <f>SUM(G273:G275)</f>
        <v>4557.1499999999996</v>
      </c>
      <c r="M273" s="26">
        <v>4557.1499999999996</v>
      </c>
      <c r="N273" s="421"/>
      <c r="O273" s="77"/>
      <c r="P273" s="77"/>
      <c r="Q273" s="384"/>
      <c r="R273" s="422"/>
      <c r="S273" s="399"/>
      <c r="T273" s="399"/>
    </row>
    <row r="274" spans="1:20" s="81" customFormat="1" ht="15.75" customHeight="1">
      <c r="A274" s="468"/>
      <c r="B274" s="469"/>
      <c r="C274" s="48" t="s">
        <v>263</v>
      </c>
      <c r="D274" s="471">
        <v>1.51</v>
      </c>
      <c r="E274" s="41">
        <v>7.2015000000000002</v>
      </c>
      <c r="F274" s="473"/>
      <c r="G274" s="449">
        <f>ROUND(D274*E274,2)</f>
        <v>10.87</v>
      </c>
      <c r="H274" s="260"/>
      <c r="I274" s="261"/>
      <c r="J274" s="261"/>
      <c r="K274" s="262"/>
      <c r="L274" s="286"/>
      <c r="M274" s="90"/>
      <c r="N274" s="423"/>
      <c r="O274" s="406"/>
      <c r="P274" s="406"/>
      <c r="Q274" s="407"/>
      <c r="R274" s="422"/>
      <c r="S274" s="399"/>
      <c r="T274" s="399"/>
    </row>
    <row r="275" spans="1:20" s="81" customFormat="1" ht="15.75" customHeight="1" thickBot="1">
      <c r="A275" s="858"/>
      <c r="B275" s="859"/>
      <c r="C275" s="54" t="s">
        <v>29</v>
      </c>
      <c r="D275" s="860">
        <v>628</v>
      </c>
      <c r="E275" s="56">
        <v>7.2015000000000002</v>
      </c>
      <c r="F275" s="861"/>
      <c r="G275" s="414">
        <f t="shared" ref="G275" si="52">ROUND(D275*E275,2)</f>
        <v>4522.54</v>
      </c>
      <c r="H275" s="280"/>
      <c r="I275" s="281"/>
      <c r="J275" s="281"/>
      <c r="K275" s="282"/>
      <c r="L275" s="204"/>
      <c r="M275" s="371"/>
      <c r="N275" s="426"/>
      <c r="O275" s="416"/>
      <c r="P275" s="416"/>
      <c r="Q275" s="417"/>
      <c r="R275" s="422"/>
      <c r="S275" s="399"/>
      <c r="T275" s="399"/>
    </row>
    <row r="276" spans="1:20" s="81" customFormat="1" ht="15.75" customHeight="1">
      <c r="A276" s="902" t="s">
        <v>258</v>
      </c>
      <c r="B276" s="903" t="s">
        <v>267</v>
      </c>
      <c r="C276" s="439" t="s">
        <v>260</v>
      </c>
      <c r="D276" s="904">
        <f>ноя18!D263+ноя18!D264</f>
        <v>327.78</v>
      </c>
      <c r="E276" s="23">
        <f>7.2015-7.1727</f>
        <v>2.8800000000000381E-2</v>
      </c>
      <c r="F276" s="905"/>
      <c r="G276" s="22">
        <f>ROUND(D276*E276,2)</f>
        <v>9.44</v>
      </c>
      <c r="H276" s="303"/>
      <c r="I276" s="23"/>
      <c r="J276" s="23"/>
      <c r="K276" s="304"/>
      <c r="L276" s="263">
        <f>SUM(G276:G278)</f>
        <v>4874.92</v>
      </c>
      <c r="M276" s="26">
        <v>4874.92</v>
      </c>
      <c r="N276" s="421"/>
      <c r="O276" s="1561"/>
      <c r="P276" s="1562"/>
      <c r="Q276" s="1563"/>
      <c r="R276" s="422"/>
      <c r="S276" s="399"/>
      <c r="T276" s="399"/>
    </row>
    <row r="277" spans="1:20" s="81" customFormat="1" ht="15.75" customHeight="1">
      <c r="A277" s="468"/>
      <c r="B277" s="469"/>
      <c r="C277" s="48" t="s">
        <v>263</v>
      </c>
      <c r="D277" s="471">
        <v>1.62</v>
      </c>
      <c r="E277" s="41">
        <v>7.2015000000000002</v>
      </c>
      <c r="F277" s="473"/>
      <c r="G277" s="449">
        <f>ROUND(D277*E277,2)</f>
        <v>11.67</v>
      </c>
      <c r="H277" s="260"/>
      <c r="I277" s="261"/>
      <c r="J277" s="261"/>
      <c r="K277" s="262"/>
      <c r="L277" s="286"/>
      <c r="M277" s="90"/>
      <c r="N277" s="423"/>
      <c r="O277" s="406"/>
      <c r="P277" s="406"/>
      <c r="Q277" s="407"/>
      <c r="R277" s="422"/>
      <c r="S277" s="399"/>
      <c r="T277" s="399"/>
    </row>
    <row r="278" spans="1:20" s="81" customFormat="1" ht="15.75" customHeight="1" thickBot="1">
      <c r="A278" s="858"/>
      <c r="B278" s="859"/>
      <c r="C278" s="54" t="s">
        <v>29</v>
      </c>
      <c r="D278" s="860">
        <v>674</v>
      </c>
      <c r="E278" s="56">
        <v>7.2015000000000002</v>
      </c>
      <c r="F278" s="861"/>
      <c r="G278" s="414">
        <f t="shared" ref="G278" si="53">ROUND(D278*E278,2)</f>
        <v>4853.8100000000004</v>
      </c>
      <c r="H278" s="280"/>
      <c r="I278" s="281"/>
      <c r="J278" s="281"/>
      <c r="K278" s="282"/>
      <c r="L278" s="204"/>
      <c r="M278" s="371"/>
      <c r="N278" s="426"/>
      <c r="O278" s="416"/>
      <c r="P278" s="416"/>
      <c r="Q278" s="417"/>
      <c r="R278" s="422"/>
      <c r="S278" s="399"/>
      <c r="T278" s="399"/>
    </row>
    <row r="279" spans="1:20" s="81" customFormat="1" ht="15.75" customHeight="1">
      <c r="A279" s="926"/>
      <c r="B279" s="927"/>
      <c r="C279" s="928"/>
      <c r="D279" s="904"/>
      <c r="E279" s="929"/>
      <c r="F279" s="905"/>
      <c r="G279" s="930"/>
      <c r="H279" s="905"/>
      <c r="I279" s="905"/>
      <c r="J279" s="905"/>
      <c r="K279" s="905"/>
      <c r="L279" s="905"/>
      <c r="M279" s="931"/>
      <c r="N279" s="387"/>
      <c r="O279" s="387"/>
      <c r="P279" s="387"/>
      <c r="Q279" s="387"/>
      <c r="R279" s="422"/>
      <c r="S279" s="399"/>
      <c r="T279" s="399"/>
    </row>
    <row r="280" spans="1:20" s="81" customFormat="1" ht="15" customHeight="1">
      <c r="A280" s="686"/>
      <c r="B280" s="469"/>
      <c r="C280" s="932"/>
      <c r="D280" s="471"/>
      <c r="E280" s="473"/>
      <c r="F280" s="473"/>
      <c r="G280" s="474"/>
      <c r="H280" s="473"/>
      <c r="I280" s="473"/>
      <c r="J280" s="473"/>
      <c r="K280" s="473"/>
      <c r="L280" s="473"/>
      <c r="M280" s="470"/>
      <c r="N280" s="399"/>
      <c r="O280" s="399"/>
      <c r="P280" s="399"/>
      <c r="Q280" s="399"/>
      <c r="R280" s="422"/>
      <c r="S280" s="399"/>
      <c r="T280" s="399"/>
    </row>
    <row r="281" spans="1:20" ht="21.75" thickBot="1">
      <c r="A281" s="171" t="s">
        <v>84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  <c r="N281" s="2"/>
      <c r="O281" s="2"/>
      <c r="P281" s="2"/>
      <c r="Q281" s="2"/>
      <c r="R281" s="2"/>
      <c r="S281" s="2"/>
      <c r="T281" s="2"/>
    </row>
    <row r="282" spans="1:20" ht="15.75" customHeight="1" thickTop="1" thickBot="1">
      <c r="A282" s="1540" t="s">
        <v>1</v>
      </c>
      <c r="B282" s="1542" t="s">
        <v>2</v>
      </c>
      <c r="C282" s="1544" t="s">
        <v>3</v>
      </c>
      <c r="D282" s="1546" t="s">
        <v>4</v>
      </c>
      <c r="E282" s="1546"/>
      <c r="F282" s="1546"/>
      <c r="G282" s="1546"/>
      <c r="H282" s="1547" t="s">
        <v>5</v>
      </c>
      <c r="I282" s="1548"/>
      <c r="J282" s="1548"/>
      <c r="K282" s="1549"/>
      <c r="L282" s="1524" t="s">
        <v>6</v>
      </c>
      <c r="M282" s="1511" t="s">
        <v>7</v>
      </c>
      <c r="N282" s="1551" t="s">
        <v>8</v>
      </c>
      <c r="O282" s="1551"/>
      <c r="P282" s="1551"/>
      <c r="Q282" s="1552" t="s">
        <v>18</v>
      </c>
      <c r="R282" s="481" t="s">
        <v>85</v>
      </c>
      <c r="S282" s="482" t="s">
        <v>20</v>
      </c>
      <c r="T282" s="482" t="s">
        <v>21</v>
      </c>
    </row>
    <row r="283" spans="1:20" ht="40.5" customHeight="1" thickTop="1" thickBot="1">
      <c r="A283" s="1541"/>
      <c r="B283" s="1543"/>
      <c r="C283" s="1545" t="s">
        <v>10</v>
      </c>
      <c r="D283" s="483" t="s">
        <v>11</v>
      </c>
      <c r="E283" s="484" t="s">
        <v>12</v>
      </c>
      <c r="F283" s="484" t="s">
        <v>13</v>
      </c>
      <c r="G283" s="485" t="s">
        <v>14</v>
      </c>
      <c r="H283" s="483" t="s">
        <v>11</v>
      </c>
      <c r="I283" s="486" t="s">
        <v>15</v>
      </c>
      <c r="J283" s="485"/>
      <c r="K283" s="487" t="s">
        <v>16</v>
      </c>
      <c r="L283" s="1525"/>
      <c r="M283" s="1550"/>
      <c r="N283" s="488" t="s">
        <v>14</v>
      </c>
      <c r="O283" s="485"/>
      <c r="P283" s="489" t="s">
        <v>18</v>
      </c>
      <c r="Q283" s="490" t="s">
        <v>19</v>
      </c>
      <c r="R283" s="491"/>
      <c r="S283" s="492"/>
      <c r="T283" s="492"/>
    </row>
    <row r="284" spans="1:20">
      <c r="A284" s="961" t="s">
        <v>228</v>
      </c>
      <c r="B284" s="602" t="s">
        <v>186</v>
      </c>
      <c r="C284" s="439" t="s">
        <v>260</v>
      </c>
      <c r="D284" s="184">
        <f>ноя18!D271+ноя18!D272</f>
        <v>200.51</v>
      </c>
      <c r="E284" s="41">
        <f>7.0643-7.1352</f>
        <v>-7.0899999999999963E-2</v>
      </c>
      <c r="F284" s="23"/>
      <c r="G284" s="185">
        <f>ROUND(D284*(E284),2)</f>
        <v>-14.22</v>
      </c>
      <c r="H284" s="620"/>
      <c r="I284" s="620"/>
      <c r="J284" s="620"/>
      <c r="K284" s="1022"/>
      <c r="L284" s="498">
        <f>SUM(G284:G286)</f>
        <v>2235.83</v>
      </c>
      <c r="M284" s="187">
        <v>2235.83</v>
      </c>
      <c r="N284" s="615"/>
      <c r="O284" s="615"/>
      <c r="P284" s="615"/>
      <c r="Q284" s="615"/>
    </row>
    <row r="285" spans="1:20">
      <c r="A285" s="934"/>
      <c r="B285" s="506"/>
      <c r="C285" s="48" t="s">
        <v>263</v>
      </c>
      <c r="D285" s="49">
        <v>13.51</v>
      </c>
      <c r="E285" s="41">
        <v>7.0643000000000002</v>
      </c>
      <c r="F285" s="41">
        <f>+E285</f>
        <v>7.0643000000000002</v>
      </c>
      <c r="G285" s="50">
        <f>ROUND(D285*(E285),2)</f>
        <v>95.44</v>
      </c>
      <c r="H285" s="296"/>
      <c r="I285" s="298"/>
      <c r="J285" s="298"/>
      <c r="K285" s="1021"/>
      <c r="L285" s="606"/>
      <c r="M285" s="935"/>
      <c r="N285" s="615"/>
      <c r="O285" s="615"/>
      <c r="P285" s="615"/>
      <c r="Q285" s="615"/>
    </row>
    <row r="286" spans="1:20" ht="15.75" thickBot="1">
      <c r="A286" s="934"/>
      <c r="B286" s="506"/>
      <c r="C286" s="54" t="s">
        <v>29</v>
      </c>
      <c r="D286" s="296">
        <v>305</v>
      </c>
      <c r="E286" s="56">
        <v>7.0643000000000002</v>
      </c>
      <c r="F286" s="41">
        <f>+E286</f>
        <v>7.0643000000000002</v>
      </c>
      <c r="G286" s="50">
        <f t="shared" ref="G286" si="54">ROUND(D286*(E286),2)</f>
        <v>2154.61</v>
      </c>
      <c r="H286" s="296"/>
      <c r="I286" s="298"/>
      <c r="J286" s="298"/>
      <c r="K286" s="1021"/>
      <c r="L286" s="614"/>
      <c r="M286" s="935"/>
      <c r="N286" s="615"/>
      <c r="O286" s="615"/>
      <c r="P286" s="615"/>
      <c r="Q286" s="615"/>
    </row>
    <row r="287" spans="1:20">
      <c r="A287" s="961" t="s">
        <v>207</v>
      </c>
      <c r="B287" s="602" t="s">
        <v>184</v>
      </c>
      <c r="C287" s="439" t="s">
        <v>260</v>
      </c>
      <c r="D287" s="184">
        <f>ноя18!D274+ноя18!D275</f>
        <v>0</v>
      </c>
      <c r="E287" s="41">
        <f>7.0643-7.1352</f>
        <v>-7.0899999999999963E-2</v>
      </c>
      <c r="F287" s="23">
        <f>+E287</f>
        <v>-7.0899999999999963E-2</v>
      </c>
      <c r="G287" s="185">
        <f>ROUND(D287*(E287),2)</f>
        <v>0</v>
      </c>
      <c r="H287" s="620"/>
      <c r="I287" s="620"/>
      <c r="J287" s="620"/>
      <c r="K287" s="1022"/>
      <c r="L287" s="498">
        <f>SUM(G287:G289)</f>
        <v>0</v>
      </c>
      <c r="M287" s="187">
        <v>0</v>
      </c>
      <c r="N287" s="615"/>
      <c r="O287" s="962" t="s">
        <v>277</v>
      </c>
      <c r="P287" s="615"/>
      <c r="Q287" s="615"/>
    </row>
    <row r="288" spans="1:20">
      <c r="A288" s="934"/>
      <c r="B288" s="506"/>
      <c r="C288" s="48" t="s">
        <v>263</v>
      </c>
      <c r="D288" s="49">
        <v>0</v>
      </c>
      <c r="E288" s="41">
        <v>7.0643000000000002</v>
      </c>
      <c r="F288" s="41">
        <f>+E288</f>
        <v>7.0643000000000002</v>
      </c>
      <c r="G288" s="50">
        <f>ROUND(D288*(E288),2)</f>
        <v>0</v>
      </c>
      <c r="H288" s="296"/>
      <c r="I288" s="298"/>
      <c r="J288" s="298"/>
      <c r="K288" s="1021"/>
      <c r="L288" s="606"/>
      <c r="M288" s="935"/>
      <c r="N288" s="615"/>
      <c r="O288" s="615"/>
      <c r="P288" s="615"/>
      <c r="Q288" s="615"/>
    </row>
    <row r="289" spans="1:21" ht="15.75" thickBot="1">
      <c r="A289" s="934"/>
      <c r="B289" s="506"/>
      <c r="C289" s="54" t="s">
        <v>29</v>
      </c>
      <c r="D289" s="296">
        <v>0</v>
      </c>
      <c r="E289" s="56">
        <v>7.0643000000000002</v>
      </c>
      <c r="F289" s="41">
        <f>+E289</f>
        <v>7.0643000000000002</v>
      </c>
      <c r="G289" s="50">
        <f t="shared" ref="G289" si="55">ROUND(D289*(E289),2)</f>
        <v>0</v>
      </c>
      <c r="H289" s="296"/>
      <c r="I289" s="298"/>
      <c r="J289" s="298"/>
      <c r="K289" s="1021"/>
      <c r="L289" s="614"/>
      <c r="M289" s="935"/>
      <c r="N289" s="615"/>
      <c r="O289" s="615"/>
      <c r="P289" s="615"/>
      <c r="Q289" s="615"/>
    </row>
    <row r="290" spans="1:21" ht="15.75" thickTop="1">
      <c r="A290" s="376">
        <v>100</v>
      </c>
      <c r="B290" s="494" t="s">
        <v>193</v>
      </c>
      <c r="C290" s="71" t="s">
        <v>243</v>
      </c>
      <c r="D290" s="495">
        <v>3</v>
      </c>
      <c r="E290" s="21">
        <v>40.556600000000003</v>
      </c>
      <c r="F290" s="21">
        <v>47.5304</v>
      </c>
      <c r="G290" s="185">
        <f>ROUND(D290*(E290+F290),2)</f>
        <v>264.26</v>
      </c>
      <c r="H290" s="496"/>
      <c r="I290" s="73"/>
      <c r="J290" s="73"/>
      <c r="K290" s="1022"/>
      <c r="L290" s="498">
        <f>SUM(G290:G297)+SUM(J290:J296)</f>
        <v>7794.89</v>
      </c>
      <c r="M290" s="26">
        <v>7794.89</v>
      </c>
      <c r="N290" s="499"/>
      <c r="O290" s="500"/>
      <c r="P290" s="501" t="s">
        <v>87</v>
      </c>
      <c r="Q290" s="595" t="e">
        <f t="shared" ref="Q290" si="56">C290+G290+J290-M290-N290-O290</f>
        <v>#VALUE!</v>
      </c>
    </row>
    <row r="291" spans="1:21">
      <c r="A291" s="389"/>
      <c r="B291" s="999" t="s">
        <v>302</v>
      </c>
      <c r="C291" s="507" t="s">
        <v>96</v>
      </c>
      <c r="D291" s="234"/>
      <c r="E291" s="38"/>
      <c r="F291" s="38"/>
      <c r="G291" s="235">
        <f>ROUND(D291*(E291+F291),2)</f>
        <v>0</v>
      </c>
      <c r="H291" s="448"/>
      <c r="I291" s="509"/>
      <c r="J291" s="199"/>
      <c r="K291" s="1023"/>
      <c r="L291" s="511"/>
      <c r="M291" s="512"/>
      <c r="N291" s="513"/>
      <c r="O291" s="514"/>
      <c r="P291" s="515"/>
      <c r="Q291" s="262"/>
      <c r="U291" s="33"/>
    </row>
    <row r="292" spans="1:21">
      <c r="A292" s="389"/>
      <c r="B292" s="516" t="s">
        <v>89</v>
      </c>
      <c r="C292" s="512" t="s">
        <v>90</v>
      </c>
      <c r="D292" s="508">
        <v>0</v>
      </c>
      <c r="E292" s="101"/>
      <c r="F292" s="38">
        <v>47.5304</v>
      </c>
      <c r="G292" s="50">
        <f>ROUND(D292*(E292+F292),2)</f>
        <v>0</v>
      </c>
      <c r="H292" s="270"/>
      <c r="I292" s="41"/>
      <c r="J292" s="207"/>
      <c r="K292" s="1023"/>
      <c r="L292" s="517"/>
      <c r="M292" s="99"/>
      <c r="N292" s="518"/>
      <c r="O292" s="519"/>
      <c r="P292" s="515" t="s">
        <v>87</v>
      </c>
      <c r="Q292" s="271">
        <f>+G292+J292-M292-N292-O292</f>
        <v>0</v>
      </c>
    </row>
    <row r="293" spans="1:21">
      <c r="A293" s="389"/>
      <c r="B293" s="541"/>
      <c r="C293" s="84" t="s">
        <v>97</v>
      </c>
      <c r="D293" s="508"/>
      <c r="E293" s="41"/>
      <c r="F293" s="38"/>
      <c r="G293" s="50">
        <f>ROUND(D293*(E293+F293),2)</f>
        <v>0</v>
      </c>
      <c r="H293" s="432"/>
      <c r="I293" s="362"/>
      <c r="J293" s="207"/>
      <c r="K293" s="1023"/>
      <c r="L293" s="517"/>
      <c r="M293" s="520"/>
      <c r="N293" s="521"/>
      <c r="O293" s="522"/>
      <c r="P293" s="523"/>
      <c r="Q293" s="362"/>
    </row>
    <row r="294" spans="1:21">
      <c r="A294" s="389"/>
      <c r="B294" s="1033" t="s">
        <v>194</v>
      </c>
      <c r="C294" s="84"/>
      <c r="D294" s="508"/>
      <c r="E294" s="41"/>
      <c r="F294" s="41"/>
      <c r="G294" s="50"/>
      <c r="H294" s="432"/>
      <c r="I294" s="362"/>
      <c r="J294" s="207"/>
      <c r="K294" s="1023"/>
      <c r="L294" s="517"/>
      <c r="M294" s="520"/>
      <c r="N294" s="521"/>
      <c r="O294" s="522"/>
      <c r="P294" s="523"/>
      <c r="Q294" s="362"/>
    </row>
    <row r="295" spans="1:21">
      <c r="A295" s="389"/>
      <c r="B295" s="506"/>
      <c r="C295" s="48" t="s">
        <v>260</v>
      </c>
      <c r="D295" s="37"/>
      <c r="E295" s="41"/>
      <c r="F295" s="41">
        <f>+E295</f>
        <v>0</v>
      </c>
      <c r="G295" s="39">
        <f>ROUND(D295*E295,2)</f>
        <v>0</v>
      </c>
      <c r="H295" s="432"/>
      <c r="I295" s="362"/>
      <c r="J295" s="207"/>
      <c r="K295" s="1023"/>
      <c r="L295" s="517"/>
      <c r="M295" s="520"/>
      <c r="N295" s="521"/>
      <c r="O295" s="522"/>
      <c r="P295" s="523"/>
      <c r="Q295" s="362"/>
    </row>
    <row r="296" spans="1:21">
      <c r="A296" s="389"/>
      <c r="B296" s="506"/>
      <c r="C296" s="48" t="s">
        <v>263</v>
      </c>
      <c r="D296" s="37">
        <v>47.09</v>
      </c>
      <c r="E296" s="41">
        <v>6.7838000000000003</v>
      </c>
      <c r="F296" s="41">
        <f>+E296</f>
        <v>6.7838000000000003</v>
      </c>
      <c r="G296" s="39">
        <f>ROUND(D296*E296,2)</f>
        <v>319.45</v>
      </c>
      <c r="H296" s="432"/>
      <c r="I296" s="362"/>
      <c r="J296" s="207"/>
      <c r="K296" s="1023"/>
      <c r="L296" s="517"/>
      <c r="M296" s="520"/>
      <c r="N296" s="521"/>
      <c r="O296" s="522"/>
      <c r="P296" s="523"/>
      <c r="Q296" s="362"/>
      <c r="U296" s="33"/>
    </row>
    <row r="297" spans="1:21" ht="15.75" thickBot="1">
      <c r="A297" s="411"/>
      <c r="B297" s="526"/>
      <c r="C297" s="99" t="s">
        <v>29</v>
      </c>
      <c r="D297" s="55">
        <v>1063</v>
      </c>
      <c r="E297" s="1012">
        <v>6.7838000000000003</v>
      </c>
      <c r="F297" s="281">
        <f>+E297</f>
        <v>6.7838000000000003</v>
      </c>
      <c r="G297" s="58">
        <f>ROUND(D297*E297,2)</f>
        <v>7211.18</v>
      </c>
      <c r="H297" s="248"/>
      <c r="I297" s="203"/>
      <c r="J297" s="60"/>
      <c r="K297" s="1024"/>
      <c r="L297" s="249"/>
      <c r="M297" s="54"/>
      <c r="N297" s="521"/>
      <c r="O297" s="528"/>
      <c r="P297" s="529" t="s">
        <v>87</v>
      </c>
      <c r="Q297" s="362">
        <f>+G297+J297-M297-N297-O297</f>
        <v>7211.18</v>
      </c>
    </row>
    <row r="298" spans="1:21" ht="15.75" collapsed="1" thickTop="1">
      <c r="A298" s="389">
        <v>100</v>
      </c>
      <c r="B298" s="494" t="s">
        <v>303</v>
      </c>
      <c r="C298" s="71" t="s">
        <v>73</v>
      </c>
      <c r="D298" s="495">
        <v>1</v>
      </c>
      <c r="E298" s="21">
        <v>40.556600000000003</v>
      </c>
      <c r="F298" s="21">
        <v>47.5304</v>
      </c>
      <c r="G298" s="185">
        <f>ROUND(D298*(E298+F298),2)</f>
        <v>88.09</v>
      </c>
      <c r="H298" s="496"/>
      <c r="I298" s="73"/>
      <c r="J298" s="73"/>
      <c r="K298" s="679"/>
      <c r="L298" s="498">
        <f>SUM(G298:G304)+SUM(J298:J303)</f>
        <v>1120.8899999999999</v>
      </c>
      <c r="M298" s="26">
        <v>1120.8900000000001</v>
      </c>
      <c r="N298" s="594"/>
      <c r="O298" s="535"/>
      <c r="P298" s="536" t="s">
        <v>87</v>
      </c>
      <c r="Q298" s="595" t="e">
        <f>C298+G298+J298-M298-N298-O298</f>
        <v>#VALUE!</v>
      </c>
      <c r="R298" s="502" t="s">
        <v>88</v>
      </c>
      <c r="S298" s="503"/>
      <c r="T298" s="504"/>
      <c r="U298" s="33">
        <f>+M298-L298</f>
        <v>0</v>
      </c>
    </row>
    <row r="299" spans="1:21">
      <c r="A299" s="389"/>
      <c r="B299" s="999" t="s">
        <v>304</v>
      </c>
      <c r="C299" s="542" t="s">
        <v>264</v>
      </c>
      <c r="D299" s="508"/>
      <c r="E299" s="38"/>
      <c r="F299" s="38"/>
      <c r="G299" s="50">
        <f>ROUND(D299*(E299+F299),2)</f>
        <v>0</v>
      </c>
      <c r="H299" s="596"/>
      <c r="I299" s="409"/>
      <c r="J299" s="509"/>
      <c r="K299" s="1025"/>
      <c r="L299" s="511"/>
      <c r="M299" s="99"/>
      <c r="N299" s="513"/>
      <c r="O299" s="514"/>
      <c r="P299" s="515"/>
      <c r="Q299" s="262"/>
      <c r="R299" s="502"/>
      <c r="S299" s="503"/>
      <c r="T299" s="504"/>
    </row>
    <row r="300" spans="1:21">
      <c r="A300" s="389"/>
      <c r="B300" s="516" t="s">
        <v>103</v>
      </c>
      <c r="C300" s="99" t="s">
        <v>90</v>
      </c>
      <c r="D300" s="508">
        <v>0</v>
      </c>
      <c r="E300" s="101">
        <v>330.44</v>
      </c>
      <c r="F300" s="38">
        <f>F298</f>
        <v>47.5304</v>
      </c>
      <c r="G300" s="50">
        <f>ROUND(D300*(E300+F300),2)</f>
        <v>0</v>
      </c>
      <c r="H300" s="270"/>
      <c r="I300" s="41"/>
      <c r="J300" s="409"/>
      <c r="K300" s="1026"/>
      <c r="L300" s="597"/>
      <c r="M300" s="99"/>
      <c r="N300" s="518"/>
      <c r="O300" s="519"/>
      <c r="P300" s="515" t="s">
        <v>87</v>
      </c>
      <c r="Q300" s="271">
        <f>+G300+J300-M300-N300-O300</f>
        <v>0</v>
      </c>
      <c r="R300" s="502" t="s">
        <v>88</v>
      </c>
      <c r="S300" s="503"/>
      <c r="T300" s="504"/>
    </row>
    <row r="301" spans="1:21">
      <c r="A301" s="389"/>
      <c r="B301" s="506"/>
      <c r="C301" s="390" t="s">
        <v>97</v>
      </c>
      <c r="D301" s="508">
        <f>ноя18!D279</f>
        <v>0</v>
      </c>
      <c r="E301" s="41">
        <f>330.44-461.99</f>
        <v>-131.55000000000001</v>
      </c>
      <c r="F301" s="38"/>
      <c r="G301" s="50">
        <f>D301*(E301+F301)</f>
        <v>0</v>
      </c>
      <c r="H301" s="432"/>
      <c r="I301" s="362"/>
      <c r="J301" s="41"/>
      <c r="K301" s="1026"/>
      <c r="L301" s="597"/>
      <c r="M301" s="99"/>
      <c r="N301" s="521"/>
      <c r="O301" s="522"/>
      <c r="P301" s="523"/>
      <c r="Q301" s="362"/>
      <c r="R301" s="502"/>
      <c r="S301" s="503"/>
      <c r="T301" s="504"/>
    </row>
    <row r="302" spans="1:21">
      <c r="A302" s="389"/>
      <c r="B302" s="506"/>
      <c r="C302" s="48" t="s">
        <v>260</v>
      </c>
      <c r="D302" s="37">
        <v>0</v>
      </c>
      <c r="E302" s="41">
        <f>7.0643-7.1352</f>
        <v>-7.0899999999999963E-2</v>
      </c>
      <c r="F302" s="297">
        <f t="shared" ref="F302:F304" si="57">+E302</f>
        <v>-7.0899999999999963E-2</v>
      </c>
      <c r="G302" s="39">
        <f>ROUND(D302*(E302+F302)/2,2)</f>
        <v>0</v>
      </c>
      <c r="H302" s="432"/>
      <c r="I302" s="362"/>
      <c r="J302" s="41"/>
      <c r="K302" s="1026"/>
      <c r="L302" s="597"/>
      <c r="M302" s="99"/>
      <c r="N302" s="521"/>
      <c r="O302" s="522"/>
      <c r="P302" s="523"/>
      <c r="Q302" s="362"/>
      <c r="R302" s="502"/>
      <c r="S302" s="503"/>
      <c r="T302" s="504"/>
    </row>
    <row r="303" spans="1:21">
      <c r="A303" s="389"/>
      <c r="B303" s="506"/>
      <c r="C303" s="48" t="s">
        <v>263</v>
      </c>
      <c r="D303" s="37">
        <v>6.2</v>
      </c>
      <c r="E303" s="41">
        <v>7.0643000000000002</v>
      </c>
      <c r="F303" s="298">
        <f t="shared" si="57"/>
        <v>7.0643000000000002</v>
      </c>
      <c r="G303" s="39">
        <f>ROUND(D303*E303,2)</f>
        <v>43.8</v>
      </c>
      <c r="H303" s="432"/>
      <c r="I303" s="362"/>
      <c r="J303" s="41"/>
      <c r="K303" s="1026"/>
      <c r="L303" s="597"/>
      <c r="M303" s="99"/>
      <c r="N303" s="521"/>
      <c r="O303" s="522"/>
      <c r="P303" s="523"/>
      <c r="Q303" s="362"/>
      <c r="R303" s="502"/>
      <c r="S303" s="503"/>
      <c r="T303" s="504"/>
    </row>
    <row r="304" spans="1:21" ht="15.75" thickBot="1">
      <c r="A304" s="369"/>
      <c r="B304" s="526"/>
      <c r="C304" s="99" t="s">
        <v>29</v>
      </c>
      <c r="D304" s="55">
        <v>140</v>
      </c>
      <c r="E304" s="56">
        <v>7.0643000000000002</v>
      </c>
      <c r="F304" s="57">
        <f t="shared" si="57"/>
        <v>7.0643000000000002</v>
      </c>
      <c r="G304" s="414">
        <f>ROUND(D304*E304,2)</f>
        <v>989</v>
      </c>
      <c r="H304" s="248"/>
      <c r="I304" s="203"/>
      <c r="J304" s="60"/>
      <c r="K304" s="1024"/>
      <c r="L304" s="249"/>
      <c r="M304" s="54"/>
      <c r="N304" s="527"/>
      <c r="O304" s="528"/>
      <c r="P304" s="529" t="s">
        <v>87</v>
      </c>
      <c r="Q304" s="58">
        <f>+G304+J304-M304-N304-O304</f>
        <v>989</v>
      </c>
      <c r="R304" s="502" t="s">
        <v>88</v>
      </c>
      <c r="S304" s="598">
        <f>SUM(N298:N304)+O298:O304</f>
        <v>0</v>
      </c>
      <c r="T304" s="598" t="e">
        <f>SUM(Q298:Q304)</f>
        <v>#VALUE!</v>
      </c>
    </row>
    <row r="305" spans="1:21" ht="15.75" collapsed="1" thickTop="1">
      <c r="A305" s="389">
        <v>113</v>
      </c>
      <c r="B305" s="494" t="s">
        <v>250</v>
      </c>
      <c r="C305" s="71" t="s">
        <v>73</v>
      </c>
      <c r="D305" s="495">
        <v>19</v>
      </c>
      <c r="E305" s="21">
        <v>40.556600000000003</v>
      </c>
      <c r="F305" s="21">
        <v>47.5304</v>
      </c>
      <c r="G305" s="185">
        <f>ROUND(D305*(E305+F305),2)</f>
        <v>1673.65</v>
      </c>
      <c r="H305" s="496"/>
      <c r="I305" s="73"/>
      <c r="J305" s="73"/>
      <c r="K305" s="679"/>
      <c r="L305" s="498">
        <f>SUM(G305:G311)+SUM(J305:J310)</f>
        <v>29833.49</v>
      </c>
      <c r="M305" s="26">
        <v>29833.49</v>
      </c>
      <c r="N305" s="594"/>
      <c r="O305" s="535"/>
      <c r="P305" s="536" t="s">
        <v>87</v>
      </c>
      <c r="Q305" s="595" t="e">
        <f>C305+G305+J305-M305-N305-O305</f>
        <v>#VALUE!</v>
      </c>
      <c r="R305" s="502" t="s">
        <v>88</v>
      </c>
      <c r="S305" s="503"/>
      <c r="T305" s="504"/>
      <c r="U305" s="33">
        <f>+M305-L305</f>
        <v>0</v>
      </c>
    </row>
    <row r="306" spans="1:21">
      <c r="A306" s="389"/>
      <c r="B306" s="506"/>
      <c r="C306" s="542" t="s">
        <v>264</v>
      </c>
      <c r="D306" s="508"/>
      <c r="E306" s="38"/>
      <c r="F306" s="38"/>
      <c r="G306" s="50">
        <f>ROUND(D306*(E306+F306),2)</f>
        <v>0</v>
      </c>
      <c r="H306" s="596"/>
      <c r="I306" s="409"/>
      <c r="J306" s="509"/>
      <c r="K306" s="1025"/>
      <c r="L306" s="511"/>
      <c r="M306" s="99"/>
      <c r="N306" s="513"/>
      <c r="O306" s="514"/>
      <c r="P306" s="515"/>
      <c r="Q306" s="262"/>
      <c r="R306" s="502"/>
      <c r="S306" s="503"/>
      <c r="T306" s="504"/>
    </row>
    <row r="307" spans="1:21">
      <c r="A307" s="389"/>
      <c r="B307" s="516" t="s">
        <v>103</v>
      </c>
      <c r="C307" s="99" t="s">
        <v>90</v>
      </c>
      <c r="D307" s="508">
        <v>15</v>
      </c>
      <c r="E307" s="101">
        <v>330.44</v>
      </c>
      <c r="F307" s="38">
        <f>F305</f>
        <v>47.5304</v>
      </c>
      <c r="G307" s="50">
        <f>ROUND(D307*(E307+F307),2)</f>
        <v>5669.56</v>
      </c>
      <c r="H307" s="270"/>
      <c r="I307" s="41"/>
      <c r="J307" s="409"/>
      <c r="K307" s="1026"/>
      <c r="L307" s="597"/>
      <c r="M307" s="99"/>
      <c r="N307" s="518"/>
      <c r="O307" s="519"/>
      <c r="P307" s="515" t="s">
        <v>87</v>
      </c>
      <c r="Q307" s="271">
        <f>+G307+J307-M307-N307-O307</f>
        <v>5669.56</v>
      </c>
      <c r="R307" s="502" t="s">
        <v>88</v>
      </c>
      <c r="S307" s="503"/>
      <c r="T307" s="504"/>
    </row>
    <row r="308" spans="1:21">
      <c r="A308" s="389"/>
      <c r="B308" s="506"/>
      <c r="C308" s="390" t="s">
        <v>97</v>
      </c>
      <c r="D308" s="508">
        <f>ноя18!D286</f>
        <v>9</v>
      </c>
      <c r="E308" s="41">
        <f>330.44-461.99</f>
        <v>-131.55000000000001</v>
      </c>
      <c r="F308" s="38"/>
      <c r="G308" s="50">
        <f>D308*(E308+F308)</f>
        <v>-1183.95</v>
      </c>
      <c r="H308" s="432"/>
      <c r="I308" s="362"/>
      <c r="J308" s="41"/>
      <c r="K308" s="1026"/>
      <c r="L308" s="597"/>
      <c r="M308" s="99"/>
      <c r="N308" s="521"/>
      <c r="O308" s="522"/>
      <c r="P308" s="523"/>
      <c r="Q308" s="362"/>
      <c r="R308" s="502"/>
      <c r="S308" s="503"/>
      <c r="T308" s="504"/>
    </row>
    <row r="309" spans="1:21">
      <c r="A309" s="389"/>
      <c r="B309" s="506"/>
      <c r="C309" s="48" t="s">
        <v>260</v>
      </c>
      <c r="D309" s="37">
        <f>ноя18!D289+ноя18!D290</f>
        <v>3320.87</v>
      </c>
      <c r="E309" s="41">
        <f>7.0643-7.1352</f>
        <v>-7.0899999999999963E-2</v>
      </c>
      <c r="F309" s="297">
        <f t="shared" ref="F309:F311" si="58">+E309</f>
        <v>-7.0899999999999963E-2</v>
      </c>
      <c r="G309" s="39">
        <f>ROUND(D309*(E309+F309)/2,2)-0.01</f>
        <v>-235.45999999999998</v>
      </c>
      <c r="H309" s="432"/>
      <c r="I309" s="362"/>
      <c r="J309" s="41"/>
      <c r="K309" s="1026"/>
      <c r="L309" s="597"/>
      <c r="M309" s="99"/>
      <c r="N309" s="521"/>
      <c r="O309" s="522"/>
      <c r="P309" s="523"/>
      <c r="Q309" s="362"/>
      <c r="R309" s="502"/>
      <c r="S309" s="503"/>
      <c r="T309" s="504"/>
    </row>
    <row r="310" spans="1:21">
      <c r="A310" s="389"/>
      <c r="B310" s="506"/>
      <c r="C310" s="48" t="s">
        <v>263</v>
      </c>
      <c r="D310" s="37">
        <f>66.45+77.13</f>
        <v>143.57999999999998</v>
      </c>
      <c r="E310" s="41">
        <v>7.0643000000000002</v>
      </c>
      <c r="F310" s="298">
        <f t="shared" si="58"/>
        <v>7.0643000000000002</v>
      </c>
      <c r="G310" s="39">
        <f>ROUND(D310*E310,2)</f>
        <v>1014.29</v>
      </c>
      <c r="H310" s="432"/>
      <c r="I310" s="362"/>
      <c r="J310" s="41"/>
      <c r="K310" s="1026"/>
      <c r="L310" s="597"/>
      <c r="M310" s="99"/>
      <c r="N310" s="521"/>
      <c r="O310" s="522"/>
      <c r="P310" s="523"/>
      <c r="Q310" s="362"/>
      <c r="R310" s="502"/>
      <c r="S310" s="503"/>
      <c r="T310" s="504"/>
    </row>
    <row r="311" spans="1:21" ht="15.75" thickBot="1">
      <c r="A311" s="369"/>
      <c r="B311" s="526"/>
      <c r="C311" s="99" t="s">
        <v>29</v>
      </c>
      <c r="D311" s="55">
        <f>1500+1741</f>
        <v>3241</v>
      </c>
      <c r="E311" s="56">
        <v>7.0643000000000002</v>
      </c>
      <c r="F311" s="57">
        <f t="shared" si="58"/>
        <v>7.0643000000000002</v>
      </c>
      <c r="G311" s="414">
        <f>ROUND(D311*E311,2)</f>
        <v>22895.4</v>
      </c>
      <c r="H311" s="248"/>
      <c r="I311" s="203"/>
      <c r="J311" s="60"/>
      <c r="K311" s="1024"/>
      <c r="L311" s="249"/>
      <c r="M311" s="54"/>
      <c r="N311" s="527"/>
      <c r="O311" s="528"/>
      <c r="P311" s="529" t="s">
        <v>87</v>
      </c>
      <c r="Q311" s="58">
        <f>+G311+J311-M311-N311-O311</f>
        <v>22895.4</v>
      </c>
      <c r="R311" s="502" t="s">
        <v>88</v>
      </c>
      <c r="S311" s="598">
        <f>SUM(N305:N311)+O305:O311</f>
        <v>0</v>
      </c>
      <c r="T311" s="598" t="e">
        <f>SUM(Q305:Q311)</f>
        <v>#VALUE!</v>
      </c>
    </row>
    <row r="312" spans="1:21">
      <c r="A312" s="376" t="s">
        <v>208</v>
      </c>
      <c r="B312" s="602" t="s">
        <v>213</v>
      </c>
      <c r="C312" s="439" t="s">
        <v>260</v>
      </c>
      <c r="D312" s="184">
        <f>ноя18!D292+ноя18!D293</f>
        <v>190.06</v>
      </c>
      <c r="E312" s="41">
        <f>7.0643-7.1352</f>
        <v>-7.0899999999999963E-2</v>
      </c>
      <c r="F312" s="23">
        <f>+E312</f>
        <v>-7.0899999999999963E-2</v>
      </c>
      <c r="G312" s="185">
        <f>ROUND(D312*(E312),2)</f>
        <v>-13.48</v>
      </c>
      <c r="H312" s="620"/>
      <c r="I312" s="620"/>
      <c r="J312" s="620"/>
      <c r="K312" s="1020"/>
      <c r="L312" s="603">
        <f>SUM(G312:G314)</f>
        <v>1284.94</v>
      </c>
      <c r="M312" s="187">
        <v>1284.94</v>
      </c>
      <c r="N312" s="615"/>
      <c r="O312" s="615"/>
      <c r="P312" s="615"/>
      <c r="Q312" s="615"/>
    </row>
    <row r="313" spans="1:21">
      <c r="A313" s="934"/>
      <c r="B313" s="506"/>
      <c r="C313" s="48" t="s">
        <v>263</v>
      </c>
      <c r="D313" s="49">
        <v>7.8</v>
      </c>
      <c r="E313" s="41">
        <v>7.0643000000000002</v>
      </c>
      <c r="F313" s="41">
        <f>+E313</f>
        <v>7.0643000000000002</v>
      </c>
      <c r="G313" s="50">
        <f>ROUND(D313*(E313),2)</f>
        <v>55.1</v>
      </c>
      <c r="H313" s="296"/>
      <c r="I313" s="298"/>
      <c r="J313" s="298"/>
      <c r="K313" s="1021"/>
      <c r="L313" s="606"/>
      <c r="M313" s="935"/>
      <c r="N313" s="615"/>
      <c r="O313" s="615"/>
      <c r="P313" s="615"/>
      <c r="Q313" s="615"/>
    </row>
    <row r="314" spans="1:21" ht="15.75" thickBot="1">
      <c r="A314" s="934"/>
      <c r="B314" s="506"/>
      <c r="C314" s="54" t="s">
        <v>29</v>
      </c>
      <c r="D314" s="296">
        <v>176</v>
      </c>
      <c r="E314" s="56">
        <v>7.0643000000000002</v>
      </c>
      <c r="F314" s="41">
        <f>+E314</f>
        <v>7.0643000000000002</v>
      </c>
      <c r="G314" s="50">
        <f t="shared" ref="G314" si="59">ROUND(D314*(E314),2)</f>
        <v>1243.32</v>
      </c>
      <c r="H314" s="296"/>
      <c r="I314" s="298"/>
      <c r="J314" s="298"/>
      <c r="K314" s="1021"/>
      <c r="L314" s="614"/>
      <c r="M314" s="935"/>
      <c r="N314" s="615"/>
      <c r="O314" s="615"/>
      <c r="P314" s="615"/>
      <c r="Q314" s="615"/>
    </row>
    <row r="315" spans="1:21" ht="15.75" hidden="1" thickBot="1">
      <c r="A315" s="376">
        <v>201</v>
      </c>
      <c r="B315" s="602" t="s">
        <v>107</v>
      </c>
      <c r="C315" s="618" t="s">
        <v>73</v>
      </c>
      <c r="D315" s="619"/>
      <c r="E315" s="21">
        <v>40.556600000000003</v>
      </c>
      <c r="F315" s="21">
        <v>47.5304</v>
      </c>
      <c r="G315" s="185">
        <f>ROUND(D315*(E315+F315),2)</f>
        <v>0</v>
      </c>
      <c r="H315" s="620"/>
      <c r="I315" s="620"/>
      <c r="J315" s="620"/>
      <c r="K315" s="454"/>
      <c r="L315" s="603">
        <f>SUM(G315:G319,J315:J319)</f>
        <v>0.01</v>
      </c>
      <c r="M315" s="187"/>
      <c r="N315" s="621"/>
      <c r="O315" s="621"/>
      <c r="P315" s="621"/>
      <c r="Q315" s="622"/>
    </row>
    <row r="316" spans="1:21" ht="15.75" hidden="1" thickBot="1">
      <c r="A316" s="936"/>
      <c r="B316" s="612"/>
      <c r="C316" s="542" t="s">
        <v>96</v>
      </c>
      <c r="D316" s="234"/>
      <c r="E316" s="38"/>
      <c r="F316" s="38"/>
      <c r="G316" s="235">
        <f>ROUND(D316*(E316+F316),2)</f>
        <v>0</v>
      </c>
      <c r="H316" s="298"/>
      <c r="I316" s="298"/>
      <c r="J316" s="298"/>
      <c r="K316" s="455"/>
      <c r="L316" s="606"/>
      <c r="M316" s="935"/>
      <c r="N316" s="615"/>
      <c r="O316" s="615"/>
      <c r="P316" s="615"/>
      <c r="Q316" s="616"/>
    </row>
    <row r="317" spans="1:21" ht="15.75" hidden="1" thickBot="1">
      <c r="A317" s="936"/>
      <c r="B317" s="612"/>
      <c r="C317" s="48" t="s">
        <v>260</v>
      </c>
      <c r="D317" s="623"/>
      <c r="E317" s="41">
        <f>7.332-6.6439</f>
        <v>0.68809999999999949</v>
      </c>
      <c r="F317" s="41">
        <f t="shared" ref="F317:F325" si="60">+E317</f>
        <v>0.68809999999999949</v>
      </c>
      <c r="G317" s="50">
        <f>ROUND(D317*(E317),2)+0.01</f>
        <v>0.01</v>
      </c>
      <c r="H317" s="298"/>
      <c r="I317" s="298"/>
      <c r="J317" s="298"/>
      <c r="K317" s="455"/>
      <c r="L317" s="614"/>
      <c r="M317" s="935"/>
      <c r="N317" s="615"/>
      <c r="O317" s="615"/>
      <c r="P317" s="615"/>
      <c r="Q317" s="616"/>
    </row>
    <row r="318" spans="1:21" ht="15.75" hidden="1" thickBot="1">
      <c r="A318" s="936"/>
      <c r="B318" s="612"/>
      <c r="C318" s="48" t="s">
        <v>263</v>
      </c>
      <c r="D318" s="623"/>
      <c r="E318" s="41">
        <v>7.3319999999999999</v>
      </c>
      <c r="F318" s="41">
        <f t="shared" si="60"/>
        <v>7.3319999999999999</v>
      </c>
      <c r="G318" s="39">
        <f t="shared" ref="G318:G328" si="61">ROUND(D318*(E318),2)</f>
        <v>0</v>
      </c>
      <c r="H318" s="298"/>
      <c r="I318" s="298"/>
      <c r="J318" s="298"/>
      <c r="K318" s="455"/>
      <c r="L318" s="614"/>
      <c r="M318" s="273"/>
      <c r="N318" s="615"/>
      <c r="O318" s="615"/>
      <c r="P318" s="615"/>
      <c r="Q318" s="616"/>
    </row>
    <row r="319" spans="1:21" ht="15.75" hidden="1" thickBot="1">
      <c r="A319" s="937"/>
      <c r="B319" s="526"/>
      <c r="C319" s="99" t="s">
        <v>29</v>
      </c>
      <c r="D319" s="625"/>
      <c r="E319" s="56">
        <v>7.3319999999999999</v>
      </c>
      <c r="F319" s="281">
        <f t="shared" si="60"/>
        <v>7.3319999999999999</v>
      </c>
      <c r="G319" s="414">
        <f t="shared" si="61"/>
        <v>0</v>
      </c>
      <c r="H319" s="41"/>
      <c r="I319" s="41"/>
      <c r="J319" s="281"/>
      <c r="K319" s="56"/>
      <c r="L319" s="784"/>
      <c r="M319" s="938"/>
      <c r="N319" s="626"/>
      <c r="O319" s="626"/>
      <c r="P319" s="626"/>
      <c r="Q319" s="627"/>
    </row>
    <row r="320" spans="1:21">
      <c r="A320" s="376">
        <v>203</v>
      </c>
      <c r="B320" s="602" t="s">
        <v>301</v>
      </c>
      <c r="C320" s="439" t="s">
        <v>260</v>
      </c>
      <c r="D320" s="184">
        <v>0</v>
      </c>
      <c r="E320" s="41">
        <f>7.0643-7.1352</f>
        <v>-7.0899999999999963E-2</v>
      </c>
      <c r="F320" s="23">
        <f t="shared" si="60"/>
        <v>-7.0899999999999963E-2</v>
      </c>
      <c r="G320" s="185">
        <f>ROUND(D320*(E320),2)</f>
        <v>0</v>
      </c>
      <c r="H320" s="620"/>
      <c r="I320" s="620"/>
      <c r="J320" s="620"/>
      <c r="K320" s="1020"/>
      <c r="L320" s="603">
        <f>SUM(G320:G322)</f>
        <v>1091.8599999999999</v>
      </c>
      <c r="M320" s="187">
        <v>1091.8599999999999</v>
      </c>
      <c r="N320" s="615"/>
      <c r="O320" s="615"/>
      <c r="P320" s="615"/>
      <c r="Q320" s="615"/>
    </row>
    <row r="321" spans="1:17">
      <c r="A321" s="934"/>
      <c r="B321" s="506"/>
      <c r="C321" s="48" t="s">
        <v>263</v>
      </c>
      <c r="D321" s="49">
        <v>6.56</v>
      </c>
      <c r="E321" s="41">
        <v>7.0643000000000002</v>
      </c>
      <c r="F321" s="41">
        <f t="shared" si="60"/>
        <v>7.0643000000000002</v>
      </c>
      <c r="G321" s="50">
        <f>ROUND(D321*(E321),2)</f>
        <v>46.34</v>
      </c>
      <c r="H321" s="296"/>
      <c r="I321" s="298"/>
      <c r="J321" s="298"/>
      <c r="K321" s="1021"/>
      <c r="L321" s="606"/>
      <c r="M321" s="935"/>
      <c r="N321" s="615"/>
      <c r="O321" s="615"/>
      <c r="P321" s="615"/>
      <c r="Q321" s="615"/>
    </row>
    <row r="322" spans="1:17" ht="15.75" thickBot="1">
      <c r="A322" s="934"/>
      <c r="B322" s="506"/>
      <c r="C322" s="54" t="s">
        <v>29</v>
      </c>
      <c r="D322" s="296">
        <v>148</v>
      </c>
      <c r="E322" s="56">
        <v>7.0643000000000002</v>
      </c>
      <c r="F322" s="41">
        <f t="shared" si="60"/>
        <v>7.0643000000000002</v>
      </c>
      <c r="G322" s="50">
        <f t="shared" ref="G322" si="62">ROUND(D322*(E322),2)</f>
        <v>1045.52</v>
      </c>
      <c r="H322" s="296"/>
      <c r="I322" s="298"/>
      <c r="J322" s="298"/>
      <c r="K322" s="1021"/>
      <c r="L322" s="614"/>
      <c r="M322" s="935"/>
      <c r="N322" s="615"/>
      <c r="O322" s="615"/>
      <c r="P322" s="615"/>
      <c r="Q322" s="615"/>
    </row>
    <row r="323" spans="1:17">
      <c r="A323" s="376">
        <v>301</v>
      </c>
      <c r="B323" s="602" t="s">
        <v>106</v>
      </c>
      <c r="C323" s="48" t="s">
        <v>260</v>
      </c>
      <c r="D323" s="184">
        <f>ноя18!D303+ноя18!D304</f>
        <v>960.76</v>
      </c>
      <c r="E323" s="41">
        <f>7.0643-7.1352</f>
        <v>-7.0899999999999963E-2</v>
      </c>
      <c r="F323" s="23">
        <f t="shared" si="60"/>
        <v>-7.0899999999999963E-2</v>
      </c>
      <c r="G323" s="185">
        <f>ROUND(D323*(E323),2)</f>
        <v>-68.12</v>
      </c>
      <c r="H323" s="23"/>
      <c r="I323" s="23"/>
      <c r="J323" s="23"/>
      <c r="K323" s="341"/>
      <c r="L323" s="603">
        <f>SUM(G323:G325)</f>
        <v>6667.34</v>
      </c>
      <c r="M323" s="187">
        <v>6667.34</v>
      </c>
      <c r="N323" s="604"/>
      <c r="O323" s="500"/>
      <c r="P323" s="501"/>
      <c r="Q323" s="605"/>
    </row>
    <row r="324" spans="1:17">
      <c r="A324" s="389"/>
      <c r="B324" s="506"/>
      <c r="C324" s="48" t="s">
        <v>263</v>
      </c>
      <c r="D324" s="49">
        <v>40.450000000000003</v>
      </c>
      <c r="E324" s="41">
        <v>7.0643000000000002</v>
      </c>
      <c r="F324" s="41">
        <f t="shared" si="60"/>
        <v>7.0643000000000002</v>
      </c>
      <c r="G324" s="50">
        <f t="shared" si="61"/>
        <v>285.75</v>
      </c>
      <c r="H324" s="41"/>
      <c r="I324" s="41"/>
      <c r="J324" s="41"/>
      <c r="K324" s="101"/>
      <c r="L324" s="606"/>
      <c r="M324" s="935"/>
      <c r="N324" s="607"/>
      <c r="O324" s="608"/>
      <c r="P324" s="609"/>
      <c r="Q324" s="610"/>
    </row>
    <row r="325" spans="1:17" ht="15.75" thickBot="1">
      <c r="A325" s="936"/>
      <c r="B325" s="612"/>
      <c r="C325" s="99" t="s">
        <v>29</v>
      </c>
      <c r="D325" s="613">
        <v>913</v>
      </c>
      <c r="E325" s="56">
        <v>7.0643000000000002</v>
      </c>
      <c r="F325" s="281">
        <f t="shared" si="60"/>
        <v>7.0643000000000002</v>
      </c>
      <c r="G325" s="58">
        <f t="shared" si="61"/>
        <v>6449.71</v>
      </c>
      <c r="H325" s="57"/>
      <c r="I325" s="57"/>
      <c r="J325" s="57"/>
      <c r="K325" s="1018"/>
      <c r="L325" s="614"/>
      <c r="M325" s="935"/>
      <c r="N325" s="615"/>
      <c r="O325" s="615"/>
      <c r="P325" s="615"/>
      <c r="Q325" s="616"/>
    </row>
    <row r="326" spans="1:17" ht="15.75" hidden="1" thickBot="1">
      <c r="A326" s="447" t="s">
        <v>205</v>
      </c>
      <c r="B326" s="602" t="s">
        <v>183</v>
      </c>
      <c r="C326" s="439" t="s">
        <v>260</v>
      </c>
      <c r="D326" s="184"/>
      <c r="E326" s="41">
        <f>7.332-6.6439</f>
        <v>0.68809999999999949</v>
      </c>
      <c r="F326" s="23">
        <f>+E326</f>
        <v>0.68809999999999949</v>
      </c>
      <c r="G326" s="185">
        <f>ROUND(D326*(E326),2)-0.01</f>
        <v>-0.01</v>
      </c>
      <c r="H326" s="620"/>
      <c r="I326" s="620"/>
      <c r="J326" s="620"/>
      <c r="K326" s="1020"/>
      <c r="L326" s="603">
        <f>SUM(G326:G328)</f>
        <v>-0.01</v>
      </c>
      <c r="M326" s="187"/>
      <c r="N326" s="604"/>
      <c r="O326" s="635"/>
      <c r="P326" s="636"/>
      <c r="Q326" s="605"/>
    </row>
    <row r="327" spans="1:17" ht="15.75" hidden="1" thickBot="1">
      <c r="A327" s="450" t="s">
        <v>206</v>
      </c>
      <c r="B327" s="506"/>
      <c r="C327" s="48" t="s">
        <v>263</v>
      </c>
      <c r="D327" s="49"/>
      <c r="E327" s="41">
        <v>7.3319999999999999</v>
      </c>
      <c r="F327" s="41">
        <f>+E327</f>
        <v>7.3319999999999999</v>
      </c>
      <c r="G327" s="50">
        <f t="shared" si="61"/>
        <v>0</v>
      </c>
      <c r="H327" s="296"/>
      <c r="I327" s="298"/>
      <c r="J327" s="298"/>
      <c r="K327" s="1021"/>
      <c r="L327" s="606"/>
      <c r="M327" s="935"/>
      <c r="N327" s="607"/>
      <c r="O327" s="608"/>
      <c r="P327" s="609"/>
      <c r="Q327" s="610"/>
    </row>
    <row r="328" spans="1:17" ht="15.75" hidden="1" thickBot="1">
      <c r="A328" s="451">
        <v>305</v>
      </c>
      <c r="B328" s="506"/>
      <c r="C328" s="54" t="s">
        <v>29</v>
      </c>
      <c r="D328" s="296"/>
      <c r="E328" s="56">
        <v>7.3319999999999999</v>
      </c>
      <c r="F328" s="41">
        <f t="shared" ref="F328:F332" si="63">+E328</f>
        <v>7.3319999999999999</v>
      </c>
      <c r="G328" s="50">
        <f t="shared" si="61"/>
        <v>0</v>
      </c>
      <c r="H328" s="296"/>
      <c r="I328" s="298"/>
      <c r="J328" s="298"/>
      <c r="K328" s="1021"/>
      <c r="L328" s="614"/>
      <c r="M328" s="935"/>
      <c r="N328" s="615"/>
      <c r="O328" s="615"/>
      <c r="P328" s="615"/>
      <c r="Q328" s="616"/>
    </row>
    <row r="329" spans="1:17">
      <c r="A329" s="376">
        <v>304</v>
      </c>
      <c r="B329" s="602" t="s">
        <v>299</v>
      </c>
      <c r="C329" s="48" t="s">
        <v>260</v>
      </c>
      <c r="D329" s="184">
        <f>ноя18!D309+ноя18!D310</f>
        <v>48.04</v>
      </c>
      <c r="E329" s="41">
        <f>7.0643-7.1352</f>
        <v>-7.0899999999999963E-2</v>
      </c>
      <c r="F329" s="23">
        <f t="shared" si="63"/>
        <v>-7.0899999999999963E-2</v>
      </c>
      <c r="G329" s="185">
        <f>ROUND(D329*(E329),2)</f>
        <v>-3.41</v>
      </c>
      <c r="H329" s="23"/>
      <c r="I329" s="23"/>
      <c r="J329" s="23"/>
      <c r="K329" s="341"/>
      <c r="L329" s="603">
        <f>SUM(G329:G331)</f>
        <v>121.98</v>
      </c>
      <c r="M329" s="187">
        <v>121.98</v>
      </c>
      <c r="N329" s="604"/>
      <c r="O329" s="500"/>
      <c r="P329" s="501"/>
      <c r="Q329" s="605"/>
    </row>
    <row r="330" spans="1:17">
      <c r="A330" s="389"/>
      <c r="B330" s="506"/>
      <c r="C330" s="48" t="s">
        <v>263</v>
      </c>
      <c r="D330" s="49">
        <v>0.75</v>
      </c>
      <c r="E330" s="41">
        <v>7.0643000000000002</v>
      </c>
      <c r="F330" s="41">
        <f t="shared" si="63"/>
        <v>7.0643000000000002</v>
      </c>
      <c r="G330" s="50">
        <f t="shared" ref="G330:G331" si="64">ROUND(D330*(E330),2)</f>
        <v>5.3</v>
      </c>
      <c r="H330" s="41"/>
      <c r="I330" s="41"/>
      <c r="J330" s="41"/>
      <c r="K330" s="101"/>
      <c r="L330" s="606"/>
      <c r="M330" s="935"/>
      <c r="N330" s="607"/>
      <c r="O330" s="608"/>
      <c r="P330" s="609"/>
      <c r="Q330" s="610"/>
    </row>
    <row r="331" spans="1:17" ht="15.75" thickBot="1">
      <c r="A331" s="936"/>
      <c r="B331" s="612"/>
      <c r="C331" s="99" t="s">
        <v>29</v>
      </c>
      <c r="D331" s="613">
        <v>17</v>
      </c>
      <c r="E331" s="56">
        <v>7.0643000000000002</v>
      </c>
      <c r="F331" s="281">
        <f t="shared" si="63"/>
        <v>7.0643000000000002</v>
      </c>
      <c r="G331" s="58">
        <f t="shared" si="64"/>
        <v>120.09</v>
      </c>
      <c r="H331" s="57"/>
      <c r="I331" s="57"/>
      <c r="J331" s="57"/>
      <c r="K331" s="1018"/>
      <c r="L331" s="614"/>
      <c r="M331" s="935"/>
      <c r="N331" s="615"/>
      <c r="O331" s="615"/>
      <c r="P331" s="615"/>
      <c r="Q331" s="616"/>
    </row>
    <row r="332" spans="1:17" collapsed="1">
      <c r="A332" s="376">
        <v>307</v>
      </c>
      <c r="B332" s="602" t="s">
        <v>251</v>
      </c>
      <c r="C332" s="439" t="s">
        <v>260</v>
      </c>
      <c r="D332" s="184">
        <f>ноя18!D312+ноя18!D313</f>
        <v>375.95</v>
      </c>
      <c r="E332" s="23">
        <f>7.0643-7.1352</f>
        <v>-7.0899999999999963E-2</v>
      </c>
      <c r="F332" s="23">
        <f t="shared" si="63"/>
        <v>-7.0899999999999963E-2</v>
      </c>
      <c r="G332" s="185">
        <f>ROUND(D332*(E332),2)</f>
        <v>-26.65</v>
      </c>
      <c r="H332" s="669"/>
      <c r="I332" s="620"/>
      <c r="J332" s="620"/>
      <c r="K332" s="1020"/>
      <c r="L332" s="603">
        <f>SUM(G332:G334)</f>
        <v>2356.21</v>
      </c>
      <c r="M332" s="187">
        <v>2356.21</v>
      </c>
      <c r="N332" s="604"/>
      <c r="O332" s="635"/>
      <c r="P332" s="636"/>
      <c r="Q332" s="605"/>
    </row>
    <row r="333" spans="1:17">
      <c r="A333" s="934"/>
      <c r="B333" s="506"/>
      <c r="C333" s="48" t="s">
        <v>263</v>
      </c>
      <c r="D333" s="49">
        <v>14.31</v>
      </c>
      <c r="E333" s="41">
        <v>7.0643000000000002</v>
      </c>
      <c r="F333" s="41">
        <f>+E333</f>
        <v>7.0643000000000002</v>
      </c>
      <c r="G333" s="50">
        <f>ROUND(D333*(E333),2)</f>
        <v>101.09</v>
      </c>
      <c r="H333" s="296"/>
      <c r="I333" s="298"/>
      <c r="J333" s="298"/>
      <c r="K333" s="1021"/>
      <c r="L333" s="606"/>
      <c r="M333" s="935"/>
      <c r="N333" s="607"/>
      <c r="O333" s="608"/>
      <c r="P333" s="609"/>
      <c r="Q333" s="610"/>
    </row>
    <row r="334" spans="1:17" ht="15.75" thickBot="1">
      <c r="A334" s="960"/>
      <c r="B334" s="506"/>
      <c r="C334" s="54" t="s">
        <v>29</v>
      </c>
      <c r="D334" s="296">
        <v>323</v>
      </c>
      <c r="E334" s="56">
        <v>7.0643000000000002</v>
      </c>
      <c r="F334" s="41">
        <f t="shared" ref="F334:F338" si="65">+E334</f>
        <v>7.0643000000000002</v>
      </c>
      <c r="G334" s="50">
        <f t="shared" ref="G334" si="66">ROUND(D334*(E334),2)</f>
        <v>2281.77</v>
      </c>
      <c r="H334" s="296"/>
      <c r="I334" s="298"/>
      <c r="J334" s="298"/>
      <c r="K334" s="1021"/>
      <c r="L334" s="614"/>
      <c r="M334" s="935"/>
      <c r="N334" s="615"/>
      <c r="O334" s="615"/>
      <c r="P334" s="615"/>
      <c r="Q334" s="616"/>
    </row>
    <row r="335" spans="1:17" collapsed="1">
      <c r="A335" s="376">
        <v>308</v>
      </c>
      <c r="B335" s="602" t="s">
        <v>247</v>
      </c>
      <c r="C335" s="439" t="s">
        <v>260</v>
      </c>
      <c r="D335" s="184">
        <f>ноя18!D315+ноя18!D316</f>
        <v>385.35</v>
      </c>
      <c r="E335" s="23">
        <f>7.0643-7.1352</f>
        <v>-7.0899999999999963E-2</v>
      </c>
      <c r="F335" s="23">
        <f t="shared" si="65"/>
        <v>-7.0899999999999963E-2</v>
      </c>
      <c r="G335" s="185">
        <f>ROUND(D335*(E335),2)+0.01</f>
        <v>-27.31</v>
      </c>
      <c r="H335" s="669"/>
      <c r="I335" s="620"/>
      <c r="J335" s="620"/>
      <c r="K335" s="1020"/>
      <c r="L335" s="603">
        <f>SUM(G335:G337)</f>
        <v>2569.44</v>
      </c>
      <c r="M335" s="187">
        <v>2569.44</v>
      </c>
      <c r="N335" s="604"/>
      <c r="O335" s="635"/>
      <c r="P335" s="636"/>
      <c r="Q335" s="605"/>
    </row>
    <row r="336" spans="1:17">
      <c r="A336" s="934"/>
      <c r="B336" s="506"/>
      <c r="C336" s="48" t="s">
        <v>263</v>
      </c>
      <c r="D336" s="49">
        <v>15.59</v>
      </c>
      <c r="E336" s="41">
        <v>7.0643000000000002</v>
      </c>
      <c r="F336" s="41">
        <f>+E336</f>
        <v>7.0643000000000002</v>
      </c>
      <c r="G336" s="50">
        <f>ROUND(D336*(E336),2)-0.01</f>
        <v>110.11999999999999</v>
      </c>
      <c r="H336" s="296"/>
      <c r="I336" s="298"/>
      <c r="J336" s="298"/>
      <c r="K336" s="1021"/>
      <c r="L336" s="606"/>
      <c r="M336" s="935"/>
      <c r="N336" s="607"/>
      <c r="O336" s="608"/>
      <c r="P336" s="609"/>
      <c r="Q336" s="610"/>
    </row>
    <row r="337" spans="1:17" ht="15.75" thickBot="1">
      <c r="A337" s="960"/>
      <c r="B337" s="506"/>
      <c r="C337" s="54" t="s">
        <v>29</v>
      </c>
      <c r="D337" s="296">
        <v>352</v>
      </c>
      <c r="E337" s="56">
        <v>7.0643000000000002</v>
      </c>
      <c r="F337" s="41">
        <f t="shared" ref="F337" si="67">+E337</f>
        <v>7.0643000000000002</v>
      </c>
      <c r="G337" s="50">
        <f t="shared" ref="G337" si="68">ROUND(D337*(E337),2)</f>
        <v>2486.63</v>
      </c>
      <c r="H337" s="296"/>
      <c r="I337" s="298"/>
      <c r="J337" s="298"/>
      <c r="K337" s="1021"/>
      <c r="L337" s="614"/>
      <c r="M337" s="935"/>
      <c r="N337" s="615"/>
      <c r="O337" s="615"/>
      <c r="P337" s="615"/>
      <c r="Q337" s="616"/>
    </row>
    <row r="338" spans="1:17" hidden="1" collapsed="1">
      <c r="A338" s="376" t="s">
        <v>254</v>
      </c>
      <c r="B338" s="602" t="s">
        <v>235</v>
      </c>
      <c r="C338" s="439" t="s">
        <v>260</v>
      </c>
      <c r="D338" s="184"/>
      <c r="E338" s="41">
        <f>7.0643-7.1352</f>
        <v>-7.0899999999999963E-2</v>
      </c>
      <c r="F338" s="23">
        <f t="shared" si="65"/>
        <v>-7.0899999999999963E-2</v>
      </c>
      <c r="G338" s="185">
        <f>ROUND(D338*(E338),2)-0.01</f>
        <v>-0.01</v>
      </c>
      <c r="H338" s="620"/>
      <c r="I338" s="620"/>
      <c r="J338" s="620"/>
      <c r="K338" s="1020"/>
      <c r="L338" s="603">
        <f>SUM(G338:G340)</f>
        <v>-0.01</v>
      </c>
      <c r="M338" s="187"/>
      <c r="N338" s="615"/>
      <c r="O338" s="615"/>
      <c r="P338" s="615"/>
      <c r="Q338" s="615"/>
    </row>
    <row r="339" spans="1:17" hidden="1">
      <c r="A339" s="934">
        <v>314</v>
      </c>
      <c r="B339" s="506"/>
      <c r="C339" s="48" t="s">
        <v>263</v>
      </c>
      <c r="D339" s="49"/>
      <c r="E339" s="41">
        <v>7.0643000000000002</v>
      </c>
      <c r="F339" s="41">
        <f>+E339</f>
        <v>7.0643000000000002</v>
      </c>
      <c r="G339" s="50">
        <f>ROUND(D339*(E339),2)</f>
        <v>0</v>
      </c>
      <c r="H339" s="296"/>
      <c r="I339" s="298"/>
      <c r="J339" s="298"/>
      <c r="K339" s="1021"/>
      <c r="L339" s="606"/>
      <c r="M339" s="935"/>
      <c r="N339" s="615"/>
      <c r="O339" s="615"/>
      <c r="P339" s="615"/>
      <c r="Q339" s="615"/>
    </row>
    <row r="340" spans="1:17" ht="15.75" hidden="1" thickBot="1">
      <c r="A340" s="934"/>
      <c r="B340" s="506"/>
      <c r="C340" s="54" t="s">
        <v>29</v>
      </c>
      <c r="D340" s="296"/>
      <c r="E340" s="56">
        <v>7.0643000000000002</v>
      </c>
      <c r="F340" s="41">
        <f t="shared" ref="F340:F343" si="69">+E340</f>
        <v>7.0643000000000002</v>
      </c>
      <c r="G340" s="50">
        <f t="shared" ref="G340" si="70">ROUND(D340*(E340),2)</f>
        <v>0</v>
      </c>
      <c r="H340" s="296"/>
      <c r="I340" s="298"/>
      <c r="J340" s="298"/>
      <c r="K340" s="1021"/>
      <c r="L340" s="614"/>
      <c r="M340" s="935"/>
      <c r="N340" s="615"/>
      <c r="O340" s="615"/>
      <c r="P340" s="615"/>
      <c r="Q340" s="615"/>
    </row>
    <row r="341" spans="1:17" ht="15.75" hidden="1" thickBot="1">
      <c r="A341" s="376">
        <v>311</v>
      </c>
      <c r="B341" s="602" t="s">
        <v>204</v>
      </c>
      <c r="C341" s="439" t="s">
        <v>260</v>
      </c>
      <c r="D341" s="184"/>
      <c r="E341" s="41">
        <f>6.7023-6.509</f>
        <v>0.19329999999999981</v>
      </c>
      <c r="F341" s="23">
        <f t="shared" si="69"/>
        <v>0.19329999999999981</v>
      </c>
      <c r="G341" s="185">
        <f>ROUND(D341*(E341),2)-0.01</f>
        <v>-0.01</v>
      </c>
      <c r="H341" s="620"/>
      <c r="I341" s="620"/>
      <c r="J341" s="620"/>
      <c r="K341" s="1020"/>
      <c r="L341" s="603">
        <f>SUM(G341:G344)</f>
        <v>-0.01</v>
      </c>
      <c r="M341" s="187"/>
      <c r="N341" s="604"/>
      <c r="O341" s="635" t="s">
        <v>274</v>
      </c>
      <c r="P341" s="636"/>
      <c r="Q341" s="605"/>
    </row>
    <row r="342" spans="1:17" ht="15.75" hidden="1" thickBot="1">
      <c r="A342" s="389"/>
      <c r="B342" s="939" t="s">
        <v>273</v>
      </c>
      <c r="C342" s="48" t="s">
        <v>263</v>
      </c>
      <c r="D342" s="49"/>
      <c r="E342" s="41">
        <v>6.7023000000000001</v>
      </c>
      <c r="F342" s="41">
        <f t="shared" si="69"/>
        <v>6.7023000000000001</v>
      </c>
      <c r="G342" s="50">
        <f>ROUND(D342*(E342),2)</f>
        <v>0</v>
      </c>
      <c r="H342" s="296"/>
      <c r="I342" s="298"/>
      <c r="J342" s="298"/>
      <c r="K342" s="1021"/>
      <c r="L342" s="606"/>
      <c r="M342" s="935"/>
      <c r="N342" s="607"/>
      <c r="O342" s="608"/>
      <c r="P342" s="609"/>
      <c r="Q342" s="610"/>
    </row>
    <row r="343" spans="1:17" ht="15.75" hidden="1" thickBot="1">
      <c r="A343" s="936"/>
      <c r="B343" s="506"/>
      <c r="C343" s="99" t="s">
        <v>29</v>
      </c>
      <c r="D343" s="296"/>
      <c r="E343" s="101">
        <v>6.7023000000000001</v>
      </c>
      <c r="F343" s="41">
        <f t="shared" si="69"/>
        <v>6.7023000000000001</v>
      </c>
      <c r="G343" s="50">
        <f>ROUND(D343*(E343),2)</f>
        <v>0</v>
      </c>
      <c r="H343" s="296"/>
      <c r="I343" s="298"/>
      <c r="J343" s="298"/>
      <c r="K343" s="1027"/>
      <c r="L343" s="614"/>
      <c r="M343" s="935"/>
      <c r="N343" s="615"/>
      <c r="O343" s="615"/>
      <c r="P343" s="615"/>
      <c r="Q343" s="616"/>
    </row>
    <row r="344" spans="1:17" ht="15.75" hidden="1" thickBot="1">
      <c r="A344" s="937"/>
      <c r="B344" s="278"/>
      <c r="C344" s="784"/>
      <c r="D344" s="941"/>
      <c r="E344" s="281"/>
      <c r="F344" s="57"/>
      <c r="G344" s="58">
        <f>ROUND(D344*(E344),2)</f>
        <v>0</v>
      </c>
      <c r="H344" s="613"/>
      <c r="I344" s="57"/>
      <c r="J344" s="57"/>
      <c r="K344" s="1028"/>
      <c r="L344" s="784"/>
      <c r="M344" s="938"/>
      <c r="N344" s="626"/>
      <c r="O344" s="626"/>
      <c r="P344" s="626"/>
      <c r="Q344" s="626"/>
    </row>
    <row r="345" spans="1:17" collapsed="1">
      <c r="A345" s="376">
        <v>311</v>
      </c>
      <c r="B345" s="602" t="s">
        <v>278</v>
      </c>
      <c r="C345" s="439" t="s">
        <v>260</v>
      </c>
      <c r="D345" s="184">
        <f>ноя18!D325+ноя18!D326</f>
        <v>232.88</v>
      </c>
      <c r="E345" s="41">
        <f>7.0643-7.1352</f>
        <v>-7.0899999999999963E-2</v>
      </c>
      <c r="F345" s="23">
        <f t="shared" ref="F345" si="71">+E345</f>
        <v>-7.0899999999999963E-2</v>
      </c>
      <c r="G345" s="185">
        <f>ROUND(D345*(E345),2)</f>
        <v>-16.510000000000002</v>
      </c>
      <c r="H345" s="620"/>
      <c r="I345" s="620"/>
      <c r="J345" s="620"/>
      <c r="K345" s="1020"/>
      <c r="L345" s="603">
        <f>SUM(G345:G347)</f>
        <v>1429.4099999999999</v>
      </c>
      <c r="M345" s="187">
        <v>1429.41</v>
      </c>
      <c r="N345" s="615"/>
      <c r="O345" s="615"/>
      <c r="P345" s="615"/>
      <c r="Q345" s="615"/>
    </row>
    <row r="346" spans="1:17">
      <c r="A346" s="934"/>
      <c r="B346" s="506"/>
      <c r="C346" s="48" t="s">
        <v>263</v>
      </c>
      <c r="D346" s="49">
        <v>8.68</v>
      </c>
      <c r="E346" s="41">
        <v>7.0643000000000002</v>
      </c>
      <c r="F346" s="41">
        <f>+E346</f>
        <v>7.0643000000000002</v>
      </c>
      <c r="G346" s="50">
        <f>ROUND(D346*(E346),2)</f>
        <v>61.32</v>
      </c>
      <c r="H346" s="296"/>
      <c r="I346" s="298"/>
      <c r="J346" s="298"/>
      <c r="K346" s="1021"/>
      <c r="L346" s="606"/>
      <c r="M346" s="935"/>
      <c r="N346" s="615"/>
      <c r="O346" s="615"/>
      <c r="P346" s="615"/>
      <c r="Q346" s="615"/>
    </row>
    <row r="347" spans="1:17" ht="15.75" thickBot="1">
      <c r="A347" s="934"/>
      <c r="B347" s="506"/>
      <c r="C347" s="54" t="s">
        <v>29</v>
      </c>
      <c r="D347" s="296">
        <v>196</v>
      </c>
      <c r="E347" s="56">
        <v>7.0643000000000002</v>
      </c>
      <c r="F347" s="41">
        <f t="shared" ref="F347" si="72">+E347</f>
        <v>7.0643000000000002</v>
      </c>
      <c r="G347" s="50">
        <f t="shared" ref="G347" si="73">ROUND(D347*(E347),2)</f>
        <v>1384.6</v>
      </c>
      <c r="H347" s="296"/>
      <c r="I347" s="298"/>
      <c r="J347" s="298"/>
      <c r="K347" s="1021"/>
      <c r="L347" s="614"/>
      <c r="M347" s="935"/>
      <c r="N347" s="615"/>
      <c r="O347" s="615"/>
      <c r="P347" s="615"/>
      <c r="Q347" s="615"/>
    </row>
    <row r="348" spans="1:17">
      <c r="A348" s="376">
        <v>312</v>
      </c>
      <c r="B348" s="602" t="s">
        <v>112</v>
      </c>
      <c r="C348" s="439" t="s">
        <v>260</v>
      </c>
      <c r="D348" s="184">
        <f>ноя18!D328+ноя18!D329</f>
        <v>773.83</v>
      </c>
      <c r="E348" s="23">
        <f>7.0643-7.1352</f>
        <v>-7.0899999999999963E-2</v>
      </c>
      <c r="F348" s="23">
        <f>+E348</f>
        <v>-7.0899999999999963E-2</v>
      </c>
      <c r="G348" s="185">
        <f>ROUND(D348*(E348),2)</f>
        <v>-54.86</v>
      </c>
      <c r="H348" s="620"/>
      <c r="I348" s="620"/>
      <c r="J348" s="620"/>
      <c r="K348" s="1020"/>
      <c r="L348" s="603">
        <f>SUM(G348:G351)</f>
        <v>4821.4799999999996</v>
      </c>
      <c r="M348" s="187">
        <v>4821.4799999999996</v>
      </c>
      <c r="N348" s="604"/>
      <c r="O348" s="635"/>
      <c r="P348" s="636"/>
      <c r="Q348" s="605"/>
    </row>
    <row r="349" spans="1:17">
      <c r="A349" s="934"/>
      <c r="B349" s="506"/>
      <c r="C349" s="48" t="s">
        <v>263</v>
      </c>
      <c r="D349" s="49">
        <v>29.28</v>
      </c>
      <c r="E349" s="41">
        <v>7.0643000000000002</v>
      </c>
      <c r="F349" s="41">
        <f>+E349</f>
        <v>7.0643000000000002</v>
      </c>
      <c r="G349" s="50">
        <f t="shared" ref="G349:G350" si="74">ROUND(D349*(E349),2)</f>
        <v>206.84</v>
      </c>
      <c r="H349" s="296"/>
      <c r="I349" s="298"/>
      <c r="J349" s="298"/>
      <c r="K349" s="1021"/>
      <c r="L349" s="606"/>
      <c r="M349" s="935"/>
      <c r="N349" s="607"/>
      <c r="O349" s="608"/>
      <c r="P349" s="609"/>
      <c r="Q349" s="610"/>
    </row>
    <row r="350" spans="1:17">
      <c r="A350" s="934"/>
      <c r="B350" s="506"/>
      <c r="C350" s="99" t="s">
        <v>29</v>
      </c>
      <c r="D350" s="296">
        <v>661</v>
      </c>
      <c r="E350" s="101">
        <v>7.0643000000000002</v>
      </c>
      <c r="F350" s="41">
        <f>+E350</f>
        <v>7.0643000000000002</v>
      </c>
      <c r="G350" s="50">
        <f t="shared" si="74"/>
        <v>4669.5</v>
      </c>
      <c r="H350" s="296"/>
      <c r="I350" s="298"/>
      <c r="J350" s="298"/>
      <c r="K350" s="1021"/>
      <c r="L350" s="614"/>
      <c r="M350" s="935"/>
      <c r="N350" s="615"/>
      <c r="O350" s="615"/>
      <c r="P350" s="615"/>
      <c r="Q350" s="616"/>
    </row>
    <row r="351" spans="1:17" ht="15.75" thickBot="1">
      <c r="A351" s="942"/>
      <c r="B351" s="278"/>
      <c r="C351" s="54"/>
      <c r="D351" s="941"/>
      <c r="E351" s="281"/>
      <c r="F351" s="57"/>
      <c r="G351" s="58"/>
      <c r="H351" s="613"/>
      <c r="I351" s="57"/>
      <c r="J351" s="57"/>
      <c r="K351" s="1029"/>
      <c r="L351" s="784"/>
      <c r="M351" s="938"/>
      <c r="N351" s="615"/>
      <c r="O351" s="615"/>
      <c r="P351" s="615"/>
      <c r="Q351" s="615"/>
    </row>
    <row r="352" spans="1:17" ht="15.75" hidden="1" collapsed="1" thickBot="1">
      <c r="A352" s="376">
        <v>314</v>
      </c>
      <c r="B352" s="602" t="s">
        <v>235</v>
      </c>
      <c r="C352" s="439" t="s">
        <v>149</v>
      </c>
      <c r="D352" s="184"/>
      <c r="E352" s="41">
        <f>6.509-6.4709</f>
        <v>3.8100000000000023E-2</v>
      </c>
      <c r="F352" s="23">
        <f t="shared" ref="F352" si="75">+E352</f>
        <v>3.8100000000000023E-2</v>
      </c>
      <c r="G352" s="185">
        <f>ROUND(D352*(E352),2)</f>
        <v>0</v>
      </c>
      <c r="H352" s="620"/>
      <c r="I352" s="620"/>
      <c r="J352" s="620"/>
      <c r="K352" s="1020"/>
      <c r="L352" s="603">
        <f>SUM(G352:G354)</f>
        <v>0</v>
      </c>
      <c r="M352" s="187"/>
      <c r="N352" s="615"/>
      <c r="O352" s="967" t="s">
        <v>249</v>
      </c>
      <c r="P352" s="615"/>
      <c r="Q352" s="615"/>
    </row>
    <row r="353" spans="1:20" ht="15.75" hidden="1" thickBot="1">
      <c r="A353" s="934"/>
      <c r="B353" s="516" t="s">
        <v>246</v>
      </c>
      <c r="C353" s="48" t="s">
        <v>150</v>
      </c>
      <c r="D353" s="49"/>
      <c r="E353" s="41">
        <v>6.5090000000000003</v>
      </c>
      <c r="F353" s="41">
        <f>+E353</f>
        <v>6.5090000000000003</v>
      </c>
      <c r="G353" s="50">
        <f>ROUND(D353*(E353),2)</f>
        <v>0</v>
      </c>
      <c r="H353" s="296"/>
      <c r="I353" s="298"/>
      <c r="J353" s="298"/>
      <c r="K353" s="1021"/>
      <c r="L353" s="606"/>
      <c r="M353" s="935"/>
      <c r="N353" s="615"/>
      <c r="O353" s="615"/>
      <c r="P353" s="615"/>
      <c r="Q353" s="615"/>
    </row>
    <row r="354" spans="1:20" ht="15.75" hidden="1" thickBot="1">
      <c r="A354" s="942"/>
      <c r="B354" s="982"/>
      <c r="C354" s="54" t="s">
        <v>29</v>
      </c>
      <c r="D354" s="613"/>
      <c r="E354" s="56">
        <v>6.5090000000000003</v>
      </c>
      <c r="F354" s="281">
        <f t="shared" ref="F354:F355" si="76">+E354</f>
        <v>6.5090000000000003</v>
      </c>
      <c r="G354" s="58">
        <f t="shared" ref="G354" si="77">ROUND(D354*(E354),2)</f>
        <v>0</v>
      </c>
      <c r="H354" s="613"/>
      <c r="I354" s="57"/>
      <c r="J354" s="57"/>
      <c r="K354" s="1029"/>
      <c r="L354" s="783"/>
      <c r="M354" s="938"/>
      <c r="N354" s="615"/>
      <c r="O354" s="615"/>
      <c r="P354" s="615"/>
      <c r="Q354" s="615"/>
    </row>
    <row r="355" spans="1:20" collapsed="1">
      <c r="A355" s="376">
        <v>316</v>
      </c>
      <c r="B355" s="602" t="s">
        <v>288</v>
      </c>
      <c r="C355" s="439" t="s">
        <v>260</v>
      </c>
      <c r="D355" s="184">
        <f>ноя18!D335+ноя18!D336</f>
        <v>115.92</v>
      </c>
      <c r="E355" s="41">
        <f>7.0643-7.1352</f>
        <v>-7.0899999999999963E-2</v>
      </c>
      <c r="F355" s="23">
        <f t="shared" si="76"/>
        <v>-7.0899999999999963E-2</v>
      </c>
      <c r="G355" s="185">
        <f>ROUND(D355*(E355),2)+0.01</f>
        <v>-8.2100000000000009</v>
      </c>
      <c r="H355" s="620"/>
      <c r="I355" s="620"/>
      <c r="J355" s="620"/>
      <c r="K355" s="1020"/>
      <c r="L355" s="603">
        <f>SUM(G355:G357)</f>
        <v>736.86</v>
      </c>
      <c r="M355" s="187">
        <v>736.86</v>
      </c>
      <c r="N355" s="615"/>
      <c r="O355" s="615"/>
      <c r="P355" s="615"/>
      <c r="Q355" s="615"/>
    </row>
    <row r="356" spans="1:20">
      <c r="A356" s="934"/>
      <c r="B356" s="506"/>
      <c r="C356" s="48" t="s">
        <v>263</v>
      </c>
      <c r="D356" s="49">
        <v>4.47</v>
      </c>
      <c r="E356" s="41">
        <v>7.0643000000000002</v>
      </c>
      <c r="F356" s="41">
        <f>+E356</f>
        <v>7.0643000000000002</v>
      </c>
      <c r="G356" s="50">
        <f>ROUND(D356*(E356),2)</f>
        <v>31.58</v>
      </c>
      <c r="H356" s="296"/>
      <c r="I356" s="298"/>
      <c r="J356" s="298"/>
      <c r="K356" s="1021"/>
      <c r="L356" s="606"/>
      <c r="M356" s="935"/>
      <c r="N356" s="615"/>
      <c r="O356" s="615"/>
      <c r="P356" s="615"/>
      <c r="Q356" s="615"/>
    </row>
    <row r="357" spans="1:20" ht="15.75" thickBot="1">
      <c r="A357" s="934"/>
      <c r="B357" s="506"/>
      <c r="C357" s="54" t="s">
        <v>29</v>
      </c>
      <c r="D357" s="296">
        <v>101</v>
      </c>
      <c r="E357" s="56">
        <v>7.0643000000000002</v>
      </c>
      <c r="F357" s="41">
        <f t="shared" ref="F357" si="78">+E357</f>
        <v>7.0643000000000002</v>
      </c>
      <c r="G357" s="50">
        <f t="shared" ref="G357" si="79">ROUND(D357*(E357),2)</f>
        <v>713.49</v>
      </c>
      <c r="H357" s="296"/>
      <c r="I357" s="298"/>
      <c r="J357" s="298"/>
      <c r="K357" s="1021"/>
      <c r="L357" s="614"/>
      <c r="M357" s="935"/>
      <c r="N357" s="615"/>
      <c r="O357" s="615"/>
      <c r="P357" s="615"/>
      <c r="Q357" s="615"/>
    </row>
    <row r="358" spans="1:20">
      <c r="A358" s="376">
        <v>403</v>
      </c>
      <c r="B358" s="602" t="s">
        <v>279</v>
      </c>
      <c r="C358" s="618" t="s">
        <v>73</v>
      </c>
      <c r="D358" s="619">
        <v>2</v>
      </c>
      <c r="E358" s="21">
        <v>40.556600000000003</v>
      </c>
      <c r="F358" s="21">
        <v>47.5304</v>
      </c>
      <c r="G358" s="185">
        <f>ROUND(D358*(E358+F358),2)</f>
        <v>176.17</v>
      </c>
      <c r="H358" s="620"/>
      <c r="I358" s="620"/>
      <c r="J358" s="620"/>
      <c r="K358" s="454"/>
      <c r="L358" s="603">
        <f>SUM(G358:G364,J358:J364)</f>
        <v>1930.8400000000001</v>
      </c>
      <c r="M358" s="187">
        <v>1930.84</v>
      </c>
      <c r="N358" s="621"/>
      <c r="O358" s="621"/>
      <c r="P358" s="621"/>
      <c r="Q358" s="622"/>
    </row>
    <row r="359" spans="1:20">
      <c r="A359" s="936"/>
      <c r="B359" s="612"/>
      <c r="C359" s="542" t="s">
        <v>96</v>
      </c>
      <c r="D359" s="234"/>
      <c r="E359" s="38"/>
      <c r="F359" s="38"/>
      <c r="G359" s="235">
        <f>ROUND(D359*(E359+F359),2)</f>
        <v>0</v>
      </c>
      <c r="H359" s="298"/>
      <c r="I359" s="298"/>
      <c r="J359" s="298"/>
      <c r="K359" s="455"/>
      <c r="L359" s="606"/>
      <c r="M359" s="935"/>
      <c r="N359" s="615"/>
      <c r="O359" s="615"/>
      <c r="P359" s="615"/>
      <c r="Q359" s="616"/>
    </row>
    <row r="360" spans="1:20">
      <c r="A360" s="389"/>
      <c r="B360" s="516"/>
      <c r="C360" s="99" t="s">
        <v>90</v>
      </c>
      <c r="D360" s="508">
        <v>3</v>
      </c>
      <c r="E360" s="101">
        <v>330.44</v>
      </c>
      <c r="F360" s="38">
        <f>F358</f>
        <v>47.5304</v>
      </c>
      <c r="G360" s="50">
        <f>ROUND(D360*(E360+F360),2)</f>
        <v>1133.9100000000001</v>
      </c>
      <c r="H360" s="270"/>
      <c r="I360" s="41"/>
      <c r="J360" s="409"/>
      <c r="K360" s="1026"/>
      <c r="L360" s="597"/>
      <c r="M360" s="99"/>
      <c r="N360" s="518"/>
      <c r="O360" s="519"/>
      <c r="P360" s="515"/>
      <c r="Q360" s="271"/>
      <c r="R360" s="502"/>
      <c r="S360" s="503"/>
      <c r="T360" s="504"/>
    </row>
    <row r="361" spans="1:20">
      <c r="A361" s="389"/>
      <c r="B361" s="506"/>
      <c r="C361" s="390" t="s">
        <v>97</v>
      </c>
      <c r="D361" s="508">
        <f>ноя18!D339</f>
        <v>3</v>
      </c>
      <c r="E361" s="41">
        <f>330.44-461.99</f>
        <v>-131.55000000000001</v>
      </c>
      <c r="F361" s="38"/>
      <c r="G361" s="50">
        <f>D361*(E361+F361)-0.04</f>
        <v>-394.69000000000005</v>
      </c>
      <c r="H361" s="432"/>
      <c r="I361" s="362"/>
      <c r="J361" s="41"/>
      <c r="K361" s="1026"/>
      <c r="L361" s="597"/>
      <c r="M361" s="99"/>
      <c r="N361" s="521"/>
      <c r="O361" s="522"/>
      <c r="P361" s="523"/>
      <c r="Q361" s="362"/>
      <c r="R361" s="502"/>
      <c r="S361" s="503"/>
      <c r="T361" s="504"/>
    </row>
    <row r="362" spans="1:20">
      <c r="A362" s="936"/>
      <c r="B362" s="612"/>
      <c r="C362" s="48" t="s">
        <v>260</v>
      </c>
      <c r="D362" s="623">
        <f>ноя18!D342+ноя18!D343</f>
        <v>140.97999999999999</v>
      </c>
      <c r="E362" s="41">
        <f>7.0643-7.1352</f>
        <v>-7.0899999999999963E-2</v>
      </c>
      <c r="F362" s="41">
        <f t="shared" ref="F362:F364" si="80">+E362</f>
        <v>-7.0899999999999963E-2</v>
      </c>
      <c r="G362" s="50">
        <f>ROUND(D362*(E362),2)</f>
        <v>-10</v>
      </c>
      <c r="H362" s="298"/>
      <c r="I362" s="298"/>
      <c r="J362" s="298"/>
      <c r="K362" s="455"/>
      <c r="L362" s="614"/>
      <c r="M362" s="935"/>
      <c r="N362" s="615"/>
      <c r="O362" s="615"/>
      <c r="P362" s="615"/>
      <c r="Q362" s="616"/>
    </row>
    <row r="363" spans="1:20">
      <c r="A363" s="936"/>
      <c r="B363" s="612"/>
      <c r="C363" s="48" t="s">
        <v>263</v>
      </c>
      <c r="D363" s="623">
        <v>6.16</v>
      </c>
      <c r="E363" s="41">
        <v>7.0643000000000002</v>
      </c>
      <c r="F363" s="41">
        <f t="shared" si="80"/>
        <v>7.0643000000000002</v>
      </c>
      <c r="G363" s="39">
        <f>ROUND(D363*(E363),2)-0.01</f>
        <v>43.510000000000005</v>
      </c>
      <c r="H363" s="298"/>
      <c r="I363" s="298"/>
      <c r="J363" s="298"/>
      <c r="K363" s="455"/>
      <c r="L363" s="614"/>
      <c r="M363" s="273"/>
      <c r="N363" s="615"/>
      <c r="O363" s="615"/>
      <c r="P363" s="615"/>
      <c r="Q363" s="616"/>
    </row>
    <row r="364" spans="1:20" ht="15.75" thickBot="1">
      <c r="A364" s="937"/>
      <c r="B364" s="526"/>
      <c r="C364" s="99" t="s">
        <v>29</v>
      </c>
      <c r="D364" s="995">
        <v>139</v>
      </c>
      <c r="E364" s="56">
        <v>7.0643000000000002</v>
      </c>
      <c r="F364" s="281">
        <f t="shared" si="80"/>
        <v>7.0643000000000002</v>
      </c>
      <c r="G364" s="414">
        <f>ROUND(D364*(E364),2)</f>
        <v>981.94</v>
      </c>
      <c r="H364" s="41"/>
      <c r="I364" s="41"/>
      <c r="J364" s="281"/>
      <c r="K364" s="56"/>
      <c r="L364" s="784"/>
      <c r="M364" s="938"/>
      <c r="N364" s="626"/>
      <c r="O364" s="626"/>
      <c r="P364" s="626"/>
      <c r="Q364" s="627"/>
    </row>
    <row r="365" spans="1:20" collapsed="1">
      <c r="A365" s="353" t="s">
        <v>203</v>
      </c>
      <c r="B365" s="494" t="s">
        <v>104</v>
      </c>
      <c r="C365" s="71" t="s">
        <v>243</v>
      </c>
      <c r="D365" s="495">
        <v>19</v>
      </c>
      <c r="E365" s="21">
        <v>40.556600000000003</v>
      </c>
      <c r="F365" s="21">
        <v>47.5304</v>
      </c>
      <c r="G365" s="185">
        <f>ROUND(D365*(E365+F365),2)</f>
        <v>1673.65</v>
      </c>
      <c r="H365" s="496"/>
      <c r="I365" s="73"/>
      <c r="J365" s="73"/>
      <c r="K365" s="679"/>
      <c r="L365" s="439">
        <f>SUM(G365:G372)+SUM(J365:J371)</f>
        <v>17246.670000000002</v>
      </c>
      <c r="M365" s="26">
        <v>17246.669999999998</v>
      </c>
      <c r="N365" s="499"/>
      <c r="O365" s="500"/>
      <c r="P365" s="501" t="s">
        <v>87</v>
      </c>
      <c r="Q365" s="185" t="e">
        <f t="shared" ref="Q365" si="81">C365+G365+J365-M365-N365-O365</f>
        <v>#VALUE!</v>
      </c>
      <c r="R365" s="502" t="s">
        <v>88</v>
      </c>
      <c r="S365" s="503"/>
      <c r="T365" s="504"/>
    </row>
    <row r="366" spans="1:20">
      <c r="A366" s="934">
        <v>417</v>
      </c>
      <c r="B366" s="506"/>
      <c r="C366" s="599" t="s">
        <v>96</v>
      </c>
      <c r="D366" s="234"/>
      <c r="E366" s="38"/>
      <c r="F366" s="38"/>
      <c r="G366" s="235">
        <f>ROUND(D366*(E366+F366),2)</f>
        <v>0</v>
      </c>
      <c r="H366" s="448"/>
      <c r="I366" s="509"/>
      <c r="J366" s="409"/>
      <c r="K366" s="1026"/>
      <c r="L366" s="48"/>
      <c r="M366" s="512"/>
      <c r="N366" s="513"/>
      <c r="O366" s="514"/>
      <c r="P366" s="515"/>
      <c r="Q366" s="262"/>
      <c r="R366" s="502"/>
      <c r="S366" s="503"/>
      <c r="T366" s="504"/>
    </row>
    <row r="367" spans="1:20">
      <c r="A367" s="934"/>
      <c r="B367" s="516" t="s">
        <v>89</v>
      </c>
      <c r="C367" s="512" t="s">
        <v>90</v>
      </c>
      <c r="D367" s="508">
        <v>0</v>
      </c>
      <c r="E367" s="101">
        <v>330.44</v>
      </c>
      <c r="F367" s="38">
        <f>F33</f>
        <v>47.5304</v>
      </c>
      <c r="G367" s="50">
        <f>ROUND(D367*(E367+F367),2)</f>
        <v>0</v>
      </c>
      <c r="H367" s="270"/>
      <c r="I367" s="41"/>
      <c r="J367" s="409"/>
      <c r="K367" s="1026"/>
      <c r="L367" s="600"/>
      <c r="M367" s="99"/>
      <c r="N367" s="518"/>
      <c r="O367" s="519"/>
      <c r="P367" s="515" t="s">
        <v>87</v>
      </c>
      <c r="Q367" s="271">
        <f>+G367+J367-M367-N367-O367</f>
        <v>0</v>
      </c>
      <c r="R367" s="502" t="s">
        <v>88</v>
      </c>
      <c r="S367" s="503"/>
      <c r="T367" s="504"/>
    </row>
    <row r="368" spans="1:20">
      <c r="A368" s="934"/>
      <c r="B368" s="541"/>
      <c r="C368" s="84" t="s">
        <v>97</v>
      </c>
      <c r="D368" s="508">
        <f>ноя18!D346</f>
        <v>0</v>
      </c>
      <c r="E368" s="41">
        <f>330.44-461.99</f>
        <v>-131.55000000000001</v>
      </c>
      <c r="F368" s="38"/>
      <c r="G368" s="50">
        <f>ROUND(D368*(E368+F368),2)</f>
        <v>0</v>
      </c>
      <c r="H368" s="432"/>
      <c r="I368" s="362"/>
      <c r="J368" s="41"/>
      <c r="K368" s="1026"/>
      <c r="L368" s="600"/>
      <c r="M368" s="520"/>
      <c r="N368" s="521"/>
      <c r="O368" s="522"/>
      <c r="P368" s="523"/>
      <c r="Q368" s="362"/>
      <c r="R368" s="502"/>
      <c r="S368" s="503"/>
      <c r="T368" s="504"/>
    </row>
    <row r="369" spans="1:21">
      <c r="A369" s="934"/>
      <c r="B369" s="541"/>
      <c r="C369" s="84" t="s">
        <v>97</v>
      </c>
      <c r="D369" s="508"/>
      <c r="E369" s="41"/>
      <c r="F369" s="41"/>
      <c r="G369" s="50">
        <f>D369*(E369+F369)</f>
        <v>0</v>
      </c>
      <c r="H369" s="432"/>
      <c r="I369" s="362"/>
      <c r="J369" s="41"/>
      <c r="K369" s="1026"/>
      <c r="L369" s="600"/>
      <c r="M369" s="520"/>
      <c r="N369" s="521"/>
      <c r="O369" s="522"/>
      <c r="P369" s="523"/>
      <c r="Q369" s="362"/>
      <c r="R369" s="502"/>
      <c r="S369" s="503"/>
      <c r="T369" s="504"/>
    </row>
    <row r="370" spans="1:21">
      <c r="A370" s="934"/>
      <c r="B370" s="506"/>
      <c r="C370" s="48" t="s">
        <v>260</v>
      </c>
      <c r="D370" s="37">
        <f>ноя18!D350+ноя18!D351</f>
        <v>2502.14</v>
      </c>
      <c r="E370" s="41">
        <f>7.0643-7.1352</f>
        <v>-7.0899999999999963E-2</v>
      </c>
      <c r="F370" s="297">
        <f t="shared" ref="F370:F372" si="82">+E370</f>
        <v>-7.0899999999999963E-2</v>
      </c>
      <c r="G370" s="39">
        <f>ROUND(D370*(E370),2)</f>
        <v>-177.4</v>
      </c>
      <c r="H370" s="432"/>
      <c r="I370" s="362"/>
      <c r="J370" s="41"/>
      <c r="K370" s="1026"/>
      <c r="L370" s="600"/>
      <c r="M370" s="520"/>
      <c r="N370" s="521"/>
      <c r="O370" s="522"/>
      <c r="P370" s="523"/>
      <c r="Q370" s="362"/>
      <c r="R370" s="502"/>
      <c r="S370" s="503"/>
      <c r="T370" s="504"/>
    </row>
    <row r="371" spans="1:21">
      <c r="A371" s="934"/>
      <c r="B371" s="506"/>
      <c r="C371" s="48" t="s">
        <v>263</v>
      </c>
      <c r="D371" s="37">
        <v>94.58</v>
      </c>
      <c r="E371" s="41">
        <v>7.0643000000000002</v>
      </c>
      <c r="F371" s="298">
        <f t="shared" si="82"/>
        <v>7.0643000000000002</v>
      </c>
      <c r="G371" s="39">
        <f>ROUND(D371*(E371),2)</f>
        <v>668.14</v>
      </c>
      <c r="H371" s="432"/>
      <c r="I371" s="362"/>
      <c r="J371" s="41"/>
      <c r="K371" s="1026"/>
      <c r="L371" s="600"/>
      <c r="M371" s="520"/>
      <c r="N371" s="521"/>
      <c r="O371" s="522"/>
      <c r="P371" s="523"/>
      <c r="Q371" s="362"/>
      <c r="R371" s="502"/>
      <c r="S371" s="503"/>
      <c r="T371" s="504"/>
      <c r="U371" s="33"/>
    </row>
    <row r="372" spans="1:21" ht="15.75" thickBot="1">
      <c r="A372" s="934"/>
      <c r="B372" s="526"/>
      <c r="C372" s="99" t="s">
        <v>29</v>
      </c>
      <c r="D372" s="55">
        <v>2135</v>
      </c>
      <c r="E372" s="56">
        <v>7.0643000000000002</v>
      </c>
      <c r="F372" s="57">
        <f t="shared" si="82"/>
        <v>7.0643000000000002</v>
      </c>
      <c r="G372" s="414">
        <f>ROUND(D372*(E372),2)</f>
        <v>15082.28</v>
      </c>
      <c r="H372" s="248"/>
      <c r="I372" s="203"/>
      <c r="J372" s="60"/>
      <c r="K372" s="1024"/>
      <c r="L372" s="204"/>
      <c r="M372" s="54"/>
      <c r="N372" s="527"/>
      <c r="O372" s="528"/>
      <c r="P372" s="529" t="s">
        <v>87</v>
      </c>
      <c r="Q372" s="362">
        <f>+G372+J372-M372-N372-O372</f>
        <v>15082.28</v>
      </c>
      <c r="R372" s="502" t="s">
        <v>88</v>
      </c>
      <c r="S372" s="598">
        <f>SUM(N365:N372)+O365:O372</f>
        <v>0</v>
      </c>
      <c r="T372" s="598" t="e">
        <f>SUM(Q365:Q372)</f>
        <v>#VALUE!</v>
      </c>
    </row>
    <row r="373" spans="1:21">
      <c r="A373" s="376">
        <v>407</v>
      </c>
      <c r="B373" s="494" t="s">
        <v>108</v>
      </c>
      <c r="C373" s="71">
        <f>+[1]дек!U87</f>
        <v>0</v>
      </c>
      <c r="D373" s="495">
        <v>4</v>
      </c>
      <c r="E373" s="21">
        <v>40.556600000000003</v>
      </c>
      <c r="F373" s="21">
        <v>47.5304</v>
      </c>
      <c r="G373" s="185">
        <f>ROUND(D373*(E373+F373),2)</f>
        <v>352.35</v>
      </c>
      <c r="H373" s="496"/>
      <c r="I373" s="73"/>
      <c r="J373" s="73"/>
      <c r="K373" s="679"/>
      <c r="L373" s="498">
        <f>SUM(G373:G379)+SUM(J373:J378)</f>
        <v>2888.12</v>
      </c>
      <c r="M373" s="26">
        <v>2888.12</v>
      </c>
      <c r="N373" s="499"/>
      <c r="O373" s="500"/>
      <c r="P373" s="501" t="s">
        <v>87</v>
      </c>
      <c r="Q373" s="304">
        <f t="shared" ref="Q373:Q375" si="83">C373+G373+J373-M373-N373-O373</f>
        <v>-2535.77</v>
      </c>
    </row>
    <row r="374" spans="1:21">
      <c r="A374" s="389"/>
      <c r="B374" s="506"/>
      <c r="C374" s="542" t="s">
        <v>96</v>
      </c>
      <c r="D374" s="234"/>
      <c r="E374" s="38"/>
      <c r="F374" s="38"/>
      <c r="G374" s="235">
        <f>ROUND(D374*(E374+F374),2)</f>
        <v>0</v>
      </c>
      <c r="H374" s="448"/>
      <c r="I374" s="509"/>
      <c r="J374" s="409"/>
      <c r="K374" s="1026"/>
      <c r="L374" s="632"/>
      <c r="M374" s="512"/>
      <c r="N374" s="513"/>
      <c r="O374" s="514"/>
      <c r="P374" s="515"/>
      <c r="Q374" s="262"/>
    </row>
    <row r="375" spans="1:21">
      <c r="A375" s="389"/>
      <c r="B375" s="516" t="s">
        <v>109</v>
      </c>
      <c r="C375" s="633"/>
      <c r="D375" s="508"/>
      <c r="E375" s="101">
        <v>330.44</v>
      </c>
      <c r="F375" s="38">
        <f>F373</f>
        <v>47.5304</v>
      </c>
      <c r="G375" s="50">
        <f>D375*(E375+F375)</f>
        <v>0</v>
      </c>
      <c r="H375" s="270"/>
      <c r="I375" s="41"/>
      <c r="J375" s="409"/>
      <c r="K375" s="1026"/>
      <c r="L375" s="597"/>
      <c r="M375" s="99"/>
      <c r="N375" s="518"/>
      <c r="O375" s="519"/>
      <c r="P375" s="515" t="s">
        <v>87</v>
      </c>
      <c r="Q375" s="271">
        <f t="shared" si="83"/>
        <v>0</v>
      </c>
    </row>
    <row r="376" spans="1:21">
      <c r="A376" s="389"/>
      <c r="B376" s="541"/>
      <c r="C376" s="84" t="s">
        <v>97</v>
      </c>
      <c r="D376" s="508">
        <f>ноя18!D354</f>
        <v>0</v>
      </c>
      <c r="E376" s="41">
        <f>330.44-461.99</f>
        <v>-131.55000000000001</v>
      </c>
      <c r="F376" s="41"/>
      <c r="G376" s="50">
        <f>D376*(E376+F376)</f>
        <v>0</v>
      </c>
      <c r="H376" s="432"/>
      <c r="I376" s="362"/>
      <c r="J376" s="207"/>
      <c r="K376" s="1026"/>
      <c r="L376" s="597"/>
      <c r="M376" s="520"/>
      <c r="N376" s="521"/>
      <c r="O376" s="522"/>
      <c r="P376" s="523"/>
      <c r="Q376" s="362"/>
    </row>
    <row r="377" spans="1:21">
      <c r="A377" s="389"/>
      <c r="B377" s="506"/>
      <c r="C377" s="48" t="s">
        <v>260</v>
      </c>
      <c r="D377" s="37">
        <f>ноя18!D357+ноя18!D358</f>
        <v>444.87</v>
      </c>
      <c r="E377" s="41">
        <f>7.0643-7.1352</f>
        <v>-7.0899999999999963E-2</v>
      </c>
      <c r="F377" s="41">
        <f>+E377</f>
        <v>-7.0899999999999963E-2</v>
      </c>
      <c r="G377" s="39">
        <f>ROUND(D377*(E377),2)</f>
        <v>-31.54</v>
      </c>
      <c r="H377" s="432"/>
      <c r="I377" s="362"/>
      <c r="J377" s="207"/>
      <c r="K377" s="1026"/>
      <c r="L377" s="597"/>
      <c r="M377" s="520"/>
      <c r="N377" s="521"/>
      <c r="O377" s="522"/>
      <c r="P377" s="523"/>
      <c r="Q377" s="362"/>
    </row>
    <row r="378" spans="1:21">
      <c r="A378" s="389"/>
      <c r="B378" s="506"/>
      <c r="C378" s="48" t="s">
        <v>263</v>
      </c>
      <c r="D378" s="37">
        <v>15.42</v>
      </c>
      <c r="E378" s="41">
        <v>7.0643000000000002</v>
      </c>
      <c r="F378" s="41">
        <f>+E378</f>
        <v>7.0643000000000002</v>
      </c>
      <c r="G378" s="39">
        <f t="shared" ref="G378:G379" si="84">ROUND(D378*(E378),2)</f>
        <v>108.93</v>
      </c>
      <c r="H378" s="432"/>
      <c r="I378" s="362"/>
      <c r="J378" s="207"/>
      <c r="K378" s="1026"/>
      <c r="L378" s="597"/>
      <c r="M378" s="520"/>
      <c r="N378" s="521"/>
      <c r="O378" s="522"/>
      <c r="P378" s="523"/>
      <c r="Q378" s="362"/>
    </row>
    <row r="379" spans="1:21" ht="15.75" thickBot="1">
      <c r="A379" s="411"/>
      <c r="B379" s="526"/>
      <c r="C379" s="54" t="s">
        <v>29</v>
      </c>
      <c r="D379" s="55">
        <v>348</v>
      </c>
      <c r="E379" s="56">
        <v>7.0643000000000002</v>
      </c>
      <c r="F379" s="281">
        <f>+E379</f>
        <v>7.0643000000000002</v>
      </c>
      <c r="G379" s="414">
        <f t="shared" si="84"/>
        <v>2458.38</v>
      </c>
      <c r="H379" s="248"/>
      <c r="I379" s="203"/>
      <c r="J379" s="60"/>
      <c r="K379" s="1024"/>
      <c r="L379" s="249"/>
      <c r="M379" s="54"/>
      <c r="N379" s="527"/>
      <c r="O379" s="528"/>
      <c r="P379" s="529" t="s">
        <v>87</v>
      </c>
      <c r="Q379" s="282">
        <f>+G379+J379-M379-N379-O379</f>
        <v>2458.38</v>
      </c>
    </row>
    <row r="380" spans="1:21" collapsed="1">
      <c r="A380" s="376">
        <v>411</v>
      </c>
      <c r="B380" s="602" t="s">
        <v>127</v>
      </c>
      <c r="C380" s="439" t="s">
        <v>260</v>
      </c>
      <c r="D380" s="184">
        <f>ноя18!D360+ноя18!D361</f>
        <v>544.08000000000004</v>
      </c>
      <c r="E380" s="23">
        <f>7.0643-7.1352</f>
        <v>-7.0899999999999963E-2</v>
      </c>
      <c r="F380" s="23">
        <f t="shared" ref="F380" si="85">+E380</f>
        <v>-7.0899999999999963E-2</v>
      </c>
      <c r="G380" s="185">
        <f>ROUND(D380*(E380),2)</f>
        <v>-38.58</v>
      </c>
      <c r="H380" s="669"/>
      <c r="I380" s="620"/>
      <c r="J380" s="620"/>
      <c r="K380" s="1020"/>
      <c r="L380" s="603">
        <f>SUM(G380:G383)</f>
        <v>3377.08</v>
      </c>
      <c r="M380" s="187">
        <v>3377.08</v>
      </c>
      <c r="N380" s="604"/>
      <c r="O380" s="635"/>
      <c r="P380" s="636"/>
      <c r="Q380" s="605"/>
    </row>
    <row r="381" spans="1:21">
      <c r="A381" s="934"/>
      <c r="B381" s="506"/>
      <c r="C381" s="48" t="s">
        <v>263</v>
      </c>
      <c r="D381" s="49">
        <v>20.51</v>
      </c>
      <c r="E381" s="41">
        <v>7.0643000000000002</v>
      </c>
      <c r="F381" s="41">
        <f>+E381</f>
        <v>7.0643000000000002</v>
      </c>
      <c r="G381" s="50">
        <f>ROUND(D381*(E381),2)</f>
        <v>144.88999999999999</v>
      </c>
      <c r="H381" s="296"/>
      <c r="I381" s="298"/>
      <c r="J381" s="298"/>
      <c r="K381" s="1021"/>
      <c r="L381" s="606"/>
      <c r="M381" s="935"/>
      <c r="N381" s="607"/>
      <c r="O381" s="608"/>
      <c r="P381" s="609"/>
      <c r="Q381" s="610"/>
    </row>
    <row r="382" spans="1:21">
      <c r="A382" s="934"/>
      <c r="B382" s="506"/>
      <c r="C382" s="99" t="s">
        <v>29</v>
      </c>
      <c r="D382" s="296">
        <v>463</v>
      </c>
      <c r="E382" s="101">
        <v>7.0643000000000002</v>
      </c>
      <c r="F382" s="41">
        <f t="shared" ref="F382" si="86">+E382</f>
        <v>7.0643000000000002</v>
      </c>
      <c r="G382" s="50">
        <f t="shared" ref="G382" si="87">ROUND(D382*(E382),2)</f>
        <v>3270.77</v>
      </c>
      <c r="H382" s="296"/>
      <c r="I382" s="298"/>
      <c r="J382" s="298"/>
      <c r="K382" s="1021"/>
      <c r="L382" s="606"/>
      <c r="M382" s="935"/>
      <c r="N382" s="615"/>
      <c r="O382" s="615"/>
      <c r="P382" s="615"/>
      <c r="Q382" s="616"/>
    </row>
    <row r="383" spans="1:21" ht="15.75" thickBot="1">
      <c r="A383" s="942"/>
      <c r="B383" s="278"/>
      <c r="C383" s="784"/>
      <c r="D383" s="941"/>
      <c r="E383" s="281"/>
      <c r="F383" s="57"/>
      <c r="G383" s="58"/>
      <c r="H383" s="613"/>
      <c r="I383" s="57"/>
      <c r="J383" s="57"/>
      <c r="K383" s="1021"/>
      <c r="L383" s="606"/>
      <c r="M383" s="935"/>
      <c r="N383" s="615"/>
      <c r="O383" s="615"/>
      <c r="P383" s="615"/>
      <c r="Q383" s="615"/>
    </row>
    <row r="384" spans="1:21">
      <c r="A384" s="376">
        <v>501</v>
      </c>
      <c r="B384" s="494" t="s">
        <v>202</v>
      </c>
      <c r="C384" s="71"/>
      <c r="D384" s="495">
        <v>27</v>
      </c>
      <c r="E384" s="21">
        <v>40.556600000000003</v>
      </c>
      <c r="F384" s="21">
        <v>47.5304</v>
      </c>
      <c r="G384" s="185">
        <f>ROUND(D384*(E384+F384),2)</f>
        <v>2378.35</v>
      </c>
      <c r="H384" s="496"/>
      <c r="I384" s="73"/>
      <c r="J384" s="73"/>
      <c r="K384" s="679"/>
      <c r="L384" s="498">
        <f>+SUM(G384:G391,C391)+SUM(J384:J391)</f>
        <v>55084.692799999997</v>
      </c>
      <c r="M384" s="26">
        <v>55084.69</v>
      </c>
      <c r="N384" s="499"/>
      <c r="O384" s="500"/>
      <c r="P384" s="501" t="s">
        <v>87</v>
      </c>
      <c r="Q384" s="304">
        <f t="shared" ref="Q384:Q401" si="88">C384+G384+J384-M384-N384-O384</f>
        <v>-52706.340000000004</v>
      </c>
      <c r="R384" s="502" t="s">
        <v>88</v>
      </c>
      <c r="S384" s="503"/>
      <c r="T384" s="504"/>
      <c r="U384" s="33"/>
    </row>
    <row r="385" spans="1:21">
      <c r="A385" s="389"/>
      <c r="B385" s="506"/>
      <c r="C385" s="507" t="s">
        <v>264</v>
      </c>
      <c r="D385" s="508"/>
      <c r="E385" s="38"/>
      <c r="F385" s="38"/>
      <c r="G385" s="50">
        <f>ROUND(D385*(E385+F385),2)</f>
        <v>0</v>
      </c>
      <c r="H385" s="448"/>
      <c r="I385" s="509"/>
      <c r="J385" s="409"/>
      <c r="K385" s="1026"/>
      <c r="L385" s="511"/>
      <c r="M385" s="512"/>
      <c r="N385" s="513"/>
      <c r="O385" s="514"/>
      <c r="P385" s="515"/>
      <c r="Q385" s="262"/>
      <c r="R385" s="502"/>
      <c r="S385" s="503"/>
      <c r="T385" s="504"/>
      <c r="U385" s="33"/>
    </row>
    <row r="386" spans="1:21">
      <c r="A386" s="389"/>
      <c r="B386" s="516" t="s">
        <v>89</v>
      </c>
      <c r="C386" s="512" t="s">
        <v>90</v>
      </c>
      <c r="D386" s="508">
        <v>7</v>
      </c>
      <c r="E386" s="101">
        <v>330.44</v>
      </c>
      <c r="F386" s="38">
        <f>F384</f>
        <v>47.5304</v>
      </c>
      <c r="G386" s="50">
        <f>D386*(E386+F386)</f>
        <v>2645.7927999999997</v>
      </c>
      <c r="H386" s="270"/>
      <c r="I386" s="41"/>
      <c r="J386" s="409"/>
      <c r="K386" s="1026"/>
      <c r="L386" s="517"/>
      <c r="M386" s="99"/>
      <c r="N386" s="518"/>
      <c r="O386" s="519"/>
      <c r="P386" s="515" t="s">
        <v>87</v>
      </c>
      <c r="Q386" s="271">
        <f>+G386+J386-M386-N386-O386</f>
        <v>2645.7927999999997</v>
      </c>
      <c r="R386" s="502" t="s">
        <v>88</v>
      </c>
      <c r="S386" s="503"/>
      <c r="T386" s="504"/>
    </row>
    <row r="387" spans="1:21">
      <c r="A387" s="389"/>
      <c r="B387" s="506" t="s">
        <v>91</v>
      </c>
      <c r="C387" s="507"/>
      <c r="D387" s="508">
        <f>ноя18!D365</f>
        <v>7</v>
      </c>
      <c r="E387" s="41">
        <f>330.44-461.99</f>
        <v>-131.55000000000001</v>
      </c>
      <c r="F387" s="38"/>
      <c r="G387" s="50">
        <f>ROUND(D387*(E387+F387),2)</f>
        <v>-920.85</v>
      </c>
      <c r="H387" s="432"/>
      <c r="I387" s="362"/>
      <c r="J387" s="409"/>
      <c r="K387" s="1026"/>
      <c r="L387" s="517"/>
      <c r="M387" s="520"/>
      <c r="N387" s="521"/>
      <c r="O387" s="522"/>
      <c r="P387" s="523"/>
      <c r="Q387" s="362"/>
      <c r="R387" s="502"/>
      <c r="S387" s="503"/>
      <c r="T387" s="504"/>
    </row>
    <row r="388" spans="1:21">
      <c r="A388" s="389"/>
      <c r="B388" s="506" t="s">
        <v>91</v>
      </c>
      <c r="C388" s="507"/>
      <c r="D388" s="508"/>
      <c r="E388" s="38"/>
      <c r="F388" s="41"/>
      <c r="G388" s="50">
        <f>D388*(E388+F388)</f>
        <v>0</v>
      </c>
      <c r="H388" s="432"/>
      <c r="I388" s="362"/>
      <c r="J388" s="409"/>
      <c r="K388" s="1026"/>
      <c r="L388" s="517"/>
      <c r="M388" s="520"/>
      <c r="N388" s="521"/>
      <c r="O388" s="522"/>
      <c r="P388" s="523"/>
      <c r="Q388" s="362"/>
      <c r="R388" s="502"/>
      <c r="S388" s="503"/>
      <c r="T388" s="504"/>
    </row>
    <row r="389" spans="1:21">
      <c r="A389" s="389"/>
      <c r="B389" s="506" t="s">
        <v>92</v>
      </c>
      <c r="C389" s="48" t="s">
        <v>260</v>
      </c>
      <c r="D389" s="508">
        <f>ноя18!D369+ноя18!D370</f>
        <v>8259.3700000000008</v>
      </c>
      <c r="E389" s="41">
        <f>7.0643-7.1352</f>
        <v>-7.0899999999999963E-2</v>
      </c>
      <c r="F389" s="41">
        <f>+E389</f>
        <v>-7.0899999999999963E-2</v>
      </c>
      <c r="G389" s="39">
        <f>ROUNDDOWN(D389*E389,2)-0.01</f>
        <v>-585.59</v>
      </c>
      <c r="H389" s="432"/>
      <c r="I389" s="362"/>
      <c r="J389" s="41"/>
      <c r="K389" s="1026"/>
      <c r="L389" s="517"/>
      <c r="M389" s="520"/>
      <c r="N389" s="521"/>
      <c r="O389" s="522"/>
      <c r="P389" s="523"/>
      <c r="Q389" s="362"/>
      <c r="R389" s="502"/>
      <c r="S389" s="503"/>
      <c r="T389" s="504"/>
    </row>
    <row r="390" spans="1:21">
      <c r="A390" s="389"/>
      <c r="B390" s="506"/>
      <c r="C390" s="48" t="s">
        <v>263</v>
      </c>
      <c r="D390" s="508">
        <v>309.66000000000003</v>
      </c>
      <c r="E390" s="41">
        <v>7.0643000000000002</v>
      </c>
      <c r="F390" s="41">
        <f>+E390</f>
        <v>7.0643000000000002</v>
      </c>
      <c r="G390" s="39">
        <f>ROUND(D390*E390,2)</f>
        <v>2187.5300000000002</v>
      </c>
      <c r="H390" s="432"/>
      <c r="I390" s="362"/>
      <c r="J390" s="207"/>
      <c r="K390" s="1030"/>
      <c r="L390" s="517"/>
      <c r="M390" s="520"/>
      <c r="N390" s="521"/>
      <c r="O390" s="522"/>
      <c r="P390" s="523"/>
      <c r="Q390" s="362"/>
      <c r="R390" s="502"/>
      <c r="S390" s="503"/>
      <c r="T390" s="504"/>
    </row>
    <row r="391" spans="1:21" ht="15.75" thickBot="1">
      <c r="A391" s="411"/>
      <c r="B391" s="526"/>
      <c r="C391" s="99" t="s">
        <v>29</v>
      </c>
      <c r="D391" s="55">
        <v>6990</v>
      </c>
      <c r="E391" s="56">
        <v>7.0643000000000002</v>
      </c>
      <c r="F391" s="57">
        <f>+E391</f>
        <v>7.0643000000000002</v>
      </c>
      <c r="G391" s="58">
        <f>ROUND(D391*E391,2)</f>
        <v>49379.46</v>
      </c>
      <c r="H391" s="248"/>
      <c r="I391" s="203"/>
      <c r="J391" s="60"/>
      <c r="K391" s="1024"/>
      <c r="L391" s="249"/>
      <c r="M391" s="54"/>
      <c r="N391" s="527"/>
      <c r="O391" s="528"/>
      <c r="P391" s="529" t="s">
        <v>87</v>
      </c>
      <c r="Q391" s="282">
        <f>+G391+J391-M391-N391-O391</f>
        <v>49379.46</v>
      </c>
      <c r="R391" s="530" t="s">
        <v>88</v>
      </c>
      <c r="S391" s="531">
        <f>SUM(N384:N391)+O384:O391</f>
        <v>0</v>
      </c>
      <c r="T391" s="531">
        <f>SUM(Q384:Q391)</f>
        <v>-681.08720000000176</v>
      </c>
      <c r="U391" s="33"/>
    </row>
    <row r="392" spans="1:21" ht="15.75" thickTop="1">
      <c r="A392" s="339">
        <v>502</v>
      </c>
      <c r="B392" s="532" t="s">
        <v>192</v>
      </c>
      <c r="C392" s="71">
        <f>+[1]дек!U51</f>
        <v>-6.0000000303261913E-4</v>
      </c>
      <c r="D392" s="213">
        <v>42</v>
      </c>
      <c r="E392" s="21">
        <v>40.556600000000003</v>
      </c>
      <c r="F392" s="21">
        <v>47.5304</v>
      </c>
      <c r="G392" s="214">
        <f>ROUND(D392*(E392+F392),2)</f>
        <v>3699.65</v>
      </c>
      <c r="H392" s="496"/>
      <c r="I392" s="73"/>
      <c r="J392" s="73"/>
      <c r="K392" s="679"/>
      <c r="L392" s="533">
        <f>+SUM(G392:G399,)+SUM(J392:J399)</f>
        <v>42793.14</v>
      </c>
      <c r="M392" s="26">
        <v>42793.14</v>
      </c>
      <c r="N392" s="534"/>
      <c r="O392" s="535"/>
      <c r="P392" s="536" t="s">
        <v>87</v>
      </c>
      <c r="Q392" s="537">
        <f t="shared" si="88"/>
        <v>-39093.490600000005</v>
      </c>
      <c r="R392" s="538" t="s">
        <v>95</v>
      </c>
      <c r="S392" s="539"/>
      <c r="T392" s="540"/>
      <c r="U392" s="33"/>
    </row>
    <row r="393" spans="1:21">
      <c r="A393" s="353"/>
      <c r="B393" s="541"/>
      <c r="C393" s="542" t="s">
        <v>96</v>
      </c>
      <c r="D393" s="234"/>
      <c r="E393" s="38"/>
      <c r="F393" s="38"/>
      <c r="G393" s="235">
        <f>ROUND(D393*(E393+F393),2)</f>
        <v>0</v>
      </c>
      <c r="H393" s="448"/>
      <c r="I393" s="509"/>
      <c r="J393" s="509"/>
      <c r="K393" s="1025"/>
      <c r="L393" s="544"/>
      <c r="M393" s="545"/>
      <c r="N393" s="546"/>
      <c r="O393" s="547"/>
      <c r="P393" s="548"/>
      <c r="Q393" s="549"/>
      <c r="R393" s="550"/>
      <c r="S393" s="551"/>
      <c r="T393" s="552"/>
      <c r="U393" s="33"/>
    </row>
    <row r="394" spans="1:21">
      <c r="A394" s="353"/>
      <c r="B394" s="516" t="s">
        <v>32</v>
      </c>
      <c r="C394" s="99" t="s">
        <v>90</v>
      </c>
      <c r="D394" s="234">
        <v>24</v>
      </c>
      <c r="E394" s="101">
        <v>330.44</v>
      </c>
      <c r="F394" s="38">
        <f>F392</f>
        <v>47.5304</v>
      </c>
      <c r="G394" s="235">
        <f>ROUND(D394*(E394+F394),2)</f>
        <v>9071.2900000000009</v>
      </c>
      <c r="H394" s="270"/>
      <c r="I394" s="41"/>
      <c r="J394" s="41"/>
      <c r="K394" s="1026"/>
      <c r="L394" s="553"/>
      <c r="M394" s="554"/>
      <c r="N394" s="555"/>
      <c r="O394" s="556"/>
      <c r="P394" s="557" t="s">
        <v>87</v>
      </c>
      <c r="Q394" s="558">
        <f>+G394+J394-M394-N394-O394</f>
        <v>9071.2900000000009</v>
      </c>
      <c r="R394" s="550" t="s">
        <v>95</v>
      </c>
      <c r="S394" s="551"/>
      <c r="T394" s="552"/>
    </row>
    <row r="395" spans="1:21">
      <c r="A395" s="353"/>
      <c r="B395" s="541"/>
      <c r="C395" s="84" t="s">
        <v>97</v>
      </c>
      <c r="D395" s="234">
        <f>ноя18!D373</f>
        <v>23</v>
      </c>
      <c r="E395" s="41">
        <f>330.44-461.99</f>
        <v>-131.55000000000001</v>
      </c>
      <c r="F395" s="38"/>
      <c r="G395" s="50">
        <f>ROUND(D395*(E395+F395),2)</f>
        <v>-3025.65</v>
      </c>
      <c r="H395" s="432"/>
      <c r="I395" s="362"/>
      <c r="J395" s="41"/>
      <c r="K395" s="1026"/>
      <c r="L395" s="559"/>
      <c r="M395" s="560"/>
      <c r="N395" s="561"/>
      <c r="O395" s="562"/>
      <c r="P395" s="563"/>
      <c r="Q395" s="564"/>
      <c r="R395" s="550"/>
      <c r="S395" s="551"/>
      <c r="T395" s="552"/>
    </row>
    <row r="396" spans="1:21">
      <c r="A396" s="353"/>
      <c r="B396" s="541"/>
      <c r="C396" s="84" t="s">
        <v>97</v>
      </c>
      <c r="D396" s="234"/>
      <c r="E396" s="38"/>
      <c r="F396" s="240"/>
      <c r="G396" s="50">
        <f>D396*(E396+F396)</f>
        <v>0</v>
      </c>
      <c r="H396" s="432"/>
      <c r="I396" s="362"/>
      <c r="J396" s="41"/>
      <c r="K396" s="1026"/>
      <c r="L396" s="559"/>
      <c r="M396" s="560"/>
      <c r="N396" s="561"/>
      <c r="O396" s="562"/>
      <c r="P396" s="563"/>
      <c r="Q396" s="564"/>
      <c r="R396" s="550"/>
      <c r="S396" s="551"/>
      <c r="T396" s="552"/>
    </row>
    <row r="397" spans="1:21">
      <c r="A397" s="353"/>
      <c r="B397" s="541"/>
      <c r="C397" s="48" t="s">
        <v>260</v>
      </c>
      <c r="D397" s="37">
        <f>ноя18!D377+ноя18!D378</f>
        <v>4713.97</v>
      </c>
      <c r="E397" s="41">
        <f>7.0643-7.1352</f>
        <v>-7.0899999999999963E-2</v>
      </c>
      <c r="F397" s="41">
        <f>+E397</f>
        <v>-7.0899999999999963E-2</v>
      </c>
      <c r="G397" s="235">
        <f>ROUND(D397*E397,2)</f>
        <v>-334.22</v>
      </c>
      <c r="H397" s="565"/>
      <c r="I397" s="564"/>
      <c r="J397" s="566"/>
      <c r="K397" s="1031"/>
      <c r="L397" s="559"/>
      <c r="M397" s="560"/>
      <c r="N397" s="561"/>
      <c r="O397" s="562"/>
      <c r="P397" s="563"/>
      <c r="Q397" s="564"/>
      <c r="R397" s="550"/>
      <c r="S397" s="551"/>
      <c r="T397" s="552"/>
      <c r="U397" s="352"/>
    </row>
    <row r="398" spans="1:21">
      <c r="A398" s="353"/>
      <c r="B398" s="541"/>
      <c r="C398" s="48" t="s">
        <v>263</v>
      </c>
      <c r="D398" s="37">
        <v>200.46</v>
      </c>
      <c r="E398" s="41">
        <v>7.0643000000000002</v>
      </c>
      <c r="F398" s="41">
        <f>+E398</f>
        <v>7.0643000000000002</v>
      </c>
      <c r="G398" s="235">
        <f>ROUND(D398*E398,2)</f>
        <v>1416.11</v>
      </c>
      <c r="H398" s="565"/>
      <c r="I398" s="564"/>
      <c r="J398" s="566"/>
      <c r="K398" s="1031"/>
      <c r="L398" s="559"/>
      <c r="M398" s="560"/>
      <c r="N398" s="561"/>
      <c r="O398" s="562"/>
      <c r="P398" s="563"/>
      <c r="Q398" s="564"/>
      <c r="R398" s="550"/>
      <c r="S398" s="551"/>
      <c r="T398" s="552"/>
      <c r="U398" s="33"/>
    </row>
    <row r="399" spans="1:21" ht="15.75" thickBot="1">
      <c r="A399" s="369"/>
      <c r="B399" s="568"/>
      <c r="C399" s="99" t="s">
        <v>29</v>
      </c>
      <c r="D399" s="246">
        <v>4525</v>
      </c>
      <c r="E399" s="56">
        <v>7.0643000000000002</v>
      </c>
      <c r="F399" s="57">
        <f>+E399</f>
        <v>7.0643000000000002</v>
      </c>
      <c r="G399" s="247">
        <f>ROUND(D399*E399,2)</f>
        <v>31965.96</v>
      </c>
      <c r="H399" s="248"/>
      <c r="I399" s="203"/>
      <c r="J399" s="60"/>
      <c r="K399" s="61"/>
      <c r="L399" s="204"/>
      <c r="M399" s="560"/>
      <c r="N399" s="561"/>
      <c r="O399" s="528"/>
      <c r="P399" s="529" t="s">
        <v>87</v>
      </c>
      <c r="Q399" s="564">
        <f>+G399+J399-M399-N399-O399</f>
        <v>31965.96</v>
      </c>
      <c r="R399" s="550" t="s">
        <v>95</v>
      </c>
      <c r="S399" s="569">
        <f>SUM(N392:N399)+O392:O399</f>
        <v>0</v>
      </c>
      <c r="T399" s="570">
        <f>SUM(Q394:Q399)</f>
        <v>41037.25</v>
      </c>
    </row>
    <row r="400" spans="1:21" ht="15.75" hidden="1" outlineLevel="1" thickBot="1">
      <c r="A400" s="571"/>
      <c r="B400" s="572" t="s">
        <v>98</v>
      </c>
      <c r="C400" s="573" t="s">
        <v>99</v>
      </c>
      <c r="D400" s="574"/>
      <c r="E400" s="575">
        <f>3.193-2.9732</f>
        <v>0.21980000000000022</v>
      </c>
      <c r="F400" s="575">
        <f>3.193-2.9732</f>
        <v>0.21980000000000022</v>
      </c>
      <c r="G400" s="576">
        <f>D400*E400*70%+D400*F400*30%</f>
        <v>0</v>
      </c>
      <c r="H400" s="577"/>
      <c r="I400" s="578"/>
      <c r="J400" s="579"/>
      <c r="K400" s="579"/>
      <c r="L400" s="580"/>
      <c r="M400" s="581"/>
      <c r="N400" s="582"/>
      <c r="O400" s="535"/>
      <c r="P400" s="536"/>
      <c r="Q400" s="583"/>
      <c r="R400" s="584"/>
      <c r="S400" s="569"/>
      <c r="T400" s="585"/>
    </row>
    <row r="401" spans="1:20" s="81" customFormat="1" ht="16.5" hidden="1" customHeight="1" outlineLevel="1" thickBot="1">
      <c r="A401" s="933" t="s">
        <v>100</v>
      </c>
      <c r="B401" s="587" t="s">
        <v>98</v>
      </c>
      <c r="C401" s="588">
        <f>+[1]авг!C52</f>
        <v>0</v>
      </c>
      <c r="D401" s="589"/>
      <c r="E401" s="575">
        <v>3.1930000000000001</v>
      </c>
      <c r="F401" s="575">
        <f>+E401</f>
        <v>3.1930000000000001</v>
      </c>
      <c r="G401" s="576">
        <f>D401*E401*70%+D401*F401*30%</f>
        <v>0</v>
      </c>
      <c r="H401" s="579"/>
      <c r="I401" s="579"/>
      <c r="J401" s="579"/>
      <c r="K401" s="579"/>
      <c r="L401" s="579">
        <f>+C401+G401+G400</f>
        <v>0</v>
      </c>
      <c r="M401" s="590"/>
      <c r="N401" s="500"/>
      <c r="O401" s="528"/>
      <c r="P401" s="529" t="s">
        <v>87</v>
      </c>
      <c r="Q401" s="591">
        <f t="shared" si="88"/>
        <v>0</v>
      </c>
      <c r="R401" s="592" t="s">
        <v>101</v>
      </c>
      <c r="S401" s="77">
        <f>SUM(N401:N401)+SUM(O401:O401)</f>
        <v>0</v>
      </c>
      <c r="T401" s="593">
        <f>SUM(Q401:Q401)</f>
        <v>0</v>
      </c>
    </row>
    <row r="402" spans="1:20" ht="15.75" hidden="1" outlineLevel="1" thickBot="1">
      <c r="A402" s="944"/>
      <c r="B402" s="945" t="s">
        <v>128</v>
      </c>
      <c r="C402" s="573" t="s">
        <v>115</v>
      </c>
      <c r="D402" s="946"/>
      <c r="E402" s="579">
        <f>6.8021-6.8946</f>
        <v>-9.2499999999999361E-2</v>
      </c>
      <c r="F402" s="579">
        <f t="shared" ref="F402" si="89">+E402</f>
        <v>-9.2499999999999361E-2</v>
      </c>
      <c r="G402" s="947">
        <f>ROUND(D402*(E402),2)</f>
        <v>0</v>
      </c>
      <c r="H402" s="948"/>
      <c r="I402" s="949"/>
      <c r="J402" s="949"/>
      <c r="K402" s="950"/>
      <c r="L402" s="951"/>
      <c r="M402" s="952"/>
      <c r="N402" s="604"/>
      <c r="O402" s="635"/>
      <c r="P402" s="636"/>
      <c r="Q402" s="605"/>
    </row>
    <row r="403" spans="1:20" ht="15.75" hidden="1" outlineLevel="1" thickBot="1">
      <c r="A403" s="953"/>
      <c r="B403" s="954"/>
      <c r="C403" s="573" t="s">
        <v>114</v>
      </c>
      <c r="D403" s="946"/>
      <c r="E403" s="579">
        <v>6.8021000000000003</v>
      </c>
      <c r="F403" s="579">
        <f>+E403</f>
        <v>6.8021000000000003</v>
      </c>
      <c r="G403" s="947">
        <f>ROUND(D403*(E403),2)</f>
        <v>0</v>
      </c>
      <c r="H403" s="948"/>
      <c r="I403" s="949"/>
      <c r="J403" s="949"/>
      <c r="K403" s="950"/>
      <c r="L403" s="955"/>
      <c r="M403" s="956"/>
      <c r="N403" s="607"/>
      <c r="O403" s="608"/>
      <c r="P403" s="609"/>
      <c r="Q403" s="610"/>
    </row>
    <row r="404" spans="1:20" ht="15.75" hidden="1" outlineLevel="1" thickBot="1">
      <c r="A404" s="944"/>
      <c r="B404" s="954"/>
      <c r="C404" s="916" t="s">
        <v>29</v>
      </c>
      <c r="D404" s="948"/>
      <c r="E404" s="917">
        <v>6.8021000000000003</v>
      </c>
      <c r="F404" s="579">
        <f t="shared" ref="F404" si="90">+E404</f>
        <v>6.8021000000000003</v>
      </c>
      <c r="G404" s="947">
        <f t="shared" ref="G404" si="91">ROUND(D404*(E404),2)</f>
        <v>0</v>
      </c>
      <c r="H404" s="948"/>
      <c r="I404" s="949"/>
      <c r="J404" s="949"/>
      <c r="K404" s="950"/>
      <c r="L404" s="951"/>
      <c r="M404" s="956"/>
      <c r="N404" s="615"/>
      <c r="O404" s="615"/>
      <c r="P404" s="615"/>
      <c r="Q404" s="616"/>
    </row>
    <row r="405" spans="1:20" ht="15.75" hidden="1" outlineLevel="1" thickBot="1">
      <c r="A405" s="953"/>
      <c r="B405" s="955"/>
      <c r="C405" s="575"/>
      <c r="D405" s="957"/>
      <c r="E405" s="580"/>
      <c r="F405" s="575"/>
      <c r="G405" s="958"/>
      <c r="H405" s="959"/>
      <c r="I405" s="575"/>
      <c r="J405" s="575"/>
      <c r="K405" s="575"/>
      <c r="L405" s="955"/>
      <c r="M405" s="956"/>
      <c r="N405" s="615"/>
      <c r="O405" s="615"/>
      <c r="P405" s="615"/>
      <c r="Q405" s="615"/>
    </row>
    <row r="406" spans="1:20" collapsed="1">
      <c r="A406" s="963"/>
      <c r="B406" s="621"/>
      <c r="C406" s="621"/>
      <c r="D406" s="964"/>
      <c r="E406" s="905"/>
      <c r="F406" s="621"/>
      <c r="G406" s="905"/>
      <c r="H406" s="621"/>
      <c r="I406" s="621"/>
      <c r="J406" s="621"/>
      <c r="K406" s="621"/>
      <c r="L406" s="621"/>
      <c r="M406" s="965"/>
      <c r="N406" s="615"/>
      <c r="O406" s="615"/>
      <c r="P406" s="615"/>
      <c r="Q406" s="615"/>
    </row>
    <row r="407" spans="1:20" ht="15.75" thickBot="1">
      <c r="A407" s="966"/>
      <c r="B407" s="615"/>
      <c r="C407" s="615"/>
      <c r="D407" s="696"/>
      <c r="E407" s="473"/>
      <c r="F407" s="615"/>
      <c r="G407" s="473"/>
      <c r="H407" s="615"/>
      <c r="I407" s="615"/>
      <c r="J407" s="615"/>
      <c r="K407" s="615"/>
      <c r="L407" s="615"/>
      <c r="M407" s="967"/>
      <c r="N407" s="615"/>
      <c r="O407" s="615"/>
      <c r="P407" s="615"/>
      <c r="Q407" s="615"/>
    </row>
    <row r="408" spans="1:20" s="81" customFormat="1" ht="15" customHeight="1" thickTop="1">
      <c r="A408" s="476"/>
      <c r="B408" s="158"/>
      <c r="C408" s="322"/>
      <c r="D408" s="477"/>
      <c r="E408" s="163"/>
      <c r="F408" s="163"/>
      <c r="G408" s="478"/>
      <c r="H408" s="163"/>
      <c r="I408" s="163"/>
      <c r="J408" s="163"/>
      <c r="K408" s="163"/>
      <c r="L408" s="163"/>
      <c r="M408" s="164"/>
      <c r="N408" s="479"/>
      <c r="O408" s="479"/>
      <c r="P408" s="479"/>
      <c r="Q408" s="479"/>
      <c r="R408" s="422"/>
      <c r="S408"/>
      <c r="T408" s="399"/>
    </row>
    <row r="409" spans="1:20" ht="15.75" thickBot="1">
      <c r="A409" s="968" t="s">
        <v>113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  <c r="N409" s="2"/>
      <c r="O409" s="2"/>
      <c r="P409" s="2"/>
      <c r="Q409" s="2"/>
    </row>
    <row r="410" spans="1:20" ht="15.75" customHeight="1" thickTop="1" thickBot="1">
      <c r="A410" s="1559" t="s">
        <v>1</v>
      </c>
      <c r="B410" s="1543" t="s">
        <v>2</v>
      </c>
      <c r="C410" s="1545" t="s">
        <v>3</v>
      </c>
      <c r="D410" s="1546" t="s">
        <v>4</v>
      </c>
      <c r="E410" s="1546"/>
      <c r="F410" s="1546"/>
      <c r="G410" s="1546"/>
      <c r="H410" s="1547"/>
      <c r="I410" s="1548"/>
      <c r="J410" s="1548"/>
      <c r="K410" s="1549"/>
      <c r="L410" s="1524" t="s">
        <v>6</v>
      </c>
      <c r="M410" s="1511" t="s">
        <v>7</v>
      </c>
      <c r="N410" s="1551" t="s">
        <v>8</v>
      </c>
      <c r="O410" s="1551"/>
      <c r="P410" s="1551"/>
      <c r="Q410" s="1552"/>
      <c r="R410" s="481"/>
      <c r="S410" s="482" t="s">
        <v>20</v>
      </c>
      <c r="T410" s="482" t="s">
        <v>21</v>
      </c>
    </row>
    <row r="411" spans="1:20" ht="26.25" thickBot="1">
      <c r="A411" s="1560"/>
      <c r="B411" s="1557"/>
      <c r="C411" s="1558" t="s">
        <v>10</v>
      </c>
      <c r="D411" s="483" t="s">
        <v>11</v>
      </c>
      <c r="E411" s="649" t="s">
        <v>12</v>
      </c>
      <c r="F411" s="649" t="s">
        <v>13</v>
      </c>
      <c r="G411" s="650" t="s">
        <v>14</v>
      </c>
      <c r="H411" s="483" t="s">
        <v>11</v>
      </c>
      <c r="I411" s="486" t="s">
        <v>15</v>
      </c>
      <c r="J411" s="485"/>
      <c r="K411" s="1014" t="s">
        <v>16</v>
      </c>
      <c r="L411" s="1525"/>
      <c r="M411" s="1554"/>
      <c r="N411" s="655"/>
      <c r="O411" s="653"/>
      <c r="P411" s="656" t="s">
        <v>18</v>
      </c>
      <c r="Q411" s="657" t="s">
        <v>19</v>
      </c>
      <c r="R411" s="491"/>
      <c r="S411" s="492"/>
      <c r="T411" s="492"/>
    </row>
    <row r="412" spans="1:20">
      <c r="A412" s="961" t="s">
        <v>212</v>
      </c>
      <c r="B412" s="659" t="s">
        <v>116</v>
      </c>
      <c r="C412" s="668" t="s">
        <v>73</v>
      </c>
      <c r="D412" s="669">
        <v>30</v>
      </c>
      <c r="E412" s="21">
        <v>40.556600000000003</v>
      </c>
      <c r="F412" s="21">
        <v>47.5304</v>
      </c>
      <c r="G412" s="214">
        <f>+D412*(E412+F412)</f>
        <v>2642.61</v>
      </c>
      <c r="H412" s="1015">
        <f>окт18!D377</f>
        <v>4.3</v>
      </c>
      <c r="I412" s="1016">
        <v>24.535</v>
      </c>
      <c r="J412" s="620">
        <f>ROUND(H412*I412,2)</f>
        <v>105.5</v>
      </c>
      <c r="K412" s="1017">
        <v>43374</v>
      </c>
      <c r="L412" s="603">
        <f>SUM(G412:G418)+SUM(J412:J416)</f>
        <v>13368.830000000002</v>
      </c>
      <c r="M412" s="187">
        <v>13368.83</v>
      </c>
      <c r="N412" s="670"/>
      <c r="O412" s="670"/>
      <c r="P412" s="670"/>
      <c r="Q412" s="670"/>
    </row>
    <row r="413" spans="1:20">
      <c r="A413" s="970"/>
      <c r="B413" s="672"/>
      <c r="C413" s="48" t="s">
        <v>264</v>
      </c>
      <c r="D413" s="673"/>
      <c r="E413" s="41"/>
      <c r="F413" s="298"/>
      <c r="G413" s="235">
        <f>+D413*(E413+F413)</f>
        <v>0</v>
      </c>
      <c r="H413" s="687">
        <f>ноя18!D391</f>
        <v>5</v>
      </c>
      <c r="I413" s="688">
        <v>7.4577</v>
      </c>
      <c r="J413" s="670">
        <f>ROUND(H413*I413,2)</f>
        <v>37.29</v>
      </c>
      <c r="K413" s="689">
        <v>43405</v>
      </c>
      <c r="L413" s="606"/>
      <c r="M413" s="935"/>
      <c r="N413" s="298"/>
      <c r="O413" s="298"/>
      <c r="P413" s="298"/>
      <c r="Q413" s="298"/>
    </row>
    <row r="414" spans="1:20">
      <c r="A414" s="970"/>
      <c r="B414" s="442"/>
      <c r="C414" s="48"/>
      <c r="D414" s="673"/>
      <c r="E414" s="41"/>
      <c r="F414" s="298"/>
      <c r="G414" s="235">
        <f t="shared" ref="G414:G430" si="92">ROUND(D414*E414,2)</f>
        <v>0</v>
      </c>
      <c r="H414" s="687"/>
      <c r="I414" s="688"/>
      <c r="J414" s="670"/>
      <c r="K414" s="689"/>
      <c r="L414" s="614"/>
      <c r="M414" s="935"/>
      <c r="N414" s="298"/>
      <c r="O414" s="298"/>
      <c r="P414" s="298"/>
      <c r="Q414" s="298"/>
    </row>
    <row r="415" spans="1:20">
      <c r="A415" s="970"/>
      <c r="B415" s="35"/>
      <c r="C415" s="606"/>
      <c r="D415" s="673"/>
      <c r="E415" s="41"/>
      <c r="F415" s="298"/>
      <c r="G415" s="235">
        <f t="shared" si="92"/>
        <v>0</v>
      </c>
      <c r="H415" s="270"/>
      <c r="I415" s="688"/>
      <c r="J415" s="670"/>
      <c r="K415" s="689"/>
      <c r="L415" s="614"/>
      <c r="M415" s="273"/>
      <c r="N415" s="298"/>
      <c r="O415" s="298"/>
      <c r="P415" s="298"/>
      <c r="Q415" s="298"/>
    </row>
    <row r="416" spans="1:20" ht="15.75">
      <c r="A416" s="971"/>
      <c r="B416" s="672"/>
      <c r="C416" s="48" t="s">
        <v>260</v>
      </c>
      <c r="D416" s="269">
        <f>ноя18!D396+ноя18!D397</f>
        <v>1756.85</v>
      </c>
      <c r="E416" s="41">
        <f>7.0643-7.1352</f>
        <v>-7.0899999999999963E-2</v>
      </c>
      <c r="F416" s="298">
        <f t="shared" ref="F416:F417" si="93">+E416</f>
        <v>-7.0899999999999963E-2</v>
      </c>
      <c r="G416" s="235">
        <f>ROUND(D416*E416,2)-0.01</f>
        <v>-124.57000000000001</v>
      </c>
      <c r="H416" s="270"/>
      <c r="I416" s="41"/>
      <c r="J416" s="670"/>
      <c r="K416" s="689"/>
      <c r="L416" s="606"/>
      <c r="M416" s="935"/>
      <c r="N416" s="663"/>
      <c r="O416" s="237"/>
      <c r="P416" s="275"/>
      <c r="Q416" s="237"/>
    </row>
    <row r="417" spans="1:18" ht="15.75">
      <c r="A417" s="972"/>
      <c r="B417" s="35"/>
      <c r="C417" s="48" t="s">
        <v>263</v>
      </c>
      <c r="D417" s="269">
        <v>50.69</v>
      </c>
      <c r="E417" s="41">
        <v>7.0643000000000002</v>
      </c>
      <c r="F417" s="298">
        <f t="shared" si="93"/>
        <v>7.0643000000000002</v>
      </c>
      <c r="G417" s="235">
        <f t="shared" si="92"/>
        <v>358.09</v>
      </c>
      <c r="H417" s="270"/>
      <c r="I417" s="41"/>
      <c r="J417" s="41"/>
      <c r="K417" s="101"/>
      <c r="L417" s="614"/>
      <c r="M417" s="935"/>
      <c r="N417" s="663"/>
      <c r="O417" s="237"/>
      <c r="P417" s="275"/>
      <c r="Q417" s="237"/>
    </row>
    <row r="418" spans="1:18" ht="15.75" thickBot="1">
      <c r="A418" s="973"/>
      <c r="B418" s="665"/>
      <c r="C418" s="54" t="s">
        <v>29</v>
      </c>
      <c r="D418" s="613">
        <v>1465.1</v>
      </c>
      <c r="E418" s="56">
        <v>7.0643000000000002</v>
      </c>
      <c r="F418" s="57"/>
      <c r="G418" s="247">
        <f t="shared" si="92"/>
        <v>10349.91</v>
      </c>
      <c r="H418" s="613"/>
      <c r="I418" s="57"/>
      <c r="J418" s="57"/>
      <c r="K418" s="1018"/>
      <c r="L418" s="783"/>
      <c r="M418" s="250"/>
      <c r="N418" s="57"/>
      <c r="O418" s="57"/>
      <c r="P418" s="57"/>
      <c r="Q418" s="57"/>
      <c r="R418" s="615"/>
    </row>
    <row r="419" spans="1:18" ht="15.75">
      <c r="A419" s="658">
        <v>212</v>
      </c>
      <c r="B419" s="659" t="s">
        <v>148</v>
      </c>
      <c r="C419" s="786" t="s">
        <v>260</v>
      </c>
      <c r="D419" s="259">
        <f>ноя18!D399+ноя18!D400</f>
        <v>170.92</v>
      </c>
      <c r="E419" s="41">
        <f>7.0643-7.1352</f>
        <v>-7.0899999999999963E-2</v>
      </c>
      <c r="F419" s="691">
        <f>+E419</f>
        <v>-7.0899999999999963E-2</v>
      </c>
      <c r="G419" s="214">
        <f>ROUND(D419*E419,2)+0.01</f>
        <v>-12.11</v>
      </c>
      <c r="H419" s="303"/>
      <c r="I419" s="23"/>
      <c r="J419" s="23"/>
      <c r="K419" s="341"/>
      <c r="L419" s="603">
        <f>SUM(G419:G421)</f>
        <v>1345.1499999999999</v>
      </c>
      <c r="M419" s="187">
        <v>1345.15</v>
      </c>
      <c r="N419" s="660"/>
      <c r="O419" s="217"/>
      <c r="P419" s="661"/>
      <c r="Q419" s="219"/>
    </row>
    <row r="420" spans="1:18" ht="15.75">
      <c r="A420" s="662"/>
      <c r="B420" s="35"/>
      <c r="C420" s="48" t="s">
        <v>263</v>
      </c>
      <c r="D420" s="269">
        <v>6.43</v>
      </c>
      <c r="E420" s="41">
        <v>7.0643000000000002</v>
      </c>
      <c r="F420" s="298">
        <f t="shared" ref="F420" si="94">+E420</f>
        <v>7.0643000000000002</v>
      </c>
      <c r="G420" s="235">
        <f t="shared" si="92"/>
        <v>45.42</v>
      </c>
      <c r="H420" s="270"/>
      <c r="I420" s="41"/>
      <c r="J420" s="41"/>
      <c r="K420" s="101"/>
      <c r="L420" s="606"/>
      <c r="M420" s="935"/>
      <c r="N420" s="663"/>
      <c r="O420" s="237"/>
      <c r="P420" s="275"/>
      <c r="Q420" s="238"/>
    </row>
    <row r="421" spans="1:18" ht="15.75" thickBot="1">
      <c r="A421" s="975"/>
      <c r="B421" s="665"/>
      <c r="C421" s="99" t="s">
        <v>29</v>
      </c>
      <c r="D421" s="613">
        <v>185.7</v>
      </c>
      <c r="E421" s="56">
        <v>7.0643000000000002</v>
      </c>
      <c r="F421" s="57"/>
      <c r="G421" s="247">
        <f t="shared" si="92"/>
        <v>1311.84</v>
      </c>
      <c r="H421" s="613"/>
      <c r="I421" s="57"/>
      <c r="J421" s="57"/>
      <c r="K421" s="1018"/>
      <c r="L421" s="614"/>
      <c r="M421" s="606"/>
      <c r="N421" s="57"/>
      <c r="O421" s="57"/>
      <c r="P421" s="57"/>
      <c r="Q421" s="666"/>
    </row>
    <row r="422" spans="1:18" ht="15.75">
      <c r="A422" s="658">
        <v>215</v>
      </c>
      <c r="B422" s="659" t="s">
        <v>292</v>
      </c>
      <c r="C422" s="786" t="s">
        <v>260</v>
      </c>
      <c r="D422" s="259">
        <f>ноя18!D402+ноя18!D403</f>
        <v>51.73</v>
      </c>
      <c r="E422" s="41">
        <f>7.0643-7.1352</f>
        <v>-7.0899999999999963E-2</v>
      </c>
      <c r="F422" s="691">
        <f>+E422</f>
        <v>-7.0899999999999963E-2</v>
      </c>
      <c r="G422" s="214">
        <f>ROUND(D422*E422,2)+0.01</f>
        <v>-3.66</v>
      </c>
      <c r="H422" s="303"/>
      <c r="I422" s="23"/>
      <c r="J422" s="23"/>
      <c r="K422" s="341"/>
      <c r="L422" s="603">
        <f>SUM(G422:G424)</f>
        <v>361.78000000000003</v>
      </c>
      <c r="M422" s="187">
        <v>361.78</v>
      </c>
      <c r="N422" s="660"/>
      <c r="O422" s="217"/>
      <c r="P422" s="661"/>
      <c r="Q422" s="219"/>
    </row>
    <row r="423" spans="1:18" ht="15.75">
      <c r="A423" s="662"/>
      <c r="B423" s="35"/>
      <c r="C423" s="48" t="s">
        <v>263</v>
      </c>
      <c r="D423" s="269">
        <v>1.73</v>
      </c>
      <c r="E423" s="41">
        <v>7.0643000000000002</v>
      </c>
      <c r="F423" s="298">
        <f t="shared" ref="F423" si="95">+E423</f>
        <v>7.0643000000000002</v>
      </c>
      <c r="G423" s="235">
        <f>ROUND(D423*E423,2)</f>
        <v>12.22</v>
      </c>
      <c r="H423" s="270"/>
      <c r="I423" s="41"/>
      <c r="J423" s="41"/>
      <c r="K423" s="101"/>
      <c r="L423" s="606"/>
      <c r="M423" s="935"/>
      <c r="N423" s="663"/>
      <c r="O423" s="237"/>
      <c r="P423" s="275"/>
      <c r="Q423" s="238"/>
    </row>
    <row r="424" spans="1:18" ht="15.75" thickBot="1">
      <c r="A424" s="975"/>
      <c r="B424" s="665"/>
      <c r="C424" s="99" t="s">
        <v>29</v>
      </c>
      <c r="D424" s="613">
        <v>50</v>
      </c>
      <c r="E424" s="56">
        <v>7.0643000000000002</v>
      </c>
      <c r="F424" s="57"/>
      <c r="G424" s="247">
        <f t="shared" ref="G424" si="96">ROUND(D424*E424,2)</f>
        <v>353.22</v>
      </c>
      <c r="H424" s="613"/>
      <c r="I424" s="57"/>
      <c r="J424" s="57"/>
      <c r="K424" s="1018"/>
      <c r="L424" s="614"/>
      <c r="M424" s="606"/>
      <c r="N424" s="57"/>
      <c r="O424" s="57"/>
      <c r="P424" s="57"/>
      <c r="Q424" s="666"/>
    </row>
    <row r="425" spans="1:18" ht="15.75">
      <c r="A425" s="658">
        <v>216</v>
      </c>
      <c r="B425" s="659" t="s">
        <v>240</v>
      </c>
      <c r="C425" s="786" t="s">
        <v>260</v>
      </c>
      <c r="D425" s="259">
        <f>ноя18!D405+ноя18!D406</f>
        <v>165.54</v>
      </c>
      <c r="E425" s="41">
        <f>7.0643-7.1352</f>
        <v>-7.0899999999999963E-2</v>
      </c>
      <c r="F425" s="691">
        <f>+E425</f>
        <v>-7.0899999999999963E-2</v>
      </c>
      <c r="G425" s="214">
        <f>ROUND(D425*E425,2)</f>
        <v>-11.74</v>
      </c>
      <c r="H425" s="303"/>
      <c r="I425" s="23"/>
      <c r="J425" s="23"/>
      <c r="K425" s="341"/>
      <c r="L425" s="603">
        <f>SUM(G425:G427)</f>
        <v>1157.69</v>
      </c>
      <c r="M425" s="187">
        <v>1157.69</v>
      </c>
      <c r="N425" s="660"/>
      <c r="O425" s="217"/>
      <c r="P425" s="661"/>
      <c r="Q425" s="219"/>
    </row>
    <row r="426" spans="1:18" ht="15.75">
      <c r="A426" s="662"/>
      <c r="B426" s="35"/>
      <c r="C426" s="48" t="s">
        <v>263</v>
      </c>
      <c r="D426" s="269">
        <v>5.54</v>
      </c>
      <c r="E426" s="41">
        <v>7.0643000000000002</v>
      </c>
      <c r="F426" s="298">
        <f t="shared" ref="F426" si="97">+E426</f>
        <v>7.0643000000000002</v>
      </c>
      <c r="G426" s="235">
        <f t="shared" ref="G426:G427" si="98">ROUND(D426*E426,2)</f>
        <v>39.14</v>
      </c>
      <c r="H426" s="270"/>
      <c r="I426" s="41"/>
      <c r="J426" s="41"/>
      <c r="K426" s="101"/>
      <c r="L426" s="606"/>
      <c r="M426" s="935"/>
      <c r="N426" s="663"/>
      <c r="O426" s="237"/>
      <c r="P426" s="275"/>
      <c r="Q426" s="238"/>
    </row>
    <row r="427" spans="1:18" ht="15.75" thickBot="1">
      <c r="A427" s="975"/>
      <c r="B427" s="665"/>
      <c r="C427" s="99" t="s">
        <v>29</v>
      </c>
      <c r="D427" s="613">
        <v>160</v>
      </c>
      <c r="E427" s="56">
        <v>7.0643000000000002</v>
      </c>
      <c r="F427" s="57"/>
      <c r="G427" s="247">
        <f t="shared" si="98"/>
        <v>1130.29</v>
      </c>
      <c r="H427" s="613"/>
      <c r="I427" s="57"/>
      <c r="J427" s="57"/>
      <c r="K427" s="1018"/>
      <c r="L427" s="614"/>
      <c r="M427" s="606"/>
      <c r="N427" s="57"/>
      <c r="O427" s="57"/>
      <c r="P427" s="57"/>
      <c r="Q427" s="666"/>
    </row>
    <row r="428" spans="1:18" ht="15.75">
      <c r="A428" s="658">
        <v>218</v>
      </c>
      <c r="B428" s="659" t="s">
        <v>117</v>
      </c>
      <c r="C428" s="439" t="s">
        <v>260</v>
      </c>
      <c r="D428" s="259">
        <f>ноя18!D408+ноя18!D409</f>
        <v>360.56</v>
      </c>
      <c r="E428" s="23">
        <f>7.0643-7.1352</f>
        <v>-7.0899999999999963E-2</v>
      </c>
      <c r="F428" s="691">
        <f>+E428</f>
        <v>-7.0899999999999963E-2</v>
      </c>
      <c r="G428" s="214">
        <f>ROUND(D428*E428,2)</f>
        <v>-25.56</v>
      </c>
      <c r="H428" s="303"/>
      <c r="I428" s="23"/>
      <c r="J428" s="23"/>
      <c r="K428" s="341"/>
      <c r="L428" s="603">
        <f>SUM(G428:G430)</f>
        <v>2155.33</v>
      </c>
      <c r="M428" s="187">
        <v>2155.33</v>
      </c>
      <c r="N428" s="660"/>
      <c r="O428" s="217"/>
      <c r="P428" s="661"/>
      <c r="Q428" s="219"/>
      <c r="R428" s="615"/>
    </row>
    <row r="429" spans="1:18" ht="15.75">
      <c r="A429" s="662"/>
      <c r="B429" s="506"/>
      <c r="C429" s="48" t="s">
        <v>263</v>
      </c>
      <c r="D429" s="773">
        <v>10.32</v>
      </c>
      <c r="E429" s="41">
        <v>7.0643000000000002</v>
      </c>
      <c r="F429" s="774">
        <f t="shared" ref="F429" si="99">+E429</f>
        <v>7.0643000000000002</v>
      </c>
      <c r="G429" s="775">
        <f t="shared" si="92"/>
        <v>72.900000000000006</v>
      </c>
      <c r="H429" s="432"/>
      <c r="I429" s="207"/>
      <c r="J429" s="207"/>
      <c r="K429" s="876"/>
      <c r="L429" s="776"/>
      <c r="M429" s="974"/>
      <c r="N429" s="777"/>
      <c r="O429" s="778"/>
      <c r="P429" s="779"/>
      <c r="Q429" s="780"/>
    </row>
    <row r="430" spans="1:18" ht="15.75" thickBot="1">
      <c r="A430" s="975"/>
      <c r="B430" s="278"/>
      <c r="C430" s="54" t="s">
        <v>29</v>
      </c>
      <c r="D430" s="613">
        <v>298.39999999999998</v>
      </c>
      <c r="E430" s="56">
        <v>7.0643000000000002</v>
      </c>
      <c r="F430" s="57"/>
      <c r="G430" s="247">
        <f t="shared" si="92"/>
        <v>2107.9899999999998</v>
      </c>
      <c r="H430" s="613"/>
      <c r="I430" s="57"/>
      <c r="J430" s="57"/>
      <c r="K430" s="1018"/>
      <c r="L430" s="783"/>
      <c r="M430" s="938"/>
      <c r="N430" s="57"/>
      <c r="O430" s="57"/>
      <c r="P430" s="57"/>
      <c r="Q430" s="666"/>
    </row>
    <row r="431" spans="1:18" ht="15.75">
      <c r="A431" s="658">
        <v>221</v>
      </c>
      <c r="B431" s="659" t="s">
        <v>284</v>
      </c>
      <c r="C431" s="786" t="s">
        <v>260</v>
      </c>
      <c r="D431" s="259">
        <f>ноя18!D411+ноя18!D412</f>
        <v>51.73</v>
      </c>
      <c r="E431" s="41">
        <f>7.0643-7.1352</f>
        <v>-7.0899999999999963E-2</v>
      </c>
      <c r="F431" s="691">
        <f>+E431</f>
        <v>-7.0899999999999963E-2</v>
      </c>
      <c r="G431" s="214">
        <f>ROUND(D431*E431,2)</f>
        <v>-3.67</v>
      </c>
      <c r="H431" s="303"/>
      <c r="I431" s="23"/>
      <c r="J431" s="23"/>
      <c r="K431" s="341"/>
      <c r="L431" s="603">
        <f>SUM(G431:G433)</f>
        <v>361.77000000000004</v>
      </c>
      <c r="M431" s="187">
        <v>361.78</v>
      </c>
      <c r="N431" s="660"/>
      <c r="O431" s="217"/>
      <c r="P431" s="661"/>
      <c r="Q431" s="219"/>
    </row>
    <row r="432" spans="1:18" ht="15.75">
      <c r="A432" s="662"/>
      <c r="B432" s="35"/>
      <c r="C432" s="48" t="s">
        <v>263</v>
      </c>
      <c r="D432" s="269">
        <v>1.73</v>
      </c>
      <c r="E432" s="41">
        <v>7.0643000000000002</v>
      </c>
      <c r="F432" s="298">
        <f t="shared" ref="F432" si="100">+E432</f>
        <v>7.0643000000000002</v>
      </c>
      <c r="G432" s="235">
        <f>ROUND(D432*E432,2)</f>
        <v>12.22</v>
      </c>
      <c r="H432" s="270"/>
      <c r="I432" s="41"/>
      <c r="J432" s="41"/>
      <c r="K432" s="101"/>
      <c r="L432" s="606"/>
      <c r="M432" s="935"/>
      <c r="N432" s="663"/>
      <c r="O432" s="237"/>
      <c r="P432" s="275"/>
      <c r="Q432" s="238"/>
    </row>
    <row r="433" spans="1:17" ht="15.75" thickBot="1">
      <c r="A433" s="975"/>
      <c r="B433" s="665"/>
      <c r="C433" s="99" t="s">
        <v>29</v>
      </c>
      <c r="D433" s="613">
        <v>50</v>
      </c>
      <c r="E433" s="56">
        <v>7.0643000000000002</v>
      </c>
      <c r="F433" s="57"/>
      <c r="G433" s="247">
        <f t="shared" ref="G433" si="101">ROUND(D433*E433,2)</f>
        <v>353.22</v>
      </c>
      <c r="H433" s="613"/>
      <c r="I433" s="57"/>
      <c r="J433" s="57"/>
      <c r="K433" s="1018"/>
      <c r="L433" s="614"/>
      <c r="M433" s="606"/>
      <c r="N433" s="57"/>
      <c r="O433" s="57"/>
      <c r="P433" s="57"/>
      <c r="Q433" s="666"/>
    </row>
    <row r="434" spans="1:17" ht="16.5" thickBot="1">
      <c r="A434" s="658">
        <v>311</v>
      </c>
      <c r="B434" s="602" t="s">
        <v>142</v>
      </c>
      <c r="C434" s="786" t="s">
        <v>73</v>
      </c>
      <c r="D434" s="787">
        <v>6</v>
      </c>
      <c r="E434" s="21">
        <v>40.556600000000003</v>
      </c>
      <c r="F434" s="21">
        <v>47.5304</v>
      </c>
      <c r="G434" s="214">
        <f>+D434*(E434+F434)</f>
        <v>528.52200000000005</v>
      </c>
      <c r="H434" s="687">
        <f>окт18!D396</f>
        <v>7.5</v>
      </c>
      <c r="I434" s="688">
        <v>24.535</v>
      </c>
      <c r="J434" s="670">
        <f>ROUND(H434*I434,2)</f>
        <v>184.01</v>
      </c>
      <c r="K434" s="689">
        <v>43374</v>
      </c>
      <c r="L434" s="603">
        <f>SUM(G434:G438,J434:J438)</f>
        <v>16087.082</v>
      </c>
      <c r="M434" s="187">
        <v>16087.08</v>
      </c>
      <c r="N434" s="788"/>
      <c r="O434" s="789"/>
      <c r="P434" s="790"/>
      <c r="Q434" s="791"/>
    </row>
    <row r="435" spans="1:17" ht="15.75">
      <c r="A435" s="658"/>
      <c r="B435" s="602"/>
      <c r="C435" s="786" t="s">
        <v>264</v>
      </c>
      <c r="D435" s="787"/>
      <c r="E435" s="21"/>
      <c r="F435" s="21"/>
      <c r="G435" s="214">
        <f>+D435*(E435+F435)</f>
        <v>0</v>
      </c>
      <c r="H435" s="687">
        <f>ноя18!D413</f>
        <v>7</v>
      </c>
      <c r="I435" s="688">
        <v>7.4577</v>
      </c>
      <c r="J435" s="670">
        <f>ROUND(H435*I435,2)</f>
        <v>52.2</v>
      </c>
      <c r="K435" s="689">
        <v>43405</v>
      </c>
      <c r="L435" s="603"/>
      <c r="M435" s="187"/>
      <c r="N435" s="788"/>
      <c r="O435" s="789"/>
      <c r="P435" s="790"/>
      <c r="Q435" s="791"/>
    </row>
    <row r="436" spans="1:17" ht="15.75">
      <c r="A436" s="662"/>
      <c r="B436" s="939"/>
      <c r="C436" s="48" t="s">
        <v>260</v>
      </c>
      <c r="D436" s="269">
        <f>ноя18!D416+ноя18!D417</f>
        <v>2427.8799999999997</v>
      </c>
      <c r="E436" s="41">
        <f>7.0643-7.1352</f>
        <v>-7.0899999999999963E-2</v>
      </c>
      <c r="F436" s="297">
        <f>+E436</f>
        <v>-7.0899999999999963E-2</v>
      </c>
      <c r="G436" s="235">
        <f>ROUND(D436*E436,2)</f>
        <v>-172.14</v>
      </c>
      <c r="H436" s="270"/>
      <c r="I436" s="688"/>
      <c r="J436" s="670"/>
      <c r="K436" s="689"/>
      <c r="L436" s="614"/>
      <c r="M436" s="273"/>
      <c r="N436" s="663"/>
      <c r="O436" s="237"/>
      <c r="P436" s="275"/>
      <c r="Q436" s="238"/>
    </row>
    <row r="437" spans="1:17" ht="15.75">
      <c r="A437" s="662"/>
      <c r="B437" s="506"/>
      <c r="C437" s="48" t="s">
        <v>263</v>
      </c>
      <c r="D437" s="269">
        <v>73.349999999999994</v>
      </c>
      <c r="E437" s="41">
        <v>7.0643000000000002</v>
      </c>
      <c r="F437" s="298">
        <f t="shared" ref="F437" si="102">+E437</f>
        <v>7.0643000000000002</v>
      </c>
      <c r="G437" s="235">
        <f t="shared" ref="G437:G444" si="103">ROUND(D437*E437,2)</f>
        <v>518.16999999999996</v>
      </c>
      <c r="H437" s="270"/>
      <c r="I437" s="41"/>
      <c r="J437" s="670"/>
      <c r="K437" s="689"/>
      <c r="L437" s="606"/>
      <c r="M437" s="935"/>
      <c r="N437" s="663"/>
      <c r="O437" s="237"/>
      <c r="P437" s="275"/>
      <c r="Q437" s="238"/>
    </row>
    <row r="438" spans="1:17" ht="15.75" thickBot="1">
      <c r="A438" s="975"/>
      <c r="B438" s="278"/>
      <c r="C438" s="54" t="s">
        <v>29</v>
      </c>
      <c r="D438" s="795">
        <v>2120</v>
      </c>
      <c r="E438" s="56">
        <v>7.0643000000000002</v>
      </c>
      <c r="F438" s="797"/>
      <c r="G438" s="798">
        <f t="shared" si="103"/>
        <v>14976.32</v>
      </c>
      <c r="H438" s="795"/>
      <c r="I438" s="797"/>
      <c r="J438" s="797"/>
      <c r="K438" s="1019"/>
      <c r="L438" s="799"/>
      <c r="M438" s="976"/>
      <c r="N438" s="797"/>
      <c r="O438" s="797"/>
      <c r="P438" s="797"/>
      <c r="Q438" s="800"/>
    </row>
    <row r="439" spans="1:17" ht="15.75">
      <c r="A439" s="658">
        <v>500</v>
      </c>
      <c r="B439" s="659" t="s">
        <v>55</v>
      </c>
      <c r="C439" s="48" t="s">
        <v>260</v>
      </c>
      <c r="D439" s="259">
        <f>ноя18!D419+ноя18!D420</f>
        <v>2531.14</v>
      </c>
      <c r="E439" s="41">
        <f>7.0643-7.1352</f>
        <v>-7.0899999999999963E-2</v>
      </c>
      <c r="F439" s="691">
        <f>+E439</f>
        <v>-7.0899999999999963E-2</v>
      </c>
      <c r="G439" s="214">
        <f>ROUND(D439*E439,2)+0.01</f>
        <v>-179.45000000000002</v>
      </c>
      <c r="H439" s="303"/>
      <c r="I439" s="23"/>
      <c r="J439" s="23"/>
      <c r="K439" s="341"/>
      <c r="L439" s="603">
        <f>SUM(G439:G441)</f>
        <v>15164.630000000001</v>
      </c>
      <c r="M439" s="187">
        <v>15164.63</v>
      </c>
      <c r="N439" s="660"/>
      <c r="O439" s="217"/>
      <c r="P439" s="661"/>
      <c r="Q439" s="219"/>
    </row>
    <row r="440" spans="1:17" ht="15.75">
      <c r="A440" s="662" t="s">
        <v>211</v>
      </c>
      <c r="B440" s="35"/>
      <c r="C440" s="48" t="s">
        <v>263</v>
      </c>
      <c r="D440" s="269">
        <v>72.64</v>
      </c>
      <c r="E440" s="41">
        <v>7.0643000000000002</v>
      </c>
      <c r="F440" s="298">
        <f t="shared" ref="F440" si="104">+E440</f>
        <v>7.0643000000000002</v>
      </c>
      <c r="G440" s="235">
        <f t="shared" si="103"/>
        <v>513.15</v>
      </c>
      <c r="H440" s="270"/>
      <c r="I440" s="41"/>
      <c r="J440" s="41"/>
      <c r="K440" s="101"/>
      <c r="L440" s="606"/>
      <c r="M440" s="935"/>
      <c r="N440" s="663"/>
      <c r="O440" s="237"/>
      <c r="P440" s="275"/>
      <c r="Q440" s="238"/>
    </row>
    <row r="441" spans="1:17" ht="15.75" thickBot="1">
      <c r="A441" s="969"/>
      <c r="B441" s="665"/>
      <c r="C441" s="99" t="s">
        <v>29</v>
      </c>
      <c r="D441" s="613">
        <v>2099.42</v>
      </c>
      <c r="E441" s="56">
        <v>7.0643000000000002</v>
      </c>
      <c r="F441" s="57"/>
      <c r="G441" s="247">
        <f t="shared" si="103"/>
        <v>14830.93</v>
      </c>
      <c r="H441" s="613"/>
      <c r="I441" s="57"/>
      <c r="J441" s="57"/>
      <c r="K441" s="1018"/>
      <c r="L441" s="614"/>
      <c r="M441" s="935"/>
      <c r="N441" s="57"/>
      <c r="O441" s="57"/>
      <c r="P441" s="57"/>
      <c r="Q441" s="666"/>
    </row>
    <row r="442" spans="1:17" ht="15.75">
      <c r="A442" s="658">
        <v>501</v>
      </c>
      <c r="B442" s="659" t="s">
        <v>300</v>
      </c>
      <c r="C442" s="48" t="s">
        <v>260</v>
      </c>
      <c r="D442" s="259">
        <f>ноя18!D422+ноя18!D423</f>
        <v>2146.88</v>
      </c>
      <c r="E442" s="41">
        <f>7.0643-7.1352</f>
        <v>-7.0899999999999963E-2</v>
      </c>
      <c r="F442" s="691">
        <f>+E442</f>
        <v>-7.0899999999999963E-2</v>
      </c>
      <c r="G442" s="214">
        <f>ROUND(D442*E442,2)-0.01</f>
        <v>-152.22</v>
      </c>
      <c r="H442" s="303"/>
      <c r="I442" s="23"/>
      <c r="J442" s="23"/>
      <c r="K442" s="341"/>
      <c r="L442" s="603">
        <f>SUM(G442:G444)</f>
        <v>13191.18</v>
      </c>
      <c r="M442" s="187">
        <v>13191.18</v>
      </c>
      <c r="N442" s="660"/>
      <c r="O442" s="217"/>
      <c r="P442" s="661"/>
      <c r="Q442" s="219"/>
    </row>
    <row r="443" spans="1:17" ht="15.75">
      <c r="A443" s="662"/>
      <c r="B443" s="35"/>
      <c r="C443" s="48" t="s">
        <v>263</v>
      </c>
      <c r="D443" s="269">
        <v>63.17</v>
      </c>
      <c r="E443" s="41">
        <v>7.0643000000000002</v>
      </c>
      <c r="F443" s="298">
        <f t="shared" ref="F443" si="105">+E443</f>
        <v>7.0643000000000002</v>
      </c>
      <c r="G443" s="235">
        <f t="shared" si="103"/>
        <v>446.25</v>
      </c>
      <c r="H443" s="270"/>
      <c r="I443" s="41"/>
      <c r="J443" s="41"/>
      <c r="K443" s="101"/>
      <c r="L443" s="606"/>
      <c r="M443" s="935"/>
      <c r="N443" s="663"/>
      <c r="O443" s="237"/>
      <c r="P443" s="275"/>
      <c r="Q443" s="238"/>
    </row>
    <row r="444" spans="1:17" ht="15.75" thickBot="1">
      <c r="A444" s="969"/>
      <c r="B444" s="665"/>
      <c r="C444" s="99" t="s">
        <v>29</v>
      </c>
      <c r="D444" s="613">
        <v>1825.68</v>
      </c>
      <c r="E444" s="56">
        <v>7.0643000000000002</v>
      </c>
      <c r="F444" s="57"/>
      <c r="G444" s="247">
        <f t="shared" si="103"/>
        <v>12897.15</v>
      </c>
      <c r="H444" s="613"/>
      <c r="I444" s="57"/>
      <c r="J444" s="57"/>
      <c r="K444" s="1018"/>
      <c r="L444" s="614"/>
      <c r="M444" s="935"/>
      <c r="N444" s="57"/>
      <c r="O444" s="57"/>
      <c r="P444" s="57"/>
      <c r="Q444" s="666"/>
    </row>
    <row r="445" spans="1:17">
      <c r="A445" s="977"/>
    </row>
    <row r="446" spans="1:17">
      <c r="A446" s="977"/>
    </row>
    <row r="447" spans="1:17">
      <c r="A447" s="977"/>
    </row>
  </sheetData>
  <mergeCells count="41">
    <mergeCell ref="N282:Q282"/>
    <mergeCell ref="A410:A411"/>
    <mergeCell ref="B410:B411"/>
    <mergeCell ref="C410:C411"/>
    <mergeCell ref="D410:G410"/>
    <mergeCell ref="H410:K410"/>
    <mergeCell ref="L410:L411"/>
    <mergeCell ref="M410:M411"/>
    <mergeCell ref="N410:Q410"/>
    <mergeCell ref="M137:M138"/>
    <mergeCell ref="N137:Q137"/>
    <mergeCell ref="O276:Q276"/>
    <mergeCell ref="A282:A283"/>
    <mergeCell ref="B282:B283"/>
    <mergeCell ref="C282:C283"/>
    <mergeCell ref="D282:G282"/>
    <mergeCell ref="H282:K282"/>
    <mergeCell ref="L282:L283"/>
    <mergeCell ref="M282:M283"/>
    <mergeCell ref="A137:A138"/>
    <mergeCell ref="B137:B138"/>
    <mergeCell ref="C137:C138"/>
    <mergeCell ref="D137:G137"/>
    <mergeCell ref="H137:K137"/>
    <mergeCell ref="L137:L138"/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459"/>
  <sheetViews>
    <sheetView topLeftCell="A418" workbookViewId="0">
      <pane xSplit="3" topLeftCell="D1" activePane="topRight" state="frozen"/>
      <selection pane="topRight" activeCell="I33" sqref="I33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8" t="s">
        <v>23</v>
      </c>
      <c r="C4" s="19"/>
      <c r="D4" s="20">
        <v>182</v>
      </c>
      <c r="E4" s="21">
        <v>41.244</v>
      </c>
      <c r="F4" s="21">
        <v>48.335999999999999</v>
      </c>
      <c r="G4" s="22">
        <f>ROUND(D4*(E4+F4),2)</f>
        <v>16303.56</v>
      </c>
      <c r="H4" s="20"/>
      <c r="I4" s="23"/>
      <c r="J4" s="23"/>
      <c r="K4" s="24"/>
      <c r="L4" s="25">
        <f>SUM(G4:G8,J4:J7)</f>
        <v>140397.02000000002</v>
      </c>
      <c r="M4" s="26">
        <v>140397.01999999999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032" t="s">
        <v>221</v>
      </c>
      <c r="C5" s="36" t="s">
        <v>26</v>
      </c>
      <c r="D5" s="37"/>
      <c r="E5" s="38"/>
      <c r="F5" s="38"/>
      <c r="G5" s="39">
        <f>ROUND(D5*(E5+F5),2)</f>
        <v>0</v>
      </c>
      <c r="H5" s="40"/>
      <c r="I5" s="41"/>
      <c r="J5" s="41"/>
      <c r="K5" s="42"/>
      <c r="L5" s="43"/>
      <c r="M5" s="44"/>
      <c r="N5" s="45"/>
      <c r="O5" s="46"/>
      <c r="P5" s="47"/>
      <c r="Q5" s="46"/>
      <c r="R5" s="30"/>
      <c r="S5" s="31"/>
      <c r="T5" s="32"/>
    </row>
    <row r="6" spans="1:22">
      <c r="A6" s="34"/>
      <c r="B6" s="35"/>
      <c r="C6" s="48" t="s">
        <v>260</v>
      </c>
      <c r="D6" s="49"/>
      <c r="E6" s="41"/>
      <c r="F6" s="41">
        <f>+E6</f>
        <v>0</v>
      </c>
      <c r="G6" s="50">
        <f>ROUND(D6*E6,2)</f>
        <v>0</v>
      </c>
      <c r="H6" s="51"/>
      <c r="I6" s="41"/>
      <c r="J6" s="41"/>
      <c r="K6" s="42"/>
      <c r="L6" s="43"/>
      <c r="M6" s="44"/>
      <c r="N6" s="45"/>
      <c r="O6" s="46"/>
      <c r="P6" s="47"/>
      <c r="Q6" s="46"/>
      <c r="R6" s="30">
        <f>+G7+G8</f>
        <v>124093.46</v>
      </c>
      <c r="S6" s="31"/>
      <c r="T6" s="32"/>
    </row>
    <row r="7" spans="1:22">
      <c r="A7" s="34"/>
      <c r="B7" s="35"/>
      <c r="C7" s="48" t="s">
        <v>263</v>
      </c>
      <c r="D7" s="49">
        <f>378.98+122.84</f>
        <v>501.82000000000005</v>
      </c>
      <c r="E7" s="41">
        <v>7.2024999999999997</v>
      </c>
      <c r="F7" s="41">
        <f>+E7</f>
        <v>7.2024999999999997</v>
      </c>
      <c r="G7" s="50">
        <f>ROUND(D7*E7,2)</f>
        <v>3614.36</v>
      </c>
      <c r="H7" s="40"/>
      <c r="I7" s="41"/>
      <c r="J7" s="41"/>
      <c r="K7" s="42"/>
      <c r="L7" s="43"/>
      <c r="M7" s="44"/>
      <c r="N7" s="45"/>
      <c r="O7" s="46"/>
      <c r="P7" s="47"/>
      <c r="Q7" s="46"/>
      <c r="R7" s="30"/>
      <c r="S7" s="31"/>
      <c r="T7" s="32"/>
      <c r="V7" s="33">
        <f>+G7+G8</f>
        <v>124093.46</v>
      </c>
    </row>
    <row r="8" spans="1:22" ht="15.75" thickBot="1">
      <c r="A8" s="52"/>
      <c r="B8" s="53"/>
      <c r="C8" s="99" t="s">
        <v>29</v>
      </c>
      <c r="D8" s="55">
        <f>12632.7+4094.7</f>
        <v>16727.400000000001</v>
      </c>
      <c r="E8" s="1012">
        <v>7.2024999999999997</v>
      </c>
      <c r="F8" s="57">
        <f>+E8</f>
        <v>7.2024999999999997</v>
      </c>
      <c r="G8" s="58">
        <f>ROUND(D8*E8,2)</f>
        <v>120479.1</v>
      </c>
      <c r="H8" s="59"/>
      <c r="I8" s="60"/>
      <c r="J8" s="60"/>
      <c r="K8" s="61"/>
      <c r="L8" s="62"/>
      <c r="M8" s="63"/>
      <c r="N8" s="64"/>
      <c r="O8" s="65"/>
      <c r="P8" s="47" t="s">
        <v>24</v>
      </c>
      <c r="Q8" s="65">
        <f>+G8+J8-M8-N8-O8</f>
        <v>120479.1</v>
      </c>
      <c r="R8" s="66" t="s">
        <v>25</v>
      </c>
      <c r="S8" s="67">
        <f>SUM(O4:O8)</f>
        <v>0</v>
      </c>
      <c r="T8" s="68">
        <f>SUM(Q4:Q8)</f>
        <v>120479.1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86</v>
      </c>
      <c r="E13" s="21">
        <v>40.556600000000003</v>
      </c>
      <c r="F13" s="21">
        <v>47.5304</v>
      </c>
      <c r="G13" s="22">
        <f>ROUND(D13*(E13+F13),2)</f>
        <v>7575.48</v>
      </c>
      <c r="H13" s="72"/>
      <c r="I13" s="21"/>
      <c r="J13" s="73"/>
      <c r="K13" s="24"/>
      <c r="L13" s="74">
        <f>SUM(G13:G20,J13:J19)</f>
        <v>60208.26</v>
      </c>
      <c r="M13" s="26">
        <v>60208.26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48</v>
      </c>
      <c r="E15" s="101">
        <v>347.06</v>
      </c>
      <c r="F15" s="38">
        <f>F13</f>
        <v>47.5304</v>
      </c>
      <c r="G15" s="39">
        <f>ROUND(D15*(E15+F15),2)</f>
        <v>18940.34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дек18!D15</f>
        <v>45</v>
      </c>
      <c r="E16" s="41">
        <f>347.06-330.44</f>
        <v>16.620000000000005</v>
      </c>
      <c r="F16" s="38"/>
      <c r="G16" s="50">
        <f>+D16*(E16+F16)</f>
        <v>747.9000000000002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дек18!D19+дек18!D20</f>
        <v>4673.1099999999997</v>
      </c>
      <c r="E18" s="881">
        <f>6.7838-7.0643</f>
        <v>-0.28049999999999997</v>
      </c>
      <c r="F18" s="41">
        <f>+E18</f>
        <v>-0.28049999999999997</v>
      </c>
      <c r="G18" s="50">
        <f>ROUND(D18*E18*70%+D18*F18*30%,2)+0.01</f>
        <v>-1310.8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17.84+124.14+5.1</f>
        <v>147.07999999999998</v>
      </c>
      <c r="E19" s="41">
        <v>6.7838000000000003</v>
      </c>
      <c r="F19" s="41">
        <f>E19</f>
        <v>6.7838000000000003</v>
      </c>
      <c r="G19" s="50">
        <f>ROUND(D19*E19*70%+D19*F19*30%,2)</f>
        <v>997.76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594.5+4138+170</f>
        <v>4902.5</v>
      </c>
      <c r="E20" s="56">
        <v>6.7838000000000003</v>
      </c>
      <c r="F20" s="109">
        <f>+E20</f>
        <v>6.7838000000000003</v>
      </c>
      <c r="G20" s="110">
        <f>ROUND(D20*E20*70%+D20*F20*30%,2)</f>
        <v>33257.58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дек18!D28+дек18!D29</f>
        <v>2492.5299999999997</v>
      </c>
      <c r="E27" s="41">
        <f>6.7838-7.0643</f>
        <v>-0.28049999999999997</v>
      </c>
      <c r="F27" s="691">
        <f>+E27</f>
        <v>-0.28049999999999997</v>
      </c>
      <c r="G27" s="214">
        <f>ROUND(D27*E27,2)+0.01</f>
        <v>-699.14</v>
      </c>
      <c r="H27" s="303"/>
      <c r="I27" s="23"/>
      <c r="J27" s="23"/>
      <c r="K27" s="23"/>
      <c r="L27" s="603">
        <f>SUM(G27:G29)</f>
        <v>18419.84</v>
      </c>
      <c r="M27" s="187">
        <v>18419.84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82.09</v>
      </c>
      <c r="E28" s="41">
        <v>6.7838000000000003</v>
      </c>
      <c r="F28" s="298">
        <f t="shared" ref="F28" si="0">+E28</f>
        <v>6.7838000000000003</v>
      </c>
      <c r="G28" s="235">
        <f>ROUND(D28*E28,2)</f>
        <v>556.88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2736.24</v>
      </c>
      <c r="E29" s="56">
        <v>6.7838000000000003</v>
      </c>
      <c r="F29" s="57"/>
      <c r="G29" s="247">
        <f>ROUND(D29*E29,2)</f>
        <v>18562.099999999999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>
      <c r="A33" s="888" t="s">
        <v>241</v>
      </c>
      <c r="B33" s="183" t="s">
        <v>242</v>
      </c>
      <c r="C33" s="439" t="s">
        <v>243</v>
      </c>
      <c r="D33" s="1008">
        <v>0.6</v>
      </c>
      <c r="E33" s="23">
        <v>40.556600000000003</v>
      </c>
      <c r="F33" s="23">
        <v>47.5304</v>
      </c>
      <c r="G33" s="214">
        <f>ROUND(D33*(E33+F33),2)</f>
        <v>52.85</v>
      </c>
      <c r="H33" s="1001"/>
      <c r="I33" s="23"/>
      <c r="J33" s="23"/>
      <c r="K33" s="304"/>
      <c r="L33" s="343">
        <f>SUM(G33:G37)+J33:J34</f>
        <v>4722.1500000000005</v>
      </c>
      <c r="M33" s="187">
        <v>4722.1499999999996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002"/>
      <c r="I34" s="281"/>
      <c r="J34" s="281"/>
      <c r="K34" s="28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дек18!D36+дек18!D37</f>
        <v>1850.09</v>
      </c>
      <c r="E35" s="41">
        <f>6.7838-7.0643</f>
        <v>-0.28049999999999997</v>
      </c>
      <c r="F35" s="41">
        <f t="shared" ref="F35:F67" si="1">+E35</f>
        <v>-0.28049999999999997</v>
      </c>
      <c r="G35" s="50">
        <f>ROUND(D35*E35,2)</f>
        <v>-518.95000000000005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8.1</v>
      </c>
      <c r="E36" s="41">
        <v>6.7838000000000003</v>
      </c>
      <c r="F36" s="41">
        <f t="shared" si="1"/>
        <v>6.7838000000000003</v>
      </c>
      <c r="G36" s="50">
        <f>ROUND(D36*E36,2)</f>
        <v>54.95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756.7</v>
      </c>
      <c r="E37" s="56">
        <v>6.7838000000000003</v>
      </c>
      <c r="F37" s="57">
        <f t="shared" si="1"/>
        <v>6.7838000000000003</v>
      </c>
      <c r="G37" s="247">
        <f>ROUND(D37*E37*70%+D37*F37*30%,2)</f>
        <v>5133.3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17.332+17.68</f>
        <v>35.012</v>
      </c>
      <c r="E38" s="21">
        <v>40.556600000000003</v>
      </c>
      <c r="F38" s="21">
        <v>47.5304</v>
      </c>
      <c r="G38" s="214">
        <f>ROUND(D38*(E38+F38),2)</f>
        <v>3084.1</v>
      </c>
      <c r="H38" s="213"/>
      <c r="I38" s="41"/>
      <c r="J38" s="215"/>
      <c r="K38" s="679"/>
      <c r="L38" s="294">
        <f>SUM(G38:G42)</f>
        <v>25095.829999999998</v>
      </c>
      <c r="M38" s="227">
        <v>25095.83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225"/>
      <c r="I39" s="41"/>
      <c r="J39" s="194"/>
      <c r="K39" s="295"/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дек18!D41+дек18!D42</f>
        <v>6027.81</v>
      </c>
      <c r="E40" s="41">
        <f>6.7838-7.0643</f>
        <v>-0.28049999999999997</v>
      </c>
      <c r="F40" s="41">
        <f t="shared" ref="F40:F42" si="2">+E40</f>
        <v>-0.28049999999999997</v>
      </c>
      <c r="G40" s="235">
        <f>ROUND(D40*E40,2)</f>
        <v>-1690.8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36.99</v>
      </c>
      <c r="E41" s="41">
        <v>6.7838000000000003</v>
      </c>
      <c r="F41" s="41">
        <f t="shared" si="2"/>
        <v>6.7838000000000003</v>
      </c>
      <c r="G41" s="235">
        <f t="shared" ref="G41:G42" si="3">ROUND(D41*E41,2)</f>
        <v>250.93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3457</v>
      </c>
      <c r="E42" s="56">
        <v>6.7838000000000003</v>
      </c>
      <c r="F42" s="57">
        <f t="shared" si="2"/>
        <v>6.7838000000000003</v>
      </c>
      <c r="G42" s="247">
        <f t="shared" si="3"/>
        <v>23451.599999999999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887" t="s">
        <v>312</v>
      </c>
      <c r="C43" s="54" t="s">
        <v>59</v>
      </c>
      <c r="D43" s="822">
        <v>2.3180000000000001</v>
      </c>
      <c r="E43" s="21">
        <v>41.244</v>
      </c>
      <c r="F43" s="21">
        <v>48.335999999999999</v>
      </c>
      <c r="G43" s="214">
        <f>ROUND(D43*(E43+F43),2)</f>
        <v>207.65</v>
      </c>
      <c r="H43" s="213"/>
      <c r="I43" s="41"/>
      <c r="J43" s="215"/>
      <c r="K43" s="679"/>
      <c r="L43" s="294">
        <f>SUM(G43:G47)</f>
        <v>16513.11</v>
      </c>
      <c r="M43" s="227">
        <v>16513.11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885" t="s">
        <v>313</v>
      </c>
      <c r="C44" s="292" t="s">
        <v>264</v>
      </c>
      <c r="D44" s="269"/>
      <c r="E44" s="38"/>
      <c r="F44" s="38"/>
      <c r="G44" s="235">
        <f>ROUND(D44*(E44+F44),2)</f>
        <v>0</v>
      </c>
      <c r="H44" s="225"/>
      <c r="I44" s="41"/>
      <c r="J44" s="194"/>
      <c r="K44" s="295"/>
      <c r="L44" s="294"/>
      <c r="M44" s="227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885"/>
      <c r="C45" s="48" t="s">
        <v>260</v>
      </c>
      <c r="D45" s="296"/>
      <c r="E45" s="41"/>
      <c r="F45" s="41">
        <f t="shared" ref="F45:F47" si="4">+E45</f>
        <v>0</v>
      </c>
      <c r="G45" s="235">
        <f>ROUND(D45*E45,2)</f>
        <v>0</v>
      </c>
      <c r="H45" s="270"/>
      <c r="I45" s="41"/>
      <c r="J45" s="41"/>
      <c r="K45" s="271"/>
      <c r="L45" s="272"/>
      <c r="M45" s="273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885"/>
      <c r="C46" s="48" t="s">
        <v>263</v>
      </c>
      <c r="D46" s="269">
        <f>9.41+14.55</f>
        <v>23.96</v>
      </c>
      <c r="E46" s="41">
        <v>7.2024999999999997</v>
      </c>
      <c r="F46" s="41">
        <f t="shared" si="4"/>
        <v>7.2024999999999997</v>
      </c>
      <c r="G46" s="235">
        <f>ROUND(D46*E46,2)+0.01</f>
        <v>172.57999999999998</v>
      </c>
      <c r="H46" s="270"/>
      <c r="I46" s="41"/>
      <c r="J46" s="41"/>
      <c r="K46" s="271"/>
      <c r="L46" s="272"/>
      <c r="M46" s="273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887"/>
      <c r="C47" s="54" t="s">
        <v>29</v>
      </c>
      <c r="D47" s="279">
        <f>879.9+1360</f>
        <v>2239.9</v>
      </c>
      <c r="E47" s="56">
        <v>7.2024999999999997</v>
      </c>
      <c r="F47" s="57">
        <f t="shared" si="4"/>
        <v>7.2024999999999997</v>
      </c>
      <c r="G47" s="247">
        <f t="shared" ref="G47" si="5">ROUND(D47*E47,2)</f>
        <v>16132.88</v>
      </c>
      <c r="H47" s="280"/>
      <c r="I47" s="281"/>
      <c r="J47" s="281"/>
      <c r="K47" s="282"/>
      <c r="L47" s="204"/>
      <c r="M47" s="250"/>
      <c r="N47" s="283"/>
      <c r="O47" s="252"/>
      <c r="P47" s="284"/>
      <c r="Q47" s="252"/>
      <c r="R47" s="242"/>
      <c r="S47" s="266"/>
      <c r="T47" s="266"/>
    </row>
    <row r="48" spans="1:21">
      <c r="A48" s="892">
        <v>112</v>
      </c>
      <c r="B48" s="183" t="s">
        <v>307</v>
      </c>
      <c r="C48" s="439" t="s">
        <v>243</v>
      </c>
      <c r="D48" s="1008">
        <v>0.3</v>
      </c>
      <c r="E48" s="23">
        <v>40.556600000000003</v>
      </c>
      <c r="F48" s="23">
        <v>47.5304</v>
      </c>
      <c r="G48" s="214">
        <f>ROUND(D48*(E48+F48),2)</f>
        <v>26.43</v>
      </c>
      <c r="H48" s="1001"/>
      <c r="I48" s="23"/>
      <c r="J48" s="23"/>
      <c r="K48" s="304"/>
      <c r="L48" s="343">
        <f>SUM(G48:G52)+J48:J52</f>
        <v>1226.0800000000002</v>
      </c>
      <c r="M48" s="187">
        <v>1226.08</v>
      </c>
      <c r="N48" s="274"/>
      <c r="O48" s="237"/>
      <c r="P48" s="275"/>
      <c r="Q48" s="237"/>
      <c r="R48" s="242"/>
      <c r="S48" s="266"/>
      <c r="T48" s="266"/>
    </row>
    <row r="49" spans="1:20" ht="15.75" thickBot="1">
      <c r="A49" s="896"/>
      <c r="B49" s="192"/>
      <c r="C49" s="48" t="s">
        <v>260</v>
      </c>
      <c r="D49" s="1009"/>
      <c r="E49" s="41"/>
      <c r="F49" s="41"/>
      <c r="G49" s="235">
        <f>ROUND(D49*(E49+F49),2)</f>
        <v>0</v>
      </c>
      <c r="H49" s="1002"/>
      <c r="I49" s="281"/>
      <c r="J49" s="281"/>
      <c r="K49" s="282"/>
      <c r="L49" s="988"/>
      <c r="M49" s="989"/>
      <c r="N49" s="274"/>
      <c r="O49" s="237"/>
      <c r="P49" s="275"/>
      <c r="Q49" s="237"/>
      <c r="R49" s="242"/>
      <c r="S49" s="266"/>
      <c r="T49" s="266"/>
    </row>
    <row r="50" spans="1:20">
      <c r="A50" s="1034"/>
      <c r="C50" s="439" t="s">
        <v>260</v>
      </c>
      <c r="D50" s="296">
        <f>дек18!D44+дек18!D45</f>
        <v>350.40999999999997</v>
      </c>
      <c r="E50" s="41">
        <f>6.7838-7.0643</f>
        <v>-0.28049999999999997</v>
      </c>
      <c r="F50" s="41">
        <f t="shared" si="1"/>
        <v>-0.28049999999999997</v>
      </c>
      <c r="G50" s="235">
        <f>ROUND(D50*E50,2)</f>
        <v>-98.29</v>
      </c>
      <c r="H50" s="270"/>
      <c r="I50" s="41"/>
      <c r="J50" s="41"/>
      <c r="K50" s="271"/>
      <c r="L50" s="294"/>
      <c r="M50" s="227"/>
      <c r="N50" s="274"/>
      <c r="O50" s="237"/>
      <c r="P50" s="275"/>
      <c r="Q50" s="237"/>
      <c r="R50" s="242"/>
      <c r="S50" s="266"/>
      <c r="T50" s="266"/>
    </row>
    <row r="51" spans="1:20" ht="15.75">
      <c r="A51" s="896"/>
      <c r="B51" s="192"/>
      <c r="C51" s="48" t="s">
        <v>263</v>
      </c>
      <c r="D51" s="269">
        <v>2.0299999999999998</v>
      </c>
      <c r="E51" s="41">
        <v>6.7838000000000003</v>
      </c>
      <c r="F51" s="41">
        <f t="shared" si="1"/>
        <v>6.7838000000000003</v>
      </c>
      <c r="G51" s="235">
        <f>ROUND(D51*E51,2)</f>
        <v>13.77</v>
      </c>
      <c r="H51" s="270"/>
      <c r="I51" s="41"/>
      <c r="J51" s="41"/>
      <c r="K51" s="271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thickBot="1">
      <c r="A52" s="891"/>
      <c r="B52" s="202"/>
      <c r="C52" s="54" t="s">
        <v>29</v>
      </c>
      <c r="D52" s="279">
        <v>189.3</v>
      </c>
      <c r="E52" s="56">
        <v>6.7838000000000003</v>
      </c>
      <c r="F52" s="57">
        <f t="shared" si="1"/>
        <v>6.7838000000000003</v>
      </c>
      <c r="G52" s="247">
        <f t="shared" ref="G52" si="6">ROUND(D52*E52,2)</f>
        <v>1284.17</v>
      </c>
      <c r="H52" s="280"/>
      <c r="I52" s="281"/>
      <c r="J52" s="281"/>
      <c r="K52" s="282"/>
      <c r="L52" s="204"/>
      <c r="M52" s="250"/>
      <c r="N52" s="283"/>
      <c r="O52" s="252"/>
      <c r="P52" s="284"/>
      <c r="Q52" s="252"/>
      <c r="R52" s="242"/>
      <c r="S52" s="266"/>
      <c r="T52" s="266"/>
    </row>
    <row r="53" spans="1:20">
      <c r="A53" s="896">
        <v>202</v>
      </c>
      <c r="B53" s="192" t="s">
        <v>159</v>
      </c>
      <c r="C53" s="700" t="s">
        <v>260</v>
      </c>
      <c r="D53" s="985">
        <f>дек18!D47+дек18!D48</f>
        <v>138.97</v>
      </c>
      <c r="E53" s="261">
        <f>6.7838-7.0643</f>
        <v>-0.28049999999999997</v>
      </c>
      <c r="F53" s="261">
        <f t="shared" si="1"/>
        <v>-0.28049999999999997</v>
      </c>
      <c r="G53" s="195">
        <f>ROUND(D53*E53,2)</f>
        <v>-38.979999999999997</v>
      </c>
      <c r="H53" s="260"/>
      <c r="I53" s="261"/>
      <c r="J53" s="261"/>
      <c r="K53" s="262"/>
      <c r="L53" s="294">
        <f>SUM(G53:G55)</f>
        <v>467.02</v>
      </c>
      <c r="M53" s="227">
        <v>467.02</v>
      </c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0.79</v>
      </c>
      <c r="E54" s="41">
        <v>6.7838000000000003</v>
      </c>
      <c r="F54" s="41">
        <f t="shared" si="1"/>
        <v>6.7838000000000003</v>
      </c>
      <c r="G54" s="235">
        <f t="shared" ref="G54:G55" si="7">ROUND(D54*E54,2)</f>
        <v>5.36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887"/>
      <c r="C55" s="54" t="s">
        <v>29</v>
      </c>
      <c r="D55" s="279">
        <v>73.8</v>
      </c>
      <c r="E55" s="56">
        <v>6.7838000000000003</v>
      </c>
      <c r="F55" s="57">
        <f t="shared" si="1"/>
        <v>6.7838000000000003</v>
      </c>
      <c r="G55" s="247">
        <f t="shared" si="7"/>
        <v>500.64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 ht="15.75" hidden="1" thickBot="1">
      <c r="A56" s="892">
        <v>204</v>
      </c>
      <c r="B56" s="183" t="s">
        <v>137</v>
      </c>
      <c r="C56" s="439" t="s">
        <v>260</v>
      </c>
      <c r="D56" s="296"/>
      <c r="E56" s="41">
        <f>6.6439-6.7023</f>
        <v>-5.8399999999999785E-2</v>
      </c>
      <c r="F56" s="41">
        <f t="shared" si="1"/>
        <v>-5.8399999999999785E-2</v>
      </c>
      <c r="G56" s="235">
        <f>ROUND(D56*E56,2)</f>
        <v>0</v>
      </c>
      <c r="H56" s="270"/>
      <c r="I56" s="41"/>
      <c r="J56" s="41"/>
      <c r="K56" s="271"/>
      <c r="L56" s="294">
        <f>SUM(G56:G58)</f>
        <v>0</v>
      </c>
      <c r="M56" s="227"/>
      <c r="N56" s="274"/>
      <c r="O56" s="237"/>
      <c r="P56" s="275"/>
      <c r="Q56" s="237"/>
      <c r="R56" s="242"/>
      <c r="S56" s="266"/>
      <c r="T56" s="266"/>
    </row>
    <row r="57" spans="1:20" ht="16.5" hidden="1" thickBot="1">
      <c r="A57" s="896"/>
      <c r="B57" s="991" t="s">
        <v>275</v>
      </c>
      <c r="C57" s="48" t="s">
        <v>263</v>
      </c>
      <c r="D57" s="269"/>
      <c r="E57" s="41">
        <v>6.6439000000000004</v>
      </c>
      <c r="F57" s="41">
        <f t="shared" si="1"/>
        <v>6.6439000000000004</v>
      </c>
      <c r="G57" s="235">
        <f>ROUND(D57*E57,2)</f>
        <v>0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hidden="1" thickBot="1">
      <c r="A58" s="891"/>
      <c r="B58" s="887"/>
      <c r="C58" s="54" t="s">
        <v>29</v>
      </c>
      <c r="D58" s="279"/>
      <c r="E58" s="56">
        <v>6.6439000000000004</v>
      </c>
      <c r="F58" s="57">
        <f t="shared" si="1"/>
        <v>6.6439000000000004</v>
      </c>
      <c r="G58" s="247">
        <f>ROUND(D58*E58,2)</f>
        <v>0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892">
        <v>204</v>
      </c>
      <c r="B59" s="183" t="s">
        <v>289</v>
      </c>
      <c r="C59" s="439" t="s">
        <v>260</v>
      </c>
      <c r="D59" s="296">
        <f>дек18!D53+дек18!D54</f>
        <v>183.04</v>
      </c>
      <c r="E59" s="41">
        <f>6.7838-7.0643</f>
        <v>-0.28049999999999997</v>
      </c>
      <c r="F59" s="41">
        <f t="shared" si="1"/>
        <v>-0.28049999999999997</v>
      </c>
      <c r="G59" s="235">
        <f>ROUND(D59*E59,2)+0.01</f>
        <v>-51.330000000000005</v>
      </c>
      <c r="H59" s="270"/>
      <c r="I59" s="41"/>
      <c r="J59" s="41"/>
      <c r="K59" s="271"/>
      <c r="L59" s="294">
        <f>SUM(G59:G61)</f>
        <v>587.0200000000001</v>
      </c>
      <c r="M59" s="227">
        <v>587.02</v>
      </c>
      <c r="N59" s="274"/>
      <c r="O59" s="237"/>
      <c r="P59" s="275"/>
      <c r="Q59" s="237"/>
      <c r="R59" s="242"/>
      <c r="S59" s="266"/>
      <c r="T59" s="266"/>
    </row>
    <row r="60" spans="1:20" ht="15.75">
      <c r="A60" s="896"/>
      <c r="B60" s="192"/>
      <c r="C60" s="48" t="s">
        <v>263</v>
      </c>
      <c r="D60" s="269">
        <v>1</v>
      </c>
      <c r="E60" s="41">
        <v>6.7838000000000003</v>
      </c>
      <c r="F60" s="41">
        <f t="shared" si="1"/>
        <v>6.7838000000000003</v>
      </c>
      <c r="G60" s="235">
        <f>ROUND(D60*E60,2)</f>
        <v>6.78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891"/>
      <c r="B61" s="887"/>
      <c r="C61" s="54" t="s">
        <v>29</v>
      </c>
      <c r="D61" s="279">
        <v>93.1</v>
      </c>
      <c r="E61" s="56">
        <v>6.7838000000000003</v>
      </c>
      <c r="F61" s="57">
        <f t="shared" si="1"/>
        <v>6.7838000000000003</v>
      </c>
      <c r="G61" s="247">
        <f t="shared" ref="G61" si="8">ROUND(D61*E61,2)</f>
        <v>631.57000000000005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210</v>
      </c>
      <c r="B62" s="183" t="s">
        <v>245</v>
      </c>
      <c r="C62" s="439" t="s">
        <v>260</v>
      </c>
      <c r="D62" s="296">
        <f>дек18!D56+дек18!D57</f>
        <v>330.8</v>
      </c>
      <c r="E62" s="41">
        <f>6.7838-7.0643</f>
        <v>-0.28049999999999997</v>
      </c>
      <c r="F62" s="41">
        <f t="shared" si="1"/>
        <v>-0.28049999999999997</v>
      </c>
      <c r="G62" s="235">
        <f>ROUND(D62*E62,2)+0.01</f>
        <v>-92.78</v>
      </c>
      <c r="H62" s="270"/>
      <c r="I62" s="41"/>
      <c r="J62" s="41"/>
      <c r="K62" s="271"/>
      <c r="L62" s="294">
        <f>SUM(G62:G64)</f>
        <v>1091.33</v>
      </c>
      <c r="M62" s="227">
        <v>1091.33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1.85</v>
      </c>
      <c r="E63" s="41">
        <v>6.7838000000000003</v>
      </c>
      <c r="F63" s="41">
        <f t="shared" si="1"/>
        <v>6.7838000000000003</v>
      </c>
      <c r="G63" s="235">
        <f>ROUND(D63*E63,2)</f>
        <v>12.55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172.7</v>
      </c>
      <c r="E64" s="56">
        <v>6.7838000000000003</v>
      </c>
      <c r="F64" s="57">
        <f t="shared" si="1"/>
        <v>6.7838000000000003</v>
      </c>
      <c r="G64" s="247">
        <f t="shared" ref="G64" si="9">ROUND(D64*E64,2)</f>
        <v>1171.56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213</v>
      </c>
      <c r="B65" s="183" t="s">
        <v>262</v>
      </c>
      <c r="C65" s="439" t="s">
        <v>260</v>
      </c>
      <c r="D65" s="296">
        <f>дек18!D59+дек18!D60</f>
        <v>177.88</v>
      </c>
      <c r="E65" s="41">
        <f>6.7838-7.0643</f>
        <v>-0.28049999999999997</v>
      </c>
      <c r="F65" s="41">
        <f t="shared" si="1"/>
        <v>-0.28049999999999997</v>
      </c>
      <c r="G65" s="235">
        <f>ROUND(D65*E65,2)</f>
        <v>-49.9</v>
      </c>
      <c r="H65" s="270"/>
      <c r="I65" s="41"/>
      <c r="J65" s="41"/>
      <c r="K65" s="271"/>
      <c r="L65" s="294">
        <f>SUM(G65:G67)</f>
        <v>632.28</v>
      </c>
      <c r="M65" s="227">
        <v>632.28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1.06</v>
      </c>
      <c r="E66" s="41">
        <v>6.7838000000000003</v>
      </c>
      <c r="F66" s="41">
        <f t="shared" si="1"/>
        <v>6.7838000000000003</v>
      </c>
      <c r="G66" s="235">
        <f>ROUND(D66*E66,2)</f>
        <v>7.19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99.5</v>
      </c>
      <c r="E67" s="56">
        <v>6.7838000000000003</v>
      </c>
      <c r="F67" s="57">
        <f t="shared" si="1"/>
        <v>6.7838000000000003</v>
      </c>
      <c r="G67" s="247">
        <f t="shared" ref="G67" si="10">ROUND(D67*E67,2)</f>
        <v>674.99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215</v>
      </c>
      <c r="B68" s="183" t="s">
        <v>189</v>
      </c>
      <c r="C68" s="71" t="s">
        <v>243</v>
      </c>
      <c r="D68" s="213">
        <v>0</v>
      </c>
      <c r="E68" s="21">
        <v>40.556600000000003</v>
      </c>
      <c r="F68" s="21">
        <v>47.5304</v>
      </c>
      <c r="G68" s="214">
        <f>ROUND(D68*(E68+F68),2)</f>
        <v>0</v>
      </c>
      <c r="H68" s="213"/>
      <c r="I68" s="194"/>
      <c r="J68" s="215"/>
      <c r="K68" s="679"/>
      <c r="L68" s="216">
        <f>SUM(G68:G75)+SUM(J68:J75)</f>
        <v>2181.75</v>
      </c>
      <c r="M68" s="187">
        <v>2181.75</v>
      </c>
      <c r="N68" s="188"/>
      <c r="O68" s="217"/>
      <c r="P68" s="218"/>
      <c r="Q68" s="219"/>
      <c r="R68" s="220"/>
      <c r="S68" s="221"/>
      <c r="T68" s="222"/>
      <c r="U68" s="33"/>
    </row>
    <row r="69" spans="1:21">
      <c r="A69" s="890"/>
      <c r="B69" s="872"/>
      <c r="C69" s="84" t="s">
        <v>26</v>
      </c>
      <c r="D69" s="37"/>
      <c r="E69" s="38"/>
      <c r="F69" s="38"/>
      <c r="G69" s="39">
        <f>ROUND(D69*(E69+F69),2)</f>
        <v>0</v>
      </c>
      <c r="H69" s="225"/>
      <c r="I69" s="194"/>
      <c r="J69" s="194"/>
      <c r="K69" s="226"/>
      <c r="L69" s="196"/>
      <c r="M69" s="227"/>
      <c r="N69" s="228"/>
      <c r="O69" s="229"/>
      <c r="P69" s="230"/>
      <c r="Q69" s="231"/>
      <c r="R69" s="232"/>
      <c r="S69" s="233"/>
      <c r="T69" s="224"/>
      <c r="U69" s="33"/>
    </row>
    <row r="70" spans="1:21">
      <c r="A70" s="890"/>
      <c r="B70" s="873" t="s">
        <v>32</v>
      </c>
      <c r="C70" s="99" t="s">
        <v>33</v>
      </c>
      <c r="D70" s="234">
        <v>0</v>
      </c>
      <c r="E70" s="101">
        <v>148.66999999999999</v>
      </c>
      <c r="F70" s="38">
        <f>F68</f>
        <v>47.5304</v>
      </c>
      <c r="G70" s="235">
        <f>ROUND(D70*(E70+F70),2)</f>
        <v>0</v>
      </c>
      <c r="H70" s="234"/>
      <c r="I70" s="194"/>
      <c r="J70" s="194"/>
      <c r="K70" s="195"/>
      <c r="L70" s="196"/>
      <c r="M70" s="227"/>
      <c r="N70" s="236"/>
      <c r="O70" s="237"/>
      <c r="P70" s="230"/>
      <c r="Q70" s="238"/>
      <c r="R70" s="232"/>
      <c r="S70" s="233"/>
      <c r="T70" s="224"/>
    </row>
    <row r="71" spans="1:21">
      <c r="A71" s="890"/>
      <c r="B71" s="872" t="s">
        <v>33</v>
      </c>
      <c r="C71" s="239" t="s">
        <v>26</v>
      </c>
      <c r="D71" s="234"/>
      <c r="E71" s="240"/>
      <c r="F71" s="240"/>
      <c r="G71" s="235">
        <f>+ROUND(D71*E71,2)</f>
        <v>0</v>
      </c>
      <c r="H71" s="241"/>
      <c r="I71" s="194"/>
      <c r="J71" s="194"/>
      <c r="K71" s="195"/>
      <c r="L71" s="196"/>
      <c r="M71" s="227"/>
      <c r="N71" s="236"/>
      <c r="O71" s="237"/>
      <c r="P71" s="230"/>
      <c r="Q71" s="238"/>
      <c r="R71" s="242"/>
      <c r="S71" s="233"/>
      <c r="T71" s="224"/>
    </row>
    <row r="72" spans="1:21">
      <c r="A72" s="890"/>
      <c r="B72" s="872"/>
      <c r="C72" s="239" t="s">
        <v>26</v>
      </c>
      <c r="D72" s="234"/>
      <c r="E72" s="240"/>
      <c r="F72" s="41"/>
      <c r="G72" s="235">
        <f>+ROUND(D72*F72,2)</f>
        <v>0</v>
      </c>
      <c r="H72" s="241"/>
      <c r="I72" s="194"/>
      <c r="J72" s="194"/>
      <c r="K72" s="195"/>
      <c r="L72" s="196"/>
      <c r="M72" s="227"/>
      <c r="N72" s="236"/>
      <c r="O72" s="237"/>
      <c r="P72" s="230"/>
      <c r="Q72" s="238"/>
      <c r="R72" s="242"/>
      <c r="S72" s="233"/>
      <c r="T72" s="224"/>
    </row>
    <row r="73" spans="1:21">
      <c r="A73" s="890"/>
      <c r="B73" s="872"/>
      <c r="C73" s="48" t="s">
        <v>260</v>
      </c>
      <c r="D73" s="49">
        <f>дек18!D67+дек18!D68</f>
        <v>532.74</v>
      </c>
      <c r="E73" s="41">
        <f>6.7838-7.0643</f>
        <v>-0.28049999999999997</v>
      </c>
      <c r="F73" s="41">
        <f t="shared" ref="F73:F78" si="11">+E73</f>
        <v>-0.28049999999999997</v>
      </c>
      <c r="G73" s="50">
        <f>ROUND(D73*E73,2)</f>
        <v>-149.43</v>
      </c>
      <c r="H73" s="241"/>
      <c r="I73" s="194"/>
      <c r="J73" s="194"/>
      <c r="K73" s="195"/>
      <c r="L73" s="196"/>
      <c r="M73" s="227"/>
      <c r="N73" s="236"/>
      <c r="O73" s="237"/>
      <c r="P73" s="230"/>
      <c r="Q73" s="238"/>
      <c r="R73" s="242"/>
      <c r="S73" s="233"/>
      <c r="T73" s="224"/>
    </row>
    <row r="74" spans="1:21">
      <c r="A74" s="890"/>
      <c r="B74" s="872"/>
      <c r="C74" s="48" t="s">
        <v>263</v>
      </c>
      <c r="D74" s="49">
        <v>3.64</v>
      </c>
      <c r="E74" s="41">
        <v>6.7838000000000003</v>
      </c>
      <c r="F74" s="41">
        <f t="shared" si="11"/>
        <v>6.7838000000000003</v>
      </c>
      <c r="G74" s="50">
        <f>ROUND(D74*E74,2)</f>
        <v>24.69</v>
      </c>
      <c r="H74" s="241"/>
      <c r="I74" s="194"/>
      <c r="J74" s="243"/>
      <c r="K74" s="195"/>
      <c r="L74" s="196"/>
      <c r="M74" s="227"/>
      <c r="N74" s="236"/>
      <c r="O74" s="237"/>
      <c r="P74" s="230"/>
      <c r="Q74" s="238"/>
      <c r="R74" s="242"/>
      <c r="S74" s="233"/>
      <c r="T74" s="224"/>
      <c r="U74" s="33"/>
    </row>
    <row r="75" spans="1:21" ht="15.75" thickBot="1">
      <c r="A75" s="897"/>
      <c r="B75" s="875"/>
      <c r="C75" s="99" t="s">
        <v>29</v>
      </c>
      <c r="D75" s="246">
        <v>340</v>
      </c>
      <c r="E75" s="56">
        <v>6.7838000000000003</v>
      </c>
      <c r="F75" s="57">
        <f t="shared" si="11"/>
        <v>6.7838000000000003</v>
      </c>
      <c r="G75" s="247">
        <f>ROUND(D75*E75*70%+D75*F75*30%,2)</f>
        <v>2306.4899999999998</v>
      </c>
      <c r="H75" s="248"/>
      <c r="I75" s="203"/>
      <c r="J75" s="60"/>
      <c r="K75" s="61"/>
      <c r="L75" s="249"/>
      <c r="M75" s="250"/>
      <c r="N75" s="251"/>
      <c r="O75" s="252"/>
      <c r="P75" s="253"/>
      <c r="Q75" s="254"/>
      <c r="R75" s="255"/>
      <c r="S75" s="256"/>
      <c r="T75" s="256"/>
    </row>
    <row r="76" spans="1:21" ht="15.75" thickTop="1">
      <c r="A76" s="892">
        <v>217</v>
      </c>
      <c r="B76" s="183" t="s">
        <v>269</v>
      </c>
      <c r="C76" s="439" t="s">
        <v>260</v>
      </c>
      <c r="D76" s="296">
        <f>дек18!D70+дек18!D71</f>
        <v>52.56</v>
      </c>
      <c r="E76" s="41">
        <f>6.7838-7.0643</f>
        <v>-0.28049999999999997</v>
      </c>
      <c r="F76" s="41">
        <f t="shared" si="11"/>
        <v>-0.28049999999999997</v>
      </c>
      <c r="G76" s="235">
        <f>ROUND(D76*E76,2)</f>
        <v>-14.74</v>
      </c>
      <c r="H76" s="270"/>
      <c r="I76" s="41"/>
      <c r="J76" s="41"/>
      <c r="K76" s="271"/>
      <c r="L76" s="294">
        <f>SUM(G76:G78)</f>
        <v>210.82</v>
      </c>
      <c r="M76" s="227">
        <v>210.82</v>
      </c>
      <c r="N76" s="274"/>
      <c r="O76" s="237"/>
      <c r="P76" s="275"/>
      <c r="Q76" s="237"/>
      <c r="R76" s="242"/>
      <c r="S76" s="266"/>
      <c r="T76" s="266"/>
    </row>
    <row r="77" spans="1:21" ht="15.75">
      <c r="A77" s="896"/>
      <c r="B77" s="192"/>
      <c r="C77" s="48" t="s">
        <v>263</v>
      </c>
      <c r="D77" s="269">
        <v>0.35</v>
      </c>
      <c r="E77" s="41">
        <v>6.7838000000000003</v>
      </c>
      <c r="F77" s="41">
        <f t="shared" si="11"/>
        <v>6.7838000000000003</v>
      </c>
      <c r="G77" s="235">
        <f>ROUND(D77*E77,2)</f>
        <v>2.37</v>
      </c>
      <c r="H77" s="270"/>
      <c r="I77" s="41"/>
      <c r="J77" s="41"/>
      <c r="K77" s="271"/>
      <c r="L77" s="272"/>
      <c r="M77" s="273"/>
      <c r="N77" s="274"/>
      <c r="O77" s="237"/>
      <c r="P77" s="275"/>
      <c r="Q77" s="237"/>
      <c r="R77" s="242"/>
      <c r="S77" s="266"/>
      <c r="T77" s="266"/>
    </row>
    <row r="78" spans="1:21" ht="16.5" thickBot="1">
      <c r="A78" s="891"/>
      <c r="B78" s="887"/>
      <c r="C78" s="54" t="s">
        <v>29</v>
      </c>
      <c r="D78" s="279">
        <v>32.9</v>
      </c>
      <c r="E78" s="56">
        <v>6.7838000000000003</v>
      </c>
      <c r="F78" s="57">
        <f t="shared" si="11"/>
        <v>6.7838000000000003</v>
      </c>
      <c r="G78" s="247">
        <f t="shared" ref="G78" si="12">ROUND(D78*E78,2)</f>
        <v>223.19</v>
      </c>
      <c r="H78" s="280"/>
      <c r="I78" s="281"/>
      <c r="J78" s="281"/>
      <c r="K78" s="282"/>
      <c r="L78" s="204"/>
      <c r="M78" s="250"/>
      <c r="N78" s="283"/>
      <c r="O78" s="252"/>
      <c r="P78" s="284"/>
      <c r="Q78" s="252"/>
      <c r="R78" s="242"/>
      <c r="S78" s="266"/>
      <c r="T78" s="266"/>
    </row>
    <row r="79" spans="1:21" ht="15.75" collapsed="1" thickBot="1">
      <c r="A79" s="891">
        <v>309</v>
      </c>
      <c r="B79" s="887" t="s">
        <v>251</v>
      </c>
      <c r="C79" s="54" t="s">
        <v>260</v>
      </c>
      <c r="D79" s="296">
        <f>дек18!D73+дек18!D74</f>
        <v>459.36</v>
      </c>
      <c r="E79" s="41">
        <f>6.7838-7.0643</f>
        <v>-0.28049999999999997</v>
      </c>
      <c r="F79" s="41">
        <f>+E79</f>
        <v>-0.28049999999999997</v>
      </c>
      <c r="G79" s="235">
        <f>ROUND(D79*E79,2)</f>
        <v>-128.85</v>
      </c>
      <c r="H79" s="270"/>
      <c r="I79" s="41"/>
      <c r="J79" s="41"/>
      <c r="K79" s="271"/>
      <c r="L79" s="294">
        <f>SUM(G79:G81)</f>
        <v>1592.8100000000002</v>
      </c>
      <c r="M79" s="227">
        <v>1592.81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885"/>
      <c r="C80" s="48" t="s">
        <v>263</v>
      </c>
      <c r="D80" s="269">
        <v>2.69</v>
      </c>
      <c r="E80" s="41">
        <v>6.7838000000000003</v>
      </c>
      <c r="F80" s="41">
        <f>+E80</f>
        <v>6.7838000000000003</v>
      </c>
      <c r="G80" s="235">
        <f t="shared" ref="G80:G81" si="13">ROUND(D80*E80,2)</f>
        <v>18.25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251.1</v>
      </c>
      <c r="E81" s="56">
        <v>6.7838000000000003</v>
      </c>
      <c r="F81" s="57">
        <f>+E81</f>
        <v>6.7838000000000003</v>
      </c>
      <c r="G81" s="247">
        <f t="shared" si="13"/>
        <v>1703.41</v>
      </c>
      <c r="H81" s="280"/>
      <c r="I81" s="281"/>
      <c r="J81" s="281"/>
      <c r="K81" s="282"/>
      <c r="L81" s="204"/>
      <c r="M81" s="250"/>
      <c r="N81" s="283"/>
      <c r="O81" s="252"/>
      <c r="P81" s="284"/>
      <c r="Q81" s="252"/>
      <c r="R81" s="242"/>
      <c r="S81" s="266"/>
      <c r="T81" s="266"/>
    </row>
    <row r="82" spans="1:21">
      <c r="A82" s="888">
        <v>314</v>
      </c>
      <c r="B82" s="889" t="s">
        <v>52</v>
      </c>
      <c r="C82" s="71">
        <v>0</v>
      </c>
      <c r="D82" s="213">
        <v>124.49</v>
      </c>
      <c r="E82" s="21">
        <v>40.556600000000003</v>
      </c>
      <c r="F82" s="21">
        <v>47.5304</v>
      </c>
      <c r="G82" s="214">
        <f>ROUND(D82*(E82+F82),2)</f>
        <v>10965.95</v>
      </c>
      <c r="H82" s="213"/>
      <c r="I82" s="194"/>
      <c r="J82" s="215"/>
      <c r="K82" s="679"/>
      <c r="L82" s="216">
        <f>SUM(G82:G89)+SUM(J82:J89)</f>
        <v>41290.730000000003</v>
      </c>
      <c r="M82" s="187">
        <v>41290.730000000003</v>
      </c>
      <c r="N82" s="188"/>
      <c r="O82" s="217">
        <v>4253.6899999999996</v>
      </c>
      <c r="P82" s="218" t="s">
        <v>47</v>
      </c>
      <c r="Q82" s="219">
        <f t="shared" ref="Q82" si="14">C82+G82+J82-M82-N82-O82</f>
        <v>-34578.47</v>
      </c>
      <c r="R82" s="220" t="s">
        <v>53</v>
      </c>
      <c r="S82" s="221"/>
      <c r="T82" s="222"/>
      <c r="U82" s="33">
        <f>+C82+L82-M82</f>
        <v>0</v>
      </c>
    </row>
    <row r="83" spans="1:21" ht="15.75" thickBot="1">
      <c r="A83" s="890"/>
      <c r="B83" s="872"/>
      <c r="C83" s="84" t="s">
        <v>26</v>
      </c>
      <c r="D83" s="37"/>
      <c r="E83" s="38"/>
      <c r="F83" s="38"/>
      <c r="G83" s="39">
        <f>ROUND(D83*(E83+F83),2)</f>
        <v>0</v>
      </c>
      <c r="H83" s="225"/>
      <c r="I83" s="194"/>
      <c r="J83" s="194"/>
      <c r="K83" s="226"/>
      <c r="L83" s="196"/>
      <c r="M83" s="227"/>
      <c r="N83" s="228"/>
      <c r="O83" s="229"/>
      <c r="P83" s="230"/>
      <c r="Q83" s="231"/>
      <c r="R83" s="232"/>
      <c r="S83" s="233"/>
      <c r="T83" s="224"/>
      <c r="U83" s="33"/>
    </row>
    <row r="84" spans="1:21">
      <c r="A84" s="890"/>
      <c r="B84" s="873" t="s">
        <v>32</v>
      </c>
      <c r="C84" s="99" t="s">
        <v>33</v>
      </c>
      <c r="D84" s="234">
        <v>0</v>
      </c>
      <c r="E84" s="101">
        <v>148.66999999999999</v>
      </c>
      <c r="F84" s="21">
        <v>47.5304</v>
      </c>
      <c r="G84" s="235">
        <f>ROUND(D84*(E84+F84),2)</f>
        <v>0</v>
      </c>
      <c r="H84" s="234"/>
      <c r="I84" s="194"/>
      <c r="J84" s="194"/>
      <c r="K84" s="195"/>
      <c r="L84" s="196"/>
      <c r="M84" s="227"/>
      <c r="N84" s="236"/>
      <c r="O84" s="237">
        <v>5456.6</v>
      </c>
      <c r="P84" s="230" t="s">
        <v>47</v>
      </c>
      <c r="Q84" s="238">
        <f>+G84+J84-M84-N84-O84</f>
        <v>-5456.6</v>
      </c>
      <c r="R84" s="232"/>
      <c r="S84" s="233"/>
      <c r="T84" s="224"/>
    </row>
    <row r="85" spans="1:21">
      <c r="A85" s="890"/>
      <c r="B85" s="872" t="s">
        <v>33</v>
      </c>
      <c r="C85" s="239" t="s">
        <v>26</v>
      </c>
      <c r="D85" s="234"/>
      <c r="E85" s="240"/>
      <c r="F85" s="240"/>
      <c r="G85" s="235">
        <f>+ROUND(D85*E85,2)</f>
        <v>0</v>
      </c>
      <c r="H85" s="241"/>
      <c r="I85" s="194"/>
      <c r="J85" s="194"/>
      <c r="K85" s="195"/>
      <c r="L85" s="196"/>
      <c r="M85" s="227"/>
      <c r="N85" s="236"/>
      <c r="O85" s="237"/>
      <c r="P85" s="230"/>
      <c r="Q85" s="238"/>
      <c r="R85" s="242"/>
      <c r="S85" s="233"/>
      <c r="T85" s="224"/>
    </row>
    <row r="86" spans="1:21">
      <c r="A86" s="890"/>
      <c r="B86" s="872"/>
      <c r="C86" s="239" t="s">
        <v>26</v>
      </c>
      <c r="D86" s="234"/>
      <c r="E86" s="240"/>
      <c r="F86" s="41"/>
      <c r="G86" s="235">
        <f>+ROUND(D86*F86,2)</f>
        <v>0</v>
      </c>
      <c r="H86" s="241"/>
      <c r="I86" s="194"/>
      <c r="J86" s="194"/>
      <c r="K86" s="195"/>
      <c r="L86" s="196"/>
      <c r="M86" s="227"/>
      <c r="N86" s="236"/>
      <c r="O86" s="237"/>
      <c r="P86" s="230"/>
      <c r="Q86" s="238"/>
      <c r="R86" s="242"/>
      <c r="S86" s="233"/>
      <c r="T86" s="224"/>
    </row>
    <row r="87" spans="1:21">
      <c r="A87" s="890"/>
      <c r="B87" s="872"/>
      <c r="C87" s="48" t="s">
        <v>260</v>
      </c>
      <c r="D87" s="49">
        <f>дек18!D81+дек18!D82</f>
        <v>12942.050000000001</v>
      </c>
      <c r="E87" s="41">
        <f>6.7838-7.0643</f>
        <v>-0.28049999999999997</v>
      </c>
      <c r="F87" s="41">
        <f t="shared" ref="F87:F135" si="15">+E87</f>
        <v>-0.28049999999999997</v>
      </c>
      <c r="G87" s="50">
        <f>ROUND(D87*E87,2)+0.01</f>
        <v>-3630.24</v>
      </c>
      <c r="H87" s="241"/>
      <c r="I87" s="194"/>
      <c r="J87" s="194"/>
      <c r="K87" s="195"/>
      <c r="L87" s="196"/>
      <c r="M87" s="227"/>
      <c r="N87" s="236"/>
      <c r="O87" s="237"/>
      <c r="P87" s="230"/>
      <c r="Q87" s="238"/>
      <c r="R87" s="242"/>
      <c r="S87" s="233"/>
      <c r="T87" s="224"/>
    </row>
    <row r="88" spans="1:21">
      <c r="A88" s="890"/>
      <c r="B88" s="872"/>
      <c r="C88" s="48" t="s">
        <v>263</v>
      </c>
      <c r="D88" s="49">
        <v>52.99</v>
      </c>
      <c r="E88" s="41">
        <v>6.7838000000000003</v>
      </c>
      <c r="F88" s="41">
        <f t="shared" si="15"/>
        <v>6.7838000000000003</v>
      </c>
      <c r="G88" s="50">
        <f>ROUND(D88*E88,2)</f>
        <v>359.47</v>
      </c>
      <c r="H88" s="241"/>
      <c r="I88" s="194"/>
      <c r="J88" s="243"/>
      <c r="K88" s="195"/>
      <c r="L88" s="196"/>
      <c r="M88" s="227"/>
      <c r="N88" s="236"/>
      <c r="O88" s="237"/>
      <c r="P88" s="230"/>
      <c r="Q88" s="238"/>
      <c r="R88" s="242"/>
      <c r="S88" s="233"/>
      <c r="T88" s="224"/>
      <c r="U88" s="33"/>
    </row>
    <row r="89" spans="1:21" ht="15.75" thickBot="1">
      <c r="A89" s="891"/>
      <c r="B89" s="887"/>
      <c r="C89" s="54" t="s">
        <v>29</v>
      </c>
      <c r="D89" s="246">
        <v>4952.32</v>
      </c>
      <c r="E89" s="56">
        <v>6.7838000000000003</v>
      </c>
      <c r="F89" s="57">
        <f t="shared" si="15"/>
        <v>6.7838000000000003</v>
      </c>
      <c r="G89" s="247">
        <f>ROUND(D89*E89*70%+D89*F89*30%,2)</f>
        <v>33595.550000000003</v>
      </c>
      <c r="H89" s="248"/>
      <c r="I89" s="203"/>
      <c r="J89" s="60"/>
      <c r="K89" s="61"/>
      <c r="L89" s="249"/>
      <c r="M89" s="250"/>
      <c r="N89" s="251"/>
      <c r="O89" s="252">
        <v>15777.9</v>
      </c>
      <c r="P89" s="253" t="s">
        <v>47</v>
      </c>
      <c r="Q89" s="254">
        <f>+G89+J89-M89-N89-O89</f>
        <v>17817.650000000001</v>
      </c>
      <c r="R89" s="255" t="s">
        <v>54</v>
      </c>
      <c r="S89" s="256">
        <f>SUM(O82:O89)</f>
        <v>25488.190000000002</v>
      </c>
      <c r="T89" s="256">
        <f>SUM(Q82:Q89)</f>
        <v>-22217.42</v>
      </c>
    </row>
    <row r="90" spans="1:21">
      <c r="A90" s="892">
        <v>402</v>
      </c>
      <c r="B90" s="183" t="s">
        <v>178</v>
      </c>
      <c r="C90" s="439" t="s">
        <v>260</v>
      </c>
      <c r="D90" s="296">
        <f>дек18!D84+дек18!D85</f>
        <v>219.71</v>
      </c>
      <c r="E90" s="41">
        <f>6.7838-7.0643</f>
        <v>-0.28049999999999997</v>
      </c>
      <c r="F90" s="41">
        <f t="shared" si="15"/>
        <v>-0.28049999999999997</v>
      </c>
      <c r="G90" s="235">
        <f>ROUND(D90*E90,2)+0.01</f>
        <v>-61.620000000000005</v>
      </c>
      <c r="H90" s="270"/>
      <c r="I90" s="41"/>
      <c r="J90" s="41"/>
      <c r="K90" s="271"/>
      <c r="L90" s="294">
        <f>SUM(G90:G92)</f>
        <v>756.5</v>
      </c>
      <c r="M90" s="227">
        <v>756.5</v>
      </c>
      <c r="N90" s="274"/>
      <c r="O90" s="237"/>
      <c r="P90" s="275"/>
      <c r="Q90" s="237"/>
      <c r="R90" s="242"/>
      <c r="S90" s="266"/>
      <c r="T90" s="266"/>
    </row>
    <row r="91" spans="1:21" ht="15.75">
      <c r="A91" s="896"/>
      <c r="B91" s="192"/>
      <c r="C91" s="48" t="s">
        <v>263</v>
      </c>
      <c r="D91" s="269">
        <v>1.28</v>
      </c>
      <c r="E91" s="41">
        <v>6.7838000000000003</v>
      </c>
      <c r="F91" s="41">
        <f t="shared" si="15"/>
        <v>6.7838000000000003</v>
      </c>
      <c r="G91" s="235">
        <f t="shared" ref="G91:G104" si="16">ROUND(D91*E91,2)</f>
        <v>8.68</v>
      </c>
      <c r="H91" s="270"/>
      <c r="I91" s="41"/>
      <c r="J91" s="41"/>
      <c r="K91" s="271"/>
      <c r="L91" s="272"/>
      <c r="M91" s="273"/>
      <c r="N91" s="274"/>
      <c r="O91" s="237"/>
      <c r="P91" s="275"/>
      <c r="Q91" s="237"/>
      <c r="R91" s="242"/>
      <c r="S91" s="266"/>
      <c r="T91" s="266"/>
    </row>
    <row r="92" spans="1:21" ht="16.5" thickBot="1">
      <c r="A92" s="891"/>
      <c r="B92" s="202"/>
      <c r="C92" s="54" t="s">
        <v>29</v>
      </c>
      <c r="D92" s="279">
        <v>119.32</v>
      </c>
      <c r="E92" s="56">
        <v>6.7838000000000003</v>
      </c>
      <c r="F92" s="57">
        <f t="shared" si="15"/>
        <v>6.7838000000000003</v>
      </c>
      <c r="G92" s="247">
        <f t="shared" si="16"/>
        <v>809.44</v>
      </c>
      <c r="H92" s="280"/>
      <c r="I92" s="281"/>
      <c r="J92" s="281"/>
      <c r="K92" s="282"/>
      <c r="L92" s="204"/>
      <c r="M92" s="250"/>
      <c r="N92" s="283"/>
      <c r="O92" s="252"/>
      <c r="P92" s="284"/>
      <c r="Q92" s="252"/>
      <c r="R92" s="242"/>
      <c r="S92" s="266"/>
      <c r="T92" s="266"/>
    </row>
    <row r="93" spans="1:21">
      <c r="A93" s="892">
        <v>403</v>
      </c>
      <c r="B93" s="183" t="s">
        <v>290</v>
      </c>
      <c r="C93" s="439" t="s">
        <v>260</v>
      </c>
      <c r="D93" s="296">
        <f>дек18!D87+дек18!D88</f>
        <v>35.07</v>
      </c>
      <c r="E93" s="41">
        <f>6.7838-7.0643</f>
        <v>-0.28049999999999997</v>
      </c>
      <c r="F93" s="41">
        <f t="shared" si="15"/>
        <v>-0.28049999999999997</v>
      </c>
      <c r="G93" s="235">
        <f>ROUND(D93*E93,2)</f>
        <v>-9.84</v>
      </c>
      <c r="H93" s="270"/>
      <c r="I93" s="41"/>
      <c r="J93" s="41"/>
      <c r="K93" s="271"/>
      <c r="L93" s="294">
        <f>SUM(G93:G95)</f>
        <v>215.04</v>
      </c>
      <c r="M93" s="996">
        <v>215.04</v>
      </c>
      <c r="N93" s="997"/>
      <c r="O93" s="998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0.35</v>
      </c>
      <c r="E94" s="41">
        <v>6.7838000000000003</v>
      </c>
      <c r="F94" s="41">
        <f t="shared" si="15"/>
        <v>6.7838000000000003</v>
      </c>
      <c r="G94" s="235">
        <f>ROUND(D94*E94,2)</f>
        <v>2.37</v>
      </c>
      <c r="H94" s="270"/>
      <c r="I94" s="41"/>
      <c r="J94" s="41"/>
      <c r="K94" s="271"/>
      <c r="L94" s="272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32.799999999999997</v>
      </c>
      <c r="E95" s="56">
        <v>6.7838000000000003</v>
      </c>
      <c r="F95" s="57">
        <f t="shared" si="15"/>
        <v>6.7838000000000003</v>
      </c>
      <c r="G95" s="247">
        <f t="shared" ref="G95" si="17">ROUND(D95*E95,2)</f>
        <v>222.51</v>
      </c>
      <c r="H95" s="280"/>
      <c r="I95" s="281"/>
      <c r="J95" s="281"/>
      <c r="K95" s="282"/>
      <c r="L95" s="204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409</v>
      </c>
      <c r="B96" s="183" t="s">
        <v>218</v>
      </c>
      <c r="C96" s="439" t="s">
        <v>260</v>
      </c>
      <c r="D96" s="296">
        <f>дек18!D90+дек18!D91</f>
        <v>147.76</v>
      </c>
      <c r="E96" s="41">
        <f>6.7838-7.0643</f>
        <v>-0.28049999999999997</v>
      </c>
      <c r="F96" s="41">
        <f t="shared" si="15"/>
        <v>-0.28049999999999997</v>
      </c>
      <c r="G96" s="235">
        <f>ROUND(D96*E96,2)</f>
        <v>-41.45</v>
      </c>
      <c r="H96" s="270"/>
      <c r="I96" s="41"/>
      <c r="J96" s="41"/>
      <c r="K96" s="271"/>
      <c r="L96" s="294">
        <f>SUM(G96:G98)</f>
        <v>718.27</v>
      </c>
      <c r="M96" s="227">
        <v>718.27</v>
      </c>
      <c r="N96" s="274"/>
      <c r="O96" s="237"/>
      <c r="P96" s="275"/>
      <c r="Q96" s="237"/>
      <c r="R96" s="242"/>
      <c r="S96" s="266"/>
      <c r="T96" s="266"/>
    </row>
    <row r="97" spans="1:20" ht="15.75">
      <c r="A97" s="896"/>
      <c r="B97" s="192"/>
      <c r="C97" s="48" t="s">
        <v>263</v>
      </c>
      <c r="D97" s="269">
        <v>1.19</v>
      </c>
      <c r="E97" s="41">
        <v>6.7838000000000003</v>
      </c>
      <c r="F97" s="41">
        <f t="shared" si="15"/>
        <v>6.7838000000000003</v>
      </c>
      <c r="G97" s="235">
        <f t="shared" si="16"/>
        <v>8.07</v>
      </c>
      <c r="H97" s="270"/>
      <c r="I97" s="41"/>
      <c r="J97" s="41"/>
      <c r="K97" s="271"/>
      <c r="L97" s="272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887"/>
      <c r="C98" s="54" t="s">
        <v>29</v>
      </c>
      <c r="D98" s="279">
        <v>110.8</v>
      </c>
      <c r="E98" s="56">
        <v>6.7838000000000003</v>
      </c>
      <c r="F98" s="57">
        <f t="shared" si="15"/>
        <v>6.7838000000000003</v>
      </c>
      <c r="G98" s="247">
        <f t="shared" si="16"/>
        <v>751.65</v>
      </c>
      <c r="H98" s="280"/>
      <c r="I98" s="281"/>
      <c r="J98" s="281"/>
      <c r="K98" s="282"/>
      <c r="L98" s="204"/>
      <c r="M98" s="250"/>
      <c r="N98" s="283"/>
      <c r="O98" s="252"/>
      <c r="P98" s="284"/>
      <c r="Q98" s="252"/>
      <c r="R98" s="242"/>
      <c r="S98" s="266"/>
      <c r="T98" s="266"/>
    </row>
    <row r="99" spans="1:20">
      <c r="A99" s="892">
        <v>410</v>
      </c>
      <c r="B99" s="183" t="s">
        <v>138</v>
      </c>
      <c r="C99" s="439" t="s">
        <v>260</v>
      </c>
      <c r="D99" s="296">
        <f>дек18!D93+дек18!D94</f>
        <v>287.54000000000002</v>
      </c>
      <c r="E99" s="41">
        <f>6.7838-7.0643</f>
        <v>-0.28049999999999997</v>
      </c>
      <c r="F99" s="41">
        <f t="shared" si="15"/>
        <v>-0.28049999999999997</v>
      </c>
      <c r="G99" s="235">
        <f>ROUND(D99*E99,2)</f>
        <v>-80.650000000000006</v>
      </c>
      <c r="H99" s="270"/>
      <c r="I99" s="41"/>
      <c r="J99" s="41"/>
      <c r="K99" s="271"/>
      <c r="L99" s="294">
        <f>SUM(G99:G101)</f>
        <v>1100.6799999999998</v>
      </c>
      <c r="M99" s="227">
        <v>1100.68</v>
      </c>
      <c r="N99" s="274"/>
      <c r="O99" s="237"/>
      <c r="P99" s="275"/>
      <c r="Q99" s="237"/>
      <c r="R99" s="242"/>
      <c r="S99" s="266"/>
      <c r="T99" s="266"/>
    </row>
    <row r="100" spans="1:20" ht="15.75">
      <c r="A100" s="896"/>
      <c r="B100" s="192"/>
      <c r="C100" s="48" t="s">
        <v>263</v>
      </c>
      <c r="D100" s="269">
        <v>1.84</v>
      </c>
      <c r="E100" s="41">
        <v>6.7838000000000003</v>
      </c>
      <c r="F100" s="41">
        <f t="shared" si="15"/>
        <v>6.7838000000000003</v>
      </c>
      <c r="G100" s="235">
        <f t="shared" si="16"/>
        <v>12.48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6.5" thickBot="1">
      <c r="A101" s="891"/>
      <c r="B101" s="887"/>
      <c r="C101" s="54" t="s">
        <v>29</v>
      </c>
      <c r="D101" s="279">
        <v>172.3</v>
      </c>
      <c r="E101" s="56">
        <v>6.7838000000000003</v>
      </c>
      <c r="F101" s="57">
        <f t="shared" si="15"/>
        <v>6.7838000000000003</v>
      </c>
      <c r="G101" s="247">
        <f t="shared" si="16"/>
        <v>1168.8499999999999</v>
      </c>
      <c r="H101" s="280"/>
      <c r="I101" s="281"/>
      <c r="J101" s="281"/>
      <c r="K101" s="2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0" ht="15.75" hidden="1" thickBot="1">
      <c r="A102" s="892">
        <v>411</v>
      </c>
      <c r="B102" s="183" t="s">
        <v>229</v>
      </c>
      <c r="C102" s="439" t="s">
        <v>260</v>
      </c>
      <c r="D102" s="296"/>
      <c r="E102" s="41">
        <f>6.6439-6.7023</f>
        <v>-5.8399999999999785E-2</v>
      </c>
      <c r="F102" s="41">
        <f t="shared" si="15"/>
        <v>-5.8399999999999785E-2</v>
      </c>
      <c r="G102" s="235">
        <f t="shared" si="16"/>
        <v>0</v>
      </c>
      <c r="H102" s="270"/>
      <c r="I102" s="41"/>
      <c r="J102" s="41"/>
      <c r="K102" s="271"/>
      <c r="L102" s="294">
        <f>SUM(G102:G104)</f>
        <v>0</v>
      </c>
      <c r="M102" s="227"/>
      <c r="N102" s="274"/>
      <c r="O102" s="983" t="s">
        <v>271</v>
      </c>
      <c r="P102" s="275"/>
      <c r="Q102" s="237"/>
      <c r="R102" s="242"/>
      <c r="S102" s="266"/>
      <c r="T102" s="266"/>
    </row>
    <row r="103" spans="1:20" ht="16.5" hidden="1" thickBot="1">
      <c r="A103" s="896"/>
      <c r="B103" s="192"/>
      <c r="C103" s="48" t="s">
        <v>263</v>
      </c>
      <c r="D103" s="269"/>
      <c r="E103" s="41">
        <v>6.6439000000000004</v>
      </c>
      <c r="F103" s="41">
        <f t="shared" si="15"/>
        <v>6.6439000000000004</v>
      </c>
      <c r="G103" s="235">
        <f>ROUND(D103*E103,2)</f>
        <v>0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0" ht="16.5" hidden="1" thickBot="1">
      <c r="A104" s="891"/>
      <c r="B104" s="887"/>
      <c r="C104" s="54" t="s">
        <v>29</v>
      </c>
      <c r="D104" s="279"/>
      <c r="E104" s="56">
        <v>6.6439000000000004</v>
      </c>
      <c r="F104" s="57">
        <f t="shared" si="15"/>
        <v>6.6439000000000004</v>
      </c>
      <c r="G104" s="247">
        <f t="shared" si="16"/>
        <v>0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0" ht="16.5" collapsed="1" thickBot="1">
      <c r="A105" s="891">
        <v>412</v>
      </c>
      <c r="B105" s="887" t="s">
        <v>58</v>
      </c>
      <c r="C105" s="54" t="s">
        <v>59</v>
      </c>
      <c r="D105" s="822">
        <v>0.34499999999999997</v>
      </c>
      <c r="E105" s="21">
        <v>40.556600000000003</v>
      </c>
      <c r="F105" s="21">
        <v>47.5304</v>
      </c>
      <c r="G105" s="214">
        <f>ROUND(D105*(E105+F105),2)</f>
        <v>30.39</v>
      </c>
      <c r="H105" s="213"/>
      <c r="I105" s="41"/>
      <c r="J105" s="215"/>
      <c r="K105" s="679"/>
      <c r="L105" s="294">
        <f>SUM(G105:G109)</f>
        <v>1020.1100000000001</v>
      </c>
      <c r="M105" s="227">
        <v>1020.11</v>
      </c>
      <c r="N105" s="264"/>
      <c r="O105" s="229"/>
      <c r="P105" s="265"/>
      <c r="Q105" s="229"/>
      <c r="R105" s="242"/>
      <c r="S105" s="266"/>
      <c r="T105" s="266"/>
    </row>
    <row r="106" spans="1:20" ht="15.75">
      <c r="A106" s="896"/>
      <c r="B106" s="885"/>
      <c r="C106" s="292" t="s">
        <v>264</v>
      </c>
      <c r="D106" s="269"/>
      <c r="E106" s="38"/>
      <c r="F106" s="38"/>
      <c r="G106" s="235">
        <f>ROUND(D106*(E106+F106),2)</f>
        <v>0</v>
      </c>
      <c r="H106" s="225"/>
      <c r="I106" s="41"/>
      <c r="J106" s="194"/>
      <c r="K106" s="295"/>
      <c r="L106" s="294"/>
      <c r="M106" s="227"/>
      <c r="N106" s="264"/>
      <c r="O106" s="229"/>
      <c r="P106" s="265"/>
      <c r="Q106" s="229"/>
      <c r="R106" s="242"/>
      <c r="S106" s="266"/>
      <c r="T106" s="266"/>
    </row>
    <row r="107" spans="1:20">
      <c r="A107" s="896"/>
      <c r="B107" s="885"/>
      <c r="C107" s="48" t="s">
        <v>260</v>
      </c>
      <c r="D107" s="296">
        <f>дек18!D101+дек18!D102</f>
        <v>262.77999999999997</v>
      </c>
      <c r="E107" s="41">
        <f>6.7838-7.0643</f>
        <v>-0.28049999999999997</v>
      </c>
      <c r="F107" s="41">
        <f t="shared" ref="F107:F132" si="18">+E107</f>
        <v>-0.28049999999999997</v>
      </c>
      <c r="G107" s="235">
        <f>ROUND(D107*E107,2)</f>
        <v>-73.709999999999994</v>
      </c>
      <c r="H107" s="270"/>
      <c r="I107" s="41"/>
      <c r="J107" s="41"/>
      <c r="K107" s="271"/>
      <c r="L107" s="272"/>
      <c r="M107" s="273"/>
      <c r="N107" s="274"/>
      <c r="O107" s="237"/>
      <c r="P107" s="275"/>
      <c r="Q107" s="237"/>
      <c r="R107" s="242"/>
      <c r="S107" s="266"/>
      <c r="T107" s="266"/>
    </row>
    <row r="108" spans="1:20" ht="15.75">
      <c r="A108" s="896"/>
      <c r="B108" s="885"/>
      <c r="C108" s="48" t="s">
        <v>263</v>
      </c>
      <c r="D108" s="269">
        <v>1.66</v>
      </c>
      <c r="E108" s="41">
        <v>6.7838000000000003</v>
      </c>
      <c r="F108" s="41">
        <f t="shared" si="18"/>
        <v>6.7838000000000003</v>
      </c>
      <c r="G108" s="235">
        <f t="shared" ref="G108:G109" si="19">ROUND(D108*E108,2)</f>
        <v>11.26</v>
      </c>
      <c r="H108" s="270"/>
      <c r="I108" s="41"/>
      <c r="J108" s="41"/>
      <c r="K108" s="271"/>
      <c r="L108" s="272"/>
      <c r="M108" s="273"/>
      <c r="N108" s="274"/>
      <c r="O108" s="237"/>
      <c r="P108" s="275"/>
      <c r="Q108" s="237"/>
      <c r="R108" s="242"/>
      <c r="S108" s="266"/>
      <c r="T108" s="266"/>
    </row>
    <row r="109" spans="1:20" ht="16.5" thickBot="1">
      <c r="A109" s="891"/>
      <c r="B109" s="887"/>
      <c r="C109" s="54" t="s">
        <v>29</v>
      </c>
      <c r="D109" s="279">
        <v>155.1</v>
      </c>
      <c r="E109" s="56">
        <v>6.7838000000000003</v>
      </c>
      <c r="F109" s="57">
        <f t="shared" si="18"/>
        <v>6.7838000000000003</v>
      </c>
      <c r="G109" s="247">
        <f t="shared" si="19"/>
        <v>1052.17</v>
      </c>
      <c r="H109" s="280"/>
      <c r="I109" s="281"/>
      <c r="J109" s="281"/>
      <c r="K109" s="282"/>
      <c r="L109" s="204"/>
      <c r="M109" s="250"/>
      <c r="N109" s="283"/>
      <c r="O109" s="252"/>
      <c r="P109" s="284"/>
      <c r="Q109" s="252"/>
      <c r="R109" s="242"/>
      <c r="S109" s="266"/>
      <c r="T109" s="266"/>
    </row>
    <row r="110" spans="1:20" ht="15" customHeight="1">
      <c r="A110" s="892">
        <v>413</v>
      </c>
      <c r="B110" s="883" t="s">
        <v>56</v>
      </c>
      <c r="C110" s="439" t="s">
        <v>260</v>
      </c>
      <c r="D110" s="894">
        <f>дек18!D104+дек18!D105</f>
        <v>395.99</v>
      </c>
      <c r="E110" s="41">
        <f>6.7838-7.0643</f>
        <v>-0.28049999999999997</v>
      </c>
      <c r="F110" s="41">
        <f t="shared" si="18"/>
        <v>-0.28049999999999997</v>
      </c>
      <c r="G110" s="214">
        <f>ROUND(D110*E110,2)</f>
        <v>-111.08</v>
      </c>
      <c r="H110" s="260"/>
      <c r="I110" s="261"/>
      <c r="J110" s="261"/>
      <c r="K110" s="262"/>
      <c r="L110" s="286">
        <f>SUM(G110:G112)</f>
        <v>1379.53</v>
      </c>
      <c r="M110" s="227">
        <v>1379.53</v>
      </c>
      <c r="N110" s="264"/>
      <c r="O110" s="229"/>
      <c r="P110" s="265"/>
      <c r="Q110" s="229"/>
      <c r="R110" s="287"/>
      <c r="S110" s="288"/>
      <c r="T110" s="288"/>
    </row>
    <row r="111" spans="1:20" ht="15.75">
      <c r="A111" s="893"/>
      <c r="B111" s="885"/>
      <c r="C111" s="48" t="s">
        <v>263</v>
      </c>
      <c r="D111" s="895">
        <v>2.33</v>
      </c>
      <c r="E111" s="41">
        <v>6.7838000000000003</v>
      </c>
      <c r="F111" s="41">
        <f t="shared" si="18"/>
        <v>6.7838000000000003</v>
      </c>
      <c r="G111" s="235">
        <f t="shared" ref="G111:G115" si="20">ROUND(D111*E111,2)</f>
        <v>15.81</v>
      </c>
      <c r="H111" s="270"/>
      <c r="I111" s="41"/>
      <c r="J111" s="41"/>
      <c r="K111" s="271"/>
      <c r="L111" s="272"/>
      <c r="M111" s="273"/>
      <c r="N111" s="274"/>
      <c r="O111" s="237"/>
      <c r="P111" s="275"/>
      <c r="Q111" s="237"/>
      <c r="R111" s="287"/>
      <c r="S111" s="288"/>
      <c r="T111" s="288"/>
    </row>
    <row r="112" spans="1:20" ht="16.5" thickBot="1">
      <c r="A112" s="891"/>
      <c r="B112" s="887"/>
      <c r="C112" s="54" t="s">
        <v>29</v>
      </c>
      <c r="D112" s="279">
        <v>217.4</v>
      </c>
      <c r="E112" s="56">
        <v>6.7838000000000003</v>
      </c>
      <c r="F112" s="57">
        <f t="shared" si="18"/>
        <v>6.7838000000000003</v>
      </c>
      <c r="G112" s="247">
        <f t="shared" si="20"/>
        <v>1474.8</v>
      </c>
      <c r="H112" s="280"/>
      <c r="I112" s="281"/>
      <c r="J112" s="281"/>
      <c r="K112" s="682"/>
      <c r="L112" s="204"/>
      <c r="M112" s="250"/>
      <c r="N112" s="283"/>
      <c r="O112" s="252"/>
      <c r="P112" s="284"/>
      <c r="Q112" s="252"/>
      <c r="R112" s="287"/>
      <c r="S112" s="288"/>
      <c r="T112" s="288"/>
    </row>
    <row r="113" spans="1:20">
      <c r="A113" s="892">
        <v>414</v>
      </c>
      <c r="B113" s="183" t="s">
        <v>179</v>
      </c>
      <c r="C113" s="439" t="s">
        <v>260</v>
      </c>
      <c r="D113" s="296">
        <f>дек18!D107+дек18!D108</f>
        <v>55.59</v>
      </c>
      <c r="E113" s="41">
        <f>6.7838-7.0643</f>
        <v>-0.28049999999999997</v>
      </c>
      <c r="F113" s="41">
        <f t="shared" si="18"/>
        <v>-0.28049999999999997</v>
      </c>
      <c r="G113" s="235">
        <f>ROUND(D113*E113,2)-0.01</f>
        <v>-15.6</v>
      </c>
      <c r="H113" s="270"/>
      <c r="I113" s="41"/>
      <c r="J113" s="41"/>
      <c r="K113" s="271"/>
      <c r="L113" s="294">
        <f>SUM(G113:G115)</f>
        <v>192.87</v>
      </c>
      <c r="M113" s="227">
        <v>192.87</v>
      </c>
      <c r="N113" s="274"/>
      <c r="O113" s="237"/>
      <c r="P113" s="275"/>
      <c r="Q113" s="237"/>
      <c r="R113" s="242"/>
      <c r="S113" s="266"/>
      <c r="T113" s="266"/>
    </row>
    <row r="114" spans="1:20" ht="15.75">
      <c r="A114" s="896"/>
      <c r="B114" s="192"/>
      <c r="C114" s="48" t="s">
        <v>263</v>
      </c>
      <c r="D114" s="269">
        <v>0.33</v>
      </c>
      <c r="E114" s="41">
        <v>6.7838000000000003</v>
      </c>
      <c r="F114" s="41">
        <f t="shared" si="18"/>
        <v>6.7838000000000003</v>
      </c>
      <c r="G114" s="235">
        <f t="shared" si="20"/>
        <v>2.2400000000000002</v>
      </c>
      <c r="H114" s="270"/>
      <c r="I114" s="41"/>
      <c r="J114" s="41"/>
      <c r="K114" s="271"/>
      <c r="L114" s="272"/>
      <c r="M114" s="273"/>
      <c r="N114" s="274"/>
      <c r="O114" s="237"/>
      <c r="P114" s="275"/>
      <c r="Q114" s="237"/>
      <c r="R114" s="242"/>
      <c r="S114" s="266"/>
      <c r="T114" s="266"/>
    </row>
    <row r="115" spans="1:20" ht="16.5" thickBot="1">
      <c r="A115" s="891"/>
      <c r="B115" s="887"/>
      <c r="C115" s="99" t="s">
        <v>29</v>
      </c>
      <c r="D115" s="279">
        <v>30.4</v>
      </c>
      <c r="E115" s="56">
        <v>6.7838000000000003</v>
      </c>
      <c r="F115" s="57">
        <f t="shared" si="18"/>
        <v>6.7838000000000003</v>
      </c>
      <c r="G115" s="247">
        <f t="shared" si="20"/>
        <v>206.23</v>
      </c>
      <c r="H115" s="280"/>
      <c r="I115" s="281"/>
      <c r="J115" s="281"/>
      <c r="K115" s="282"/>
      <c r="L115" s="204"/>
      <c r="M115" s="250"/>
      <c r="N115" s="283"/>
      <c r="O115" s="252"/>
      <c r="P115" s="284"/>
      <c r="Q115" s="252"/>
      <c r="R115" s="242"/>
      <c r="S115" s="266"/>
      <c r="T115" s="266"/>
    </row>
    <row r="116" spans="1:20" collapsed="1">
      <c r="A116" s="892">
        <v>415</v>
      </c>
      <c r="B116" s="183" t="s">
        <v>166</v>
      </c>
      <c r="C116" s="439" t="s">
        <v>260</v>
      </c>
      <c r="D116" s="296">
        <f>дек18!D110+дек18!D111</f>
        <v>298.76000000000005</v>
      </c>
      <c r="E116" s="41">
        <f>6.7838-7.0643</f>
        <v>-0.28049999999999997</v>
      </c>
      <c r="F116" s="41">
        <f t="shared" si="18"/>
        <v>-0.28049999999999997</v>
      </c>
      <c r="G116" s="235">
        <f>ROUND(D116*E116,2)</f>
        <v>-83.8</v>
      </c>
      <c r="H116" s="270"/>
      <c r="I116" s="41"/>
      <c r="J116" s="41"/>
      <c r="K116" s="271"/>
      <c r="L116" s="294">
        <f>SUM(G116:G118)</f>
        <v>1183.9499999999998</v>
      </c>
      <c r="M116" s="227">
        <v>1183.95</v>
      </c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192"/>
      <c r="C117" s="48" t="s">
        <v>263</v>
      </c>
      <c r="D117" s="269">
        <v>1.98</v>
      </c>
      <c r="E117" s="41">
        <v>6.7838000000000003</v>
      </c>
      <c r="F117" s="41">
        <f t="shared" si="18"/>
        <v>6.7838000000000003</v>
      </c>
      <c r="G117" s="235">
        <f t="shared" ref="G117:G118" si="21">ROUND(D117*E117,2)</f>
        <v>13.43</v>
      </c>
      <c r="H117" s="270"/>
      <c r="I117" s="41"/>
      <c r="J117" s="41"/>
      <c r="K117" s="271"/>
      <c r="L117" s="272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54" t="s">
        <v>29</v>
      </c>
      <c r="D118" s="279">
        <v>184.9</v>
      </c>
      <c r="E118" s="56">
        <v>6.7838000000000003</v>
      </c>
      <c r="F118" s="57">
        <f t="shared" si="18"/>
        <v>6.7838000000000003</v>
      </c>
      <c r="G118" s="247">
        <f t="shared" si="21"/>
        <v>1254.32</v>
      </c>
      <c r="H118" s="280"/>
      <c r="I118" s="281"/>
      <c r="J118" s="281"/>
      <c r="K118" s="282"/>
      <c r="L118" s="204"/>
      <c r="M118" s="250"/>
      <c r="N118" s="283"/>
      <c r="O118" s="252"/>
      <c r="P118" s="284"/>
      <c r="Q118" s="252"/>
      <c r="R118" s="242"/>
      <c r="S118" s="266"/>
      <c r="T118" s="266"/>
    </row>
    <row r="119" spans="1:20" ht="15.75" hidden="1" thickBot="1">
      <c r="A119" s="892">
        <v>416</v>
      </c>
      <c r="B119" s="183" t="s">
        <v>173</v>
      </c>
      <c r="C119" s="439" t="s">
        <v>260</v>
      </c>
      <c r="D119" s="296"/>
      <c r="E119" s="41">
        <f>6.7023-6.509</f>
        <v>0.19329999999999981</v>
      </c>
      <c r="F119" s="41">
        <f t="shared" si="18"/>
        <v>0.19329999999999981</v>
      </c>
      <c r="G119" s="235">
        <f>ROUND(D119*E119,2)+0.01</f>
        <v>0.01</v>
      </c>
      <c r="H119" s="270"/>
      <c r="I119" s="41"/>
      <c r="J119" s="41"/>
      <c r="K119" s="271"/>
      <c r="L119" s="294">
        <f>SUM(G119:G121)</f>
        <v>0.01</v>
      </c>
      <c r="M119" s="227"/>
      <c r="N119" s="274"/>
      <c r="O119" s="237"/>
      <c r="P119" s="275"/>
      <c r="Q119" s="237"/>
      <c r="R119" s="242"/>
      <c r="S119" s="266"/>
      <c r="T119" s="266"/>
    </row>
    <row r="120" spans="1:20" ht="16.5" hidden="1" thickBot="1">
      <c r="A120" s="896"/>
      <c r="B120" s="192"/>
      <c r="C120" s="48" t="s">
        <v>263</v>
      </c>
      <c r="D120" s="269"/>
      <c r="E120" s="41">
        <v>6.7023000000000001</v>
      </c>
      <c r="F120" s="41">
        <f t="shared" si="18"/>
        <v>6.7023000000000001</v>
      </c>
      <c r="G120" s="235">
        <f>ROUND(D120*E120,2)</f>
        <v>0</v>
      </c>
      <c r="H120" s="270"/>
      <c r="I120" s="41"/>
      <c r="J120" s="41"/>
      <c r="K120" s="271"/>
      <c r="L120" s="272"/>
      <c r="M120" s="273"/>
      <c r="N120" s="274"/>
      <c r="O120" s="237"/>
      <c r="P120" s="275"/>
      <c r="Q120" s="237"/>
      <c r="R120" s="242"/>
      <c r="S120" s="266"/>
      <c r="T120" s="266"/>
    </row>
    <row r="121" spans="1:20" ht="16.5" hidden="1" thickBot="1">
      <c r="A121" s="891"/>
      <c r="B121" s="887"/>
      <c r="C121" s="54" t="s">
        <v>29</v>
      </c>
      <c r="D121" s="279"/>
      <c r="E121" s="56">
        <v>6.7023000000000001</v>
      </c>
      <c r="F121" s="57">
        <f t="shared" si="18"/>
        <v>6.7023000000000001</v>
      </c>
      <c r="G121" s="247">
        <f>ROUND(D121*E121,2)</f>
        <v>0</v>
      </c>
      <c r="H121" s="280"/>
      <c r="I121" s="281"/>
      <c r="J121" s="281"/>
      <c r="K121" s="282"/>
      <c r="L121" s="204"/>
      <c r="M121" s="250"/>
      <c r="N121" s="283"/>
      <c r="O121" s="252"/>
      <c r="P121" s="284"/>
      <c r="Q121" s="252"/>
      <c r="R121" s="242"/>
      <c r="S121" s="266"/>
      <c r="T121" s="266"/>
    </row>
    <row r="122" spans="1:20">
      <c r="A122" s="892">
        <v>416</v>
      </c>
      <c r="B122" s="183" t="s">
        <v>295</v>
      </c>
      <c r="C122" s="439" t="s">
        <v>260</v>
      </c>
      <c r="D122" s="296">
        <f>дек18!D116+дек18!D117</f>
        <v>108.04</v>
      </c>
      <c r="E122" s="41">
        <f>6.7838-7.0643</f>
        <v>-0.28049999999999997</v>
      </c>
      <c r="F122" s="41">
        <f t="shared" si="18"/>
        <v>-0.28049999999999997</v>
      </c>
      <c r="G122" s="235">
        <f>ROUND(D122*E122,2)</f>
        <v>-30.31</v>
      </c>
      <c r="H122" s="270"/>
      <c r="I122" s="41"/>
      <c r="J122" s="41"/>
      <c r="K122" s="271"/>
      <c r="L122" s="294">
        <f>SUM(G122:G124)</f>
        <v>485.26</v>
      </c>
      <c r="M122" s="227">
        <v>485.26</v>
      </c>
      <c r="N122" s="274"/>
      <c r="O122" s="237"/>
      <c r="P122" s="275"/>
      <c r="Q122" s="237"/>
      <c r="R122" s="242"/>
      <c r="S122" s="266"/>
      <c r="T122" s="266"/>
    </row>
    <row r="123" spans="1:20" ht="15.75">
      <c r="A123" s="896"/>
      <c r="B123" s="192"/>
      <c r="C123" s="48" t="s">
        <v>263</v>
      </c>
      <c r="D123" s="269">
        <v>0.8</v>
      </c>
      <c r="E123" s="41">
        <v>6.7838000000000003</v>
      </c>
      <c r="F123" s="41">
        <f t="shared" si="18"/>
        <v>6.7838000000000003</v>
      </c>
      <c r="G123" s="235">
        <f t="shared" ref="G123:G124" si="22">ROUND(D123*E123,2)</f>
        <v>5.43</v>
      </c>
      <c r="H123" s="270"/>
      <c r="I123" s="41"/>
      <c r="J123" s="41"/>
      <c r="K123" s="271"/>
      <c r="L123" s="272"/>
      <c r="M123" s="273"/>
      <c r="N123" s="274"/>
      <c r="O123" s="237"/>
      <c r="P123" s="275"/>
      <c r="Q123" s="237"/>
      <c r="R123" s="242"/>
      <c r="S123" s="266"/>
      <c r="T123" s="266"/>
    </row>
    <row r="124" spans="1:20" ht="16.5" thickBot="1">
      <c r="A124" s="891"/>
      <c r="B124" s="202"/>
      <c r="C124" s="54" t="s">
        <v>29</v>
      </c>
      <c r="D124" s="279">
        <v>75.2</v>
      </c>
      <c r="E124" s="56">
        <v>6.7838000000000003</v>
      </c>
      <c r="F124" s="57">
        <f t="shared" si="18"/>
        <v>6.7838000000000003</v>
      </c>
      <c r="G124" s="247">
        <f t="shared" si="22"/>
        <v>510.14</v>
      </c>
      <c r="H124" s="280"/>
      <c r="I124" s="281"/>
      <c r="J124" s="281"/>
      <c r="K124" s="282"/>
      <c r="L124" s="204"/>
      <c r="M124" s="250"/>
      <c r="N124" s="283"/>
      <c r="O124" s="252"/>
      <c r="P124" s="284"/>
      <c r="Q124" s="252"/>
      <c r="R124" s="242"/>
      <c r="S124" s="266"/>
      <c r="T124" s="266"/>
    </row>
    <row r="125" spans="1:20">
      <c r="A125" s="892">
        <v>417</v>
      </c>
      <c r="B125" s="183" t="s">
        <v>174</v>
      </c>
      <c r="C125" s="439" t="s">
        <v>260</v>
      </c>
      <c r="D125" s="296">
        <f>дек18!D119+дек18!D120</f>
        <v>263.59000000000003</v>
      </c>
      <c r="E125" s="41">
        <f>6.7838-7.0643</f>
        <v>-0.28049999999999997</v>
      </c>
      <c r="F125" s="41">
        <f t="shared" si="18"/>
        <v>-0.28049999999999997</v>
      </c>
      <c r="G125" s="235">
        <f>ROUND(D125*E125,2)</f>
        <v>-73.94</v>
      </c>
      <c r="H125" s="270"/>
      <c r="I125" s="41"/>
      <c r="J125" s="41"/>
      <c r="K125" s="271"/>
      <c r="L125" s="294">
        <f>SUM(G125:G127)</f>
        <v>912.7</v>
      </c>
      <c r="M125" s="227">
        <v>912.7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1.54</v>
      </c>
      <c r="E126" s="41">
        <v>6.7838000000000003</v>
      </c>
      <c r="F126" s="41">
        <f t="shared" si="18"/>
        <v>6.7838000000000003</v>
      </c>
      <c r="G126" s="235">
        <f t="shared" ref="G126:G127" si="23">ROUND(D126*E126,2)</f>
        <v>10.45</v>
      </c>
      <c r="H126" s="270"/>
      <c r="I126" s="41"/>
      <c r="J126" s="41"/>
      <c r="K126" s="271"/>
      <c r="L126" s="272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202"/>
      <c r="C127" s="54" t="s">
        <v>29</v>
      </c>
      <c r="D127" s="279">
        <v>143.9</v>
      </c>
      <c r="E127" s="56">
        <v>6.7838000000000003</v>
      </c>
      <c r="F127" s="57">
        <f t="shared" si="18"/>
        <v>6.7838000000000003</v>
      </c>
      <c r="G127" s="247">
        <f t="shared" si="23"/>
        <v>976.19</v>
      </c>
      <c r="H127" s="280"/>
      <c r="I127" s="281"/>
      <c r="J127" s="281"/>
      <c r="K127" s="282"/>
      <c r="L127" s="204"/>
      <c r="M127" s="250"/>
      <c r="N127" s="283"/>
      <c r="O127" s="252"/>
      <c r="P127" s="284"/>
      <c r="Q127" s="252"/>
      <c r="R127" s="242"/>
      <c r="S127" s="266"/>
      <c r="T127" s="266"/>
    </row>
    <row r="128" spans="1:20" ht="15.75" thickBot="1">
      <c r="A128" s="892">
        <v>420</v>
      </c>
      <c r="B128" s="183" t="s">
        <v>306</v>
      </c>
      <c r="C128" s="439" t="s">
        <v>243</v>
      </c>
      <c r="D128" s="1008">
        <v>0.54100000000000004</v>
      </c>
      <c r="E128" s="23">
        <v>40.556600000000003</v>
      </c>
      <c r="F128" s="23">
        <v>47.5304</v>
      </c>
      <c r="G128" s="214">
        <f>ROUND(D128*(E128+F128),2)</f>
        <v>47.66</v>
      </c>
      <c r="H128" s="1001"/>
      <c r="I128" s="23"/>
      <c r="J128" s="23"/>
      <c r="K128" s="304"/>
      <c r="L128" s="343">
        <f>SUM(G128:G132)+J128:J132</f>
        <v>1234.92</v>
      </c>
      <c r="M128" s="187">
        <v>1234.92</v>
      </c>
      <c r="N128" s="274"/>
      <c r="O128" s="237"/>
      <c r="P128" s="275"/>
      <c r="Q128" s="237"/>
      <c r="R128" s="242"/>
      <c r="S128" s="266"/>
      <c r="T128" s="266"/>
    </row>
    <row r="129" spans="1:20" ht="15.75" thickBot="1">
      <c r="A129" s="892"/>
      <c r="B129" s="183"/>
      <c r="C129" s="48" t="s">
        <v>260</v>
      </c>
      <c r="D129" s="1009"/>
      <c r="E129" s="41"/>
      <c r="F129" s="41"/>
      <c r="G129" s="235">
        <f>ROUND(D129*(E129+F129),2)</f>
        <v>0</v>
      </c>
      <c r="H129" s="1002"/>
      <c r="I129" s="281"/>
      <c r="J129" s="281"/>
      <c r="K129" s="282"/>
      <c r="L129" s="988"/>
      <c r="M129" s="989"/>
      <c r="N129" s="274"/>
      <c r="O129" s="237"/>
      <c r="P129" s="275"/>
      <c r="Q129" s="237"/>
      <c r="R129" s="242"/>
      <c r="S129" s="266"/>
      <c r="T129" s="266"/>
    </row>
    <row r="130" spans="1:20">
      <c r="A130" s="896"/>
      <c r="B130" s="192"/>
      <c r="C130" s="439" t="s">
        <v>260</v>
      </c>
      <c r="D130" s="296">
        <f>дек18!D122+дек18!D123</f>
        <v>350.60999999999996</v>
      </c>
      <c r="E130" s="41">
        <f>6.7838-7.0643</f>
        <v>-0.28049999999999997</v>
      </c>
      <c r="F130" s="41">
        <f t="shared" si="18"/>
        <v>-0.28049999999999997</v>
      </c>
      <c r="G130" s="235">
        <f>ROUND(D130*E130,2)+0.01</f>
        <v>-98.339999999999989</v>
      </c>
      <c r="H130" s="270"/>
      <c r="I130" s="41"/>
      <c r="J130" s="41"/>
      <c r="K130" s="271"/>
      <c r="L130" s="294"/>
      <c r="M130" s="227"/>
      <c r="N130" s="274"/>
      <c r="O130" s="237"/>
      <c r="P130" s="275"/>
      <c r="Q130" s="237"/>
      <c r="R130" s="242"/>
      <c r="S130" s="266"/>
      <c r="T130" s="266"/>
    </row>
    <row r="131" spans="1:20" ht="15.75">
      <c r="A131" s="896"/>
      <c r="B131" s="192"/>
      <c r="C131" s="48" t="s">
        <v>263</v>
      </c>
      <c r="D131" s="269">
        <v>2.0099999999999998</v>
      </c>
      <c r="E131" s="41">
        <v>6.7838000000000003</v>
      </c>
      <c r="F131" s="41">
        <f t="shared" si="18"/>
        <v>6.7838000000000003</v>
      </c>
      <c r="G131" s="235">
        <f>ROUND(D131*E131,2)</f>
        <v>13.64</v>
      </c>
      <c r="H131" s="270"/>
      <c r="I131" s="41"/>
      <c r="J131" s="41"/>
      <c r="K131" s="271"/>
      <c r="L131" s="272"/>
      <c r="M131" s="273"/>
      <c r="N131" s="274"/>
      <c r="O131" s="237"/>
      <c r="P131" s="275"/>
      <c r="Q131" s="237"/>
      <c r="R131" s="242"/>
      <c r="S131" s="266"/>
      <c r="T131" s="266"/>
    </row>
    <row r="132" spans="1:20" ht="16.5" thickBot="1">
      <c r="A132" s="891"/>
      <c r="B132" s="202"/>
      <c r="C132" s="54" t="s">
        <v>29</v>
      </c>
      <c r="D132" s="279">
        <v>187.5</v>
      </c>
      <c r="E132" s="56">
        <v>6.7838000000000003</v>
      </c>
      <c r="F132" s="57">
        <f t="shared" si="18"/>
        <v>6.7838000000000003</v>
      </c>
      <c r="G132" s="247">
        <f t="shared" ref="G132" si="24">ROUND(D132*E132,2)</f>
        <v>1271.96</v>
      </c>
      <c r="H132" s="280"/>
      <c r="I132" s="281"/>
      <c r="J132" s="281"/>
      <c r="K132" s="282"/>
      <c r="L132" s="204"/>
      <c r="M132" s="250"/>
      <c r="N132" s="283"/>
      <c r="O132" s="252"/>
      <c r="P132" s="284"/>
      <c r="Q132" s="252"/>
      <c r="R132" s="242"/>
      <c r="S132" s="266"/>
      <c r="T132" s="266"/>
    </row>
    <row r="133" spans="1:20" ht="15.75">
      <c r="A133" s="892">
        <v>500</v>
      </c>
      <c r="B133" s="883" t="s">
        <v>55</v>
      </c>
      <c r="C133" s="439" t="s">
        <v>260</v>
      </c>
      <c r="D133" s="259">
        <f>дек18!D125+дек18!D126</f>
        <v>3429.03</v>
      </c>
      <c r="E133" s="41">
        <f>6.7838-7.0643</f>
        <v>-0.28049999999999997</v>
      </c>
      <c r="F133" s="41">
        <f t="shared" si="15"/>
        <v>-0.28049999999999997</v>
      </c>
      <c r="G133" s="214">
        <f>ROUND(D133*E133,2)-0.01</f>
        <v>-961.85</v>
      </c>
      <c r="H133" s="260"/>
      <c r="I133" s="261"/>
      <c r="J133" s="261"/>
      <c r="K133" s="262"/>
      <c r="L133" s="263">
        <f>SUM(G133:G135)</f>
        <v>11666.33</v>
      </c>
      <c r="M133" s="187">
        <v>11666.33</v>
      </c>
      <c r="N133" s="264"/>
      <c r="O133" s="229"/>
      <c r="P133" s="265"/>
      <c r="Q133" s="229"/>
      <c r="R133" s="242"/>
      <c r="S133" s="266"/>
      <c r="T133" s="266"/>
    </row>
    <row r="134" spans="1:20" ht="15.75">
      <c r="A134" s="893" t="s">
        <v>197</v>
      </c>
      <c r="B134" s="885"/>
      <c r="C134" s="48" t="s">
        <v>263</v>
      </c>
      <c r="D134" s="269">
        <v>19.71</v>
      </c>
      <c r="E134" s="41">
        <v>6.7838000000000003</v>
      </c>
      <c r="F134" s="41">
        <f t="shared" si="15"/>
        <v>6.7838000000000003</v>
      </c>
      <c r="G134" s="235">
        <f>ROUND(D134*E134,2)</f>
        <v>133.71</v>
      </c>
      <c r="H134" s="270"/>
      <c r="I134" s="41"/>
      <c r="J134" s="41"/>
      <c r="K134" s="271"/>
      <c r="L134" s="272"/>
      <c r="M134" s="273"/>
      <c r="N134" s="274"/>
      <c r="O134" s="237"/>
      <c r="P134" s="275"/>
      <c r="Q134" s="237"/>
      <c r="R134" s="242"/>
      <c r="S134" s="266"/>
      <c r="T134" s="266"/>
    </row>
    <row r="135" spans="1:20" ht="16.5" thickBot="1">
      <c r="A135" s="891"/>
      <c r="B135" s="887"/>
      <c r="C135" s="54" t="s">
        <v>29</v>
      </c>
      <c r="D135" s="279">
        <v>1841.81</v>
      </c>
      <c r="E135" s="56">
        <v>6.7838000000000003</v>
      </c>
      <c r="F135" s="57">
        <f t="shared" si="15"/>
        <v>6.7838000000000003</v>
      </c>
      <c r="G135" s="247">
        <f t="shared" ref="G135" si="25">ROUND(D135*E135,2)</f>
        <v>12494.47</v>
      </c>
      <c r="H135" s="280"/>
      <c r="I135" s="281"/>
      <c r="J135" s="281"/>
      <c r="K135" s="282"/>
      <c r="L135" s="204"/>
      <c r="M135" s="250"/>
      <c r="N135" s="283"/>
      <c r="O135" s="252"/>
      <c r="P135" s="284"/>
      <c r="Q135" s="252"/>
      <c r="R135" s="242"/>
      <c r="S135" s="266"/>
      <c r="T135" s="266"/>
    </row>
    <row r="136" spans="1:20" ht="16.5" hidden="1" outlineLevel="1" thickBot="1">
      <c r="A136" s="892"/>
      <c r="B136" s="883" t="s">
        <v>57</v>
      </c>
      <c r="C136" s="439"/>
      <c r="D136" s="259"/>
      <c r="E136" s="21">
        <v>36.214199999999998</v>
      </c>
      <c r="F136" s="21">
        <v>42.4328</v>
      </c>
      <c r="G136" s="214">
        <f>ROUND(D136*(E136+F136),2)</f>
        <v>0</v>
      </c>
      <c r="H136" s="213">
        <v>0</v>
      </c>
      <c r="I136">
        <v>22.478999999999999</v>
      </c>
      <c r="J136" s="215">
        <f t="shared" ref="J136" si="26">H136*I136</f>
        <v>0</v>
      </c>
      <c r="K136" s="679">
        <v>42705</v>
      </c>
      <c r="L136" s="294">
        <f>SUM(G136:G140)+J136+J138</f>
        <v>0</v>
      </c>
      <c r="M136" s="227"/>
      <c r="N136" s="264"/>
      <c r="O136" s="229"/>
      <c r="P136" s="265"/>
      <c r="Q136" s="229"/>
      <c r="R136" s="242"/>
      <c r="S136" s="266"/>
      <c r="T136" s="266"/>
    </row>
    <row r="137" spans="1:20" ht="16.5" hidden="1" outlineLevel="1" thickBot="1">
      <c r="A137" s="891"/>
      <c r="B137" s="887"/>
      <c r="C137" s="54"/>
      <c r="D137" s="269"/>
      <c r="E137" s="38">
        <f>32.332-28.8628</f>
        <v>3.4692000000000007</v>
      </c>
      <c r="F137" s="38">
        <f>37.8898-33.8306</f>
        <v>4.0592000000000041</v>
      </c>
      <c r="G137" s="235">
        <f>ROUND(D137*(E137+F137),2)</f>
        <v>0</v>
      </c>
      <c r="H137" s="225"/>
      <c r="J137" s="194"/>
      <c r="K137" s="683"/>
      <c r="L137" s="294"/>
      <c r="M137" s="227"/>
      <c r="N137" s="264"/>
      <c r="O137" s="229"/>
      <c r="P137" s="265"/>
      <c r="Q137" s="229"/>
      <c r="R137" s="242"/>
      <c r="S137" s="266"/>
      <c r="T137" s="266"/>
    </row>
    <row r="138" spans="1:20" ht="15.75" hidden="1" outlineLevel="1" thickBot="1">
      <c r="A138" s="892"/>
      <c r="B138" s="883"/>
      <c r="C138" s="439" t="s">
        <v>170</v>
      </c>
      <c r="D138" s="296"/>
      <c r="E138" s="41">
        <f>7.0207-6.6426</f>
        <v>0.37809999999999988</v>
      </c>
      <c r="F138" s="41">
        <f>+E138</f>
        <v>0.37809999999999988</v>
      </c>
      <c r="G138" s="235">
        <f>ROUND(D138*E138,2)</f>
        <v>0</v>
      </c>
      <c r="H138" s="270"/>
      <c r="I138" s="41"/>
      <c r="J138" s="41"/>
      <c r="K138" s="684"/>
      <c r="L138" s="272"/>
      <c r="M138" s="273"/>
      <c r="N138" s="274"/>
      <c r="O138" s="237"/>
      <c r="P138" s="275"/>
      <c r="Q138" s="237"/>
      <c r="R138" s="242"/>
      <c r="S138" s="266"/>
      <c r="T138" s="266"/>
    </row>
    <row r="139" spans="1:20" ht="16.5" hidden="1" outlineLevel="1" thickBot="1">
      <c r="A139" s="891"/>
      <c r="B139" s="887"/>
      <c r="C139" s="54" t="s">
        <v>171</v>
      </c>
      <c r="D139" s="269"/>
      <c r="E139" s="41">
        <v>7.0206999999999997</v>
      </c>
      <c r="F139" s="41">
        <f>+E139</f>
        <v>7.0206999999999997</v>
      </c>
      <c r="G139" s="235">
        <f>ROUND(D139*E139,2)</f>
        <v>0</v>
      </c>
      <c r="H139" s="270"/>
      <c r="I139" s="41"/>
      <c r="J139" s="41"/>
      <c r="K139" s="684"/>
      <c r="L139" s="272"/>
      <c r="M139" s="273"/>
      <c r="N139" s="274"/>
      <c r="O139" s="237"/>
      <c r="P139" s="275"/>
      <c r="Q139" s="237"/>
      <c r="R139" s="242"/>
      <c r="S139" s="266"/>
      <c r="T139" s="266"/>
    </row>
    <row r="140" spans="1:20" ht="16.5" hidden="1" outlineLevel="1" thickBot="1">
      <c r="A140" s="892"/>
      <c r="B140" s="883"/>
      <c r="C140" s="439" t="s">
        <v>29</v>
      </c>
      <c r="D140" s="279"/>
      <c r="E140" s="56">
        <v>7.0206999999999997</v>
      </c>
      <c r="F140" s="57">
        <f>+E140</f>
        <v>7.0206999999999997</v>
      </c>
      <c r="G140" s="247">
        <f>ROUND(D140*E140,2)</f>
        <v>0</v>
      </c>
      <c r="H140" s="280"/>
      <c r="I140" s="281"/>
      <c r="J140" s="281"/>
      <c r="K140" s="682"/>
      <c r="L140" s="204"/>
      <c r="M140" s="250"/>
      <c r="N140" s="283"/>
      <c r="O140" s="252"/>
      <c r="P140" s="284"/>
      <c r="Q140" s="252"/>
      <c r="R140" s="242"/>
      <c r="S140" s="266"/>
      <c r="T140" s="266"/>
    </row>
    <row r="141" spans="1:20" ht="15.75" hidden="1" outlineLevel="1" thickBot="1">
      <c r="A141" s="892"/>
      <c r="B141" s="183" t="s">
        <v>145</v>
      </c>
      <c r="C141" s="439" t="s">
        <v>170</v>
      </c>
      <c r="D141" s="296"/>
      <c r="E141" s="41">
        <f>7.0207-6.6426</f>
        <v>0.37809999999999988</v>
      </c>
      <c r="F141" s="41">
        <f t="shared" ref="F141:F143" si="27">+E141</f>
        <v>0.37809999999999988</v>
      </c>
      <c r="G141" s="235">
        <f>ROUND(D141*E141,2)</f>
        <v>0</v>
      </c>
      <c r="H141" s="270"/>
      <c r="I141" s="41"/>
      <c r="J141" s="41"/>
      <c r="K141" s="271"/>
      <c r="L141" s="294">
        <f>SUM(G141:G143)</f>
        <v>0</v>
      </c>
      <c r="M141" s="227"/>
      <c r="N141" s="274"/>
      <c r="O141" s="237"/>
      <c r="P141" s="275"/>
      <c r="Q141" s="237"/>
      <c r="R141" s="242"/>
      <c r="S141" s="266"/>
      <c r="T141" s="266"/>
    </row>
    <row r="142" spans="1:20" ht="16.5" hidden="1" outlineLevel="1" thickBot="1">
      <c r="A142" s="891"/>
      <c r="B142" s="887"/>
      <c r="C142" s="54" t="s">
        <v>171</v>
      </c>
      <c r="D142" s="269"/>
      <c r="E142" s="41">
        <v>7.0206999999999997</v>
      </c>
      <c r="F142" s="41">
        <f t="shared" si="27"/>
        <v>7.0206999999999997</v>
      </c>
      <c r="G142" s="235">
        <f t="shared" ref="G142:G143" si="28">ROUND(D142*E142,2)</f>
        <v>0</v>
      </c>
      <c r="H142" s="270"/>
      <c r="I142" s="41"/>
      <c r="J142" s="41"/>
      <c r="K142" s="271"/>
      <c r="L142" s="272"/>
      <c r="M142" s="273"/>
      <c r="N142" s="274"/>
      <c r="O142" s="237"/>
      <c r="P142" s="275"/>
      <c r="Q142" s="237"/>
      <c r="R142" s="242"/>
      <c r="S142" s="266"/>
      <c r="T142" s="266"/>
    </row>
    <row r="143" spans="1:20" ht="16.5" hidden="1" outlineLevel="1" thickBot="1">
      <c r="A143" s="892"/>
      <c r="B143" s="183"/>
      <c r="C143" s="439" t="s">
        <v>29</v>
      </c>
      <c r="D143" s="279"/>
      <c r="E143" s="56">
        <v>7.0206999999999997</v>
      </c>
      <c r="F143" s="57">
        <f t="shared" si="27"/>
        <v>7.0206999999999997</v>
      </c>
      <c r="G143" s="247">
        <f t="shared" si="28"/>
        <v>0</v>
      </c>
      <c r="H143" s="280"/>
      <c r="I143" s="281"/>
      <c r="J143" s="281"/>
      <c r="K143" s="282"/>
      <c r="L143" s="204"/>
      <c r="M143" s="250"/>
      <c r="N143" s="283"/>
      <c r="O143" s="252"/>
      <c r="P143" s="284"/>
      <c r="Q143" s="252"/>
      <c r="R143" s="242"/>
      <c r="S143" s="266"/>
      <c r="T143" s="266"/>
    </row>
    <row r="144" spans="1:20" ht="16.5" collapsed="1" thickTop="1">
      <c r="A144" s="898"/>
      <c r="B144" s="321"/>
      <c r="C144" s="322"/>
      <c r="D144" s="323"/>
      <c r="E144" s="163"/>
      <c r="F144" s="324"/>
      <c r="G144" s="325"/>
      <c r="H144" s="163"/>
      <c r="I144" s="163"/>
      <c r="J144" s="163"/>
      <c r="K144" s="163"/>
      <c r="L144" s="163"/>
      <c r="M144" s="326"/>
      <c r="N144" s="327"/>
      <c r="O144" s="328"/>
      <c r="P144" s="329"/>
      <c r="Q144" s="328"/>
      <c r="R144" s="330"/>
      <c r="S144" s="331"/>
      <c r="T144" s="266"/>
    </row>
    <row r="145" spans="1:21" ht="21.75" thickBot="1">
      <c r="A145" s="171" t="s">
        <v>60</v>
      </c>
      <c r="B145" s="2"/>
      <c r="C145" s="3"/>
      <c r="D145" s="2"/>
      <c r="E145" s="2"/>
      <c r="F145" s="2"/>
      <c r="G145" s="332"/>
      <c r="H145" s="332"/>
      <c r="I145" s="332"/>
      <c r="J145" s="2"/>
      <c r="K145" s="2"/>
      <c r="L145" s="2"/>
      <c r="M145" s="3"/>
      <c r="N145" s="2"/>
      <c r="O145" s="2"/>
      <c r="P145" s="2"/>
      <c r="Q145" s="2"/>
      <c r="R145" s="2"/>
      <c r="S145" s="2"/>
    </row>
    <row r="146" spans="1:21" ht="15" customHeight="1" thickTop="1">
      <c r="A146" s="1553" t="s">
        <v>1</v>
      </c>
      <c r="B146" s="1516" t="s">
        <v>2</v>
      </c>
      <c r="C146" s="1518" t="s">
        <v>3</v>
      </c>
      <c r="D146" s="1532" t="s">
        <v>4</v>
      </c>
      <c r="E146" s="1532"/>
      <c r="F146" s="1532"/>
      <c r="G146" s="1532"/>
      <c r="H146" s="1533" t="s">
        <v>5</v>
      </c>
      <c r="I146" s="1534"/>
      <c r="J146" s="1534"/>
      <c r="K146" s="1534"/>
      <c r="L146" s="1524" t="s">
        <v>6</v>
      </c>
      <c r="M146" s="1537" t="s">
        <v>7</v>
      </c>
      <c r="N146" s="1538" t="s">
        <v>8</v>
      </c>
      <c r="O146" s="1538"/>
      <c r="P146" s="1538"/>
      <c r="Q146" s="1539"/>
      <c r="R146" s="5"/>
      <c r="S146" s="5"/>
      <c r="T146" s="5" t="s">
        <v>61</v>
      </c>
      <c r="U146" t="s">
        <v>21</v>
      </c>
    </row>
    <row r="147" spans="1:21" ht="27" customHeight="1" thickBot="1">
      <c r="A147" s="1531"/>
      <c r="B147" s="1517"/>
      <c r="C147" s="1519" t="s">
        <v>10</v>
      </c>
      <c r="D147" s="333" t="s">
        <v>11</v>
      </c>
      <c r="E147" s="7" t="s">
        <v>12</v>
      </c>
      <c r="F147" s="7" t="s">
        <v>13</v>
      </c>
      <c r="G147" s="334" t="s">
        <v>14</v>
      </c>
      <c r="H147" s="335" t="s">
        <v>11</v>
      </c>
      <c r="I147" s="333" t="s">
        <v>15</v>
      </c>
      <c r="J147" s="336" t="s">
        <v>14</v>
      </c>
      <c r="K147" s="11" t="s">
        <v>16</v>
      </c>
      <c r="L147" s="1525"/>
      <c r="M147" s="1511"/>
      <c r="N147" s="337" t="s">
        <v>62</v>
      </c>
      <c r="O147" s="338" t="s">
        <v>44</v>
      </c>
      <c r="P147" s="13" t="s">
        <v>18</v>
      </c>
      <c r="Q147" s="14" t="s">
        <v>19</v>
      </c>
    </row>
    <row r="148" spans="1:21" ht="14.25" customHeight="1">
      <c r="A148" s="339" t="s">
        <v>63</v>
      </c>
      <c r="B148" s="18" t="s">
        <v>64</v>
      </c>
      <c r="C148" s="71" t="s">
        <v>243</v>
      </c>
      <c r="D148" s="340">
        <v>48</v>
      </c>
      <c r="E148" s="21">
        <v>41.244</v>
      </c>
      <c r="F148" s="21">
        <v>48.335999999999999</v>
      </c>
      <c r="G148" s="185">
        <f>ROUND(D148*(E148+F148),2)</f>
        <v>4299.84</v>
      </c>
      <c r="H148" s="184"/>
      <c r="I148" s="23"/>
      <c r="J148" s="341"/>
      <c r="K148" s="342"/>
      <c r="L148" s="343">
        <f>SUM(G148:G153,J148:J152)</f>
        <v>312338.73</v>
      </c>
      <c r="M148" s="344">
        <v>312338.73</v>
      </c>
      <c r="N148" s="345"/>
      <c r="O148" s="346">
        <v>7157.88</v>
      </c>
      <c r="P148" s="347" t="s">
        <v>24</v>
      </c>
      <c r="Q148" s="348" t="e">
        <f t="shared" ref="Q148:Q224" si="29">C148+G148+J148-M148-N148-O148</f>
        <v>#VALUE!</v>
      </c>
      <c r="R148" s="349" t="s">
        <v>65</v>
      </c>
      <c r="S148" s="350" t="s">
        <v>20</v>
      </c>
      <c r="T148" s="351" t="s">
        <v>21</v>
      </c>
      <c r="U148" s="352" t="e">
        <f>+L148-M148+C148</f>
        <v>#VALUE!</v>
      </c>
    </row>
    <row r="149" spans="1:21" ht="14.25" customHeight="1">
      <c r="A149" s="353"/>
      <c r="B149" s="1032" t="s">
        <v>221</v>
      </c>
      <c r="C149" s="84" t="s">
        <v>26</v>
      </c>
      <c r="D149" s="37"/>
      <c r="E149" s="38"/>
      <c r="F149" s="38"/>
      <c r="G149" s="39">
        <f>ROUND(D149*(E149+F149),2)</f>
        <v>0</v>
      </c>
      <c r="H149" s="49"/>
      <c r="I149" s="271"/>
      <c r="J149" s="101"/>
      <c r="K149" s="354"/>
      <c r="L149" s="355"/>
      <c r="M149" s="356"/>
      <c r="N149" s="357"/>
      <c r="O149" s="358"/>
      <c r="P149" s="359"/>
      <c r="Q149" s="358"/>
      <c r="R149" s="349"/>
      <c r="S149" s="350"/>
      <c r="T149" s="351"/>
      <c r="U149" s="352"/>
    </row>
    <row r="150" spans="1:21">
      <c r="A150" s="353"/>
      <c r="B150" s="35"/>
      <c r="C150" s="48"/>
      <c r="D150" s="49"/>
      <c r="E150" s="41"/>
      <c r="F150" s="41"/>
      <c r="G150" s="50">
        <f>ROUND(D150*E150*70%+D150*F150*30%,2)</f>
        <v>0</v>
      </c>
      <c r="H150" s="49"/>
      <c r="I150" s="271"/>
      <c r="J150" s="41"/>
      <c r="K150" s="354"/>
      <c r="L150" s="355"/>
      <c r="M150" s="356"/>
      <c r="N150" s="357"/>
      <c r="O150" s="358"/>
      <c r="P150" s="359"/>
      <c r="Q150" s="358"/>
      <c r="R150" s="349"/>
      <c r="S150" s="350"/>
      <c r="T150" s="351"/>
      <c r="U150" s="352"/>
    </row>
    <row r="151" spans="1:21">
      <c r="A151" s="353"/>
      <c r="B151" s="35"/>
      <c r="C151" s="48" t="s">
        <v>260</v>
      </c>
      <c r="D151" s="49"/>
      <c r="E151" s="41"/>
      <c r="F151" s="38"/>
      <c r="G151" s="50">
        <f>ROUND(+D151*E151,2)</f>
        <v>0</v>
      </c>
      <c r="H151" s="49"/>
      <c r="I151" s="271"/>
      <c r="J151" s="41"/>
      <c r="K151" s="354"/>
      <c r="L151" s="355"/>
      <c r="M151" s="356"/>
      <c r="N151" s="357"/>
      <c r="O151" s="358"/>
      <c r="P151" s="359"/>
      <c r="Q151" s="358"/>
      <c r="R151" s="349"/>
      <c r="S151" s="350"/>
      <c r="T151" s="351"/>
      <c r="U151" s="352"/>
    </row>
    <row r="152" spans="1:21">
      <c r="A152" s="353"/>
      <c r="B152" s="35"/>
      <c r="C152" s="48" t="s">
        <v>263</v>
      </c>
      <c r="D152" s="49">
        <f>70+20.81+9.29</f>
        <v>100.1</v>
      </c>
      <c r="E152" s="41">
        <v>7.3681000000000001</v>
      </c>
      <c r="F152" s="41">
        <f>+E152</f>
        <v>7.3681000000000001</v>
      </c>
      <c r="G152" s="50">
        <f>ROUND(D152*E152,2)-0.01</f>
        <v>737.54</v>
      </c>
      <c r="H152" s="361"/>
      <c r="I152" s="362"/>
      <c r="J152" s="207"/>
      <c r="K152" s="363"/>
      <c r="L152" s="364"/>
      <c r="M152" s="365"/>
      <c r="N152" s="366"/>
      <c r="O152" s="367"/>
      <c r="P152" s="368"/>
      <c r="Q152" s="358"/>
      <c r="R152" s="349"/>
      <c r="S152" s="350"/>
      <c r="T152" s="351"/>
      <c r="U152" s="352"/>
    </row>
    <row r="153" spans="1:21" ht="15.75" thickBot="1">
      <c r="A153" s="369"/>
      <c r="B153" s="53" t="s">
        <v>66</v>
      </c>
      <c r="C153" s="99" t="s">
        <v>29</v>
      </c>
      <c r="D153" s="55">
        <f>29167+8670+3870</f>
        <v>41707</v>
      </c>
      <c r="E153" s="1012">
        <v>7.3681000000000001</v>
      </c>
      <c r="F153" s="370">
        <f>+E153</f>
        <v>7.3681000000000001</v>
      </c>
      <c r="G153" s="58">
        <f>ROUND(D153*E153,2)</f>
        <v>307301.34999999998</v>
      </c>
      <c r="H153" s="248"/>
      <c r="I153" s="203"/>
      <c r="J153" s="60"/>
      <c r="K153" s="203"/>
      <c r="L153" s="204"/>
      <c r="M153" s="371"/>
      <c r="N153" s="372"/>
      <c r="O153" s="373">
        <v>165882.5</v>
      </c>
      <c r="P153" s="374" t="s">
        <v>24</v>
      </c>
      <c r="Q153" s="373">
        <f>G153+J153-M153-N153-O153</f>
        <v>141418.84999999998</v>
      </c>
      <c r="R153" s="349" t="s">
        <v>65</v>
      </c>
      <c r="S153" s="375">
        <f>SUM(O148:O153)</f>
        <v>173040.38</v>
      </c>
      <c r="T153" s="375" t="e">
        <f>SUM(Q148:Q153)</f>
        <v>#VALUE!</v>
      </c>
    </row>
    <row r="154" spans="1:21" s="81" customFormat="1" ht="15" customHeight="1">
      <c r="A154" s="437">
        <v>101</v>
      </c>
      <c r="B154" s="438" t="s">
        <v>82</v>
      </c>
      <c r="C154" s="377" t="s">
        <v>73</v>
      </c>
      <c r="D154" s="378">
        <v>33</v>
      </c>
      <c r="E154" s="21">
        <v>40.556600000000003</v>
      </c>
      <c r="F154" s="21">
        <v>47.5304</v>
      </c>
      <c r="G154" s="22">
        <f>+D154*(E154+F154)</f>
        <v>2906.8710000000001</v>
      </c>
      <c r="H154" s="303"/>
      <c r="I154" s="381"/>
      <c r="J154" s="381"/>
      <c r="K154" s="342"/>
      <c r="L154" s="263">
        <f>SUM(G154:G158,J154:J158)</f>
        <v>116396.28099999999</v>
      </c>
      <c r="M154" s="26">
        <v>116396.28</v>
      </c>
      <c r="N154" s="421"/>
      <c r="O154" s="77"/>
      <c r="P154" s="77"/>
      <c r="Q154" s="384"/>
      <c r="R154" s="422"/>
      <c r="S154" s="399"/>
      <c r="T154" s="399"/>
    </row>
    <row r="155" spans="1:21" s="81" customFormat="1" ht="15" customHeight="1">
      <c r="A155" s="441"/>
      <c r="B155" s="442"/>
      <c r="C155" s="36" t="s">
        <v>26</v>
      </c>
      <c r="D155" s="37"/>
      <c r="E155" s="38"/>
      <c r="F155" s="38"/>
      <c r="G155" s="39">
        <f>ROUND(D155*(E155+F155),2)</f>
        <v>0</v>
      </c>
      <c r="H155" s="457"/>
      <c r="I155" s="392"/>
      <c r="J155" s="402"/>
      <c r="K155" s="393"/>
      <c r="L155" s="459"/>
      <c r="M155" s="44"/>
      <c r="N155" s="430"/>
      <c r="O155" s="435"/>
      <c r="P155" s="435"/>
      <c r="Q155" s="425"/>
      <c r="R155" s="422"/>
      <c r="S155" s="399"/>
      <c r="T155" s="399"/>
    </row>
    <row r="156" spans="1:21" s="81" customFormat="1" ht="15" customHeight="1">
      <c r="A156" s="441"/>
      <c r="B156" s="442"/>
      <c r="C156" s="48" t="s">
        <v>260</v>
      </c>
      <c r="D156" s="37">
        <f>дек18!D148+дек18!D149</f>
        <v>14508.74</v>
      </c>
      <c r="E156" s="41">
        <f>6.9835-7.2015</f>
        <v>-0.21799999999999997</v>
      </c>
      <c r="F156" s="38"/>
      <c r="G156" s="39">
        <f>ROUND(D156*(E156),2)+0.01</f>
        <v>-3162.8999999999996</v>
      </c>
      <c r="H156" s="270"/>
      <c r="I156" s="41"/>
      <c r="J156" s="41"/>
      <c r="K156" s="271"/>
      <c r="L156" s="272"/>
      <c r="M156" s="102"/>
      <c r="N156" s="430"/>
      <c r="O156" s="435"/>
      <c r="P156" s="435"/>
      <c r="Q156" s="425"/>
      <c r="R156" s="422"/>
      <c r="S156" s="399"/>
      <c r="T156" s="399"/>
    </row>
    <row r="157" spans="1:21" s="81" customFormat="1" ht="15" customHeight="1">
      <c r="A157" s="441"/>
      <c r="B157" s="442"/>
      <c r="C157" s="48" t="s">
        <v>263</v>
      </c>
      <c r="D157" s="37">
        <v>39.99</v>
      </c>
      <c r="E157" s="41">
        <v>6.9835000000000003</v>
      </c>
      <c r="F157" s="38"/>
      <c r="G157" s="39">
        <f>ROUND(D157*(E157),2)</f>
        <v>279.27</v>
      </c>
      <c r="H157" s="270"/>
      <c r="I157" s="41"/>
      <c r="J157" s="41"/>
      <c r="K157" s="271"/>
      <c r="L157" s="272"/>
      <c r="M157" s="102"/>
      <c r="N157" s="434"/>
      <c r="O157" s="435"/>
      <c r="P157" s="435"/>
      <c r="Q157" s="425"/>
      <c r="R157" s="422"/>
      <c r="S157" s="399"/>
      <c r="T157" s="399"/>
    </row>
    <row r="158" spans="1:21" s="81" customFormat="1" ht="15" customHeight="1" thickBot="1">
      <c r="A158" s="445"/>
      <c r="B158" s="446"/>
      <c r="C158" s="54" t="s">
        <v>29</v>
      </c>
      <c r="D158" s="413">
        <v>16664</v>
      </c>
      <c r="E158" s="56">
        <v>6.9835000000000003</v>
      </c>
      <c r="F158" s="281"/>
      <c r="G158" s="414">
        <f>ROUND(D158*(E158),2)</f>
        <v>116373.04</v>
      </c>
      <c r="H158" s="280"/>
      <c r="I158" s="281"/>
      <c r="J158" s="281"/>
      <c r="K158" s="282"/>
      <c r="L158" s="204"/>
      <c r="M158" s="371"/>
      <c r="N158" s="426"/>
      <c r="O158" s="416"/>
      <c r="P158" s="416"/>
      <c r="Q158" s="417"/>
      <c r="R158" s="899"/>
      <c r="S158" s="399"/>
      <c r="T158" s="399"/>
    </row>
    <row r="159" spans="1:21" s="81" customFormat="1" ht="15.75" customHeight="1">
      <c r="A159" s="902">
        <v>105</v>
      </c>
      <c r="B159" s="903" t="s">
        <v>256</v>
      </c>
      <c r="C159" s="439" t="s">
        <v>260</v>
      </c>
      <c r="D159" s="904">
        <f>дек18!D151+дек18!D152</f>
        <v>1619.88</v>
      </c>
      <c r="E159" s="23">
        <f>6.9835-7.2015</f>
        <v>-0.21799999999999997</v>
      </c>
      <c r="F159" s="905"/>
      <c r="G159" s="22">
        <f>ROUND(D159*E159,2)-0.01</f>
        <v>-353.14</v>
      </c>
      <c r="H159" s="303"/>
      <c r="I159" s="23"/>
      <c r="J159" s="23"/>
      <c r="K159" s="304"/>
      <c r="L159" s="263">
        <f>SUM(G159:G161)</f>
        <v>10665.29</v>
      </c>
      <c r="M159" s="26">
        <v>10665.29</v>
      </c>
      <c r="N159" s="421"/>
      <c r="O159" s="77"/>
      <c r="P159" s="77"/>
      <c r="Q159" s="384"/>
      <c r="R159" s="422"/>
      <c r="S159" s="399"/>
      <c r="T159" s="399"/>
    </row>
    <row r="160" spans="1:21" s="81" customFormat="1" ht="15.75" customHeight="1">
      <c r="A160" s="468"/>
      <c r="B160" s="469"/>
      <c r="C160" s="48" t="s">
        <v>263</v>
      </c>
      <c r="D160" s="471">
        <v>3.78</v>
      </c>
      <c r="E160" s="41">
        <v>6.9835000000000003</v>
      </c>
      <c r="F160" s="473"/>
      <c r="G160" s="449">
        <f>ROUND(D160*E160,2)</f>
        <v>26.4</v>
      </c>
      <c r="H160" s="260"/>
      <c r="I160" s="261"/>
      <c r="J160" s="261"/>
      <c r="K160" s="262"/>
      <c r="L160" s="286"/>
      <c r="M160" s="90"/>
      <c r="N160" s="423"/>
      <c r="O160" s="406"/>
      <c r="P160" s="406"/>
      <c r="Q160" s="407"/>
      <c r="R160" s="422"/>
      <c r="S160" s="399"/>
      <c r="T160" s="399"/>
    </row>
    <row r="161" spans="1:20" s="81" customFormat="1" ht="15.75" customHeight="1" thickBot="1">
      <c r="A161" s="858"/>
      <c r="B161" s="859"/>
      <c r="C161" s="54" t="s">
        <v>29</v>
      </c>
      <c r="D161" s="860">
        <v>1574</v>
      </c>
      <c r="E161" s="56">
        <v>6.9835000000000003</v>
      </c>
      <c r="F161" s="861"/>
      <c r="G161" s="414">
        <f t="shared" ref="G161" si="30">ROUND(D161*E161,2)</f>
        <v>10992.03</v>
      </c>
      <c r="H161" s="280"/>
      <c r="I161" s="281"/>
      <c r="J161" s="281"/>
      <c r="K161" s="282"/>
      <c r="L161" s="204"/>
      <c r="M161" s="371"/>
      <c r="N161" s="426"/>
      <c r="O161" s="416"/>
      <c r="P161" s="416"/>
      <c r="Q161" s="417"/>
      <c r="R161" s="422"/>
      <c r="S161" s="399"/>
      <c r="T161" s="399"/>
    </row>
    <row r="162" spans="1:20" s="81" customFormat="1" ht="15.75" customHeight="1">
      <c r="A162" s="902">
        <v>107</v>
      </c>
      <c r="B162" s="903" t="s">
        <v>239</v>
      </c>
      <c r="C162" s="439" t="s">
        <v>260</v>
      </c>
      <c r="D162" s="904">
        <f>дек18!D154+дек18!D155</f>
        <v>335.8</v>
      </c>
      <c r="E162" s="23">
        <f>6.9835-7.2015</f>
        <v>-0.21799999999999997</v>
      </c>
      <c r="F162" s="905"/>
      <c r="G162" s="22">
        <f>ROUND(D162*E162,2)</f>
        <v>-73.2</v>
      </c>
      <c r="H162" s="303"/>
      <c r="I162" s="23"/>
      <c r="J162" s="23"/>
      <c r="K162" s="304"/>
      <c r="L162" s="263">
        <f>SUM(G162:G164)</f>
        <v>1627.84</v>
      </c>
      <c r="M162" s="26">
        <v>1627.84</v>
      </c>
      <c r="N162" s="421"/>
      <c r="O162" s="77"/>
      <c r="P162" s="77"/>
      <c r="Q162" s="384"/>
      <c r="R162" s="422"/>
      <c r="S162" s="399"/>
      <c r="T162" s="399"/>
    </row>
    <row r="163" spans="1:20" s="81" customFormat="1" ht="15.75" customHeight="1">
      <c r="A163" s="468"/>
      <c r="B163" s="469"/>
      <c r="C163" s="48" t="s">
        <v>263</v>
      </c>
      <c r="D163" s="471">
        <v>0.57999999999999996</v>
      </c>
      <c r="E163" s="41">
        <v>6.9835000000000003</v>
      </c>
      <c r="F163" s="473"/>
      <c r="G163" s="449">
        <f>ROUND(D163*E163,2)</f>
        <v>4.05</v>
      </c>
      <c r="H163" s="260"/>
      <c r="I163" s="261"/>
      <c r="J163" s="261"/>
      <c r="K163" s="262"/>
      <c r="L163" s="286"/>
      <c r="M163" s="90"/>
      <c r="N163" s="423"/>
      <c r="O163" s="406"/>
      <c r="P163" s="406"/>
      <c r="Q163" s="407"/>
      <c r="R163" s="422"/>
      <c r="S163" s="399"/>
      <c r="T163" s="399"/>
    </row>
    <row r="164" spans="1:20" s="81" customFormat="1" ht="15.75" customHeight="1" thickBot="1">
      <c r="A164" s="858"/>
      <c r="B164" s="859"/>
      <c r="C164" s="54" t="s">
        <v>29</v>
      </c>
      <c r="D164" s="860">
        <v>243</v>
      </c>
      <c r="E164" s="56">
        <v>6.9835000000000003</v>
      </c>
      <c r="F164" s="861"/>
      <c r="G164" s="414">
        <f t="shared" ref="G164" si="31">ROUND(D164*E164,2)</f>
        <v>1696.99</v>
      </c>
      <c r="H164" s="280"/>
      <c r="I164" s="281"/>
      <c r="J164" s="281"/>
      <c r="K164" s="282"/>
      <c r="L164" s="204"/>
      <c r="M164" s="371"/>
      <c r="N164" s="426"/>
      <c r="O164" s="416"/>
      <c r="P164" s="416"/>
      <c r="Q164" s="417"/>
      <c r="R164" s="422"/>
      <c r="S164" s="399"/>
      <c r="T164" s="399"/>
    </row>
    <row r="165" spans="1:20" s="81" customFormat="1" ht="15.75" customHeight="1">
      <c r="A165" s="902">
        <v>108</v>
      </c>
      <c r="B165" s="903" t="s">
        <v>168</v>
      </c>
      <c r="C165" s="439" t="s">
        <v>260</v>
      </c>
      <c r="D165" s="904">
        <f>дек18!D157+дек18!D158</f>
        <v>288.69</v>
      </c>
      <c r="E165" s="23">
        <f>6.9835-7.2015</f>
        <v>-0.21799999999999997</v>
      </c>
      <c r="F165" s="905"/>
      <c r="G165" s="22">
        <f>ROUND(D165*E165,2)</f>
        <v>-62.93</v>
      </c>
      <c r="H165" s="303"/>
      <c r="I165" s="23"/>
      <c r="J165" s="23"/>
      <c r="K165" s="304"/>
      <c r="L165" s="263">
        <f>SUM(G165:G167)</f>
        <v>2723.2</v>
      </c>
      <c r="M165" s="26">
        <v>2723.2</v>
      </c>
      <c r="N165" s="421"/>
      <c r="O165" s="77"/>
      <c r="P165" s="77"/>
      <c r="Q165" s="384"/>
      <c r="R165" s="422"/>
      <c r="S165" s="399"/>
      <c r="T165" s="399"/>
    </row>
    <row r="166" spans="1:20" s="81" customFormat="1" ht="15.75" customHeight="1">
      <c r="A166" s="468"/>
      <c r="B166" s="469"/>
      <c r="C166" s="48" t="s">
        <v>263</v>
      </c>
      <c r="D166" s="471">
        <v>0.96</v>
      </c>
      <c r="E166" s="41">
        <v>6.9835000000000003</v>
      </c>
      <c r="F166" s="473"/>
      <c r="G166" s="449">
        <f>ROUND(D166*E166,2)</f>
        <v>6.7</v>
      </c>
      <c r="H166" s="260"/>
      <c r="I166" s="261"/>
      <c r="J166" s="261"/>
      <c r="K166" s="262"/>
      <c r="L166" s="286"/>
      <c r="M166" s="90"/>
      <c r="N166" s="423"/>
      <c r="O166" s="406"/>
      <c r="P166" s="406"/>
      <c r="Q166" s="407"/>
      <c r="R166" s="422"/>
      <c r="S166" s="399"/>
      <c r="T166" s="399"/>
    </row>
    <row r="167" spans="1:20" s="81" customFormat="1" ht="15.75" customHeight="1" thickBot="1">
      <c r="A167" s="858"/>
      <c r="B167" s="859"/>
      <c r="C167" s="520" t="s">
        <v>29</v>
      </c>
      <c r="D167" s="471">
        <v>398</v>
      </c>
      <c r="E167" s="876">
        <v>6.9835000000000003</v>
      </c>
      <c r="F167" s="473"/>
      <c r="G167" s="453">
        <f t="shared" ref="G167" si="32">ROUND(D167*E167,2)</f>
        <v>2779.43</v>
      </c>
      <c r="H167" s="432"/>
      <c r="I167" s="207"/>
      <c r="J167" s="207"/>
      <c r="K167" s="362"/>
      <c r="L167" s="433"/>
      <c r="M167" s="371"/>
      <c r="N167" s="426"/>
      <c r="O167" s="416"/>
      <c r="P167" s="416"/>
      <c r="Q167" s="417"/>
      <c r="R167" s="422"/>
      <c r="S167" s="399"/>
      <c r="T167" s="399"/>
    </row>
    <row r="168" spans="1:20" s="81" customFormat="1" ht="15.75" customHeight="1">
      <c r="A168" s="376">
        <v>109</v>
      </c>
      <c r="B168" s="924" t="s">
        <v>175</v>
      </c>
      <c r="C168" s="439" t="s">
        <v>260</v>
      </c>
      <c r="D168" s="378">
        <f>дек18!D160+дек18!D161</f>
        <v>1388.32</v>
      </c>
      <c r="E168" s="23">
        <f>6.9835-7.2015</f>
        <v>-0.21799999999999997</v>
      </c>
      <c r="F168" s="23"/>
      <c r="G168" s="22">
        <f>ROUND(D168*E168,2)-0.01</f>
        <v>-302.65999999999997</v>
      </c>
      <c r="H168" s="303"/>
      <c r="I168" s="23"/>
      <c r="J168" s="23"/>
      <c r="K168" s="185"/>
      <c r="L168" s="263">
        <f>SUM(G168:G172)+SUM(J168:J172)</f>
        <v>12021.916999999999</v>
      </c>
      <c r="M168" s="877">
        <v>12021.92</v>
      </c>
      <c r="N168" s="443"/>
      <c r="O168" s="94"/>
      <c r="P168" s="94"/>
      <c r="Q168" s="396"/>
      <c r="R168" s="422"/>
      <c r="S168" s="399"/>
      <c r="T168" s="399"/>
    </row>
    <row r="169" spans="1:20" s="81" customFormat="1" ht="15.75" customHeight="1">
      <c r="A169" s="389"/>
      <c r="B169" s="920"/>
      <c r="C169" s="48" t="s">
        <v>263</v>
      </c>
      <c r="D169" s="37">
        <v>4.2</v>
      </c>
      <c r="E169" s="41">
        <v>6.9835000000000003</v>
      </c>
      <c r="F169" s="41"/>
      <c r="G169" s="39">
        <f>ROUND(D169*E169,2)</f>
        <v>29.33</v>
      </c>
      <c r="H169" s="270"/>
      <c r="I169" s="41"/>
      <c r="J169" s="41"/>
      <c r="K169" s="50"/>
      <c r="L169" s="272"/>
      <c r="M169" s="990"/>
      <c r="N169" s="423"/>
      <c r="O169" s="406"/>
      <c r="P169" s="406"/>
      <c r="Q169" s="407"/>
      <c r="R169" s="422"/>
      <c r="S169" s="399"/>
      <c r="T169" s="399"/>
    </row>
    <row r="170" spans="1:20" s="81" customFormat="1" ht="15.75" customHeight="1">
      <c r="A170" s="389"/>
      <c r="B170" s="920"/>
      <c r="C170" s="99" t="s">
        <v>29</v>
      </c>
      <c r="D170" s="37">
        <v>1748</v>
      </c>
      <c r="E170" s="101">
        <v>6.9835000000000003</v>
      </c>
      <c r="F170" s="41"/>
      <c r="G170" s="39">
        <f t="shared" ref="G170" si="33">ROUND(D170*E170,2)</f>
        <v>12207.16</v>
      </c>
      <c r="H170" s="270"/>
      <c r="I170" s="41"/>
      <c r="J170" s="41"/>
      <c r="K170" s="50"/>
      <c r="L170" s="272"/>
      <c r="M170" s="990"/>
      <c r="N170" s="423"/>
      <c r="O170" s="406"/>
      <c r="P170" s="406"/>
      <c r="Q170" s="407"/>
      <c r="R170" s="422"/>
      <c r="S170" s="399"/>
      <c r="T170" s="399"/>
    </row>
    <row r="171" spans="1:20" s="81" customFormat="1" ht="15.75" customHeight="1" thickBot="1">
      <c r="A171" s="389"/>
      <c r="B171" s="920"/>
      <c r="C171" s="99" t="s">
        <v>73</v>
      </c>
      <c r="D171" s="37">
        <v>1</v>
      </c>
      <c r="E171" s="101">
        <v>40.556600000000003</v>
      </c>
      <c r="F171" s="41">
        <v>47.5304</v>
      </c>
      <c r="G171" s="39">
        <f>+D171*(E171+F171)</f>
        <v>88.087000000000003</v>
      </c>
      <c r="H171" s="270"/>
      <c r="I171" s="41"/>
      <c r="J171" s="41"/>
      <c r="K171" s="50"/>
      <c r="L171" s="272"/>
      <c r="M171" s="880"/>
      <c r="N171" s="426"/>
      <c r="O171" s="416"/>
      <c r="P171" s="416"/>
      <c r="Q171" s="417"/>
      <c r="R171" s="422"/>
      <c r="S171" s="399"/>
      <c r="T171" s="399"/>
    </row>
    <row r="172" spans="1:20" s="81" customFormat="1" ht="15.75" customHeight="1" thickBot="1">
      <c r="A172" s="411"/>
      <c r="B172" s="921"/>
      <c r="C172" s="54" t="s">
        <v>264</v>
      </c>
      <c r="D172" s="413"/>
      <c r="E172" s="56"/>
      <c r="F172" s="281"/>
      <c r="G172" s="414">
        <f>+D172*(E172+F172)</f>
        <v>0</v>
      </c>
      <c r="H172" s="280"/>
      <c r="I172" s="281"/>
      <c r="J172" s="281"/>
      <c r="K172" s="58"/>
      <c r="L172" s="204"/>
      <c r="M172" s="880"/>
      <c r="N172" s="426"/>
      <c r="O172" s="416"/>
      <c r="P172" s="416"/>
      <c r="Q172" s="417"/>
      <c r="R172" s="422"/>
      <c r="S172" s="399"/>
      <c r="T172" s="399"/>
    </row>
    <row r="173" spans="1:20" s="81" customFormat="1" ht="15.75" customHeight="1">
      <c r="A173" s="376">
        <v>117</v>
      </c>
      <c r="B173" s="420" t="s">
        <v>72</v>
      </c>
      <c r="C173" s="390" t="s">
        <v>73</v>
      </c>
      <c r="D173" s="869">
        <v>112</v>
      </c>
      <c r="E173" s="86">
        <v>40.556600000000003</v>
      </c>
      <c r="F173" s="86">
        <v>47.5304</v>
      </c>
      <c r="G173" s="449">
        <f>+D173*(E173+F173)</f>
        <v>9865.7440000000006</v>
      </c>
      <c r="H173" s="260"/>
      <c r="I173" s="392"/>
      <c r="J173" s="392"/>
      <c r="K173" s="870"/>
      <c r="L173" s="286">
        <f>SUM(G173:G177,J173:J177)</f>
        <v>325687.19399999996</v>
      </c>
      <c r="M173" s="26">
        <v>325687.19</v>
      </c>
      <c r="N173" s="421"/>
      <c r="O173" s="77"/>
      <c r="P173" s="77"/>
      <c r="Q173" s="384"/>
      <c r="R173" s="422"/>
      <c r="S173" s="399"/>
      <c r="T173" s="399"/>
    </row>
    <row r="174" spans="1:20" s="81" customFormat="1" ht="15.75" customHeight="1">
      <c r="A174" s="389"/>
      <c r="B174" s="83"/>
      <c r="C174" s="84" t="s">
        <v>26</v>
      </c>
      <c r="D174" s="37"/>
      <c r="E174" s="38"/>
      <c r="F174" s="38"/>
      <c r="G174" s="39">
        <f>ROUND(D174*(E174+F174),2)</f>
        <v>0</v>
      </c>
      <c r="H174" s="270"/>
      <c r="I174" s="392"/>
      <c r="J174" s="402"/>
      <c r="K174" s="393"/>
      <c r="L174" s="272"/>
      <c r="M174" s="102"/>
      <c r="N174" s="423"/>
      <c r="O174" s="406"/>
      <c r="P174" s="406"/>
      <c r="Q174" s="407"/>
      <c r="R174" s="422"/>
      <c r="S174" s="399"/>
      <c r="T174" s="399"/>
    </row>
    <row r="175" spans="1:20" s="81" customFormat="1" ht="15.75" customHeight="1">
      <c r="A175" s="389"/>
      <c r="B175" s="83"/>
      <c r="C175" s="48" t="s">
        <v>260</v>
      </c>
      <c r="D175" s="37">
        <f>дек18!D167+дек18!D168</f>
        <v>38672.589999999997</v>
      </c>
      <c r="E175" s="41">
        <f>6.9835-7.2015</f>
        <v>-0.21799999999999997</v>
      </c>
      <c r="F175" s="38"/>
      <c r="G175" s="39">
        <f>ROUND(D175*(E175),2)-0.01</f>
        <v>-8430.630000000001</v>
      </c>
      <c r="H175" s="270"/>
      <c r="I175" s="41"/>
      <c r="J175" s="41"/>
      <c r="K175" s="271"/>
      <c r="L175" s="272"/>
      <c r="M175" s="102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>
      <c r="A176" s="389"/>
      <c r="B176" s="83"/>
      <c r="C176" s="48" t="s">
        <v>263</v>
      </c>
      <c r="D176" s="37">
        <v>111.17</v>
      </c>
      <c r="E176" s="41">
        <v>6.9835000000000003</v>
      </c>
      <c r="F176" s="38"/>
      <c r="G176" s="39">
        <f>ROUND(D176*(E176),2)</f>
        <v>776.36</v>
      </c>
      <c r="H176" s="270"/>
      <c r="I176" s="41"/>
      <c r="J176" s="41"/>
      <c r="K176" s="271"/>
      <c r="L176" s="272"/>
      <c r="M176" s="102"/>
      <c r="N176" s="423"/>
      <c r="O176" s="406"/>
      <c r="P176" s="406"/>
      <c r="Q176" s="425"/>
      <c r="R176" s="422"/>
      <c r="S176" s="399"/>
      <c r="T176" s="399"/>
    </row>
    <row r="177" spans="1:20" s="81" customFormat="1" ht="15.75" customHeight="1" thickBot="1">
      <c r="A177" s="411"/>
      <c r="B177" s="412"/>
      <c r="C177" s="99" t="s">
        <v>29</v>
      </c>
      <c r="D177" s="413">
        <v>46320</v>
      </c>
      <c r="E177" s="56">
        <v>6.9835000000000003</v>
      </c>
      <c r="F177" s="281"/>
      <c r="G177" s="414">
        <f>ROUND(D177*(E177),2)</f>
        <v>323475.71999999997</v>
      </c>
      <c r="H177" s="280"/>
      <c r="I177" s="281"/>
      <c r="J177" s="281"/>
      <c r="K177" s="282"/>
      <c r="L177" s="204"/>
      <c r="M177" s="371"/>
      <c r="N177" s="426"/>
      <c r="O177" s="416"/>
      <c r="P177" s="416"/>
      <c r="Q177" s="417"/>
      <c r="R177" s="422"/>
      <c r="S177" s="399"/>
      <c r="T177" s="399"/>
    </row>
    <row r="178" spans="1:20" s="81" customFormat="1" ht="15.75" customHeight="1">
      <c r="A178" s="376">
        <v>118</v>
      </c>
      <c r="B178" s="924" t="s">
        <v>215</v>
      </c>
      <c r="C178" s="377" t="s">
        <v>73</v>
      </c>
      <c r="D178" s="378">
        <v>57</v>
      </c>
      <c r="E178" s="21">
        <v>40.556600000000003</v>
      </c>
      <c r="F178" s="21">
        <v>47.5304</v>
      </c>
      <c r="G178" s="22">
        <f>+D178*(E178+F178)</f>
        <v>5020.9589999999998</v>
      </c>
      <c r="H178" s="303"/>
      <c r="I178" s="381"/>
      <c r="J178" s="41"/>
      <c r="K178" s="342"/>
      <c r="L178" s="263">
        <f>SUM(G178:G182,J178:J182)</f>
        <v>62272.769</v>
      </c>
      <c r="M178" s="26">
        <v>62272.77</v>
      </c>
      <c r="N178" s="421"/>
      <c r="O178" s="77"/>
      <c r="P178" s="77"/>
      <c r="Q178" s="384"/>
      <c r="R178" s="422"/>
      <c r="S178" s="399"/>
      <c r="T178" s="399"/>
    </row>
    <row r="179" spans="1:20" s="81" customFormat="1" ht="15.75" customHeight="1">
      <c r="A179" s="389"/>
      <c r="B179" s="920"/>
      <c r="C179" s="36" t="s">
        <v>26</v>
      </c>
      <c r="D179" s="37"/>
      <c r="E179" s="38"/>
      <c r="F179" s="38"/>
      <c r="G179" s="39">
        <f>ROUND(D179*(E179+F179),2)</f>
        <v>0</v>
      </c>
      <c r="H179" s="457"/>
      <c r="I179" s="392"/>
      <c r="J179" s="41"/>
      <c r="K179" s="393"/>
      <c r="L179" s="459"/>
      <c r="M179" s="44"/>
      <c r="N179" s="430"/>
      <c r="O179" s="406"/>
      <c r="P179" s="406"/>
      <c r="Q179" s="407"/>
      <c r="R179" s="422"/>
      <c r="S179" s="399"/>
      <c r="T179" s="399"/>
    </row>
    <row r="180" spans="1:20" s="81" customFormat="1" ht="15.75" customHeight="1">
      <c r="A180" s="389"/>
      <c r="B180" s="920"/>
      <c r="C180" s="48" t="s">
        <v>260</v>
      </c>
      <c r="D180" s="37">
        <f>дек18!D172+дек18!D173</f>
        <v>6501.57</v>
      </c>
      <c r="E180" s="41">
        <f>6.9835-7.2015</f>
        <v>-0.21799999999999997</v>
      </c>
      <c r="F180" s="38"/>
      <c r="G180" s="39">
        <f>ROUND(D180*(E180),2)</f>
        <v>-1417.34</v>
      </c>
      <c r="H180" s="270"/>
      <c r="I180" s="41"/>
      <c r="J180" s="41"/>
      <c r="K180" s="271"/>
      <c r="L180" s="272"/>
      <c r="M180" s="102"/>
      <c r="N180" s="430"/>
      <c r="O180" s="406"/>
      <c r="P180" s="406"/>
      <c r="Q180" s="407"/>
      <c r="R180" s="422"/>
      <c r="S180" s="399"/>
      <c r="T180" s="399"/>
    </row>
    <row r="181" spans="1:20" s="81" customFormat="1" ht="15.75" customHeight="1">
      <c r="A181" s="389"/>
      <c r="B181" s="920"/>
      <c r="C181" s="48" t="s">
        <v>263</v>
      </c>
      <c r="D181" s="37">
        <v>20.11</v>
      </c>
      <c r="E181" s="41">
        <v>6.9835000000000003</v>
      </c>
      <c r="F181" s="38"/>
      <c r="G181" s="39">
        <f>ROUND(D181*(E181),2)</f>
        <v>140.44</v>
      </c>
      <c r="H181" s="270"/>
      <c r="I181" s="41"/>
      <c r="J181" s="41"/>
      <c r="K181" s="271"/>
      <c r="L181" s="272"/>
      <c r="M181" s="102"/>
      <c r="N181" s="434"/>
      <c r="O181" s="435"/>
      <c r="P181" s="435"/>
      <c r="Q181" s="425"/>
      <c r="R181" s="422"/>
      <c r="S181" s="399"/>
      <c r="T181" s="399"/>
    </row>
    <row r="182" spans="1:20" s="81" customFormat="1" ht="15.75" customHeight="1" thickBot="1">
      <c r="A182" s="411"/>
      <c r="B182" s="921"/>
      <c r="C182" s="54" t="s">
        <v>29</v>
      </c>
      <c r="D182" s="413">
        <v>8381</v>
      </c>
      <c r="E182" s="56">
        <v>6.9835000000000003</v>
      </c>
      <c r="F182" s="281"/>
      <c r="G182" s="414">
        <f>ROUND(D182*(E182),2)</f>
        <v>58528.71</v>
      </c>
      <c r="H182" s="432"/>
      <c r="I182" s="207"/>
      <c r="J182" s="207"/>
      <c r="K182" s="362"/>
      <c r="L182" s="433"/>
      <c r="M182" s="63"/>
      <c r="N182" s="434"/>
      <c r="O182" s="435"/>
      <c r="P182" s="435"/>
      <c r="Q182" s="425"/>
      <c r="R182" s="422"/>
      <c r="S182" s="399"/>
      <c r="T182" s="399"/>
    </row>
    <row r="183" spans="1:20" s="81" customFormat="1" ht="15.75" customHeight="1">
      <c r="A183" s="468">
        <v>121</v>
      </c>
      <c r="B183" s="699" t="s">
        <v>154</v>
      </c>
      <c r="C183" s="700" t="s">
        <v>260</v>
      </c>
      <c r="D183" s="471">
        <f>дек18!D175+дек18!D176</f>
        <v>281.67</v>
      </c>
      <c r="E183" s="261">
        <f>6.9835-7.2015</f>
        <v>-0.21799999999999997</v>
      </c>
      <c r="F183" s="473"/>
      <c r="G183" s="449">
        <f>ROUND(D183*E183,2)</f>
        <v>-61.4</v>
      </c>
      <c r="H183" s="303"/>
      <c r="I183" s="23"/>
      <c r="J183" s="23"/>
      <c r="K183" s="304"/>
      <c r="L183" s="263">
        <f>SUM(G183:G185)</f>
        <v>1919.6799999999998</v>
      </c>
      <c r="M183" s="26">
        <v>1919.68</v>
      </c>
      <c r="N183" s="421"/>
      <c r="O183" s="77"/>
      <c r="P183" s="77"/>
      <c r="Q183" s="384"/>
      <c r="R183" s="422"/>
      <c r="S183" s="399"/>
      <c r="T183" s="399"/>
    </row>
    <row r="184" spans="1:20" s="81" customFormat="1" ht="15.75" customHeight="1">
      <c r="A184" s="468"/>
      <c r="B184" s="469"/>
      <c r="C184" s="48" t="s">
        <v>263</v>
      </c>
      <c r="D184" s="471">
        <v>0.68</v>
      </c>
      <c r="E184" s="41">
        <v>6.9835000000000003</v>
      </c>
      <c r="F184" s="473"/>
      <c r="G184" s="449">
        <f>ROUND(D184*E184,2)</f>
        <v>4.75</v>
      </c>
      <c r="H184" s="260"/>
      <c r="I184" s="261"/>
      <c r="J184" s="261"/>
      <c r="K184" s="262"/>
      <c r="L184" s="286"/>
      <c r="M184" s="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 thickBot="1">
      <c r="A185" s="858"/>
      <c r="B185" s="859"/>
      <c r="C185" s="54" t="s">
        <v>29</v>
      </c>
      <c r="D185" s="860">
        <v>283</v>
      </c>
      <c r="E185" s="56">
        <v>6.9835000000000003</v>
      </c>
      <c r="F185" s="861"/>
      <c r="G185" s="414">
        <f t="shared" ref="G185" si="34">ROUND(D185*E185,2)</f>
        <v>1976.33</v>
      </c>
      <c r="H185" s="280"/>
      <c r="I185" s="281"/>
      <c r="J185" s="281"/>
      <c r="K185" s="282"/>
      <c r="L185" s="204"/>
      <c r="M185" s="371"/>
      <c r="N185" s="426"/>
      <c r="O185" s="416"/>
      <c r="P185" s="416"/>
      <c r="Q185" s="417"/>
      <c r="R185" s="422"/>
      <c r="S185" s="399"/>
      <c r="T185" s="399"/>
    </row>
    <row r="186" spans="1:20" s="81" customFormat="1" ht="15.75" customHeight="1">
      <c r="A186" s="376">
        <v>202</v>
      </c>
      <c r="B186" s="420" t="s">
        <v>74</v>
      </c>
      <c r="C186" s="377" t="s">
        <v>73</v>
      </c>
      <c r="D186" s="378">
        <v>12</v>
      </c>
      <c r="E186" s="21">
        <v>40.556600000000003</v>
      </c>
      <c r="F186" s="21">
        <v>47.5304</v>
      </c>
      <c r="G186" s="22">
        <f>ROUND(D186*(E186+F186),2)</f>
        <v>1057.04</v>
      </c>
      <c r="H186" s="303"/>
      <c r="I186" s="381"/>
      <c r="J186" s="381"/>
      <c r="K186" s="342"/>
      <c r="L186" s="263">
        <f>SUM(G186:G192,J186:J192)</f>
        <v>21856.799999999999</v>
      </c>
      <c r="M186" s="26">
        <v>21856.799999999999</v>
      </c>
      <c r="N186" s="421"/>
      <c r="O186" s="77"/>
      <c r="P186" s="77"/>
      <c r="Q186" s="384"/>
      <c r="R186" s="422"/>
      <c r="S186" s="399"/>
      <c r="T186" s="399"/>
    </row>
    <row r="187" spans="1:20" s="81" customFormat="1" ht="15.75" customHeight="1">
      <c r="A187" s="389"/>
      <c r="B187" s="98"/>
      <c r="C187" s="84" t="s">
        <v>26</v>
      </c>
      <c r="D187" s="37"/>
      <c r="E187" s="38"/>
      <c r="F187" s="38"/>
      <c r="G187" s="39">
        <f>ROUND(D187*(E187+F187),2)</f>
        <v>0</v>
      </c>
      <c r="H187" s="270"/>
      <c r="I187" s="392"/>
      <c r="J187" s="402"/>
      <c r="K187" s="393"/>
      <c r="L187" s="272"/>
      <c r="M187" s="102"/>
      <c r="N187" s="423"/>
      <c r="O187" s="406"/>
      <c r="P187" s="406"/>
      <c r="Q187" s="407"/>
      <c r="R187" s="422"/>
      <c r="S187" s="399"/>
      <c r="T187" s="399"/>
    </row>
    <row r="188" spans="1:20" s="81" customFormat="1" ht="15.75" customHeight="1">
      <c r="A188" s="389"/>
      <c r="B188" s="98" t="s">
        <v>32</v>
      </c>
      <c r="C188" s="99" t="s">
        <v>33</v>
      </c>
      <c r="D188" s="428">
        <v>7</v>
      </c>
      <c r="E188" s="101">
        <v>347.06</v>
      </c>
      <c r="F188" s="38">
        <f>F186</f>
        <v>47.5304</v>
      </c>
      <c r="G188" s="39">
        <f>ROUND(D188*(E188+F188),2)</f>
        <v>2762.13</v>
      </c>
      <c r="H188" s="270"/>
      <c r="I188" s="41"/>
      <c r="J188" s="41"/>
      <c r="K188" s="271"/>
      <c r="L188" s="272"/>
      <c r="M188" s="102"/>
      <c r="N188" s="423"/>
      <c r="O188" s="406"/>
      <c r="P188" s="406"/>
      <c r="Q188" s="407"/>
      <c r="R188" s="422"/>
      <c r="S188" s="399"/>
      <c r="T188" s="399"/>
    </row>
    <row r="189" spans="1:20" s="81" customFormat="1" ht="15.75" customHeight="1">
      <c r="A189" s="389"/>
      <c r="B189" s="83"/>
      <c r="C189" s="48" t="s">
        <v>76</v>
      </c>
      <c r="D189" s="37">
        <f>дек18!D179</f>
        <v>7</v>
      </c>
      <c r="E189" s="41">
        <f>347.06-330.44</f>
        <v>16.620000000000005</v>
      </c>
      <c r="F189" s="38"/>
      <c r="G189" s="39">
        <f>ROUND(D189*(E189+F189),2)</f>
        <v>116.34</v>
      </c>
      <c r="H189" s="270"/>
      <c r="I189" s="41"/>
      <c r="J189" s="41"/>
      <c r="K189" s="271"/>
      <c r="L189" s="272"/>
      <c r="M189" s="102"/>
      <c r="N189" s="423"/>
      <c r="O189" s="406"/>
      <c r="P189" s="406"/>
      <c r="Q189" s="407"/>
      <c r="R189" s="422"/>
      <c r="S189" s="399"/>
      <c r="T189" s="399"/>
    </row>
    <row r="190" spans="1:20" s="81" customFormat="1" ht="15.75" customHeight="1">
      <c r="A190" s="389"/>
      <c r="B190" s="83"/>
      <c r="C190" s="48" t="s">
        <v>260</v>
      </c>
      <c r="D190" s="37">
        <f>дек18!D182+дек18!D183</f>
        <v>2566.14</v>
      </c>
      <c r="E190" s="41">
        <f>6.9835-7.2015</f>
        <v>-0.21799999999999997</v>
      </c>
      <c r="F190" s="38"/>
      <c r="G190" s="39">
        <f>ROUND(D190*(E190+F190),2)-0.01</f>
        <v>-559.42999999999995</v>
      </c>
      <c r="H190" s="270"/>
      <c r="I190" s="41"/>
      <c r="J190" s="41"/>
      <c r="K190" s="271"/>
      <c r="L190" s="272"/>
      <c r="M190" s="102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389"/>
      <c r="B191" s="83"/>
      <c r="C191" s="48" t="s">
        <v>263</v>
      </c>
      <c r="D191" s="37">
        <v>6.34</v>
      </c>
      <c r="E191" s="41">
        <v>6.9835000000000003</v>
      </c>
      <c r="F191" s="38"/>
      <c r="G191" s="39">
        <f>ROUND(D191*E191,2)</f>
        <v>44.28</v>
      </c>
      <c r="H191" s="270"/>
      <c r="I191" s="41"/>
      <c r="J191" s="41"/>
      <c r="K191" s="271"/>
      <c r="L191" s="272"/>
      <c r="M191" s="102"/>
      <c r="N191" s="423"/>
      <c r="O191" s="406"/>
      <c r="P191" s="406"/>
      <c r="Q191" s="425"/>
      <c r="R191" s="422"/>
      <c r="S191" s="399"/>
      <c r="T191" s="399"/>
    </row>
    <row r="192" spans="1:20" s="81" customFormat="1" ht="15" customHeight="1" thickBot="1">
      <c r="A192" s="411"/>
      <c r="B192" s="412"/>
      <c r="C192" s="99" t="s">
        <v>29</v>
      </c>
      <c r="D192" s="413">
        <v>2640</v>
      </c>
      <c r="E192" s="56">
        <v>6.9835000000000003</v>
      </c>
      <c r="F192" s="281"/>
      <c r="G192" s="414">
        <f>ROUND(D192*(E192+F192),2)</f>
        <v>18436.439999999999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902">
        <v>203</v>
      </c>
      <c r="B193" s="903" t="s">
        <v>230</v>
      </c>
      <c r="C193" s="439" t="s">
        <v>260</v>
      </c>
      <c r="D193" s="904">
        <v>0</v>
      </c>
      <c r="E193" s="23">
        <f>6.9835-7.2015</f>
        <v>-0.21799999999999997</v>
      </c>
      <c r="F193" s="905"/>
      <c r="G193" s="22">
        <f>ROUND(D193*E193,2)</f>
        <v>0</v>
      </c>
      <c r="H193" s="303"/>
      <c r="I193" s="23"/>
      <c r="J193" s="23"/>
      <c r="K193" s="304"/>
      <c r="L193" s="263">
        <f>SUM(G193:G195)</f>
        <v>34.99</v>
      </c>
      <c r="M193" s="26"/>
      <c r="N193" s="421"/>
      <c r="O193" s="1013" t="s">
        <v>315</v>
      </c>
      <c r="P193" s="77"/>
      <c r="Q193" s="384"/>
      <c r="R193" s="422"/>
      <c r="S193" s="399"/>
      <c r="T193" s="399"/>
    </row>
    <row r="194" spans="1:20" s="81" customFormat="1" ht="15.75" customHeight="1">
      <c r="A194" s="468"/>
      <c r="B194" s="469"/>
      <c r="C194" s="48" t="s">
        <v>263</v>
      </c>
      <c r="D194" s="471">
        <v>0.01</v>
      </c>
      <c r="E194" s="41">
        <v>6.9835000000000003</v>
      </c>
      <c r="F194" s="473"/>
      <c r="G194" s="449">
        <f>ROUND(D194*E194,2)</f>
        <v>7.0000000000000007E-2</v>
      </c>
      <c r="H194" s="260"/>
      <c r="I194" s="261"/>
      <c r="J194" s="261"/>
      <c r="K194" s="262"/>
      <c r="L194" s="286"/>
      <c r="M194" s="90"/>
      <c r="N194" s="423"/>
      <c r="O194" s="406"/>
      <c r="P194" s="406"/>
      <c r="Q194" s="407"/>
      <c r="R194" s="422"/>
      <c r="S194" s="399"/>
      <c r="T194" s="399"/>
    </row>
    <row r="195" spans="1:20" s="81" customFormat="1" ht="15.75" customHeight="1" thickBot="1">
      <c r="A195" s="858"/>
      <c r="B195" s="859"/>
      <c r="C195" s="54" t="s">
        <v>29</v>
      </c>
      <c r="D195" s="860">
        <v>5</v>
      </c>
      <c r="E195" s="56">
        <v>6.9835000000000003</v>
      </c>
      <c r="F195" s="861"/>
      <c r="G195" s="414">
        <f t="shared" ref="G195" si="35">ROUND(D195*E195,2)</f>
        <v>34.92</v>
      </c>
      <c r="H195" s="280"/>
      <c r="I195" s="281"/>
      <c r="J195" s="207"/>
      <c r="K195" s="362"/>
      <c r="L195" s="433"/>
      <c r="M195" s="63"/>
      <c r="N195" s="426"/>
      <c r="O195" s="416"/>
      <c r="P195" s="416"/>
      <c r="Q195" s="417"/>
      <c r="R195" s="422"/>
      <c r="S195" s="399"/>
      <c r="T195" s="399"/>
    </row>
    <row r="196" spans="1:20" s="81" customFormat="1" ht="15.75" customHeight="1">
      <c r="A196" s="902">
        <v>204</v>
      </c>
      <c r="B196" s="903" t="s">
        <v>257</v>
      </c>
      <c r="C196" s="439" t="s">
        <v>260</v>
      </c>
      <c r="D196" s="904">
        <f>дек18!D188+дек18!D189</f>
        <v>81.19</v>
      </c>
      <c r="E196" s="23">
        <f>6.9835-7.2015</f>
        <v>-0.21799999999999997</v>
      </c>
      <c r="F196" s="905"/>
      <c r="G196" s="22">
        <f>ROUND(D196*E196,2)</f>
        <v>-17.7</v>
      </c>
      <c r="H196" s="303"/>
      <c r="I196" s="23"/>
      <c r="J196" s="23"/>
      <c r="K196" s="304"/>
      <c r="L196" s="263">
        <f>SUM(G196:G198)</f>
        <v>486.3</v>
      </c>
      <c r="M196" s="26">
        <v>486.3</v>
      </c>
      <c r="N196" s="421"/>
      <c r="O196" s="77"/>
      <c r="P196" s="77"/>
      <c r="Q196" s="384"/>
      <c r="R196" s="422"/>
      <c r="S196" s="399"/>
      <c r="T196" s="399"/>
    </row>
    <row r="197" spans="1:20" s="81" customFormat="1" ht="15.75" customHeight="1">
      <c r="A197" s="468"/>
      <c r="B197" s="469"/>
      <c r="C197" s="48" t="s">
        <v>263</v>
      </c>
      <c r="D197" s="471">
        <v>0.17</v>
      </c>
      <c r="E197" s="41">
        <v>6.9835000000000003</v>
      </c>
      <c r="F197" s="473"/>
      <c r="G197" s="449">
        <f>ROUND(D197*E197,2)</f>
        <v>1.19</v>
      </c>
      <c r="H197" s="260"/>
      <c r="I197" s="261"/>
      <c r="J197" s="261"/>
      <c r="K197" s="262"/>
      <c r="L197" s="286"/>
      <c r="M197" s="90"/>
      <c r="N197" s="423"/>
      <c r="O197" s="406"/>
      <c r="P197" s="406"/>
      <c r="Q197" s="407"/>
      <c r="R197" s="422"/>
      <c r="S197" s="399"/>
      <c r="T197" s="399"/>
    </row>
    <row r="198" spans="1:20" s="81" customFormat="1" ht="15.75" customHeight="1" thickBot="1">
      <c r="A198" s="858"/>
      <c r="B198" s="859"/>
      <c r="C198" s="54" t="s">
        <v>29</v>
      </c>
      <c r="D198" s="860">
        <v>72</v>
      </c>
      <c r="E198" s="56">
        <v>6.9835000000000003</v>
      </c>
      <c r="F198" s="861"/>
      <c r="G198" s="414">
        <f t="shared" ref="G198" si="36">ROUND(D198*E198,2)</f>
        <v>502.81</v>
      </c>
      <c r="H198" s="280"/>
      <c r="I198" s="281"/>
      <c r="J198" s="281"/>
      <c r="K198" s="282"/>
      <c r="L198" s="204"/>
      <c r="M198" s="371"/>
      <c r="N198" s="426"/>
      <c r="O198" s="416"/>
      <c r="P198" s="416"/>
      <c r="Q198" s="417"/>
      <c r="R198" s="422"/>
      <c r="S198" s="399"/>
      <c r="T198" s="399"/>
    </row>
    <row r="199" spans="1:20" s="81" customFormat="1" ht="15.75" customHeight="1">
      <c r="A199" s="902">
        <v>207</v>
      </c>
      <c r="B199" s="903" t="s">
        <v>248</v>
      </c>
      <c r="C199" s="439" t="s">
        <v>260</v>
      </c>
      <c r="D199" s="904">
        <f>дек18!D191+дек18!D192</f>
        <v>226.54</v>
      </c>
      <c r="E199" s="23">
        <f>6.9835-7.2015</f>
        <v>-0.21799999999999997</v>
      </c>
      <c r="F199" s="905"/>
      <c r="G199" s="22">
        <f>ROUND(D199*E199,2)</f>
        <v>-49.39</v>
      </c>
      <c r="H199" s="303"/>
      <c r="I199" s="23"/>
      <c r="J199" s="23"/>
      <c r="K199" s="304"/>
      <c r="L199" s="263">
        <f>SUM(G199:G201)</f>
        <v>2988.71</v>
      </c>
      <c r="M199" s="26">
        <v>2988.71</v>
      </c>
      <c r="N199" s="421"/>
      <c r="O199" s="77"/>
      <c r="P199" s="77"/>
      <c r="Q199" s="384"/>
      <c r="R199" s="422"/>
      <c r="S199" s="399"/>
      <c r="T199" s="399"/>
    </row>
    <row r="200" spans="1:20" s="81" customFormat="1" ht="15.75" customHeight="1">
      <c r="A200" s="468"/>
      <c r="B200" s="469"/>
      <c r="C200" s="48" t="s">
        <v>263</v>
      </c>
      <c r="D200" s="471">
        <v>1.04</v>
      </c>
      <c r="E200" s="41">
        <v>6.9835000000000003</v>
      </c>
      <c r="F200" s="473"/>
      <c r="G200" s="449">
        <f>ROUND(D200*E200,2)</f>
        <v>7.26</v>
      </c>
      <c r="H200" s="260"/>
      <c r="I200" s="261"/>
      <c r="J200" s="261"/>
      <c r="K200" s="262"/>
      <c r="L200" s="286"/>
      <c r="M200" s="90"/>
      <c r="N200" s="423"/>
      <c r="O200" s="406"/>
      <c r="P200" s="406"/>
      <c r="Q200" s="407"/>
      <c r="R200" s="422"/>
      <c r="S200" s="399"/>
      <c r="T200" s="399"/>
    </row>
    <row r="201" spans="1:20" s="81" customFormat="1" ht="15.75" customHeight="1" thickBot="1">
      <c r="A201" s="858"/>
      <c r="B201" s="859"/>
      <c r="C201" s="54" t="s">
        <v>29</v>
      </c>
      <c r="D201" s="860">
        <v>434</v>
      </c>
      <c r="E201" s="56">
        <v>6.9835000000000003</v>
      </c>
      <c r="F201" s="861"/>
      <c r="G201" s="414">
        <f t="shared" ref="G201" si="37">ROUND(D201*E201,2)</f>
        <v>3030.84</v>
      </c>
      <c r="H201" s="280"/>
      <c r="I201" s="281"/>
      <c r="J201" s="207"/>
      <c r="K201" s="362"/>
      <c r="L201" s="433"/>
      <c r="M201" s="63"/>
      <c r="N201" s="426"/>
      <c r="O201" s="416"/>
      <c r="P201" s="416"/>
      <c r="Q201" s="417"/>
      <c r="R201" s="422"/>
      <c r="S201" s="399"/>
      <c r="T201" s="399"/>
    </row>
    <row r="202" spans="1:20" s="81" customFormat="1" ht="15.75" customHeight="1">
      <c r="A202" s="906">
        <v>208</v>
      </c>
      <c r="B202" s="903" t="s">
        <v>316</v>
      </c>
      <c r="C202" s="48" t="s">
        <v>260</v>
      </c>
      <c r="D202" s="471"/>
      <c r="E202" s="41">
        <f>6.9835-7.2015</f>
        <v>-0.21799999999999997</v>
      </c>
      <c r="F202" s="473"/>
      <c r="G202" s="862">
        <f>ROUND(D202*E202,2)</f>
        <v>0</v>
      </c>
      <c r="H202" s="270"/>
      <c r="I202" s="41"/>
      <c r="J202" s="41"/>
      <c r="K202" s="271"/>
      <c r="L202" s="263">
        <f>SUM(G202:G204)</f>
        <v>210</v>
      </c>
      <c r="M202" s="878">
        <v>210</v>
      </c>
      <c r="N202" s="421"/>
      <c r="O202" s="406"/>
      <c r="P202" s="406"/>
      <c r="Q202" s="407"/>
      <c r="R202" s="422"/>
      <c r="S202" s="399"/>
      <c r="T202" s="399"/>
    </row>
    <row r="203" spans="1:20" s="81" customFormat="1" ht="15.75" customHeight="1">
      <c r="A203" s="468"/>
      <c r="B203" s="469"/>
      <c r="C203" s="48" t="s">
        <v>263</v>
      </c>
      <c r="D203" s="471">
        <v>7.0000000000000007E-2</v>
      </c>
      <c r="E203" s="41">
        <v>6.9835000000000003</v>
      </c>
      <c r="F203" s="473"/>
      <c r="G203" s="862">
        <f>ROUND(D203*E203,2)</f>
        <v>0.49</v>
      </c>
      <c r="H203" s="270"/>
      <c r="I203" s="41"/>
      <c r="J203" s="41"/>
      <c r="K203" s="271"/>
      <c r="L203" s="272"/>
      <c r="M203" s="878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858"/>
      <c r="B204" s="859"/>
      <c r="C204" s="54" t="s">
        <v>29</v>
      </c>
      <c r="D204" s="860">
        <v>30</v>
      </c>
      <c r="E204" s="56">
        <v>6.9835000000000003</v>
      </c>
      <c r="F204" s="861"/>
      <c r="G204" s="866">
        <f t="shared" ref="G204" si="38">ROUND(D204*E204,2)</f>
        <v>209.51</v>
      </c>
      <c r="H204" s="280"/>
      <c r="I204" s="281"/>
      <c r="J204" s="281"/>
      <c r="K204" s="282"/>
      <c r="L204" s="204"/>
      <c r="M204" s="880"/>
      <c r="N204" s="426"/>
      <c r="O204" s="416"/>
      <c r="P204" s="416"/>
      <c r="Q204" s="417"/>
      <c r="R204" s="422"/>
      <c r="S204" s="399"/>
      <c r="T204" s="399"/>
    </row>
    <row r="205" spans="1:20" s="81" customFormat="1" ht="15" customHeight="1">
      <c r="A205" s="376">
        <v>210</v>
      </c>
      <c r="B205" s="420" t="s">
        <v>77</v>
      </c>
      <c r="C205" s="377" t="s">
        <v>73</v>
      </c>
      <c r="D205" s="378">
        <v>3</v>
      </c>
      <c r="E205" s="21">
        <v>40.556600000000003</v>
      </c>
      <c r="F205" s="21">
        <v>47.5304</v>
      </c>
      <c r="G205" s="22">
        <f t="shared" ref="G205:G211" si="39">ROUND(D205*(E205+F205),2)</f>
        <v>264.26</v>
      </c>
      <c r="H205" s="303"/>
      <c r="I205" s="381"/>
      <c r="J205" s="381"/>
      <c r="K205" s="342"/>
      <c r="L205" s="382">
        <f>+SUM(G205:G211,J205:J211)</f>
        <v>3655.3</v>
      </c>
      <c r="M205" s="26">
        <v>3655.3</v>
      </c>
      <c r="N205" s="421"/>
      <c r="O205" s="77"/>
      <c r="P205" s="77"/>
      <c r="Q205" s="384"/>
      <c r="R205" s="422"/>
      <c r="S205" s="399"/>
      <c r="T205" s="399"/>
    </row>
    <row r="206" spans="1:20" s="81" customFormat="1" ht="15" customHeight="1">
      <c r="A206" s="389"/>
      <c r="B206" s="83"/>
      <c r="C206" s="84" t="s">
        <v>26</v>
      </c>
      <c r="D206" s="37"/>
      <c r="E206" s="38"/>
      <c r="F206" s="38"/>
      <c r="G206" s="39">
        <f t="shared" si="39"/>
        <v>0</v>
      </c>
      <c r="H206" s="270"/>
      <c r="I206" s="392"/>
      <c r="J206" s="402"/>
      <c r="K206" s="393"/>
      <c r="L206" s="429"/>
      <c r="M206" s="102"/>
      <c r="N206" s="430"/>
      <c r="O206" s="406"/>
      <c r="P206" s="406"/>
      <c r="Q206" s="407"/>
      <c r="R206" s="422"/>
      <c r="S206" s="399"/>
      <c r="T206" s="399"/>
    </row>
    <row r="207" spans="1:20" s="81" customFormat="1" ht="15" customHeight="1">
      <c r="A207" s="389"/>
      <c r="B207" s="98" t="s">
        <v>32</v>
      </c>
      <c r="C207" s="99" t="s">
        <v>33</v>
      </c>
      <c r="D207" s="37">
        <v>4</v>
      </c>
      <c r="E207" s="101">
        <v>347.06</v>
      </c>
      <c r="F207" s="38">
        <f>F205</f>
        <v>47.5304</v>
      </c>
      <c r="G207" s="39">
        <f t="shared" si="39"/>
        <v>1578.36</v>
      </c>
      <c r="H207" s="270"/>
      <c r="I207" s="41"/>
      <c r="J207" s="41"/>
      <c r="K207" s="271"/>
      <c r="L207" s="272"/>
      <c r="M207" s="102"/>
      <c r="N207" s="430"/>
      <c r="O207" s="406"/>
      <c r="P207" s="406"/>
      <c r="Q207" s="407"/>
      <c r="R207" s="422"/>
      <c r="S207" s="399"/>
      <c r="T207" s="399"/>
    </row>
    <row r="208" spans="1:20" s="81" customFormat="1" ht="15" customHeight="1">
      <c r="A208" s="389"/>
      <c r="B208" s="83"/>
      <c r="C208" s="48" t="s">
        <v>190</v>
      </c>
      <c r="D208" s="37">
        <f>дек18!D195</f>
        <v>6</v>
      </c>
      <c r="E208" s="41">
        <f>347.06-330.44</f>
        <v>16.620000000000005</v>
      </c>
      <c r="F208" s="38"/>
      <c r="G208" s="39">
        <f>ROUND(D208*(E208+F208),2)</f>
        <v>99.72</v>
      </c>
      <c r="H208" s="270"/>
      <c r="I208" s="41"/>
      <c r="J208" s="41"/>
      <c r="K208" s="271"/>
      <c r="L208" s="272"/>
      <c r="M208" s="102"/>
      <c r="N208" s="430"/>
      <c r="O208" s="406"/>
      <c r="P208" s="406"/>
      <c r="Q208" s="407"/>
      <c r="R208" s="422"/>
      <c r="S208" s="399"/>
      <c r="T208" s="399"/>
    </row>
    <row r="209" spans="1:21" s="81" customFormat="1" ht="15" customHeight="1">
      <c r="A209" s="389"/>
      <c r="B209" s="83"/>
      <c r="C209" s="48" t="s">
        <v>260</v>
      </c>
      <c r="D209" s="37">
        <f>дек18!D198+дек18!D199</f>
        <v>491.18</v>
      </c>
      <c r="E209" s="41">
        <f>6.9835-7.2015</f>
        <v>-0.21799999999999997</v>
      </c>
      <c r="F209" s="38"/>
      <c r="G209" s="39">
        <f>ROUND(D209*(E209+F209),2)</f>
        <v>-107.08</v>
      </c>
      <c r="H209" s="270"/>
      <c r="I209" s="41"/>
      <c r="J209" s="41"/>
      <c r="K209" s="271"/>
      <c r="L209" s="272"/>
      <c r="M209" s="102"/>
      <c r="N209" s="430"/>
      <c r="O209" s="406"/>
      <c r="P209" s="406"/>
      <c r="Q209" s="407"/>
      <c r="R209" s="899"/>
      <c r="S209" s="399"/>
      <c r="T209" s="399"/>
    </row>
    <row r="210" spans="1:21" s="81" customFormat="1" ht="15" customHeight="1">
      <c r="A210" s="389"/>
      <c r="B210" s="83"/>
      <c r="C210" s="48" t="s">
        <v>263</v>
      </c>
      <c r="D210" s="37">
        <v>0.62</v>
      </c>
      <c r="E210" s="41">
        <v>6.9835000000000003</v>
      </c>
      <c r="F210" s="38"/>
      <c r="G210" s="39">
        <f t="shared" si="39"/>
        <v>4.33</v>
      </c>
      <c r="H210" s="432"/>
      <c r="I210" s="207"/>
      <c r="J210" s="207"/>
      <c r="K210" s="362"/>
      <c r="L210" s="433"/>
      <c r="M210" s="63"/>
      <c r="N210" s="434"/>
      <c r="O210" s="435"/>
      <c r="P210" s="435"/>
      <c r="Q210" s="425"/>
      <c r="R210" s="899"/>
      <c r="S210" s="399"/>
      <c r="T210" s="399"/>
    </row>
    <row r="211" spans="1:21" s="81" customFormat="1" ht="15" customHeight="1" thickBot="1">
      <c r="A211" s="411"/>
      <c r="B211" s="412"/>
      <c r="C211" s="99" t="s">
        <v>29</v>
      </c>
      <c r="D211" s="413">
        <v>260</v>
      </c>
      <c r="E211" s="56">
        <v>6.9835000000000003</v>
      </c>
      <c r="F211" s="281"/>
      <c r="G211" s="414">
        <f t="shared" si="39"/>
        <v>1815.71</v>
      </c>
      <c r="H211" s="280"/>
      <c r="I211" s="281"/>
      <c r="J211" s="281"/>
      <c r="K211" s="282"/>
      <c r="L211" s="204"/>
      <c r="M211" s="371"/>
      <c r="N211" s="426"/>
      <c r="O211" s="416"/>
      <c r="P211" s="416"/>
      <c r="Q211" s="417"/>
      <c r="R211" s="899"/>
      <c r="S211" s="399"/>
      <c r="T211" s="399"/>
    </row>
    <row r="212" spans="1:21" s="81" customFormat="1" ht="15.75" customHeight="1">
      <c r="A212" s="447">
        <v>211</v>
      </c>
      <c r="B212" s="903" t="s">
        <v>231</v>
      </c>
      <c r="C212" s="439" t="s">
        <v>260</v>
      </c>
      <c r="D212" s="904">
        <f>дек18!D201+дек18!D202</f>
        <v>248.6</v>
      </c>
      <c r="E212" s="23">
        <f>6.9835-7.2015</f>
        <v>-0.21799999999999997</v>
      </c>
      <c r="F212" s="905"/>
      <c r="G212" s="22">
        <f>ROUND(D212*E212,2)</f>
        <v>-54.19</v>
      </c>
      <c r="H212" s="303"/>
      <c r="I212" s="23"/>
      <c r="J212" s="23"/>
      <c r="K212" s="304"/>
      <c r="L212" s="263">
        <f>SUM(G212:G214)</f>
        <v>1744.9</v>
      </c>
      <c r="M212" s="26">
        <v>1744.9</v>
      </c>
      <c r="N212" s="421"/>
      <c r="O212" s="77"/>
      <c r="P212" s="77"/>
      <c r="Q212" s="384"/>
      <c r="R212" s="422"/>
      <c r="S212" s="399"/>
      <c r="T212" s="399"/>
    </row>
    <row r="213" spans="1:21" s="81" customFormat="1" ht="15.75" customHeight="1">
      <c r="A213" s="450"/>
      <c r="B213" s="469"/>
      <c r="C213" s="48" t="s">
        <v>263</v>
      </c>
      <c r="D213" s="471">
        <v>0.62</v>
      </c>
      <c r="E213" s="41">
        <v>6.9835000000000003</v>
      </c>
      <c r="F213" s="473"/>
      <c r="G213" s="449">
        <f>ROUND(D213*E213,2)</f>
        <v>4.33</v>
      </c>
      <c r="H213" s="260"/>
      <c r="I213" s="261"/>
      <c r="J213" s="261"/>
      <c r="K213" s="262"/>
      <c r="L213" s="286"/>
      <c r="M213" s="90"/>
      <c r="N213" s="423"/>
      <c r="O213" s="406"/>
      <c r="P213" s="406"/>
      <c r="Q213" s="407"/>
      <c r="R213" s="422"/>
      <c r="S213" s="399"/>
      <c r="T213" s="399"/>
    </row>
    <row r="214" spans="1:21" s="81" customFormat="1" ht="15.75" customHeight="1" thickBot="1">
      <c r="A214" s="451"/>
      <c r="B214" s="859"/>
      <c r="C214" s="54" t="s">
        <v>29</v>
      </c>
      <c r="D214" s="860">
        <v>257</v>
      </c>
      <c r="E214" s="56">
        <v>6.9835000000000003</v>
      </c>
      <c r="F214" s="861"/>
      <c r="G214" s="414">
        <f t="shared" ref="G214" si="40">ROUND(D214*E214,2)</f>
        <v>1794.76</v>
      </c>
      <c r="H214" s="280"/>
      <c r="I214" s="281"/>
      <c r="J214" s="207"/>
      <c r="K214" s="362"/>
      <c r="L214" s="433"/>
      <c r="M214" s="63"/>
      <c r="N214" s="426"/>
      <c r="O214" s="416"/>
      <c r="P214" s="416"/>
      <c r="Q214" s="417"/>
      <c r="R214" s="422"/>
      <c r="S214" s="399"/>
      <c r="T214" s="399"/>
    </row>
    <row r="215" spans="1:21" s="81" customFormat="1" ht="15.75" customHeight="1">
      <c r="A215" s="447">
        <v>212</v>
      </c>
      <c r="B215" s="903" t="s">
        <v>140</v>
      </c>
      <c r="C215" s="439" t="s">
        <v>260</v>
      </c>
      <c r="D215" s="904">
        <f>дек18!D204+дек18!D205</f>
        <v>555.33000000000004</v>
      </c>
      <c r="E215" s="23">
        <f>6.9835-7.2015</f>
        <v>-0.21799999999999997</v>
      </c>
      <c r="F215" s="905"/>
      <c r="G215" s="22">
        <f>ROUND(D215*E215,2)</f>
        <v>-121.06</v>
      </c>
      <c r="H215" s="303"/>
      <c r="I215" s="23"/>
      <c r="J215" s="23"/>
      <c r="K215" s="304"/>
      <c r="L215" s="263">
        <f>SUM(G215:G217)</f>
        <v>4226.1000000000004</v>
      </c>
      <c r="M215" s="26">
        <v>4226.1000000000004</v>
      </c>
      <c r="N215" s="421"/>
      <c r="O215" s="77"/>
      <c r="P215" s="77"/>
      <c r="Q215" s="384"/>
      <c r="R215" s="422"/>
      <c r="S215" s="399"/>
      <c r="T215" s="399"/>
    </row>
    <row r="216" spans="1:21" s="81" customFormat="1" ht="15.75" customHeight="1">
      <c r="A216" s="450"/>
      <c r="B216" s="469"/>
      <c r="C216" s="48" t="s">
        <v>263</v>
      </c>
      <c r="D216" s="471">
        <v>1.49</v>
      </c>
      <c r="E216" s="41">
        <v>6.9835000000000003</v>
      </c>
      <c r="F216" s="473"/>
      <c r="G216" s="449">
        <f>ROUND(D216*E216,2)</f>
        <v>10.41</v>
      </c>
      <c r="H216" s="260"/>
      <c r="I216" s="261"/>
      <c r="J216" s="261"/>
      <c r="K216" s="262"/>
      <c r="L216" s="286"/>
      <c r="M216" s="90"/>
      <c r="N216" s="423"/>
      <c r="O216" s="406"/>
      <c r="P216" s="406"/>
      <c r="Q216" s="407"/>
      <c r="R216" s="422"/>
      <c r="S216" s="399"/>
      <c r="T216" s="399"/>
    </row>
    <row r="217" spans="1:21" s="81" customFormat="1" ht="15.75" customHeight="1" thickBot="1">
      <c r="A217" s="451"/>
      <c r="B217" s="859"/>
      <c r="C217" s="54" t="s">
        <v>29</v>
      </c>
      <c r="D217" s="860">
        <v>621</v>
      </c>
      <c r="E217" s="56">
        <v>6.9835000000000003</v>
      </c>
      <c r="F217" s="861"/>
      <c r="G217" s="414">
        <f t="shared" ref="G217" si="41">ROUND(D217*E217,2)</f>
        <v>4336.75</v>
      </c>
      <c r="H217" s="280"/>
      <c r="I217" s="281"/>
      <c r="J217" s="207"/>
      <c r="K217" s="362"/>
      <c r="L217" s="433"/>
      <c r="M217" s="63"/>
      <c r="N217" s="426"/>
      <c r="O217" s="416"/>
      <c r="P217" s="416"/>
      <c r="Q217" s="417"/>
      <c r="R217" s="422"/>
      <c r="S217" s="399"/>
      <c r="T217" s="399"/>
    </row>
    <row r="218" spans="1:21" s="81" customFormat="1" ht="15.75" hidden="1" customHeight="1">
      <c r="A218" s="447">
        <v>213</v>
      </c>
      <c r="B218" s="903" t="s">
        <v>134</v>
      </c>
      <c r="C218" s="439" t="s">
        <v>260</v>
      </c>
      <c r="D218" s="904"/>
      <c r="E218" s="23">
        <f>7.0999-6.7991</f>
        <v>0.30079999999999973</v>
      </c>
      <c r="F218" s="905"/>
      <c r="G218" s="22">
        <f>ROUND(D218*E218,2)-0.01</f>
        <v>-0.01</v>
      </c>
      <c r="H218" s="303"/>
      <c r="I218" s="23"/>
      <c r="J218" s="23"/>
      <c r="K218" s="304"/>
      <c r="L218" s="263">
        <f>SUM(G218:G220)</f>
        <v>-0.01</v>
      </c>
      <c r="M218" s="26"/>
      <c r="N218" s="421"/>
      <c r="O218" s="77"/>
      <c r="P218" s="77"/>
      <c r="Q218" s="384"/>
      <c r="R218" s="422"/>
      <c r="S218" s="399"/>
      <c r="T218" s="399"/>
    </row>
    <row r="219" spans="1:21" s="81" customFormat="1" ht="15.75" hidden="1" customHeight="1">
      <c r="A219" s="450"/>
      <c r="B219" s="469"/>
      <c r="C219" s="48" t="s">
        <v>263</v>
      </c>
      <c r="D219" s="471"/>
      <c r="E219" s="41">
        <v>7.0998999999999999</v>
      </c>
      <c r="F219" s="473"/>
      <c r="G219" s="449">
        <f t="shared" ref="G219:G220" si="42">ROUND(D219*E219,2)</f>
        <v>0</v>
      </c>
      <c r="H219" s="260"/>
      <c r="I219" s="261"/>
      <c r="J219" s="261"/>
      <c r="K219" s="262"/>
      <c r="L219" s="286"/>
      <c r="M219" s="90"/>
      <c r="N219" s="423"/>
      <c r="O219" s="406"/>
      <c r="P219" s="406"/>
      <c r="Q219" s="407"/>
      <c r="R219" s="422"/>
      <c r="S219" s="399"/>
      <c r="T219" s="399"/>
    </row>
    <row r="220" spans="1:21" s="81" customFormat="1" ht="15.75" hidden="1" customHeight="1" thickBot="1">
      <c r="A220" s="451"/>
      <c r="B220" s="859"/>
      <c r="C220" s="54" t="s">
        <v>29</v>
      </c>
      <c r="D220" s="860"/>
      <c r="E220" s="56">
        <v>7.0998999999999999</v>
      </c>
      <c r="F220" s="861"/>
      <c r="G220" s="414">
        <f t="shared" si="42"/>
        <v>0</v>
      </c>
      <c r="H220" s="280"/>
      <c r="I220" s="281"/>
      <c r="J220" s="281"/>
      <c r="K220" s="282"/>
      <c r="L220" s="204"/>
      <c r="M220" s="371"/>
      <c r="N220" s="426"/>
      <c r="O220" s="416"/>
      <c r="P220" s="416"/>
      <c r="Q220" s="417"/>
      <c r="R220" s="422"/>
      <c r="S220" s="399"/>
      <c r="T220" s="399"/>
    </row>
    <row r="221" spans="1:21" s="81" customFormat="1" ht="15.75" customHeight="1">
      <c r="A221" s="447">
        <v>215</v>
      </c>
      <c r="B221" s="903" t="s">
        <v>314</v>
      </c>
      <c r="C221" s="439"/>
      <c r="D221" s="904"/>
      <c r="E221" s="23"/>
      <c r="F221" s="905"/>
      <c r="G221" s="22">
        <f>ROUND(D221*E221,2)</f>
        <v>0</v>
      </c>
      <c r="H221" s="303"/>
      <c r="I221" s="23"/>
      <c r="J221" s="23"/>
      <c r="K221" s="304"/>
      <c r="L221" s="263">
        <f>SUM(G221:G223)</f>
        <v>4534.84</v>
      </c>
      <c r="M221" s="26">
        <v>4534.84</v>
      </c>
      <c r="N221" s="421"/>
      <c r="O221" s="77"/>
      <c r="P221" s="77"/>
      <c r="Q221" s="384"/>
      <c r="R221" s="422"/>
      <c r="S221" s="399"/>
      <c r="T221" s="399"/>
    </row>
    <row r="222" spans="1:21" s="81" customFormat="1" ht="15.75" customHeight="1">
      <c r="A222" s="450"/>
      <c r="B222" s="1032" t="s">
        <v>221</v>
      </c>
      <c r="C222" s="48" t="s">
        <v>263</v>
      </c>
      <c r="D222" s="471">
        <v>1.47</v>
      </c>
      <c r="E222" s="41">
        <v>7.3681000000000001</v>
      </c>
      <c r="F222" s="473"/>
      <c r="G222" s="449">
        <f>ROUND(D222*E222,2)</f>
        <v>10.83</v>
      </c>
      <c r="H222" s="260"/>
      <c r="I222" s="261"/>
      <c r="J222" s="261"/>
      <c r="K222" s="262"/>
      <c r="L222" s="286"/>
      <c r="M222" s="90"/>
      <c r="N222" s="423"/>
      <c r="O222" s="406"/>
      <c r="P222" s="406"/>
      <c r="Q222" s="407"/>
      <c r="R222" s="422"/>
      <c r="S222" s="399"/>
      <c r="T222" s="399"/>
    </row>
    <row r="223" spans="1:21" s="81" customFormat="1" ht="15.75" customHeight="1" thickBot="1">
      <c r="A223" s="451"/>
      <c r="B223" s="859"/>
      <c r="C223" s="54" t="s">
        <v>29</v>
      </c>
      <c r="D223" s="860">
        <v>614</v>
      </c>
      <c r="E223" s="1012">
        <v>7.3681000000000001</v>
      </c>
      <c r="F223" s="861"/>
      <c r="G223" s="414">
        <f t="shared" ref="G223" si="43">ROUND(D223*E223,2)</f>
        <v>4524.01</v>
      </c>
      <c r="H223" s="280"/>
      <c r="I223" s="281"/>
      <c r="J223" s="281"/>
      <c r="K223" s="282"/>
      <c r="L223" s="204"/>
      <c r="M223" s="371"/>
      <c r="N223" s="426"/>
      <c r="O223" s="416"/>
      <c r="P223" s="416"/>
      <c r="Q223" s="417"/>
      <c r="R223" s="422"/>
      <c r="S223" s="399"/>
      <c r="T223" s="399"/>
    </row>
    <row r="224" spans="1:21" s="81" customFormat="1" ht="15" customHeight="1">
      <c r="A224" s="376">
        <v>301</v>
      </c>
      <c r="B224" s="70" t="s">
        <v>67</v>
      </c>
      <c r="C224" s="377" t="s">
        <v>243</v>
      </c>
      <c r="D224" s="378">
        <v>541</v>
      </c>
      <c r="E224" s="21">
        <v>40.556600000000003</v>
      </c>
      <c r="F224" s="21">
        <v>47.5304</v>
      </c>
      <c r="G224" s="379">
        <f>ROUND(D224*(E224+F224),2)</f>
        <v>47655.07</v>
      </c>
      <c r="H224" s="380"/>
      <c r="I224" s="381"/>
      <c r="J224" s="381"/>
      <c r="K224" s="342"/>
      <c r="L224" s="382">
        <f>+SUM(G224:G233,J224:J232)</f>
        <v>179132.06</v>
      </c>
      <c r="M224" s="26">
        <v>179132.06</v>
      </c>
      <c r="N224" s="383"/>
      <c r="O224" s="77"/>
      <c r="P224" s="77" t="s">
        <v>68</v>
      </c>
      <c r="Q224" s="384" t="e">
        <f t="shared" si="29"/>
        <v>#VALUE!</v>
      </c>
      <c r="R224" s="385" t="s">
        <v>69</v>
      </c>
      <c r="S224" s="386"/>
      <c r="T224" s="387"/>
      <c r="U224" s="388"/>
    </row>
    <row r="225" spans="1:20" s="81" customFormat="1" ht="12.75">
      <c r="A225" s="389"/>
      <c r="B225" s="83"/>
      <c r="C225" s="390" t="s">
        <v>26</v>
      </c>
      <c r="D225" s="37"/>
      <c r="E225" s="38"/>
      <c r="F225" s="38"/>
      <c r="G225" s="39">
        <f>ROUND(D225*(E225+F225),2)</f>
        <v>0</v>
      </c>
      <c r="H225" s="391"/>
      <c r="I225" s="392"/>
      <c r="J225" s="402"/>
      <c r="K225" s="393"/>
      <c r="L225" s="394"/>
      <c r="M225" s="90"/>
      <c r="N225" s="395"/>
      <c r="O225" s="94"/>
      <c r="P225" s="94"/>
      <c r="Q225" s="396"/>
      <c r="R225" s="397"/>
      <c r="S225" s="398"/>
      <c r="T225" s="399"/>
    </row>
    <row r="226" spans="1:20" s="81" customFormat="1" ht="12.75">
      <c r="A226" s="389"/>
      <c r="B226" s="98" t="s">
        <v>32</v>
      </c>
      <c r="C226" s="99" t="s">
        <v>33</v>
      </c>
      <c r="D226" s="37">
        <v>110</v>
      </c>
      <c r="E226" s="101">
        <v>347.06</v>
      </c>
      <c r="F226" s="38">
        <f>F224</f>
        <v>47.5304</v>
      </c>
      <c r="G226" s="400">
        <f>ROUND(D226*(E226+F226),2)</f>
        <v>43404.94</v>
      </c>
      <c r="H226" s="401"/>
      <c r="I226" s="402"/>
      <c r="J226" s="402"/>
      <c r="K226" s="403"/>
      <c r="L226" s="404"/>
      <c r="M226" s="102"/>
      <c r="N226" s="405"/>
      <c r="O226" s="406"/>
      <c r="P226" s="406" t="s">
        <v>68</v>
      </c>
      <c r="Q226" s="407">
        <f>+G226+J226-M226-N226-O226</f>
        <v>43404.94</v>
      </c>
      <c r="R226" s="397" t="s">
        <v>69</v>
      </c>
      <c r="S226" s="398"/>
      <c r="T226" s="399"/>
    </row>
    <row r="227" spans="1:20" s="81" customFormat="1" ht="15" customHeight="1">
      <c r="A227" s="389"/>
      <c r="B227" s="98"/>
      <c r="C227" s="84" t="s">
        <v>26</v>
      </c>
      <c r="D227" s="37">
        <f>дек18!D214</f>
        <v>82</v>
      </c>
      <c r="E227" s="41">
        <f>347.06-330.44</f>
        <v>16.620000000000005</v>
      </c>
      <c r="F227" s="38"/>
      <c r="G227" s="400">
        <f>+D227*(E227+F227)</f>
        <v>1362.8400000000004</v>
      </c>
      <c r="H227" s="401"/>
      <c r="I227" s="402"/>
      <c r="J227" s="402"/>
      <c r="K227" s="408"/>
      <c r="L227" s="404"/>
      <c r="M227" s="102"/>
      <c r="N227" s="405"/>
      <c r="O227" s="406"/>
      <c r="P227" s="406"/>
      <c r="Q227" s="407"/>
      <c r="R227" s="397"/>
      <c r="S227" s="398"/>
      <c r="T227" s="399"/>
    </row>
    <row r="228" spans="1:20" s="81" customFormat="1" ht="15" customHeight="1">
      <c r="A228" s="389"/>
      <c r="B228" s="83"/>
      <c r="C228" s="84"/>
      <c r="D228" s="37"/>
      <c r="E228" s="41"/>
      <c r="F228" s="38"/>
      <c r="G228" s="400"/>
      <c r="H228" s="401"/>
      <c r="I228" s="402"/>
      <c r="J228" s="402"/>
      <c r="K228" s="408"/>
      <c r="L228" s="404"/>
      <c r="M228" s="102"/>
      <c r="N228" s="405"/>
      <c r="O228" s="406"/>
      <c r="P228" s="406"/>
      <c r="Q228" s="407"/>
      <c r="R228" s="397"/>
      <c r="S228" s="398"/>
      <c r="T228" s="399"/>
    </row>
    <row r="229" spans="1:20" s="81" customFormat="1" ht="15" customHeight="1">
      <c r="A229" s="389"/>
      <c r="B229" s="83" t="s">
        <v>70</v>
      </c>
      <c r="C229" s="84"/>
      <c r="D229" s="37"/>
      <c r="E229" s="41"/>
      <c r="F229" s="38"/>
      <c r="G229" s="400"/>
      <c r="H229" s="401"/>
      <c r="I229" s="402"/>
      <c r="J229" s="402"/>
      <c r="K229" s="408"/>
      <c r="L229" s="404"/>
      <c r="M229" s="102"/>
      <c r="N229" s="405"/>
      <c r="O229" s="406"/>
      <c r="P229" s="406"/>
      <c r="Q229" s="407"/>
      <c r="R229" s="397"/>
      <c r="S229" s="398"/>
      <c r="T229" s="399"/>
    </row>
    <row r="230" spans="1:20" s="81" customFormat="1" ht="15" customHeight="1">
      <c r="A230" s="389"/>
      <c r="B230" s="83"/>
      <c r="C230" s="48"/>
      <c r="D230" s="37"/>
      <c r="E230" s="41"/>
      <c r="F230" s="38"/>
      <c r="G230" s="39">
        <f>ROUND(D230*(E230+F230),2)</f>
        <v>0</v>
      </c>
      <c r="H230" s="37"/>
      <c r="I230" s="409"/>
      <c r="J230" s="409"/>
      <c r="K230" s="408"/>
      <c r="L230" s="404"/>
      <c r="M230" s="102"/>
      <c r="N230" s="405"/>
      <c r="O230" s="406"/>
      <c r="P230" s="406"/>
      <c r="Q230" s="407"/>
      <c r="R230" s="397"/>
      <c r="S230" s="398"/>
      <c r="T230" s="399"/>
    </row>
    <row r="231" spans="1:20" s="81" customFormat="1" ht="15" customHeight="1">
      <c r="A231" s="389"/>
      <c r="B231" s="83"/>
      <c r="C231" s="48" t="s">
        <v>260</v>
      </c>
      <c r="D231" s="37">
        <f>дек18!D220+дек18!D221</f>
        <v>11381.25</v>
      </c>
      <c r="E231" s="41">
        <f>6.9835-7.2015</f>
        <v>-0.21799999999999997</v>
      </c>
      <c r="F231" s="38">
        <f>+E231</f>
        <v>-0.21799999999999997</v>
      </c>
      <c r="G231" s="39">
        <f>ROUND(D231*E231,2)-0.01</f>
        <v>-2481.1200000000003</v>
      </c>
      <c r="H231" s="37"/>
      <c r="I231" s="409"/>
      <c r="J231" s="409"/>
      <c r="K231" s="408"/>
      <c r="L231" s="404"/>
      <c r="M231" s="102"/>
      <c r="N231" s="405"/>
      <c r="O231" s="406"/>
      <c r="P231" s="406"/>
      <c r="Q231" s="407"/>
      <c r="R231" s="397"/>
      <c r="S231" s="398"/>
      <c r="T231" s="399"/>
    </row>
    <row r="232" spans="1:20" s="81" customFormat="1" ht="15" customHeight="1">
      <c r="A232" s="389"/>
      <c r="B232" s="83"/>
      <c r="C232" s="48" t="s">
        <v>263</v>
      </c>
      <c r="D232" s="37">
        <f>28.9+1.68</f>
        <v>30.58</v>
      </c>
      <c r="E232" s="41">
        <v>6.9835000000000003</v>
      </c>
      <c r="F232" s="41">
        <f>+E232</f>
        <v>6.9835000000000003</v>
      </c>
      <c r="G232" s="39">
        <f>ROUND(D232*E232,2)</f>
        <v>213.56</v>
      </c>
      <c r="H232" s="37"/>
      <c r="I232" s="409"/>
      <c r="J232" s="409"/>
      <c r="K232" s="410"/>
      <c r="L232" s="404"/>
      <c r="M232" s="102"/>
      <c r="N232" s="405"/>
      <c r="O232" s="406"/>
      <c r="P232" s="406"/>
      <c r="Q232" s="407"/>
      <c r="R232" s="397"/>
      <c r="S232" s="398"/>
      <c r="T232" s="399"/>
    </row>
    <row r="233" spans="1:20" s="81" customFormat="1" ht="15.75" customHeight="1" thickBot="1">
      <c r="A233" s="411"/>
      <c r="B233" s="412"/>
      <c r="C233" s="99" t="s">
        <v>29</v>
      </c>
      <c r="D233" s="413">
        <f>12040+701</f>
        <v>12741</v>
      </c>
      <c r="E233" s="56">
        <v>6.9835000000000003</v>
      </c>
      <c r="F233" s="41">
        <f>+E233</f>
        <v>6.9835000000000003</v>
      </c>
      <c r="G233" s="414">
        <f>ROUND(D233*E233,2)</f>
        <v>88976.77</v>
      </c>
      <c r="H233" s="248"/>
      <c r="I233" s="60"/>
      <c r="J233" s="60"/>
      <c r="K233" s="203"/>
      <c r="L233" s="204"/>
      <c r="M233" s="371"/>
      <c r="N233" s="415"/>
      <c r="O233" s="416"/>
      <c r="P233" s="416" t="s">
        <v>68</v>
      </c>
      <c r="Q233" s="417">
        <f>+G233+J233-M233-N233-O233</f>
        <v>88976.77</v>
      </c>
      <c r="R233" s="418" t="s">
        <v>69</v>
      </c>
      <c r="S233" s="419">
        <f>SUM(O224:O233)</f>
        <v>0</v>
      </c>
      <c r="T233" s="419" t="e">
        <f>SUM(Q224:Q233)</f>
        <v>#VALUE!</v>
      </c>
    </row>
    <row r="234" spans="1:20" s="81" customFormat="1" ht="15.75" customHeight="1">
      <c r="A234" s="902">
        <v>303</v>
      </c>
      <c r="B234" s="903" t="s">
        <v>227</v>
      </c>
      <c r="C234" s="439" t="s">
        <v>260</v>
      </c>
      <c r="D234" s="904">
        <f>дек18!D223+дек18!D224</f>
        <v>574.38</v>
      </c>
      <c r="E234" s="23">
        <f>6.9835-7.2015</f>
        <v>-0.21799999999999997</v>
      </c>
      <c r="F234" s="905"/>
      <c r="G234" s="22">
        <f>ROUND(D234*E234,2)-0.01</f>
        <v>-125.22</v>
      </c>
      <c r="H234" s="303"/>
      <c r="I234" s="23"/>
      <c r="J234" s="23"/>
      <c r="K234" s="304"/>
      <c r="L234" s="263">
        <f>SUM(G234:G236)</f>
        <v>3150.88</v>
      </c>
      <c r="M234" s="26">
        <v>3150.88</v>
      </c>
      <c r="N234" s="421"/>
      <c r="O234" s="77"/>
      <c r="P234" s="77"/>
      <c r="Q234" s="384"/>
      <c r="R234" s="422"/>
      <c r="S234" s="399"/>
      <c r="T234" s="399"/>
    </row>
    <row r="235" spans="1:20" s="81" customFormat="1" ht="15.75" customHeight="1">
      <c r="A235" s="468"/>
      <c r="B235" s="469"/>
      <c r="C235" s="48" t="s">
        <v>263</v>
      </c>
      <c r="D235" s="471">
        <v>1.1200000000000001</v>
      </c>
      <c r="E235" s="41">
        <v>6.9835000000000003</v>
      </c>
      <c r="F235" s="473"/>
      <c r="G235" s="449">
        <f>ROUND(D235*E235,2)</f>
        <v>7.82</v>
      </c>
      <c r="H235" s="260"/>
      <c r="I235" s="261"/>
      <c r="J235" s="261"/>
      <c r="K235" s="262"/>
      <c r="L235" s="286"/>
      <c r="M235" s="90"/>
      <c r="N235" s="423"/>
      <c r="O235" s="406"/>
      <c r="P235" s="406"/>
      <c r="Q235" s="407"/>
      <c r="R235" s="422"/>
      <c r="S235" s="399"/>
      <c r="T235" s="399"/>
    </row>
    <row r="236" spans="1:20" s="81" customFormat="1" ht="15.75" customHeight="1" thickBot="1">
      <c r="A236" s="858"/>
      <c r="B236" s="859"/>
      <c r="C236" s="54" t="s">
        <v>29</v>
      </c>
      <c r="D236" s="860">
        <v>468</v>
      </c>
      <c r="E236" s="56">
        <v>6.9835000000000003</v>
      </c>
      <c r="F236" s="861"/>
      <c r="G236" s="414">
        <f t="shared" ref="G236" si="44">ROUND(D236*E236,2)</f>
        <v>3268.28</v>
      </c>
      <c r="H236" s="280"/>
      <c r="I236" s="281"/>
      <c r="J236" s="281"/>
      <c r="K236" s="282"/>
      <c r="L236" s="204"/>
      <c r="M236" s="371"/>
      <c r="N236" s="426"/>
      <c r="O236" s="416"/>
      <c r="P236" s="416"/>
      <c r="Q236" s="417"/>
      <c r="R236" s="422"/>
      <c r="S236" s="399"/>
      <c r="T236" s="399"/>
    </row>
    <row r="237" spans="1:20" s="81" customFormat="1" ht="15" customHeight="1">
      <c r="A237" s="437">
        <v>304</v>
      </c>
      <c r="B237" s="438" t="s">
        <v>83</v>
      </c>
      <c r="C237" s="377" t="s">
        <v>73</v>
      </c>
      <c r="D237" s="378">
        <v>1</v>
      </c>
      <c r="E237" s="21">
        <v>40.556600000000003</v>
      </c>
      <c r="F237" s="21">
        <v>47.5304</v>
      </c>
      <c r="G237" s="22">
        <f>+D237*(E237+F237)</f>
        <v>88.087000000000003</v>
      </c>
      <c r="H237" s="303"/>
      <c r="I237" s="381"/>
      <c r="J237" s="381"/>
      <c r="K237" s="342"/>
      <c r="L237" s="263">
        <f>SUM(G237:G241,J237:J241)</f>
        <v>452.99700000000001</v>
      </c>
      <c r="M237" s="26">
        <v>453</v>
      </c>
      <c r="N237" s="421"/>
      <c r="O237" s="77"/>
      <c r="P237" s="77"/>
      <c r="Q237" s="384"/>
      <c r="R237" s="899"/>
      <c r="S237" s="399"/>
      <c r="T237" s="399"/>
    </row>
    <row r="238" spans="1:20" s="81" customFormat="1" ht="15" customHeight="1">
      <c r="A238" s="441"/>
      <c r="B238" s="442"/>
      <c r="C238" s="36" t="s">
        <v>26</v>
      </c>
      <c r="D238" s="37"/>
      <c r="E238" s="38"/>
      <c r="F238" s="38"/>
      <c r="G238" s="39">
        <f>ROUND(D238*(E238+F238),2)</f>
        <v>0</v>
      </c>
      <c r="H238" s="457"/>
      <c r="I238" s="392"/>
      <c r="J238" s="402"/>
      <c r="K238" s="393"/>
      <c r="L238" s="459"/>
      <c r="M238" s="44"/>
      <c r="N238" s="430"/>
      <c r="O238" s="435"/>
      <c r="P238" s="435"/>
      <c r="Q238" s="425"/>
      <c r="R238" s="422"/>
      <c r="S238" s="399"/>
      <c r="T238" s="399"/>
    </row>
    <row r="239" spans="1:20" s="81" customFormat="1" ht="15" customHeight="1">
      <c r="A239" s="441"/>
      <c r="B239" s="442"/>
      <c r="C239" s="48" t="s">
        <v>260</v>
      </c>
      <c r="D239" s="37">
        <f>дек18!D228+дек18!D229</f>
        <v>60.14</v>
      </c>
      <c r="E239" s="41">
        <f>6.9835-7.2015</f>
        <v>-0.21799999999999997</v>
      </c>
      <c r="F239" s="38"/>
      <c r="G239" s="39">
        <f>ROUND(D239*(E239),2)</f>
        <v>-13.11</v>
      </c>
      <c r="H239" s="270"/>
      <c r="I239" s="41"/>
      <c r="J239" s="41"/>
      <c r="K239" s="271"/>
      <c r="L239" s="272"/>
      <c r="M239" s="102"/>
      <c r="N239" s="430"/>
      <c r="O239" s="435"/>
      <c r="P239" s="435"/>
      <c r="Q239" s="425"/>
      <c r="R239" s="422"/>
      <c r="S239" s="399"/>
      <c r="T239" s="399"/>
    </row>
    <row r="240" spans="1:20" s="81" customFormat="1" ht="15" customHeight="1">
      <c r="A240" s="441"/>
      <c r="B240" s="442"/>
      <c r="C240" s="48" t="s">
        <v>263</v>
      </c>
      <c r="D240" s="37">
        <v>0.13</v>
      </c>
      <c r="E240" s="41">
        <v>6.9835000000000003</v>
      </c>
      <c r="F240" s="38"/>
      <c r="G240" s="39">
        <f>ROUND(D240*(E240),2)</f>
        <v>0.91</v>
      </c>
      <c r="H240" s="270"/>
      <c r="I240" s="41"/>
      <c r="J240" s="41"/>
      <c r="K240" s="271"/>
      <c r="L240" s="272"/>
      <c r="M240" s="102"/>
      <c r="N240" s="434"/>
      <c r="O240" s="435"/>
      <c r="P240" s="435"/>
      <c r="Q240" s="425"/>
      <c r="R240" s="422"/>
      <c r="S240" s="399"/>
      <c r="T240" s="399"/>
    </row>
    <row r="241" spans="1:20" s="81" customFormat="1" ht="15.75" customHeight="1" thickBot="1">
      <c r="A241" s="445"/>
      <c r="B241" s="446"/>
      <c r="C241" s="54" t="s">
        <v>29</v>
      </c>
      <c r="D241" s="413">
        <v>54</v>
      </c>
      <c r="E241" s="56">
        <v>6.9835000000000003</v>
      </c>
      <c r="F241" s="281"/>
      <c r="G241" s="414">
        <f>ROUND(D241*(E241),2)</f>
        <v>377.11</v>
      </c>
      <c r="H241" s="280"/>
      <c r="I241" s="281"/>
      <c r="J241" s="281"/>
      <c r="K241" s="282"/>
      <c r="L241" s="204"/>
      <c r="M241" s="371"/>
      <c r="N241" s="426"/>
      <c r="O241" s="416"/>
      <c r="P241" s="416"/>
      <c r="Q241" s="417"/>
      <c r="R241" s="422"/>
      <c r="S241" s="399"/>
      <c r="T241" s="399"/>
    </row>
    <row r="242" spans="1:20" s="81" customFormat="1" ht="15" customHeight="1">
      <c r="A242" s="437">
        <v>305</v>
      </c>
      <c r="B242" s="438" t="s">
        <v>298</v>
      </c>
      <c r="C242" s="377" t="s">
        <v>73</v>
      </c>
      <c r="D242" s="378">
        <v>34</v>
      </c>
      <c r="E242" s="21">
        <v>40.556600000000003</v>
      </c>
      <c r="F242" s="21">
        <v>47.5304</v>
      </c>
      <c r="G242" s="22">
        <f>+D242*(E242+F242)</f>
        <v>2994.9580000000001</v>
      </c>
      <c r="H242" s="303"/>
      <c r="I242" s="381"/>
      <c r="J242" s="381"/>
      <c r="K242" s="342"/>
      <c r="L242" s="263">
        <f>SUM(G242:G246,J242:J246)</f>
        <v>19564.708000000002</v>
      </c>
      <c r="M242" s="26">
        <v>19564.71</v>
      </c>
      <c r="N242" s="421"/>
      <c r="O242" s="77"/>
      <c r="P242" s="77"/>
      <c r="Q242" s="384"/>
      <c r="R242" s="899"/>
      <c r="S242" s="399"/>
      <c r="T242" s="399"/>
    </row>
    <row r="243" spans="1:20" s="81" customFormat="1" ht="15" customHeight="1">
      <c r="A243" s="441"/>
      <c r="B243" s="442"/>
      <c r="C243" s="36" t="s">
        <v>26</v>
      </c>
      <c r="D243" s="37"/>
      <c r="E243" s="38"/>
      <c r="F243" s="38"/>
      <c r="G243" s="39">
        <f>ROUND(D243*(E243+F243),2)</f>
        <v>0</v>
      </c>
      <c r="H243" s="457"/>
      <c r="I243" s="392"/>
      <c r="J243" s="402"/>
      <c r="K243" s="393"/>
      <c r="L243" s="459"/>
      <c r="M243" s="44"/>
      <c r="N243" s="430"/>
      <c r="O243" s="435"/>
      <c r="P243" s="435"/>
      <c r="Q243" s="425"/>
      <c r="R243" s="422"/>
      <c r="S243" s="399"/>
      <c r="T243" s="399"/>
    </row>
    <row r="244" spans="1:20" s="81" customFormat="1" ht="15" customHeight="1">
      <c r="A244" s="441"/>
      <c r="B244" s="442"/>
      <c r="C244" s="48" t="s">
        <v>260</v>
      </c>
      <c r="D244" s="37">
        <f>дек18!D233+дек18!D234</f>
        <v>2344.62</v>
      </c>
      <c r="E244" s="41">
        <f>6.9835-7.2015</f>
        <v>-0.21799999999999997</v>
      </c>
      <c r="F244" s="38"/>
      <c r="G244" s="39">
        <f>ROUND(D244*(E244),2)+0.01</f>
        <v>-511.12</v>
      </c>
      <c r="H244" s="270"/>
      <c r="I244" s="41"/>
      <c r="J244" s="41"/>
      <c r="K244" s="271"/>
      <c r="L244" s="272"/>
      <c r="M244" s="102"/>
      <c r="N244" s="430"/>
      <c r="O244" s="435"/>
      <c r="P244" s="435"/>
      <c r="Q244" s="425"/>
      <c r="R244" s="422"/>
      <c r="S244" s="399"/>
      <c r="T244" s="399"/>
    </row>
    <row r="245" spans="1:20" s="81" customFormat="1" ht="15" customHeight="1">
      <c r="A245" s="441"/>
      <c r="B245" s="442"/>
      <c r="C245" s="48" t="s">
        <v>263</v>
      </c>
      <c r="D245" s="37">
        <f>4.55+1.14+0.2</f>
        <v>5.89</v>
      </c>
      <c r="E245" s="41">
        <v>6.9835000000000003</v>
      </c>
      <c r="F245" s="38"/>
      <c r="G245" s="39">
        <f>ROUND(D245*(E245),2)</f>
        <v>41.13</v>
      </c>
      <c r="H245" s="270"/>
      <c r="I245" s="41"/>
      <c r="J245" s="41"/>
      <c r="K245" s="271"/>
      <c r="L245" s="272"/>
      <c r="M245" s="102"/>
      <c r="N245" s="434"/>
      <c r="O245" s="435"/>
      <c r="P245" s="435"/>
      <c r="Q245" s="425"/>
      <c r="R245" s="422"/>
      <c r="S245" s="399"/>
      <c r="T245" s="399"/>
    </row>
    <row r="246" spans="1:20" s="81" customFormat="1" ht="15.75" customHeight="1" thickBot="1">
      <c r="A246" s="445"/>
      <c r="B246" s="446"/>
      <c r="C246" s="54" t="s">
        <v>29</v>
      </c>
      <c r="D246" s="413">
        <f>1894+474+72</f>
        <v>2440</v>
      </c>
      <c r="E246" s="56">
        <v>6.9835000000000003</v>
      </c>
      <c r="F246" s="281"/>
      <c r="G246" s="414">
        <f>ROUND(D246*(E246),2)</f>
        <v>17039.740000000002</v>
      </c>
      <c r="H246" s="280"/>
      <c r="I246" s="281"/>
      <c r="J246" s="281"/>
      <c r="K246" s="282"/>
      <c r="L246" s="204"/>
      <c r="M246" s="371"/>
      <c r="N246" s="426"/>
      <c r="O246" s="416"/>
      <c r="P246" s="416"/>
      <c r="Q246" s="417"/>
      <c r="R246" s="422"/>
      <c r="S246" s="399"/>
      <c r="T246" s="399"/>
    </row>
    <row r="247" spans="1:20" s="81" customFormat="1" ht="15" customHeight="1">
      <c r="A247" s="447">
        <v>400</v>
      </c>
      <c r="B247" s="903" t="s">
        <v>238</v>
      </c>
      <c r="C247" s="377" t="s">
        <v>73</v>
      </c>
      <c r="D247" s="378">
        <v>10</v>
      </c>
      <c r="E247" s="21">
        <v>40.556600000000003</v>
      </c>
      <c r="F247" s="21">
        <v>47.5304</v>
      </c>
      <c r="G247" s="22">
        <f>+D247*(E247+F247)</f>
        <v>880.87</v>
      </c>
      <c r="H247" s="303"/>
      <c r="I247" s="381"/>
      <c r="J247" s="381"/>
      <c r="K247" s="342"/>
      <c r="L247" s="263">
        <f>SUM(G247:G251,J247:J251)</f>
        <v>52699.950000000004</v>
      </c>
      <c r="M247" s="26">
        <v>52699.95</v>
      </c>
      <c r="N247" s="421"/>
      <c r="O247" s="77"/>
      <c r="P247" s="77"/>
      <c r="Q247" s="384"/>
      <c r="R247" s="899"/>
      <c r="S247" s="399"/>
      <c r="T247" s="399"/>
    </row>
    <row r="248" spans="1:20" s="81" customFormat="1" ht="15" customHeight="1" thickBot="1">
      <c r="A248" s="450"/>
      <c r="B248" s="469"/>
      <c r="C248" s="36" t="s">
        <v>26</v>
      </c>
      <c r="D248" s="37"/>
      <c r="E248" s="38"/>
      <c r="F248" s="38"/>
      <c r="G248" s="39">
        <f>ROUND(D248*(E248+F248),2)</f>
        <v>0</v>
      </c>
      <c r="H248" s="457"/>
      <c r="I248" s="392"/>
      <c r="J248" s="402"/>
      <c r="K248" s="393"/>
      <c r="L248" s="459"/>
      <c r="M248" s="44"/>
      <c r="N248" s="430"/>
      <c r="O248" s="435"/>
      <c r="P248" s="435"/>
      <c r="Q248" s="425"/>
      <c r="R248" s="422"/>
      <c r="S248" s="399"/>
      <c r="T248" s="399"/>
    </row>
    <row r="249" spans="1:20" s="81" customFormat="1" ht="15.75" customHeight="1">
      <c r="A249" s="984"/>
      <c r="C249" s="439" t="s">
        <v>260</v>
      </c>
      <c r="D249" s="904">
        <f>дек18!D238+дек18!D239</f>
        <v>7756.57</v>
      </c>
      <c r="E249" s="23">
        <f>6.9835-7.2015</f>
        <v>-0.21799999999999997</v>
      </c>
      <c r="F249" s="905"/>
      <c r="G249" s="22">
        <f>ROUND(D249*E249,2)-0.01</f>
        <v>-1690.94</v>
      </c>
      <c r="H249" s="303"/>
      <c r="I249" s="23"/>
      <c r="J249" s="23"/>
      <c r="K249" s="304"/>
      <c r="L249" s="263"/>
      <c r="M249" s="26"/>
      <c r="N249" s="421"/>
      <c r="O249" s="77"/>
      <c r="P249" s="77"/>
      <c r="Q249" s="384"/>
      <c r="R249" s="422"/>
      <c r="S249" s="399"/>
      <c r="T249" s="399"/>
    </row>
    <row r="250" spans="1:20" s="81" customFormat="1" ht="15.75" customHeight="1">
      <c r="A250" s="450"/>
      <c r="B250" s="469"/>
      <c r="C250" s="48" t="s">
        <v>263</v>
      </c>
      <c r="D250" s="471">
        <f>13.42+2.21+2.72</f>
        <v>18.349999999999998</v>
      </c>
      <c r="E250" s="41">
        <v>6.9835000000000003</v>
      </c>
      <c r="F250" s="473"/>
      <c r="G250" s="449">
        <f>ROUND(D250*E250,2)</f>
        <v>128.15</v>
      </c>
      <c r="H250" s="260"/>
      <c r="I250" s="261"/>
      <c r="J250" s="261"/>
      <c r="K250" s="262"/>
      <c r="L250" s="286"/>
      <c r="M250" s="90"/>
      <c r="N250" s="423"/>
      <c r="O250" s="406"/>
      <c r="P250" s="406"/>
      <c r="Q250" s="407"/>
      <c r="R250" s="422"/>
      <c r="S250" s="399"/>
      <c r="T250" s="399"/>
    </row>
    <row r="251" spans="1:20" s="81" customFormat="1" ht="15.75" customHeight="1" thickBot="1">
      <c r="A251" s="451"/>
      <c r="B251" s="859"/>
      <c r="C251" s="54" t="s">
        <v>29</v>
      </c>
      <c r="D251" s="860">
        <f>5592+920+1132</f>
        <v>7644</v>
      </c>
      <c r="E251" s="56">
        <v>6.9835000000000003</v>
      </c>
      <c r="F251" s="861"/>
      <c r="G251" s="414">
        <f t="shared" ref="G251" si="45">ROUND(D251*E251,2)</f>
        <v>53381.87</v>
      </c>
      <c r="H251" s="280"/>
      <c r="I251" s="281"/>
      <c r="J251" s="281"/>
      <c r="K251" s="282"/>
      <c r="L251" s="204"/>
      <c r="M251" s="371"/>
      <c r="N251" s="426"/>
      <c r="O251" s="416"/>
      <c r="P251" s="416"/>
      <c r="Q251" s="417"/>
      <c r="R251" s="422"/>
      <c r="S251" s="399"/>
      <c r="T251" s="399"/>
    </row>
    <row r="252" spans="1:20" s="81" customFormat="1" ht="15" customHeight="1">
      <c r="A252" s="437">
        <v>402</v>
      </c>
      <c r="B252" s="438" t="s">
        <v>122</v>
      </c>
      <c r="C252" s="439"/>
      <c r="D252" s="378"/>
      <c r="E252" s="23"/>
      <c r="F252" s="23"/>
      <c r="G252" s="22"/>
      <c r="H252" s="303"/>
      <c r="I252" s="23"/>
      <c r="J252" s="23"/>
      <c r="K252" s="304"/>
      <c r="L252" s="382">
        <f>+SUM(G252:G255,J252:J255)</f>
        <v>1986.8000000000002</v>
      </c>
      <c r="M252" s="26">
        <v>1986.8</v>
      </c>
      <c r="N252" s="421"/>
      <c r="O252" s="77"/>
      <c r="P252" s="77"/>
      <c r="Q252" s="384"/>
      <c r="R252" s="899"/>
      <c r="S252" s="399"/>
      <c r="T252" s="399"/>
    </row>
    <row r="253" spans="1:20" s="81" customFormat="1" ht="15" customHeight="1" thickBot="1">
      <c r="A253" s="441"/>
      <c r="B253" s="442"/>
      <c r="C253" s="48" t="s">
        <v>260</v>
      </c>
      <c r="D253" s="37">
        <f>дек18!D242+дек18!D243</f>
        <v>294.70999999999998</v>
      </c>
      <c r="E253" s="41">
        <f>6.9835-7.2015</f>
        <v>-0.21799999999999997</v>
      </c>
      <c r="F253" s="41"/>
      <c r="G253" s="414">
        <f>ROUND(D253*E253,2)-0.01</f>
        <v>-64.260000000000005</v>
      </c>
      <c r="H253" s="260"/>
      <c r="I253" s="261"/>
      <c r="J253" s="261"/>
      <c r="K253" s="262"/>
      <c r="L253" s="394"/>
      <c r="M253" s="90"/>
      <c r="N253" s="443"/>
      <c r="O253" s="94"/>
      <c r="P253" s="94"/>
      <c r="Q253" s="396"/>
      <c r="R253" s="899"/>
      <c r="S253" s="399"/>
      <c r="T253" s="399"/>
    </row>
    <row r="254" spans="1:20" s="81" customFormat="1" ht="15" customHeight="1" thickBot="1">
      <c r="A254" s="441"/>
      <c r="B254" s="444"/>
      <c r="C254" s="48" t="s">
        <v>263</v>
      </c>
      <c r="D254" s="37">
        <f>0.54+0.16</f>
        <v>0.70000000000000007</v>
      </c>
      <c r="E254" s="41">
        <v>6.9835000000000003</v>
      </c>
      <c r="F254" s="41"/>
      <c r="G254" s="414">
        <f>ROUND(D254*E254,2)</f>
        <v>4.8899999999999997</v>
      </c>
      <c r="H254" s="432"/>
      <c r="I254" s="207"/>
      <c r="J254" s="207"/>
      <c r="K254" s="362"/>
      <c r="L254" s="433"/>
      <c r="M254" s="63"/>
      <c r="N254" s="423"/>
      <c r="O254" s="406"/>
      <c r="P254" s="406"/>
      <c r="Q254" s="407"/>
      <c r="R254" s="899"/>
      <c r="S254" s="399"/>
      <c r="T254" s="399"/>
    </row>
    <row r="255" spans="1:20" s="81" customFormat="1" ht="15" customHeight="1" thickBot="1">
      <c r="A255" s="445"/>
      <c r="B255" s="446"/>
      <c r="C255" s="99" t="s">
        <v>29</v>
      </c>
      <c r="D255" s="413">
        <f>225+68</f>
        <v>293</v>
      </c>
      <c r="E255" s="56">
        <v>6.9835000000000003</v>
      </c>
      <c r="F255" s="281"/>
      <c r="G255" s="414">
        <f>ROUND(D255*E255,2)</f>
        <v>2046.17</v>
      </c>
      <c r="H255" s="280"/>
      <c r="I255" s="281"/>
      <c r="J255" s="281"/>
      <c r="K255" s="282"/>
      <c r="L255" s="204"/>
      <c r="M255" s="371"/>
      <c r="N255" s="434"/>
      <c r="O255" s="435"/>
      <c r="P255" s="435"/>
      <c r="Q255" s="425"/>
      <c r="R255" s="899"/>
      <c r="S255" s="399"/>
      <c r="T255" s="399"/>
    </row>
    <row r="256" spans="1:20" s="81" customFormat="1" ht="15.75" customHeight="1">
      <c r="A256" s="447">
        <v>403</v>
      </c>
      <c r="B256" s="438" t="s">
        <v>126</v>
      </c>
      <c r="C256" s="439" t="s">
        <v>260</v>
      </c>
      <c r="D256" s="900">
        <f>дек18!D245+дек18!D246</f>
        <v>131.31</v>
      </c>
      <c r="E256" s="23">
        <f>6.9835-7.2015</f>
        <v>-0.21799999999999997</v>
      </c>
      <c r="F256" s="23"/>
      <c r="G256" s="22">
        <f>ROUND(D256*E256,2)</f>
        <v>-28.63</v>
      </c>
      <c r="H256" s="303"/>
      <c r="I256" s="23"/>
      <c r="J256" s="23"/>
      <c r="K256" s="304"/>
      <c r="L256" s="263">
        <f>SUM(G256:G258)</f>
        <v>804.43999999999994</v>
      </c>
      <c r="M256" s="26">
        <v>804.44</v>
      </c>
      <c r="N256" s="421"/>
      <c r="O256" s="77"/>
      <c r="P256" s="77"/>
      <c r="Q256" s="384"/>
      <c r="R256" s="422"/>
      <c r="S256" s="399"/>
      <c r="T256" s="399"/>
    </row>
    <row r="257" spans="1:20" s="81" customFormat="1" ht="15.75" customHeight="1">
      <c r="A257" s="450"/>
      <c r="B257" s="442"/>
      <c r="C257" s="48" t="s">
        <v>263</v>
      </c>
      <c r="D257" s="448">
        <v>0.28999999999999998</v>
      </c>
      <c r="E257" s="41">
        <v>6.9835000000000003</v>
      </c>
      <c r="F257" s="261"/>
      <c r="G257" s="449">
        <f t="shared" ref="G257:G258" si="46">ROUND(D257*E257,2)</f>
        <v>2.0299999999999998</v>
      </c>
      <c r="H257" s="260"/>
      <c r="I257" s="261"/>
      <c r="J257" s="261"/>
      <c r="K257" s="262"/>
      <c r="L257" s="286"/>
      <c r="M257" s="90"/>
      <c r="N257" s="423"/>
      <c r="O257" s="406"/>
      <c r="P257" s="406"/>
      <c r="Q257" s="407"/>
      <c r="R257" s="422"/>
      <c r="S257" s="399"/>
      <c r="T257" s="399"/>
    </row>
    <row r="258" spans="1:20" s="81" customFormat="1" ht="15.75" customHeight="1" thickBot="1">
      <c r="A258" s="451"/>
      <c r="B258" s="446"/>
      <c r="C258" s="54" t="s">
        <v>29</v>
      </c>
      <c r="D258" s="901">
        <v>119</v>
      </c>
      <c r="E258" s="56">
        <v>6.9835000000000003</v>
      </c>
      <c r="F258" s="281"/>
      <c r="G258" s="414">
        <f t="shared" si="46"/>
        <v>831.04</v>
      </c>
      <c r="H258" s="280"/>
      <c r="I258" s="281"/>
      <c r="J258" s="281"/>
      <c r="K258" s="282"/>
      <c r="L258" s="204"/>
      <c r="M258" s="371"/>
      <c r="N258" s="426"/>
      <c r="O258" s="416"/>
      <c r="P258" s="416"/>
      <c r="Q258" s="417"/>
      <c r="R258" s="422"/>
      <c r="S258" s="399"/>
      <c r="T258" s="399"/>
    </row>
    <row r="259" spans="1:20" s="81" customFormat="1" ht="15.75" customHeight="1">
      <c r="A259" s="906">
        <v>404</v>
      </c>
      <c r="B259" s="903" t="s">
        <v>191</v>
      </c>
      <c r="C259" s="48" t="s">
        <v>260</v>
      </c>
      <c r="D259" s="471">
        <f>дек18!D248+дек18!D249</f>
        <v>362.87</v>
      </c>
      <c r="E259" s="41">
        <f>6.9835-7.2015</f>
        <v>-0.21799999999999997</v>
      </c>
      <c r="F259" s="473"/>
      <c r="G259" s="862">
        <f>ROUND(D259*E259,2)+0.01</f>
        <v>-79.099999999999994</v>
      </c>
      <c r="H259" s="270"/>
      <c r="I259" s="41"/>
      <c r="J259" s="41"/>
      <c r="K259" s="271"/>
      <c r="L259" s="263">
        <f>SUM(G259:G261)</f>
        <v>2623.02</v>
      </c>
      <c r="M259" s="878">
        <v>2623.02</v>
      </c>
      <c r="N259" s="421"/>
      <c r="O259" s="406"/>
      <c r="P259" s="406"/>
      <c r="Q259" s="407"/>
      <c r="R259" s="422"/>
      <c r="S259" s="399"/>
      <c r="T259" s="399"/>
    </row>
    <row r="260" spans="1:20" s="81" customFormat="1" ht="15.75" customHeight="1">
      <c r="A260" s="468"/>
      <c r="B260" s="469"/>
      <c r="C260" s="48" t="s">
        <v>263</v>
      </c>
      <c r="D260" s="471">
        <v>0.93</v>
      </c>
      <c r="E260" s="41">
        <v>6.9835000000000003</v>
      </c>
      <c r="F260" s="473"/>
      <c r="G260" s="862">
        <f>ROUND(D260*E260,2)</f>
        <v>6.49</v>
      </c>
      <c r="H260" s="270"/>
      <c r="I260" s="41"/>
      <c r="J260" s="41"/>
      <c r="K260" s="271"/>
      <c r="L260" s="272"/>
      <c r="M260" s="878"/>
      <c r="N260" s="423"/>
      <c r="O260" s="406"/>
      <c r="P260" s="406"/>
      <c r="Q260" s="407"/>
      <c r="R260" s="422"/>
      <c r="S260" s="399"/>
      <c r="T260" s="399"/>
    </row>
    <row r="261" spans="1:20" s="81" customFormat="1" ht="15.75" customHeight="1" thickBot="1">
      <c r="A261" s="858"/>
      <c r="B261" s="859"/>
      <c r="C261" s="54" t="s">
        <v>29</v>
      </c>
      <c r="D261" s="860">
        <v>386</v>
      </c>
      <c r="E261" s="56">
        <v>6.9835000000000003</v>
      </c>
      <c r="F261" s="861"/>
      <c r="G261" s="866">
        <f t="shared" ref="G261" si="47">ROUND(D261*E261,2)</f>
        <v>2695.63</v>
      </c>
      <c r="H261" s="280"/>
      <c r="I261" s="281"/>
      <c r="J261" s="281"/>
      <c r="K261" s="282"/>
      <c r="L261" s="204"/>
      <c r="M261" s="880"/>
      <c r="N261" s="426"/>
      <c r="O261" s="416"/>
      <c r="P261" s="416"/>
      <c r="Q261" s="417"/>
      <c r="R261" s="422"/>
      <c r="S261" s="399"/>
      <c r="T261" s="399"/>
    </row>
    <row r="262" spans="1:20" s="81" customFormat="1" ht="15.75" customHeight="1">
      <c r="A262" s="902">
        <v>405</v>
      </c>
      <c r="B262" s="903" t="s">
        <v>147</v>
      </c>
      <c r="C262" s="439" t="s">
        <v>260</v>
      </c>
      <c r="D262" s="904">
        <f>дек18!D251+дек18!D252</f>
        <v>132.32</v>
      </c>
      <c r="E262" s="23">
        <f>6.9835-7.2015</f>
        <v>-0.21799999999999997</v>
      </c>
      <c r="F262" s="905"/>
      <c r="G262" s="22">
        <f>ROUND(D262*E262,2)+0.01</f>
        <v>-28.84</v>
      </c>
      <c r="H262" s="303"/>
      <c r="I262" s="261"/>
      <c r="J262" s="261"/>
      <c r="K262" s="262"/>
      <c r="L262" s="286">
        <f>SUM(G262:G264)</f>
        <v>1007.2299999999999</v>
      </c>
      <c r="M262" s="90">
        <v>1007.23</v>
      </c>
      <c r="N262" s="421"/>
      <c r="O262" s="77"/>
      <c r="P262" s="77"/>
      <c r="Q262" s="384"/>
      <c r="R262" s="422"/>
      <c r="S262" s="399"/>
      <c r="T262" s="399"/>
    </row>
    <row r="263" spans="1:20" s="81" customFormat="1" ht="15.75" customHeight="1">
      <c r="A263" s="468"/>
      <c r="B263" s="469"/>
      <c r="C263" s="48" t="s">
        <v>263</v>
      </c>
      <c r="D263" s="471">
        <v>0.36</v>
      </c>
      <c r="E263" s="41">
        <v>6.9835000000000003</v>
      </c>
      <c r="F263" s="473"/>
      <c r="G263" s="449">
        <f>ROUND(D263*E263,2)</f>
        <v>2.5099999999999998</v>
      </c>
      <c r="H263" s="260"/>
      <c r="I263" s="261"/>
      <c r="J263" s="261"/>
      <c r="K263" s="262"/>
      <c r="L263" s="286"/>
      <c r="M263" s="90"/>
      <c r="N263" s="423"/>
      <c r="O263" s="406"/>
      <c r="P263" s="406"/>
      <c r="Q263" s="407"/>
      <c r="R263" s="422"/>
      <c r="S263" s="399"/>
      <c r="T263" s="399"/>
    </row>
    <row r="264" spans="1:20" s="81" customFormat="1" ht="15.75" customHeight="1" thickBot="1">
      <c r="A264" s="701"/>
      <c r="B264" s="702"/>
      <c r="C264" s="99" t="s">
        <v>29</v>
      </c>
      <c r="D264" s="703">
        <v>148</v>
      </c>
      <c r="E264" s="56">
        <v>6.9835000000000003</v>
      </c>
      <c r="F264" s="704"/>
      <c r="G264" s="39">
        <f t="shared" ref="G264" si="48">ROUND(D264*E264,2)</f>
        <v>1033.56</v>
      </c>
      <c r="H264" s="280"/>
      <c r="I264" s="281"/>
      <c r="J264" s="281"/>
      <c r="K264" s="282"/>
      <c r="L264" s="204"/>
      <c r="M264" s="371"/>
      <c r="N264" s="426"/>
      <c r="O264" s="416"/>
      <c r="P264" s="416"/>
      <c r="Q264" s="417"/>
      <c r="R264" s="422"/>
      <c r="S264" s="399"/>
      <c r="T264" s="399"/>
    </row>
    <row r="265" spans="1:20" s="81" customFormat="1" ht="15.75" hidden="1" customHeight="1" outlineLevel="1" thickBot="1">
      <c r="A265" s="910"/>
      <c r="B265" s="911" t="s">
        <v>155</v>
      </c>
      <c r="C265" s="573" t="s">
        <v>115</v>
      </c>
      <c r="D265" s="912"/>
      <c r="E265" s="579">
        <f>7.0379-7.0426</f>
        <v>-4.7000000000005926E-3</v>
      </c>
      <c r="F265" s="580"/>
      <c r="G265" s="913">
        <f>ROUND(D265*E265,2)</f>
        <v>0</v>
      </c>
      <c r="H265" s="914"/>
      <c r="I265" s="23"/>
      <c r="J265" s="23"/>
      <c r="K265" s="304"/>
      <c r="L265" s="263">
        <f>SUM(G265:G267)</f>
        <v>0</v>
      </c>
      <c r="M265" s="26"/>
      <c r="N265" s="421"/>
      <c r="O265" s="77"/>
      <c r="P265" s="77"/>
      <c r="Q265" s="384"/>
      <c r="R265" s="422"/>
      <c r="S265" s="399"/>
      <c r="T265" s="399"/>
    </row>
    <row r="266" spans="1:20" s="81" customFormat="1" ht="15.75" hidden="1" customHeight="1" outlineLevel="1" thickBot="1">
      <c r="A266" s="910"/>
      <c r="B266" s="915"/>
      <c r="C266" s="573" t="s">
        <v>114</v>
      </c>
      <c r="D266" s="912"/>
      <c r="E266" s="579">
        <v>7.0378999999999996</v>
      </c>
      <c r="F266" s="580"/>
      <c r="G266" s="913">
        <f>ROUND(D266*E266,2)</f>
        <v>0</v>
      </c>
      <c r="H266" s="914"/>
      <c r="I266" s="261"/>
      <c r="J266" s="261"/>
      <c r="K266" s="262"/>
      <c r="L266" s="286"/>
      <c r="M266" s="90"/>
      <c r="N266" s="423"/>
      <c r="O266" s="406"/>
      <c r="P266" s="406"/>
      <c r="Q266" s="407"/>
      <c r="R266" s="422"/>
      <c r="S266" s="399"/>
      <c r="T266" s="399"/>
    </row>
    <row r="267" spans="1:20" s="81" customFormat="1" ht="15.75" hidden="1" customHeight="1" outlineLevel="1" thickBot="1">
      <c r="A267" s="910"/>
      <c r="B267" s="915"/>
      <c r="C267" s="916" t="s">
        <v>29</v>
      </c>
      <c r="D267" s="912"/>
      <c r="E267" s="917">
        <v>7.0378999999999996</v>
      </c>
      <c r="F267" s="580"/>
      <c r="G267" s="913">
        <f t="shared" ref="G267" si="49">ROUND(D267*E267,2)</f>
        <v>0</v>
      </c>
      <c r="H267" s="914"/>
      <c r="I267" s="281"/>
      <c r="J267" s="281"/>
      <c r="K267" s="282"/>
      <c r="L267" s="204"/>
      <c r="M267" s="371"/>
      <c r="N267" s="426"/>
      <c r="O267" s="416"/>
      <c r="P267" s="416"/>
      <c r="Q267" s="417"/>
      <c r="R267" s="422"/>
      <c r="S267" s="399"/>
      <c r="T267" s="399"/>
    </row>
    <row r="268" spans="1:20" s="81" customFormat="1" ht="15.75" customHeight="1" collapsed="1">
      <c r="A268" s="902">
        <v>407</v>
      </c>
      <c r="B268" s="903" t="s">
        <v>160</v>
      </c>
      <c r="C268" s="439" t="s">
        <v>260</v>
      </c>
      <c r="D268" s="904">
        <f>дек18!D257+дек18!D258</f>
        <v>19.05</v>
      </c>
      <c r="E268" s="23">
        <f>6.9835-7.2015</f>
        <v>-0.21799999999999997</v>
      </c>
      <c r="F268" s="905"/>
      <c r="G268" s="22">
        <f>ROUND(D268*E268,2)</f>
        <v>-4.1500000000000004</v>
      </c>
      <c r="H268" s="303"/>
      <c r="I268" s="23"/>
      <c r="J268" s="23"/>
      <c r="K268" s="304"/>
      <c r="L268" s="263">
        <f>SUM(G268:G270)</f>
        <v>58.84</v>
      </c>
      <c r="M268" s="26">
        <v>58.84</v>
      </c>
      <c r="N268" s="421"/>
      <c r="O268" s="77"/>
      <c r="P268" s="77"/>
      <c r="Q268" s="384"/>
      <c r="R268" s="422"/>
      <c r="S268" s="399"/>
      <c r="T268" s="399"/>
    </row>
    <row r="269" spans="1:20" s="81" customFormat="1" ht="15.75" customHeight="1">
      <c r="A269" s="468"/>
      <c r="B269" s="469"/>
      <c r="C269" s="48" t="s">
        <v>263</v>
      </c>
      <c r="D269" s="471">
        <v>0.02</v>
      </c>
      <c r="E269" s="41">
        <v>6.9835000000000003</v>
      </c>
      <c r="F269" s="473"/>
      <c r="G269" s="449">
        <f>ROUND(D269*E269,2)</f>
        <v>0.14000000000000001</v>
      </c>
      <c r="H269" s="260"/>
      <c r="I269" s="261"/>
      <c r="J269" s="261"/>
      <c r="K269" s="262"/>
      <c r="L269" s="286"/>
      <c r="M269" s="90"/>
      <c r="N269" s="423"/>
      <c r="O269" s="406"/>
      <c r="P269" s="406"/>
      <c r="Q269" s="407"/>
      <c r="R269" s="422"/>
      <c r="S269" s="399"/>
      <c r="T269" s="399"/>
    </row>
    <row r="270" spans="1:20" s="81" customFormat="1" ht="15.75" customHeight="1" thickBot="1">
      <c r="A270" s="858"/>
      <c r="B270" s="859"/>
      <c r="C270" s="54" t="s">
        <v>29</v>
      </c>
      <c r="D270" s="860">
        <v>9</v>
      </c>
      <c r="E270" s="56">
        <v>6.9835000000000003</v>
      </c>
      <c r="F270" s="861"/>
      <c r="G270" s="414">
        <f t="shared" ref="G270" si="50">ROUND(D270*E270,2)</f>
        <v>62.85</v>
      </c>
      <c r="H270" s="280"/>
      <c r="I270" s="281"/>
      <c r="J270" s="281"/>
      <c r="K270" s="282"/>
      <c r="L270" s="204"/>
      <c r="M270" s="371"/>
      <c r="N270" s="426"/>
      <c r="O270" s="416"/>
      <c r="P270" s="416"/>
      <c r="Q270" s="417"/>
      <c r="R270" s="422"/>
      <c r="S270" s="399"/>
      <c r="T270" s="399"/>
    </row>
    <row r="271" spans="1:20" s="81" customFormat="1" ht="15.75" customHeight="1">
      <c r="A271" s="906">
        <v>408</v>
      </c>
      <c r="B271" s="903" t="s">
        <v>253</v>
      </c>
      <c r="C271" s="382" t="s">
        <v>73</v>
      </c>
      <c r="D271" s="904">
        <v>21</v>
      </c>
      <c r="E271" s="907">
        <v>40.556600000000003</v>
      </c>
      <c r="F271" s="905">
        <v>47.5304</v>
      </c>
      <c r="G271" s="908">
        <f>ROUND(D271*E271+D271*F271,2)</f>
        <v>1849.83</v>
      </c>
      <c r="H271" s="303"/>
      <c r="I271" s="23"/>
      <c r="J271" s="23"/>
      <c r="K271" s="304"/>
      <c r="L271" s="263">
        <f>SUM(G271:G275)</f>
        <v>10517.09</v>
      </c>
      <c r="M271" s="877">
        <v>10517.09</v>
      </c>
      <c r="N271" s="430"/>
      <c r="O271" s="77"/>
      <c r="P271" s="77"/>
      <c r="Q271" s="384"/>
      <c r="R271" s="422"/>
      <c r="S271" s="399"/>
      <c r="T271" s="399"/>
    </row>
    <row r="272" spans="1:20" s="81" customFormat="1" ht="15.75" customHeight="1" thickBot="1">
      <c r="A272" s="909"/>
      <c r="B272" s="469"/>
      <c r="C272" s="429" t="s">
        <v>26</v>
      </c>
      <c r="D272" s="471"/>
      <c r="E272" s="876"/>
      <c r="F272" s="473"/>
      <c r="G272" s="862">
        <f>ROUND(D272*E272+D272*F272,2)</f>
        <v>0</v>
      </c>
      <c r="H272" s="270"/>
      <c r="I272" s="41"/>
      <c r="J272" s="41"/>
      <c r="K272" s="271"/>
      <c r="L272" s="272"/>
      <c r="M272" s="878"/>
      <c r="N272" s="430"/>
      <c r="O272" s="406"/>
      <c r="P272" s="406"/>
      <c r="Q272" s="407"/>
      <c r="R272" s="422"/>
      <c r="S272" s="399"/>
      <c r="T272" s="399"/>
    </row>
    <row r="273" spans="1:20" s="81" customFormat="1" ht="15.75" customHeight="1">
      <c r="A273" s="468"/>
      <c r="B273" s="699"/>
      <c r="C273" s="48" t="s">
        <v>260</v>
      </c>
      <c r="D273" s="471">
        <f>дек18!D262+дек18!D263</f>
        <v>1151.76</v>
      </c>
      <c r="E273" s="41">
        <f>6.9835-7.2015</f>
        <v>-0.21799999999999997</v>
      </c>
      <c r="F273" s="473"/>
      <c r="G273" s="862">
        <f>ROUND(D273*E273,2)-0.01</f>
        <v>-251.09</v>
      </c>
      <c r="H273" s="270"/>
      <c r="I273" s="41"/>
      <c r="J273" s="41"/>
      <c r="K273" s="271"/>
      <c r="L273" s="272"/>
      <c r="M273" s="878"/>
      <c r="N273" s="421"/>
      <c r="O273" s="406"/>
      <c r="P273" s="406"/>
      <c r="Q273" s="407"/>
      <c r="R273" s="422"/>
      <c r="S273" s="399"/>
      <c r="T273" s="399"/>
    </row>
    <row r="274" spans="1:20" s="81" customFormat="1" ht="15.75" customHeight="1">
      <c r="A274" s="468"/>
      <c r="B274" s="469"/>
      <c r="C274" s="48" t="s">
        <v>263</v>
      </c>
      <c r="D274" s="471">
        <f>2.83+0.23</f>
        <v>3.06</v>
      </c>
      <c r="E274" s="41">
        <v>6.9835000000000003</v>
      </c>
      <c r="F274" s="473"/>
      <c r="G274" s="862">
        <f>ROUND(D274*E274,2)</f>
        <v>21.37</v>
      </c>
      <c r="H274" s="270"/>
      <c r="I274" s="41"/>
      <c r="J274" s="41"/>
      <c r="K274" s="271"/>
      <c r="L274" s="272"/>
      <c r="M274" s="878"/>
      <c r="N274" s="423"/>
      <c r="O274" s="406"/>
      <c r="P274" s="406"/>
      <c r="Q274" s="407"/>
      <c r="R274" s="422"/>
      <c r="S274" s="399"/>
      <c r="T274" s="399"/>
    </row>
    <row r="275" spans="1:20" s="81" customFormat="1" ht="15.75" customHeight="1" thickBot="1">
      <c r="A275" s="858"/>
      <c r="B275" s="859"/>
      <c r="C275" s="54" t="s">
        <v>29</v>
      </c>
      <c r="D275" s="860">
        <f>1180+94</f>
        <v>1274</v>
      </c>
      <c r="E275" s="56">
        <v>6.9835000000000003</v>
      </c>
      <c r="F275" s="861"/>
      <c r="G275" s="866">
        <f t="shared" ref="G275" si="51">ROUND(D275*E275,2)</f>
        <v>8896.98</v>
      </c>
      <c r="H275" s="280"/>
      <c r="I275" s="281"/>
      <c r="J275" s="281"/>
      <c r="K275" s="282"/>
      <c r="L275" s="204"/>
      <c r="M275" s="880"/>
      <c r="N275" s="426"/>
      <c r="O275" s="416"/>
      <c r="P275" s="416"/>
      <c r="Q275" s="417"/>
      <c r="R275" s="422"/>
      <c r="S275" s="399"/>
      <c r="T275" s="399"/>
    </row>
    <row r="276" spans="1:20" s="81" customFormat="1" ht="15" hidden="1" customHeight="1">
      <c r="A276" s="437">
        <v>129</v>
      </c>
      <c r="B276" s="438" t="s">
        <v>38</v>
      </c>
      <c r="C276" s="439"/>
      <c r="D276" s="378"/>
      <c r="E276" s="23"/>
      <c r="F276" s="23"/>
      <c r="G276" s="22"/>
      <c r="H276" s="303"/>
      <c r="I276" s="23"/>
      <c r="J276" s="23"/>
      <c r="K276" s="304"/>
      <c r="L276" s="382">
        <f>+SUM(G276:G279,J276:J279)</f>
        <v>0</v>
      </c>
      <c r="M276" s="26"/>
      <c r="N276" s="421"/>
      <c r="O276" s="77"/>
      <c r="P276" s="77"/>
      <c r="Q276" s="384">
        <f>+L276-M276</f>
        <v>0</v>
      </c>
      <c r="R276" s="899"/>
      <c r="S276" s="399"/>
      <c r="T276" s="399"/>
    </row>
    <row r="277" spans="1:20" s="81" customFormat="1" ht="15" hidden="1" customHeight="1">
      <c r="A277" s="441"/>
      <c r="B277" s="442" t="s">
        <v>198</v>
      </c>
      <c r="C277" s="48" t="s">
        <v>118</v>
      </c>
      <c r="D277" s="37"/>
      <c r="E277" s="41">
        <f>6.8416-6.7432</f>
        <v>9.8399999999999821E-2</v>
      </c>
      <c r="F277" s="41"/>
      <c r="G277" s="39">
        <f>ROUND(D277*E277,2)</f>
        <v>0</v>
      </c>
      <c r="H277" s="260"/>
      <c r="I277" s="261"/>
      <c r="J277" s="261"/>
      <c r="K277" s="262"/>
      <c r="L277" s="394"/>
      <c r="M277" s="90"/>
      <c r="N277" s="443"/>
      <c r="O277" s="94"/>
      <c r="P277" s="94"/>
      <c r="Q277" s="396"/>
      <c r="R277" s="899"/>
      <c r="S277" s="399"/>
      <c r="T277" s="399"/>
    </row>
    <row r="278" spans="1:20" s="81" customFormat="1" ht="15.75" hidden="1" thickBot="1">
      <c r="A278" s="441"/>
      <c r="B278" s="444"/>
      <c r="C278" s="48" t="s">
        <v>119</v>
      </c>
      <c r="D278" s="37"/>
      <c r="E278" s="41">
        <v>6.8415999999999997</v>
      </c>
      <c r="F278" s="41"/>
      <c r="G278" s="39">
        <f t="shared" ref="G278:G279" si="52">ROUND(D278*E278,2)</f>
        <v>0</v>
      </c>
      <c r="H278" s="432"/>
      <c r="I278" s="207"/>
      <c r="J278" s="207"/>
      <c r="K278" s="362"/>
      <c r="L278" s="433"/>
      <c r="M278" s="63"/>
      <c r="N278" s="423"/>
      <c r="O278" s="406"/>
      <c r="P278" s="406"/>
      <c r="Q278" s="407"/>
      <c r="R278" s="899"/>
      <c r="S278" s="399"/>
      <c r="T278" s="399"/>
    </row>
    <row r="279" spans="1:20" s="81" customFormat="1" ht="15" hidden="1" customHeight="1" thickBot="1">
      <c r="A279" s="445"/>
      <c r="B279" s="446"/>
      <c r="C279" s="99" t="s">
        <v>29</v>
      </c>
      <c r="D279" s="413"/>
      <c r="E279" s="56">
        <v>6.8415999999999997</v>
      </c>
      <c r="F279" s="281"/>
      <c r="G279" s="414">
        <f t="shared" si="52"/>
        <v>0</v>
      </c>
      <c r="H279" s="280"/>
      <c r="I279" s="281"/>
      <c r="J279" s="281"/>
      <c r="K279" s="282"/>
      <c r="L279" s="204"/>
      <c r="M279" s="371"/>
      <c r="N279" s="434"/>
      <c r="O279" s="435"/>
      <c r="P279" s="435"/>
      <c r="Q279" s="425"/>
      <c r="R279" s="899"/>
      <c r="S279" s="399"/>
      <c r="T279" s="399"/>
    </row>
    <row r="280" spans="1:20" s="81" customFormat="1" ht="15.75" hidden="1" customHeight="1">
      <c r="A280" s="902">
        <v>118</v>
      </c>
      <c r="B280" s="924" t="s">
        <v>200</v>
      </c>
      <c r="C280" s="390" t="s">
        <v>73</v>
      </c>
      <c r="D280" s="869"/>
      <c r="E280" s="86">
        <v>36.214199999999998</v>
      </c>
      <c r="F280" s="86">
        <v>42.4328</v>
      </c>
      <c r="G280" s="449">
        <f>+D280*(E280+F280)</f>
        <v>0</v>
      </c>
      <c r="H280" s="260"/>
      <c r="I280" s="392"/>
      <c r="J280" s="41"/>
      <c r="K280" s="870"/>
      <c r="L280" s="286">
        <f>SUM(G280:G284,J280:J284)</f>
        <v>0</v>
      </c>
      <c r="M280" s="90"/>
      <c r="N280" s="443"/>
      <c r="O280" s="94"/>
      <c r="P280" s="94"/>
      <c r="Q280" s="396"/>
      <c r="R280" s="422"/>
      <c r="S280" s="399"/>
      <c r="T280" s="399"/>
    </row>
    <row r="281" spans="1:20" s="81" customFormat="1" ht="15.75" hidden="1" customHeight="1">
      <c r="A281" s="468"/>
      <c r="B281" s="920"/>
      <c r="C281" s="36" t="s">
        <v>26</v>
      </c>
      <c r="D281" s="37"/>
      <c r="E281" s="38"/>
      <c r="F281" s="38"/>
      <c r="G281" s="39">
        <f>ROUND(D281*(E281+F281),2)</f>
        <v>0</v>
      </c>
      <c r="H281" s="457"/>
      <c r="I281" s="392"/>
      <c r="J281" s="41"/>
      <c r="K281" s="393"/>
      <c r="L281" s="459"/>
      <c r="M281" s="44"/>
      <c r="N281" s="430"/>
      <c r="O281" s="406"/>
      <c r="P281" s="406"/>
      <c r="Q281" s="407"/>
      <c r="R281" s="422"/>
      <c r="S281" s="399"/>
      <c r="T281" s="399"/>
    </row>
    <row r="282" spans="1:20" s="81" customFormat="1" ht="15.75" hidden="1" customHeight="1">
      <c r="A282" s="468"/>
      <c r="B282" s="920"/>
      <c r="C282" s="48" t="s">
        <v>124</v>
      </c>
      <c r="D282" s="37"/>
      <c r="E282" s="41"/>
      <c r="F282" s="38"/>
      <c r="G282" s="39">
        <f>ROUND(D282*(E282),2)</f>
        <v>0</v>
      </c>
      <c r="H282" s="270"/>
      <c r="I282" s="41"/>
      <c r="J282" s="41"/>
      <c r="K282" s="271"/>
      <c r="L282" s="272"/>
      <c r="M282" s="102"/>
      <c r="N282" s="430"/>
      <c r="O282" s="406"/>
      <c r="P282" s="406"/>
      <c r="Q282" s="407"/>
      <c r="R282" s="422"/>
      <c r="S282" s="399"/>
      <c r="T282" s="399"/>
    </row>
    <row r="283" spans="1:20" s="81" customFormat="1" ht="15.75" hidden="1" customHeight="1">
      <c r="A283" s="468"/>
      <c r="B283" s="920"/>
      <c r="C283" s="48" t="s">
        <v>125</v>
      </c>
      <c r="D283" s="37"/>
      <c r="E283" s="41">
        <v>6.7431999999999999</v>
      </c>
      <c r="F283" s="38"/>
      <c r="G283" s="39">
        <f>ROUND(D283*(E283),2)</f>
        <v>0</v>
      </c>
      <c r="H283" s="270"/>
      <c r="I283" s="41"/>
      <c r="J283" s="41"/>
      <c r="K283" s="271"/>
      <c r="L283" s="272"/>
      <c r="M283" s="102"/>
      <c r="N283" s="434"/>
      <c r="O283" s="435"/>
      <c r="P283" s="435"/>
      <c r="Q283" s="425"/>
      <c r="R283" s="422"/>
      <c r="S283" s="399"/>
      <c r="T283" s="399"/>
    </row>
    <row r="284" spans="1:20" s="81" customFormat="1" ht="15.75" hidden="1" customHeight="1" thickBot="1">
      <c r="A284" s="858"/>
      <c r="B284" s="921"/>
      <c r="C284" s="54" t="s">
        <v>29</v>
      </c>
      <c r="D284" s="413"/>
      <c r="E284" s="56">
        <v>6.7431999999999999</v>
      </c>
      <c r="F284" s="281"/>
      <c r="G284" s="414">
        <f>ROUND(D284*(E284),2)</f>
        <v>0</v>
      </c>
      <c r="H284" s="280"/>
      <c r="I284" s="281"/>
      <c r="J284" s="281"/>
      <c r="K284" s="282"/>
      <c r="L284" s="204"/>
      <c r="M284" s="371"/>
      <c r="N284" s="426"/>
      <c r="O284" s="416"/>
      <c r="P284" s="416"/>
      <c r="Q284" s="417"/>
      <c r="R284" s="422"/>
      <c r="S284" s="399"/>
      <c r="T284" s="399"/>
    </row>
    <row r="285" spans="1:20" s="81" customFormat="1" ht="15.75" customHeight="1">
      <c r="A285" s="902" t="s">
        <v>258</v>
      </c>
      <c r="B285" s="903" t="s">
        <v>265</v>
      </c>
      <c r="C285" s="439" t="s">
        <v>260</v>
      </c>
      <c r="D285" s="904">
        <f>дек18!D274+дек18!D275</f>
        <v>629.51</v>
      </c>
      <c r="E285" s="23">
        <f>6.9835-7.2015</f>
        <v>-0.21799999999999997</v>
      </c>
      <c r="F285" s="905"/>
      <c r="G285" s="22">
        <f>ROUND(D285*E285,2)-0.01</f>
        <v>-137.23999999999998</v>
      </c>
      <c r="H285" s="303"/>
      <c r="I285" s="23"/>
      <c r="J285" s="23"/>
      <c r="K285" s="304"/>
      <c r="L285" s="263">
        <f>SUM(G285:G287)</f>
        <v>5091.93</v>
      </c>
      <c r="M285" s="26">
        <v>5091.93</v>
      </c>
      <c r="N285" s="421"/>
      <c r="O285" s="77"/>
      <c r="P285" s="77"/>
      <c r="Q285" s="384"/>
      <c r="R285" s="422"/>
      <c r="S285" s="399"/>
      <c r="T285" s="399"/>
    </row>
    <row r="286" spans="1:20" s="81" customFormat="1" ht="15.75" customHeight="1">
      <c r="A286" s="468"/>
      <c r="B286" s="469"/>
      <c r="C286" s="48" t="s">
        <v>263</v>
      </c>
      <c r="D286" s="471">
        <v>1.79</v>
      </c>
      <c r="E286" s="41">
        <v>6.9835000000000003</v>
      </c>
      <c r="F286" s="473"/>
      <c r="G286" s="449">
        <f>ROUND(D286*E286,2)</f>
        <v>12.5</v>
      </c>
      <c r="H286" s="260"/>
      <c r="I286" s="261"/>
      <c r="J286" s="261"/>
      <c r="K286" s="262"/>
      <c r="L286" s="286"/>
      <c r="M286" s="90"/>
      <c r="N286" s="423"/>
      <c r="O286" s="406"/>
      <c r="P286" s="406"/>
      <c r="Q286" s="407"/>
      <c r="R286" s="422"/>
      <c r="S286" s="399"/>
      <c r="T286" s="399"/>
    </row>
    <row r="287" spans="1:20" s="81" customFormat="1" ht="15.75" customHeight="1" thickBot="1">
      <c r="A287" s="858"/>
      <c r="B287" s="859"/>
      <c r="C287" s="54" t="s">
        <v>29</v>
      </c>
      <c r="D287" s="860">
        <v>747</v>
      </c>
      <c r="E287" s="56">
        <v>6.9835000000000003</v>
      </c>
      <c r="F287" s="861"/>
      <c r="G287" s="414">
        <f t="shared" ref="G287" si="53">ROUND(D287*E287,2)</f>
        <v>5216.67</v>
      </c>
      <c r="H287" s="280"/>
      <c r="I287" s="281"/>
      <c r="J287" s="281"/>
      <c r="K287" s="282"/>
      <c r="L287" s="204"/>
      <c r="M287" s="371"/>
      <c r="N287" s="426"/>
      <c r="O287" s="416"/>
      <c r="P287" s="416"/>
      <c r="Q287" s="417"/>
      <c r="R287" s="422"/>
      <c r="S287" s="399"/>
      <c r="T287" s="399"/>
    </row>
    <row r="288" spans="1:20" s="81" customFormat="1" ht="15.75" customHeight="1">
      <c r="A288" s="902" t="s">
        <v>258</v>
      </c>
      <c r="B288" s="903" t="s">
        <v>267</v>
      </c>
      <c r="C288" s="439" t="s">
        <v>260</v>
      </c>
      <c r="D288" s="904">
        <f>дек18!D277+дек18!D278</f>
        <v>675.62</v>
      </c>
      <c r="E288" s="23">
        <f>6.9835-7.2015</f>
        <v>-0.21799999999999997</v>
      </c>
      <c r="F288" s="905"/>
      <c r="G288" s="22">
        <f>ROUND(D288*E288,2)</f>
        <v>-147.29</v>
      </c>
      <c r="H288" s="303"/>
      <c r="I288" s="23"/>
      <c r="J288" s="23"/>
      <c r="K288" s="304"/>
      <c r="L288" s="263">
        <f>SUM(G288:G290)</f>
        <v>314.74</v>
      </c>
      <c r="M288" s="26">
        <v>314.74</v>
      </c>
      <c r="N288" s="421"/>
      <c r="O288" s="1561"/>
      <c r="P288" s="1562"/>
      <c r="Q288" s="1563"/>
      <c r="R288" s="422"/>
      <c r="S288" s="399"/>
      <c r="T288" s="399"/>
    </row>
    <row r="289" spans="1:21" s="81" customFormat="1" ht="15.75" customHeight="1">
      <c r="A289" s="468"/>
      <c r="B289" s="469"/>
      <c r="C289" s="48" t="s">
        <v>263</v>
      </c>
      <c r="D289" s="471">
        <v>0.16</v>
      </c>
      <c r="E289" s="41">
        <v>6.9835000000000003</v>
      </c>
      <c r="F289" s="473"/>
      <c r="G289" s="449">
        <f>ROUND(D289*E289,2)</f>
        <v>1.1200000000000001</v>
      </c>
      <c r="H289" s="260"/>
      <c r="I289" s="261"/>
      <c r="J289" s="261"/>
      <c r="K289" s="262"/>
      <c r="L289" s="286"/>
      <c r="M289" s="90"/>
      <c r="N289" s="423"/>
      <c r="O289" s="406"/>
      <c r="P289" s="406"/>
      <c r="Q289" s="407"/>
      <c r="R289" s="422"/>
      <c r="S289" s="399"/>
      <c r="T289" s="399"/>
    </row>
    <row r="290" spans="1:21" s="81" customFormat="1" ht="15.75" customHeight="1" thickBot="1">
      <c r="A290" s="858"/>
      <c r="B290" s="859"/>
      <c r="C290" s="54" t="s">
        <v>29</v>
      </c>
      <c r="D290" s="860">
        <v>66</v>
      </c>
      <c r="E290" s="56">
        <v>6.9835000000000003</v>
      </c>
      <c r="F290" s="861"/>
      <c r="G290" s="414">
        <f t="shared" ref="G290" si="54">ROUND(D290*E290,2)</f>
        <v>460.91</v>
      </c>
      <c r="H290" s="280"/>
      <c r="I290" s="281"/>
      <c r="J290" s="281"/>
      <c r="K290" s="282"/>
      <c r="L290" s="204"/>
      <c r="M290" s="371"/>
      <c r="N290" s="426"/>
      <c r="O290" s="416"/>
      <c r="P290" s="416"/>
      <c r="Q290" s="417"/>
      <c r="R290" s="422"/>
      <c r="S290" s="399"/>
      <c r="T290" s="399"/>
    </row>
    <row r="291" spans="1:21" s="81" customFormat="1" ht="15.75" customHeight="1">
      <c r="A291" s="926"/>
      <c r="B291" s="927"/>
      <c r="C291" s="928"/>
      <c r="D291" s="904"/>
      <c r="E291" s="929"/>
      <c r="F291" s="905"/>
      <c r="G291" s="930"/>
      <c r="H291" s="905"/>
      <c r="I291" s="905"/>
      <c r="J291" s="905"/>
      <c r="K291" s="905"/>
      <c r="L291" s="905"/>
      <c r="M291" s="931"/>
      <c r="N291" s="387"/>
      <c r="O291" s="387"/>
      <c r="P291" s="387"/>
      <c r="Q291" s="387"/>
      <c r="R291" s="422"/>
      <c r="S291" s="399"/>
      <c r="T291" s="399"/>
    </row>
    <row r="292" spans="1:21" s="81" customFormat="1" ht="15" customHeight="1">
      <c r="A292" s="686"/>
      <c r="B292" s="469"/>
      <c r="C292" s="932"/>
      <c r="D292" s="471"/>
      <c r="E292" s="473"/>
      <c r="F292" s="473"/>
      <c r="G292" s="474"/>
      <c r="H292" s="473"/>
      <c r="I292" s="473"/>
      <c r="J292" s="473"/>
      <c r="K292" s="473"/>
      <c r="L292" s="473"/>
      <c r="M292" s="470"/>
      <c r="N292" s="399"/>
      <c r="O292" s="399"/>
      <c r="P292" s="399"/>
      <c r="Q292" s="399"/>
      <c r="R292" s="422"/>
      <c r="S292" s="399"/>
      <c r="T292" s="399"/>
    </row>
    <row r="293" spans="1:21" ht="21.75" thickBot="1">
      <c r="A293" s="171" t="s">
        <v>84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3"/>
      <c r="N293" s="2"/>
      <c r="O293" s="2"/>
      <c r="P293" s="2"/>
      <c r="Q293" s="2"/>
      <c r="R293" s="2"/>
      <c r="S293" s="2"/>
      <c r="T293" s="2"/>
    </row>
    <row r="294" spans="1:21" ht="15.75" customHeight="1" thickTop="1" thickBot="1">
      <c r="A294" s="1540" t="s">
        <v>1</v>
      </c>
      <c r="B294" s="1542" t="s">
        <v>2</v>
      </c>
      <c r="C294" s="1544" t="s">
        <v>3</v>
      </c>
      <c r="D294" s="1546" t="s">
        <v>4</v>
      </c>
      <c r="E294" s="1546"/>
      <c r="F294" s="1546"/>
      <c r="G294" s="1546"/>
      <c r="H294" s="1547" t="s">
        <v>5</v>
      </c>
      <c r="I294" s="1548"/>
      <c r="J294" s="1548"/>
      <c r="K294" s="1549"/>
      <c r="L294" s="1524" t="s">
        <v>6</v>
      </c>
      <c r="M294" s="1511" t="s">
        <v>7</v>
      </c>
      <c r="N294" s="1551" t="s">
        <v>8</v>
      </c>
      <c r="O294" s="1551"/>
      <c r="P294" s="1551"/>
      <c r="Q294" s="1552" t="s">
        <v>18</v>
      </c>
      <c r="R294" s="481" t="s">
        <v>85</v>
      </c>
      <c r="S294" s="482" t="s">
        <v>20</v>
      </c>
      <c r="T294" s="482" t="s">
        <v>21</v>
      </c>
    </row>
    <row r="295" spans="1:21" ht="40.5" customHeight="1" thickTop="1" thickBot="1">
      <c r="A295" s="1541"/>
      <c r="B295" s="1543"/>
      <c r="C295" s="1545" t="s">
        <v>10</v>
      </c>
      <c r="D295" s="483" t="s">
        <v>11</v>
      </c>
      <c r="E295" s="484" t="s">
        <v>12</v>
      </c>
      <c r="F295" s="484" t="s">
        <v>13</v>
      </c>
      <c r="G295" s="485" t="s">
        <v>14</v>
      </c>
      <c r="H295" s="483" t="s">
        <v>11</v>
      </c>
      <c r="I295" s="486" t="s">
        <v>15</v>
      </c>
      <c r="J295" s="485"/>
      <c r="K295" s="487" t="s">
        <v>16</v>
      </c>
      <c r="L295" s="1525"/>
      <c r="M295" s="1550"/>
      <c r="N295" s="488" t="s">
        <v>14</v>
      </c>
      <c r="O295" s="485"/>
      <c r="P295" s="489" t="s">
        <v>18</v>
      </c>
      <c r="Q295" s="490" t="s">
        <v>19</v>
      </c>
      <c r="R295" s="491"/>
      <c r="S295" s="492"/>
      <c r="T295" s="492"/>
    </row>
    <row r="296" spans="1:21">
      <c r="A296" s="961" t="s">
        <v>228</v>
      </c>
      <c r="B296" s="602" t="s">
        <v>186</v>
      </c>
      <c r="C296" s="439" t="s">
        <v>260</v>
      </c>
      <c r="D296" s="184">
        <f>дек18!D285+дек18!D286</f>
        <v>318.51</v>
      </c>
      <c r="E296" s="41">
        <f>6.7838-7.0643</f>
        <v>-0.28049999999999997</v>
      </c>
      <c r="F296" s="23"/>
      <c r="G296" s="185">
        <f>ROUND(D296*(E296),2)</f>
        <v>-89.34</v>
      </c>
      <c r="H296" s="620"/>
      <c r="I296" s="620"/>
      <c r="J296" s="620"/>
      <c r="K296" s="1022"/>
      <c r="L296" s="498">
        <f>SUM(G296:G298)</f>
        <v>1681.77</v>
      </c>
      <c r="M296" s="187">
        <v>1681.77</v>
      </c>
      <c r="N296" s="615"/>
      <c r="O296" s="615"/>
      <c r="P296" s="615"/>
      <c r="Q296" s="615"/>
    </row>
    <row r="297" spans="1:21">
      <c r="A297" s="934"/>
      <c r="B297" s="506"/>
      <c r="C297" s="48" t="s">
        <v>263</v>
      </c>
      <c r="D297" s="49">
        <v>11.08</v>
      </c>
      <c r="E297" s="41">
        <v>6.7838000000000003</v>
      </c>
      <c r="F297" s="41">
        <f>+E297</f>
        <v>6.7838000000000003</v>
      </c>
      <c r="G297" s="50">
        <f>ROUND(D297*(E297),2)</f>
        <v>75.16</v>
      </c>
      <c r="H297" s="296"/>
      <c r="I297" s="298"/>
      <c r="J297" s="298"/>
      <c r="K297" s="1021"/>
      <c r="L297" s="606"/>
      <c r="M297" s="935"/>
      <c r="N297" s="615"/>
      <c r="O297" s="615"/>
      <c r="P297" s="615"/>
      <c r="Q297" s="615"/>
    </row>
    <row r="298" spans="1:21" ht="15.75" thickBot="1">
      <c r="A298" s="934"/>
      <c r="B298" s="506"/>
      <c r="C298" s="54" t="s">
        <v>29</v>
      </c>
      <c r="D298" s="296">
        <v>250</v>
      </c>
      <c r="E298" s="56">
        <v>6.7838000000000003</v>
      </c>
      <c r="F298" s="41">
        <f>+E298</f>
        <v>6.7838000000000003</v>
      </c>
      <c r="G298" s="50">
        <f t="shared" ref="G298" si="55">ROUND(D298*(E298),2)</f>
        <v>1695.95</v>
      </c>
      <c r="H298" s="296"/>
      <c r="I298" s="298"/>
      <c r="J298" s="298"/>
      <c r="K298" s="1021"/>
      <c r="L298" s="614"/>
      <c r="M298" s="935"/>
      <c r="N298" s="615"/>
      <c r="O298" s="615"/>
      <c r="P298" s="615"/>
      <c r="Q298" s="615"/>
    </row>
    <row r="299" spans="1:21">
      <c r="A299" s="961" t="s">
        <v>207</v>
      </c>
      <c r="B299" s="602" t="s">
        <v>184</v>
      </c>
      <c r="C299" s="439" t="s">
        <v>260</v>
      </c>
      <c r="D299" s="184">
        <v>0</v>
      </c>
      <c r="E299" s="41">
        <f>6.7838-7.0643</f>
        <v>-0.28049999999999997</v>
      </c>
      <c r="F299" s="23">
        <f>+E299</f>
        <v>-0.28049999999999997</v>
      </c>
      <c r="G299" s="185">
        <f>ROUND(D299*(E299),2)</f>
        <v>0</v>
      </c>
      <c r="H299" s="620"/>
      <c r="I299" s="620"/>
      <c r="J299" s="620"/>
      <c r="K299" s="1022"/>
      <c r="L299" s="498">
        <f>SUM(G299:G301)</f>
        <v>0</v>
      </c>
      <c r="M299" s="187">
        <v>0</v>
      </c>
      <c r="N299" s="615"/>
      <c r="O299" s="962" t="s">
        <v>277</v>
      </c>
      <c r="P299" s="615"/>
      <c r="Q299" s="615"/>
    </row>
    <row r="300" spans="1:21">
      <c r="A300" s="934"/>
      <c r="B300" s="506"/>
      <c r="C300" s="48" t="s">
        <v>263</v>
      </c>
      <c r="D300" s="49">
        <v>0</v>
      </c>
      <c r="E300" s="41">
        <v>6.7838000000000003</v>
      </c>
      <c r="F300" s="41">
        <f>+E300</f>
        <v>6.7838000000000003</v>
      </c>
      <c r="G300" s="50">
        <f>ROUND(D300*(E300),2)</f>
        <v>0</v>
      </c>
      <c r="H300" s="296"/>
      <c r="I300" s="298"/>
      <c r="J300" s="298"/>
      <c r="K300" s="1021"/>
      <c r="L300" s="606"/>
      <c r="M300" s="935"/>
      <c r="N300" s="615"/>
      <c r="O300" s="615"/>
      <c r="P300" s="615"/>
      <c r="Q300" s="615"/>
    </row>
    <row r="301" spans="1:21" ht="15.75" thickBot="1">
      <c r="A301" s="934"/>
      <c r="B301" s="506"/>
      <c r="C301" s="54" t="s">
        <v>29</v>
      </c>
      <c r="D301" s="296">
        <v>0</v>
      </c>
      <c r="E301" s="56">
        <v>6.7838000000000003</v>
      </c>
      <c r="F301" s="41">
        <f>+E301</f>
        <v>6.7838000000000003</v>
      </c>
      <c r="G301" s="50">
        <f t="shared" ref="G301" si="56">ROUND(D301*(E301),2)</f>
        <v>0</v>
      </c>
      <c r="H301" s="296"/>
      <c r="I301" s="298"/>
      <c r="J301" s="298"/>
      <c r="K301" s="1021"/>
      <c r="L301" s="614"/>
      <c r="M301" s="935"/>
      <c r="N301" s="615"/>
      <c r="O301" s="615"/>
      <c r="P301" s="615"/>
      <c r="Q301" s="615"/>
    </row>
    <row r="302" spans="1:21" ht="16.5" hidden="1" thickTop="1" thickBot="1">
      <c r="A302" s="376">
        <v>100</v>
      </c>
      <c r="B302" s="494" t="s">
        <v>193</v>
      </c>
      <c r="C302" s="71" t="s">
        <v>243</v>
      </c>
      <c r="D302" s="495"/>
      <c r="E302" s="21">
        <v>40.556600000000003</v>
      </c>
      <c r="F302" s="21">
        <v>47.5304</v>
      </c>
      <c r="G302" s="185">
        <f>ROUND(D302*(E302+F302),2)</f>
        <v>0</v>
      </c>
      <c r="H302" s="496"/>
      <c r="I302" s="73"/>
      <c r="J302" s="73"/>
      <c r="K302" s="1022"/>
      <c r="L302" s="498">
        <f>SUM(G302:G309)+SUM(J302:J308)</f>
        <v>0</v>
      </c>
      <c r="M302" s="26"/>
      <c r="N302" s="499"/>
      <c r="O302" s="500"/>
      <c r="P302" s="501" t="s">
        <v>87</v>
      </c>
      <c r="Q302" s="595" t="e">
        <f t="shared" ref="Q302" si="57">C302+G302+J302-M302-N302-O302</f>
        <v>#VALUE!</v>
      </c>
    </row>
    <row r="303" spans="1:21" ht="15.75" hidden="1" thickBot="1">
      <c r="A303" s="389"/>
      <c r="B303" s="999" t="s">
        <v>302</v>
      </c>
      <c r="C303" s="507" t="s">
        <v>96</v>
      </c>
      <c r="D303" s="234"/>
      <c r="E303" s="38"/>
      <c r="F303" s="38"/>
      <c r="G303" s="235">
        <f>ROUND(D303*(E303+F303),2)</f>
        <v>0</v>
      </c>
      <c r="H303" s="448"/>
      <c r="I303" s="509"/>
      <c r="J303" s="199"/>
      <c r="K303" s="1023"/>
      <c r="L303" s="511"/>
      <c r="M303" s="512"/>
      <c r="N303" s="513"/>
      <c r="O303" s="514"/>
      <c r="P303" s="515"/>
      <c r="Q303" s="262"/>
      <c r="U303" s="33"/>
    </row>
    <row r="304" spans="1:21" ht="15.75" hidden="1" thickBot="1">
      <c r="A304" s="389"/>
      <c r="B304" s="516" t="s">
        <v>89</v>
      </c>
      <c r="C304" s="512" t="s">
        <v>90</v>
      </c>
      <c r="D304" s="508"/>
      <c r="E304" s="101"/>
      <c r="F304" s="38">
        <v>47.5304</v>
      </c>
      <c r="G304" s="50">
        <f>ROUND(D304*(E304+F304),2)</f>
        <v>0</v>
      </c>
      <c r="H304" s="270"/>
      <c r="I304" s="41"/>
      <c r="J304" s="207"/>
      <c r="K304" s="1023"/>
      <c r="L304" s="517"/>
      <c r="M304" s="99"/>
      <c r="N304" s="518"/>
      <c r="O304" s="519"/>
      <c r="P304" s="515" t="s">
        <v>87</v>
      </c>
      <c r="Q304" s="271">
        <f>+G304+J304-M304-N304-O304</f>
        <v>0</v>
      </c>
    </row>
    <row r="305" spans="1:21" ht="15.75" hidden="1" thickBot="1">
      <c r="A305" s="389"/>
      <c r="B305" s="541"/>
      <c r="C305" s="84" t="s">
        <v>97</v>
      </c>
      <c r="D305" s="508"/>
      <c r="E305" s="41"/>
      <c r="F305" s="38"/>
      <c r="G305" s="50">
        <f>ROUND(D305*(E305+F305),2)</f>
        <v>0</v>
      </c>
      <c r="H305" s="432"/>
      <c r="I305" s="362"/>
      <c r="J305" s="207"/>
      <c r="K305" s="1023"/>
      <c r="L305" s="517"/>
      <c r="M305" s="520"/>
      <c r="N305" s="521"/>
      <c r="O305" s="522"/>
      <c r="P305" s="523"/>
      <c r="Q305" s="362"/>
    </row>
    <row r="306" spans="1:21" ht="15.75" hidden="1" thickBot="1">
      <c r="A306" s="389"/>
      <c r="B306" s="1033" t="s">
        <v>194</v>
      </c>
      <c r="C306" s="84"/>
      <c r="D306" s="508"/>
      <c r="E306" s="41"/>
      <c r="F306" s="41"/>
      <c r="G306" s="50"/>
      <c r="H306" s="432"/>
      <c r="I306" s="362"/>
      <c r="J306" s="207"/>
      <c r="K306" s="1023"/>
      <c r="L306" s="517"/>
      <c r="M306" s="520"/>
      <c r="N306" s="521"/>
      <c r="O306" s="522"/>
      <c r="P306" s="523"/>
      <c r="Q306" s="362"/>
    </row>
    <row r="307" spans="1:21" ht="15.75" hidden="1" thickBot="1">
      <c r="A307" s="389"/>
      <c r="B307" s="506"/>
      <c r="C307" s="48" t="s">
        <v>260</v>
      </c>
      <c r="D307" s="37"/>
      <c r="E307" s="41"/>
      <c r="F307" s="41">
        <f>+E307</f>
        <v>0</v>
      </c>
      <c r="G307" s="39">
        <f>ROUND(D307*E307,2)</f>
        <v>0</v>
      </c>
      <c r="H307" s="432"/>
      <c r="I307" s="362"/>
      <c r="J307" s="207"/>
      <c r="K307" s="1023"/>
      <c r="L307" s="517"/>
      <c r="M307" s="520"/>
      <c r="N307" s="521"/>
      <c r="O307" s="522"/>
      <c r="P307" s="523"/>
      <c r="Q307" s="362"/>
    </row>
    <row r="308" spans="1:21" ht="15.75" hidden="1" thickBot="1">
      <c r="A308" s="389"/>
      <c r="B308" s="506"/>
      <c r="C308" s="48" t="s">
        <v>263</v>
      </c>
      <c r="D308" s="37"/>
      <c r="E308" s="41">
        <v>6.7838000000000003</v>
      </c>
      <c r="F308" s="41">
        <f>+E308</f>
        <v>6.7838000000000003</v>
      </c>
      <c r="G308" s="39">
        <f>ROUND(D308*E308,2)</f>
        <v>0</v>
      </c>
      <c r="H308" s="432"/>
      <c r="I308" s="362"/>
      <c r="J308" s="207"/>
      <c r="K308" s="1023"/>
      <c r="L308" s="517"/>
      <c r="M308" s="520"/>
      <c r="N308" s="521"/>
      <c r="O308" s="522"/>
      <c r="P308" s="523"/>
      <c r="Q308" s="362"/>
      <c r="U308" s="33"/>
    </row>
    <row r="309" spans="1:21" ht="15.75" hidden="1" thickBot="1">
      <c r="A309" s="411"/>
      <c r="B309" s="526"/>
      <c r="C309" s="99" t="s">
        <v>29</v>
      </c>
      <c r="D309" s="55"/>
      <c r="E309" s="1012">
        <v>6.7838000000000003</v>
      </c>
      <c r="F309" s="281">
        <f>+E309</f>
        <v>6.7838000000000003</v>
      </c>
      <c r="G309" s="58">
        <f>ROUND(D309*E309,2)</f>
        <v>0</v>
      </c>
      <c r="H309" s="248"/>
      <c r="I309" s="203"/>
      <c r="J309" s="60"/>
      <c r="K309" s="1024"/>
      <c r="L309" s="249"/>
      <c r="M309" s="54"/>
      <c r="N309" s="521"/>
      <c r="O309" s="528"/>
      <c r="P309" s="529" t="s">
        <v>87</v>
      </c>
      <c r="Q309" s="362">
        <f>+G309+J309-M309-N309-O309</f>
        <v>0</v>
      </c>
    </row>
    <row r="310" spans="1:21" ht="15.75" collapsed="1" thickTop="1">
      <c r="A310" s="389">
        <v>100</v>
      </c>
      <c r="B310" s="494" t="s">
        <v>303</v>
      </c>
      <c r="C310" s="71" t="s">
        <v>73</v>
      </c>
      <c r="D310" s="495">
        <v>1</v>
      </c>
      <c r="E310" s="21">
        <v>40.556600000000003</v>
      </c>
      <c r="F310" s="21">
        <v>47.5304</v>
      </c>
      <c r="G310" s="185">
        <f>ROUND(D310*(E310+F310),2)</f>
        <v>88.09</v>
      </c>
      <c r="H310" s="496"/>
      <c r="I310" s="73"/>
      <c r="J310" s="73"/>
      <c r="K310" s="679"/>
      <c r="L310" s="498">
        <f>SUM(G310:G316)+SUM(J310:J315)</f>
        <v>2066.1400000000003</v>
      </c>
      <c r="M310" s="26">
        <v>2066.14</v>
      </c>
      <c r="N310" s="594"/>
      <c r="O310" s="535"/>
      <c r="P310" s="536" t="s">
        <v>87</v>
      </c>
      <c r="Q310" s="595" t="e">
        <f>C310+G310+J310-M310-N310-O310</f>
        <v>#VALUE!</v>
      </c>
      <c r="R310" s="502" t="s">
        <v>88</v>
      </c>
      <c r="S310" s="503"/>
      <c r="T310" s="504"/>
      <c r="U310" s="33">
        <f>+M310-L310</f>
        <v>0</v>
      </c>
    </row>
    <row r="311" spans="1:21">
      <c r="A311" s="389"/>
      <c r="B311" s="999"/>
      <c r="C311" s="542" t="s">
        <v>264</v>
      </c>
      <c r="D311" s="508"/>
      <c r="E311" s="38"/>
      <c r="F311" s="38"/>
      <c r="G311" s="50">
        <f>ROUND(D311*(E311+F311),2)</f>
        <v>0</v>
      </c>
      <c r="H311" s="596"/>
      <c r="I311" s="409"/>
      <c r="J311" s="509"/>
      <c r="K311" s="1025"/>
      <c r="L311" s="511"/>
      <c r="M311" s="99"/>
      <c r="N311" s="513"/>
      <c r="O311" s="514"/>
      <c r="P311" s="515"/>
      <c r="Q311" s="262"/>
      <c r="R311" s="502"/>
      <c r="S311" s="503"/>
      <c r="T311" s="504"/>
    </row>
    <row r="312" spans="1:21">
      <c r="A312" s="389"/>
      <c r="B312" s="516" t="s">
        <v>103</v>
      </c>
      <c r="C312" s="99" t="s">
        <v>90</v>
      </c>
      <c r="D312" s="508">
        <v>0</v>
      </c>
      <c r="E312" s="101">
        <v>347.06</v>
      </c>
      <c r="F312" s="38">
        <f>F310</f>
        <v>47.5304</v>
      </c>
      <c r="G312" s="50">
        <f>ROUND(D312*(E312+F312),2)</f>
        <v>0</v>
      </c>
      <c r="H312" s="270"/>
      <c r="I312" s="41"/>
      <c r="J312" s="409"/>
      <c r="K312" s="1026"/>
      <c r="L312" s="597"/>
      <c r="M312" s="99"/>
      <c r="N312" s="518"/>
      <c r="O312" s="519"/>
      <c r="P312" s="515" t="s">
        <v>87</v>
      </c>
      <c r="Q312" s="271">
        <f>+G312+J312-M312-N312-O312</f>
        <v>0</v>
      </c>
      <c r="R312" s="502" t="s">
        <v>88</v>
      </c>
      <c r="S312" s="503"/>
      <c r="T312" s="504"/>
    </row>
    <row r="313" spans="1:21">
      <c r="A313" s="389"/>
      <c r="B313" s="506"/>
      <c r="C313" s="390" t="s">
        <v>97</v>
      </c>
      <c r="D313" s="508">
        <f>дек18!D300</f>
        <v>0</v>
      </c>
      <c r="E313" s="41">
        <f>347.06-330.44</f>
        <v>16.620000000000005</v>
      </c>
      <c r="F313" s="38"/>
      <c r="G313" s="50">
        <f>D313*(E313+F313)</f>
        <v>0</v>
      </c>
      <c r="H313" s="432"/>
      <c r="I313" s="362"/>
      <c r="J313" s="41"/>
      <c r="K313" s="1026"/>
      <c r="L313" s="597"/>
      <c r="M313" s="99"/>
      <c r="N313" s="521"/>
      <c r="O313" s="522"/>
      <c r="P313" s="523"/>
      <c r="Q313" s="362"/>
      <c r="R313" s="502"/>
      <c r="S313" s="503"/>
      <c r="T313" s="504"/>
    </row>
    <row r="314" spans="1:21">
      <c r="A314" s="389"/>
      <c r="B314" s="506"/>
      <c r="C314" s="48" t="s">
        <v>260</v>
      </c>
      <c r="D314" s="37">
        <f>дек18!D303+дек18!D304</f>
        <v>146.19999999999999</v>
      </c>
      <c r="E314" s="41">
        <f>6.7838-7.0643</f>
        <v>-0.28049999999999997</v>
      </c>
      <c r="F314" s="297">
        <f t="shared" ref="F314:F316" si="58">+E314</f>
        <v>-0.28049999999999997</v>
      </c>
      <c r="G314" s="39">
        <f>ROUND(D314*(E314+F314)/2,2)</f>
        <v>-41.01</v>
      </c>
      <c r="H314" s="432"/>
      <c r="I314" s="362"/>
      <c r="J314" s="41"/>
      <c r="K314" s="1026"/>
      <c r="L314" s="597"/>
      <c r="M314" s="99"/>
      <c r="N314" s="521"/>
      <c r="O314" s="522"/>
      <c r="P314" s="523"/>
      <c r="Q314" s="362"/>
      <c r="R314" s="502"/>
      <c r="S314" s="503"/>
      <c r="T314" s="504"/>
    </row>
    <row r="315" spans="1:21">
      <c r="A315" s="389"/>
      <c r="B315" s="506"/>
      <c r="C315" s="48" t="s">
        <v>263</v>
      </c>
      <c r="D315" s="37">
        <v>12.63</v>
      </c>
      <c r="E315" s="41">
        <v>6.7838000000000003</v>
      </c>
      <c r="F315" s="298">
        <f t="shared" si="58"/>
        <v>6.7838000000000003</v>
      </c>
      <c r="G315" s="39">
        <f>ROUND(D315*E315,2)</f>
        <v>85.68</v>
      </c>
      <c r="H315" s="432"/>
      <c r="I315" s="362"/>
      <c r="J315" s="41"/>
      <c r="K315" s="1026"/>
      <c r="L315" s="597"/>
      <c r="M315" s="99"/>
      <c r="N315" s="521"/>
      <c r="O315" s="522"/>
      <c r="P315" s="523"/>
      <c r="Q315" s="362"/>
      <c r="R315" s="502"/>
      <c r="S315" s="503"/>
      <c r="T315" s="504"/>
    </row>
    <row r="316" spans="1:21" ht="15.75" thickBot="1">
      <c r="A316" s="369"/>
      <c r="B316" s="526"/>
      <c r="C316" s="99" t="s">
        <v>29</v>
      </c>
      <c r="D316" s="55">
        <v>285</v>
      </c>
      <c r="E316" s="56">
        <v>6.7838000000000003</v>
      </c>
      <c r="F316" s="57">
        <f t="shared" si="58"/>
        <v>6.7838000000000003</v>
      </c>
      <c r="G316" s="414">
        <f>ROUND(D316*E316,2)</f>
        <v>1933.38</v>
      </c>
      <c r="H316" s="248"/>
      <c r="I316" s="203"/>
      <c r="J316" s="60"/>
      <c r="K316" s="1024"/>
      <c r="L316" s="249"/>
      <c r="M316" s="54"/>
      <c r="N316" s="527"/>
      <c r="O316" s="528"/>
      <c r="P316" s="529" t="s">
        <v>87</v>
      </c>
      <c r="Q316" s="58">
        <f>+G316+J316-M316-N316-O316</f>
        <v>1933.38</v>
      </c>
      <c r="R316" s="502" t="s">
        <v>88</v>
      </c>
      <c r="S316" s="598">
        <f>SUM(N310:N316)+O310:O316</f>
        <v>0</v>
      </c>
      <c r="T316" s="598" t="e">
        <f>SUM(Q310:Q316)</f>
        <v>#VALUE!</v>
      </c>
    </row>
    <row r="317" spans="1:21" ht="15.75" collapsed="1" thickTop="1">
      <c r="A317" s="389">
        <v>113</v>
      </c>
      <c r="B317" s="494" t="s">
        <v>250</v>
      </c>
      <c r="C317" s="71" t="s">
        <v>73</v>
      </c>
      <c r="D317" s="495">
        <v>14</v>
      </c>
      <c r="E317" s="21">
        <v>40.556600000000003</v>
      </c>
      <c r="F317" s="21">
        <v>47.5304</v>
      </c>
      <c r="G317" s="185">
        <f>ROUND(D317*(E317+F317),2)</f>
        <v>1233.22</v>
      </c>
      <c r="H317" s="496"/>
      <c r="I317" s="73"/>
      <c r="J317" s="73"/>
      <c r="K317" s="679"/>
      <c r="L317" s="498">
        <f>SUM(G317:G323)+SUM(J317:J322)</f>
        <v>22444.959999999999</v>
      </c>
      <c r="M317" s="26">
        <v>22444.959999999999</v>
      </c>
      <c r="N317" s="594"/>
      <c r="O317" s="535"/>
      <c r="P317" s="536" t="s">
        <v>87</v>
      </c>
      <c r="Q317" s="595" t="e">
        <f>C317+G317+J317-M317-N317-O317</f>
        <v>#VALUE!</v>
      </c>
      <c r="R317" s="502" t="s">
        <v>88</v>
      </c>
      <c r="S317" s="503"/>
      <c r="T317" s="504"/>
      <c r="U317" s="33">
        <f>+M317-L317</f>
        <v>0</v>
      </c>
    </row>
    <row r="318" spans="1:21">
      <c r="A318" s="389"/>
      <c r="B318" s="506"/>
      <c r="C318" s="542" t="s">
        <v>264</v>
      </c>
      <c r="D318" s="508"/>
      <c r="E318" s="38"/>
      <c r="F318" s="38"/>
      <c r="G318" s="50">
        <f>ROUND(D318*(E318+F318),2)</f>
        <v>0</v>
      </c>
      <c r="H318" s="596"/>
      <c r="I318" s="409"/>
      <c r="J318" s="509"/>
      <c r="K318" s="1025"/>
      <c r="L318" s="511"/>
      <c r="M318" s="99"/>
      <c r="N318" s="513"/>
      <c r="O318" s="514"/>
      <c r="P318" s="515"/>
      <c r="Q318" s="262"/>
      <c r="R318" s="502"/>
      <c r="S318" s="503"/>
      <c r="T318" s="504"/>
    </row>
    <row r="319" spans="1:21">
      <c r="A319" s="389"/>
      <c r="B319" s="516" t="s">
        <v>103</v>
      </c>
      <c r="C319" s="99" t="s">
        <v>90</v>
      </c>
      <c r="D319" s="508">
        <v>0</v>
      </c>
      <c r="E319" s="101">
        <v>347.06</v>
      </c>
      <c r="F319" s="38">
        <f>F317</f>
        <v>47.5304</v>
      </c>
      <c r="G319" s="50">
        <f>ROUND(D319*(E319+F319),2)</f>
        <v>0</v>
      </c>
      <c r="H319" s="270"/>
      <c r="I319" s="41"/>
      <c r="J319" s="409"/>
      <c r="K319" s="1026"/>
      <c r="L319" s="597"/>
      <c r="M319" s="99"/>
      <c r="N319" s="518"/>
      <c r="O319" s="519"/>
      <c r="P319" s="515" t="s">
        <v>87</v>
      </c>
      <c r="Q319" s="271">
        <f>+G319+J319-M319-N319-O319</f>
        <v>0</v>
      </c>
      <c r="R319" s="502" t="s">
        <v>88</v>
      </c>
      <c r="S319" s="503"/>
      <c r="T319" s="504"/>
    </row>
    <row r="320" spans="1:21">
      <c r="A320" s="389"/>
      <c r="B320" s="506"/>
      <c r="C320" s="390" t="s">
        <v>97</v>
      </c>
      <c r="D320" s="508">
        <f>дек18!D307</f>
        <v>15</v>
      </c>
      <c r="E320" s="41">
        <f>347.06-330.44</f>
        <v>16.620000000000005</v>
      </c>
      <c r="F320" s="38"/>
      <c r="G320" s="50">
        <f>D320*(E320+F320)</f>
        <v>249.30000000000007</v>
      </c>
      <c r="H320" s="432"/>
      <c r="I320" s="362"/>
      <c r="J320" s="41"/>
      <c r="K320" s="1026"/>
      <c r="L320" s="597"/>
      <c r="M320" s="99"/>
      <c r="N320" s="521"/>
      <c r="O320" s="522"/>
      <c r="P320" s="523"/>
      <c r="Q320" s="362"/>
      <c r="R320" s="502"/>
      <c r="S320" s="503"/>
      <c r="T320" s="504"/>
    </row>
    <row r="321" spans="1:20">
      <c r="A321" s="389"/>
      <c r="B321" s="506"/>
      <c r="C321" s="48" t="s">
        <v>260</v>
      </c>
      <c r="D321" s="37">
        <f>дек18!D310+дек18!D311</f>
        <v>3384.58</v>
      </c>
      <c r="E321" s="41">
        <f>6.7838-7.0643</f>
        <v>-0.28049999999999997</v>
      </c>
      <c r="F321" s="297">
        <f t="shared" ref="F321:F323" si="59">+E321</f>
        <v>-0.28049999999999997</v>
      </c>
      <c r="G321" s="39">
        <f>ROUND(D321*(E321+F321)/2,2)</f>
        <v>-949.37</v>
      </c>
      <c r="H321" s="432"/>
      <c r="I321" s="362"/>
      <c r="J321" s="41"/>
      <c r="K321" s="1026"/>
      <c r="L321" s="597"/>
      <c r="M321" s="99"/>
      <c r="N321" s="521"/>
      <c r="O321" s="522"/>
      <c r="P321" s="523"/>
      <c r="Q321" s="362"/>
      <c r="R321" s="502"/>
      <c r="S321" s="503"/>
      <c r="T321" s="504"/>
    </row>
    <row r="322" spans="1:20">
      <c r="A322" s="389"/>
      <c r="B322" s="506"/>
      <c r="C322" s="48" t="s">
        <v>263</v>
      </c>
      <c r="D322" s="37">
        <f>62.6+74.42</f>
        <v>137.02000000000001</v>
      </c>
      <c r="E322" s="41">
        <v>6.7838000000000003</v>
      </c>
      <c r="F322" s="298">
        <f t="shared" si="59"/>
        <v>6.7838000000000003</v>
      </c>
      <c r="G322" s="39">
        <f>ROUND(D322*E322,2)</f>
        <v>929.52</v>
      </c>
      <c r="H322" s="432"/>
      <c r="I322" s="362"/>
      <c r="J322" s="41"/>
      <c r="K322" s="1026"/>
      <c r="L322" s="597"/>
      <c r="M322" s="99"/>
      <c r="N322" s="521"/>
      <c r="O322" s="522"/>
      <c r="P322" s="523"/>
      <c r="Q322" s="362"/>
      <c r="R322" s="502"/>
      <c r="S322" s="503"/>
      <c r="T322" s="504"/>
    </row>
    <row r="323" spans="1:20" ht="15.75" thickBot="1">
      <c r="A323" s="369"/>
      <c r="B323" s="526"/>
      <c r="C323" s="99" t="s">
        <v>29</v>
      </c>
      <c r="D323" s="55">
        <f>1413+1680</f>
        <v>3093</v>
      </c>
      <c r="E323" s="56">
        <v>6.7838000000000003</v>
      </c>
      <c r="F323" s="57">
        <f t="shared" si="59"/>
        <v>6.7838000000000003</v>
      </c>
      <c r="G323" s="414">
        <f>ROUND(D323*E323,2)</f>
        <v>20982.29</v>
      </c>
      <c r="H323" s="248"/>
      <c r="I323" s="203"/>
      <c r="J323" s="60"/>
      <c r="K323" s="1024"/>
      <c r="L323" s="249"/>
      <c r="M323" s="54"/>
      <c r="N323" s="527"/>
      <c r="O323" s="528"/>
      <c r="P323" s="529" t="s">
        <v>87</v>
      </c>
      <c r="Q323" s="58">
        <f>+G323+J323-M323-N323-O323</f>
        <v>20982.29</v>
      </c>
      <c r="R323" s="502" t="s">
        <v>88</v>
      </c>
      <c r="S323" s="598">
        <f>SUM(N317:N323)+O317:O323</f>
        <v>0</v>
      </c>
      <c r="T323" s="598" t="e">
        <f>SUM(Q317:Q323)</f>
        <v>#VALUE!</v>
      </c>
    </row>
    <row r="324" spans="1:20">
      <c r="A324" s="376" t="s">
        <v>208</v>
      </c>
      <c r="B324" s="602" t="s">
        <v>213</v>
      </c>
      <c r="C324" s="439" t="s">
        <v>260</v>
      </c>
      <c r="D324" s="184">
        <f>дек18!D313+дек18!D314</f>
        <v>183.8</v>
      </c>
      <c r="E324" s="41">
        <f>6.7838-7.0643</f>
        <v>-0.28049999999999997</v>
      </c>
      <c r="F324" s="23">
        <f>+E324</f>
        <v>-0.28049999999999997</v>
      </c>
      <c r="G324" s="185">
        <f>ROUND(D324*(E324),2)</f>
        <v>-51.56</v>
      </c>
      <c r="H324" s="620"/>
      <c r="I324" s="620"/>
      <c r="J324" s="620"/>
      <c r="K324" s="1020"/>
      <c r="L324" s="603">
        <f>SUM(G324:G326)</f>
        <v>1230.7199999999998</v>
      </c>
      <c r="M324" s="187">
        <v>1230.72</v>
      </c>
      <c r="N324" s="615"/>
      <c r="O324" s="615"/>
      <c r="P324" s="615"/>
      <c r="Q324" s="615"/>
    </row>
    <row r="325" spans="1:20">
      <c r="A325" s="934"/>
      <c r="B325" s="506"/>
      <c r="C325" s="48" t="s">
        <v>263</v>
      </c>
      <c r="D325" s="49">
        <v>8.02</v>
      </c>
      <c r="E325" s="41">
        <v>6.7838000000000003</v>
      </c>
      <c r="F325" s="41">
        <f>+E325</f>
        <v>6.7838000000000003</v>
      </c>
      <c r="G325" s="50">
        <f>ROUND(D325*(E325),2)</f>
        <v>54.41</v>
      </c>
      <c r="H325" s="296"/>
      <c r="I325" s="298"/>
      <c r="J325" s="298"/>
      <c r="K325" s="1021"/>
      <c r="L325" s="606"/>
      <c r="M325" s="935"/>
      <c r="N325" s="615"/>
      <c r="O325" s="615"/>
      <c r="P325" s="615"/>
      <c r="Q325" s="615"/>
    </row>
    <row r="326" spans="1:20" ht="15.75" thickBot="1">
      <c r="A326" s="934"/>
      <c r="B326" s="506"/>
      <c r="C326" s="54" t="s">
        <v>29</v>
      </c>
      <c r="D326" s="296">
        <v>181</v>
      </c>
      <c r="E326" s="56">
        <v>6.7838000000000003</v>
      </c>
      <c r="F326" s="41">
        <f>+E326</f>
        <v>6.7838000000000003</v>
      </c>
      <c r="G326" s="50">
        <f t="shared" ref="G326" si="60">ROUND(D326*(E326),2)</f>
        <v>1227.8699999999999</v>
      </c>
      <c r="H326" s="296"/>
      <c r="I326" s="298"/>
      <c r="J326" s="298"/>
      <c r="K326" s="1021"/>
      <c r="L326" s="614"/>
      <c r="M326" s="935"/>
      <c r="N326" s="615"/>
      <c r="O326" s="615"/>
      <c r="P326" s="615"/>
      <c r="Q326" s="615"/>
    </row>
    <row r="327" spans="1:20" ht="15.75" hidden="1" thickBot="1">
      <c r="A327" s="376">
        <v>201</v>
      </c>
      <c r="B327" s="602" t="s">
        <v>107</v>
      </c>
      <c r="C327" s="618" t="s">
        <v>73</v>
      </c>
      <c r="D327" s="619"/>
      <c r="E327" s="21">
        <v>40.556600000000003</v>
      </c>
      <c r="F327" s="21">
        <v>47.5304</v>
      </c>
      <c r="G327" s="185">
        <f>ROUND(D327*(E327+F327),2)</f>
        <v>0</v>
      </c>
      <c r="H327" s="620"/>
      <c r="I327" s="620"/>
      <c r="J327" s="620"/>
      <c r="K327" s="454"/>
      <c r="L327" s="603">
        <f>SUM(G327:G331,J327:J331)</f>
        <v>0.01</v>
      </c>
      <c r="M327" s="187"/>
      <c r="N327" s="621"/>
      <c r="O327" s="621"/>
      <c r="P327" s="621"/>
      <c r="Q327" s="622"/>
    </row>
    <row r="328" spans="1:20" ht="15.75" hidden="1" thickBot="1">
      <c r="A328" s="936"/>
      <c r="B328" s="612"/>
      <c r="C328" s="542" t="s">
        <v>96</v>
      </c>
      <c r="D328" s="234"/>
      <c r="E328" s="38"/>
      <c r="F328" s="38"/>
      <c r="G328" s="235">
        <f>ROUND(D328*(E328+F328),2)</f>
        <v>0</v>
      </c>
      <c r="H328" s="298"/>
      <c r="I328" s="298"/>
      <c r="J328" s="298"/>
      <c r="K328" s="455"/>
      <c r="L328" s="606"/>
      <c r="M328" s="935"/>
      <c r="N328" s="615"/>
      <c r="O328" s="615"/>
      <c r="P328" s="615"/>
      <c r="Q328" s="616"/>
    </row>
    <row r="329" spans="1:20" ht="15.75" hidden="1" thickBot="1">
      <c r="A329" s="936"/>
      <c r="B329" s="612"/>
      <c r="C329" s="48" t="s">
        <v>260</v>
      </c>
      <c r="D329" s="623"/>
      <c r="E329" s="41">
        <f>7.332-6.6439</f>
        <v>0.68809999999999949</v>
      </c>
      <c r="F329" s="41">
        <f t="shared" ref="F329:F337" si="61">+E329</f>
        <v>0.68809999999999949</v>
      </c>
      <c r="G329" s="50">
        <f>ROUND(D329*(E329),2)+0.01</f>
        <v>0.01</v>
      </c>
      <c r="H329" s="298"/>
      <c r="I329" s="298"/>
      <c r="J329" s="298"/>
      <c r="K329" s="455"/>
      <c r="L329" s="614"/>
      <c r="M329" s="935"/>
      <c r="N329" s="615"/>
      <c r="O329" s="615"/>
      <c r="P329" s="615"/>
      <c r="Q329" s="616"/>
    </row>
    <row r="330" spans="1:20" ht="15.75" hidden="1" thickBot="1">
      <c r="A330" s="936"/>
      <c r="B330" s="612"/>
      <c r="C330" s="48" t="s">
        <v>263</v>
      </c>
      <c r="D330" s="623"/>
      <c r="E330" s="41">
        <v>7.3319999999999999</v>
      </c>
      <c r="F330" s="41">
        <f t="shared" si="61"/>
        <v>7.3319999999999999</v>
      </c>
      <c r="G330" s="39">
        <f t="shared" ref="G330:G340" si="62">ROUND(D330*(E330),2)</f>
        <v>0</v>
      </c>
      <c r="H330" s="298"/>
      <c r="I330" s="298"/>
      <c r="J330" s="298"/>
      <c r="K330" s="455"/>
      <c r="L330" s="614"/>
      <c r="M330" s="273"/>
      <c r="N330" s="615"/>
      <c r="O330" s="615"/>
      <c r="P330" s="615"/>
      <c r="Q330" s="616"/>
    </row>
    <row r="331" spans="1:20" ht="15.75" hidden="1" thickBot="1">
      <c r="A331" s="937"/>
      <c r="B331" s="526"/>
      <c r="C331" s="99" t="s">
        <v>29</v>
      </c>
      <c r="D331" s="625"/>
      <c r="E331" s="56">
        <v>7.3319999999999999</v>
      </c>
      <c r="F331" s="281">
        <f t="shared" si="61"/>
        <v>7.3319999999999999</v>
      </c>
      <c r="G331" s="414">
        <f t="shared" si="62"/>
        <v>0</v>
      </c>
      <c r="H331" s="41"/>
      <c r="I331" s="41"/>
      <c r="J331" s="281"/>
      <c r="K331" s="56"/>
      <c r="L331" s="784"/>
      <c r="M331" s="938"/>
      <c r="N331" s="626"/>
      <c r="O331" s="626"/>
      <c r="P331" s="626"/>
      <c r="Q331" s="627"/>
    </row>
    <row r="332" spans="1:20">
      <c r="A332" s="376">
        <v>203</v>
      </c>
      <c r="B332" s="602" t="s">
        <v>301</v>
      </c>
      <c r="C332" s="439" t="s">
        <v>260</v>
      </c>
      <c r="D332" s="184">
        <f>дек18!D321+дек18!D322</f>
        <v>154.56</v>
      </c>
      <c r="E332" s="41">
        <f>6.7838-7.0643</f>
        <v>-0.28049999999999997</v>
      </c>
      <c r="F332" s="23">
        <f t="shared" si="61"/>
        <v>-0.28049999999999997</v>
      </c>
      <c r="G332" s="185">
        <f>ROUND(D332*(E332),2)-0.01</f>
        <v>-43.36</v>
      </c>
      <c r="H332" s="620"/>
      <c r="I332" s="620"/>
      <c r="J332" s="620"/>
      <c r="K332" s="1020"/>
      <c r="L332" s="603">
        <f>SUM(G332:G334)</f>
        <v>1090.1500000000001</v>
      </c>
      <c r="M332" s="187">
        <v>1090.1500000000001</v>
      </c>
      <c r="N332" s="615"/>
      <c r="O332" s="615"/>
      <c r="P332" s="615"/>
      <c r="Q332" s="615"/>
    </row>
    <row r="333" spans="1:20">
      <c r="A333" s="934"/>
      <c r="B333" s="506"/>
      <c r="C333" s="48" t="s">
        <v>263</v>
      </c>
      <c r="D333" s="49">
        <v>7.09</v>
      </c>
      <c r="E333" s="41">
        <v>6.7838000000000003</v>
      </c>
      <c r="F333" s="41">
        <f t="shared" si="61"/>
        <v>6.7838000000000003</v>
      </c>
      <c r="G333" s="50">
        <f>ROUND(D333*(E333),2)</f>
        <v>48.1</v>
      </c>
      <c r="H333" s="296"/>
      <c r="I333" s="298"/>
      <c r="J333" s="298"/>
      <c r="K333" s="1021"/>
      <c r="L333" s="606"/>
      <c r="M333" s="935"/>
      <c r="N333" s="615"/>
      <c r="O333" s="615"/>
      <c r="P333" s="615"/>
      <c r="Q333" s="615"/>
    </row>
    <row r="334" spans="1:20" ht="15.75" thickBot="1">
      <c r="A334" s="934"/>
      <c r="B334" s="506"/>
      <c r="C334" s="54" t="s">
        <v>29</v>
      </c>
      <c r="D334" s="296">
        <v>160</v>
      </c>
      <c r="E334" s="56">
        <v>6.7838000000000003</v>
      </c>
      <c r="F334" s="41">
        <f t="shared" si="61"/>
        <v>6.7838000000000003</v>
      </c>
      <c r="G334" s="50">
        <f t="shared" ref="G334" si="63">ROUND(D334*(E334),2)</f>
        <v>1085.4100000000001</v>
      </c>
      <c r="H334" s="296"/>
      <c r="I334" s="298"/>
      <c r="J334" s="298"/>
      <c r="K334" s="1021"/>
      <c r="L334" s="614"/>
      <c r="M334" s="935"/>
      <c r="N334" s="615"/>
      <c r="O334" s="615"/>
      <c r="P334" s="615"/>
      <c r="Q334" s="615"/>
    </row>
    <row r="335" spans="1:20">
      <c r="A335" s="376">
        <v>301</v>
      </c>
      <c r="B335" s="602" t="s">
        <v>106</v>
      </c>
      <c r="C335" s="48" t="s">
        <v>260</v>
      </c>
      <c r="D335" s="184">
        <f>дек18!D324+дек18!D325</f>
        <v>953.45</v>
      </c>
      <c r="E335" s="41">
        <f>6.7838-7.0643</f>
        <v>-0.28049999999999997</v>
      </c>
      <c r="F335" s="23">
        <f t="shared" si="61"/>
        <v>-0.28049999999999997</v>
      </c>
      <c r="G335" s="185">
        <f>ROUND(D335*(E335),2)-0.01</f>
        <v>-267.45</v>
      </c>
      <c r="H335" s="23"/>
      <c r="I335" s="23"/>
      <c r="J335" s="23"/>
      <c r="K335" s="341"/>
      <c r="L335" s="603">
        <f>SUM(G335:G337)</f>
        <v>5364.6</v>
      </c>
      <c r="M335" s="187">
        <v>5364.6</v>
      </c>
      <c r="N335" s="604"/>
      <c r="O335" s="500"/>
      <c r="P335" s="501"/>
      <c r="Q335" s="605"/>
    </row>
    <row r="336" spans="1:20">
      <c r="A336" s="389"/>
      <c r="B336" s="506"/>
      <c r="C336" s="48" t="s">
        <v>263</v>
      </c>
      <c r="D336" s="49">
        <v>35.22</v>
      </c>
      <c r="E336" s="41">
        <v>6.7838000000000003</v>
      </c>
      <c r="F336" s="41">
        <f t="shared" si="61"/>
        <v>6.7838000000000003</v>
      </c>
      <c r="G336" s="50">
        <f t="shared" si="62"/>
        <v>238.93</v>
      </c>
      <c r="H336" s="41"/>
      <c r="I336" s="41"/>
      <c r="J336" s="41"/>
      <c r="K336" s="101"/>
      <c r="L336" s="606"/>
      <c r="M336" s="935"/>
      <c r="N336" s="607"/>
      <c r="O336" s="608"/>
      <c r="P336" s="609"/>
      <c r="Q336" s="610"/>
    </row>
    <row r="337" spans="1:17" ht="15.75" thickBot="1">
      <c r="A337" s="936"/>
      <c r="B337" s="612"/>
      <c r="C337" s="99" t="s">
        <v>29</v>
      </c>
      <c r="D337" s="613">
        <v>795</v>
      </c>
      <c r="E337" s="56">
        <v>6.7838000000000003</v>
      </c>
      <c r="F337" s="281">
        <f t="shared" si="61"/>
        <v>6.7838000000000003</v>
      </c>
      <c r="G337" s="58">
        <f t="shared" si="62"/>
        <v>5393.12</v>
      </c>
      <c r="H337" s="57"/>
      <c r="I337" s="57"/>
      <c r="J337" s="57"/>
      <c r="K337" s="1018"/>
      <c r="L337" s="614"/>
      <c r="M337" s="935"/>
      <c r="N337" s="615"/>
      <c r="O337" s="615"/>
      <c r="P337" s="615"/>
      <c r="Q337" s="616"/>
    </row>
    <row r="338" spans="1:17" ht="15.75" hidden="1" thickBot="1">
      <c r="A338" s="447" t="s">
        <v>205</v>
      </c>
      <c r="B338" s="602" t="s">
        <v>183</v>
      </c>
      <c r="C338" s="439" t="s">
        <v>260</v>
      </c>
      <c r="D338" s="184"/>
      <c r="E338" s="41">
        <f>7.332-6.6439</f>
        <v>0.68809999999999949</v>
      </c>
      <c r="F338" s="23">
        <f>+E338</f>
        <v>0.68809999999999949</v>
      </c>
      <c r="G338" s="185">
        <f>ROUND(D338*(E338),2)-0.01</f>
        <v>-0.01</v>
      </c>
      <c r="H338" s="620"/>
      <c r="I338" s="620"/>
      <c r="J338" s="620"/>
      <c r="K338" s="1020"/>
      <c r="L338" s="603">
        <f>SUM(G338:G340)</f>
        <v>-0.01</v>
      </c>
      <c r="M338" s="187"/>
      <c r="N338" s="604"/>
      <c r="O338" s="635"/>
      <c r="P338" s="636"/>
      <c r="Q338" s="605"/>
    </row>
    <row r="339" spans="1:17" ht="15.75" hidden="1" thickBot="1">
      <c r="A339" s="450" t="s">
        <v>206</v>
      </c>
      <c r="B339" s="506"/>
      <c r="C339" s="48" t="s">
        <v>263</v>
      </c>
      <c r="D339" s="49"/>
      <c r="E339" s="41">
        <v>7.3319999999999999</v>
      </c>
      <c r="F339" s="41">
        <f>+E339</f>
        <v>7.3319999999999999</v>
      </c>
      <c r="G339" s="50">
        <f t="shared" si="62"/>
        <v>0</v>
      </c>
      <c r="H339" s="296"/>
      <c r="I339" s="298"/>
      <c r="J339" s="298"/>
      <c r="K339" s="1021"/>
      <c r="L339" s="606"/>
      <c r="M339" s="935"/>
      <c r="N339" s="607"/>
      <c r="O339" s="608"/>
      <c r="P339" s="609"/>
      <c r="Q339" s="610"/>
    </row>
    <row r="340" spans="1:17" ht="15.75" hidden="1" thickBot="1">
      <c r="A340" s="451">
        <v>305</v>
      </c>
      <c r="B340" s="506"/>
      <c r="C340" s="54" t="s">
        <v>29</v>
      </c>
      <c r="D340" s="296"/>
      <c r="E340" s="56">
        <v>7.3319999999999999</v>
      </c>
      <c r="F340" s="41">
        <f t="shared" ref="F340:F344" si="64">+E340</f>
        <v>7.3319999999999999</v>
      </c>
      <c r="G340" s="50">
        <f t="shared" si="62"/>
        <v>0</v>
      </c>
      <c r="H340" s="296"/>
      <c r="I340" s="298"/>
      <c r="J340" s="298"/>
      <c r="K340" s="1021"/>
      <c r="L340" s="614"/>
      <c r="M340" s="935"/>
      <c r="N340" s="615"/>
      <c r="O340" s="615"/>
      <c r="P340" s="615"/>
      <c r="Q340" s="616"/>
    </row>
    <row r="341" spans="1:17">
      <c r="A341" s="376">
        <v>304</v>
      </c>
      <c r="B341" s="602" t="s">
        <v>299</v>
      </c>
      <c r="C341" s="48" t="s">
        <v>260</v>
      </c>
      <c r="D341" s="184">
        <f>дек18!D330+дек18!D331</f>
        <v>17.75</v>
      </c>
      <c r="E341" s="41">
        <f>6.7838-7.0643</f>
        <v>-0.28049999999999997</v>
      </c>
      <c r="F341" s="23">
        <f t="shared" si="64"/>
        <v>-0.28049999999999997</v>
      </c>
      <c r="G341" s="185">
        <f>ROUND(D341*(E341),2)</f>
        <v>-4.9800000000000004</v>
      </c>
      <c r="H341" s="23"/>
      <c r="I341" s="23"/>
      <c r="J341" s="23"/>
      <c r="K341" s="341"/>
      <c r="L341" s="603">
        <f>SUM(G341:G343)</f>
        <v>122.56</v>
      </c>
      <c r="M341" s="187">
        <v>122.56</v>
      </c>
      <c r="N341" s="604"/>
      <c r="O341" s="500"/>
      <c r="P341" s="501"/>
      <c r="Q341" s="605"/>
    </row>
    <row r="342" spans="1:17">
      <c r="A342" s="389"/>
      <c r="B342" s="506"/>
      <c r="C342" s="48" t="s">
        <v>263</v>
      </c>
      <c r="D342" s="49">
        <v>0.8</v>
      </c>
      <c r="E342" s="41">
        <v>6.7838000000000003</v>
      </c>
      <c r="F342" s="41">
        <f t="shared" si="64"/>
        <v>6.7838000000000003</v>
      </c>
      <c r="G342" s="50">
        <f t="shared" ref="G342:G343" si="65">ROUND(D342*(E342),2)</f>
        <v>5.43</v>
      </c>
      <c r="H342" s="41"/>
      <c r="I342" s="41"/>
      <c r="J342" s="41"/>
      <c r="K342" s="101"/>
      <c r="L342" s="606"/>
      <c r="M342" s="935"/>
      <c r="N342" s="607"/>
      <c r="O342" s="608"/>
      <c r="P342" s="609"/>
      <c r="Q342" s="610"/>
    </row>
    <row r="343" spans="1:17" ht="15.75" thickBot="1">
      <c r="A343" s="936"/>
      <c r="B343" s="612"/>
      <c r="C343" s="99" t="s">
        <v>29</v>
      </c>
      <c r="D343" s="613">
        <v>18</v>
      </c>
      <c r="E343" s="56">
        <v>6.7838000000000003</v>
      </c>
      <c r="F343" s="281">
        <f t="shared" si="64"/>
        <v>6.7838000000000003</v>
      </c>
      <c r="G343" s="58">
        <f t="shared" si="65"/>
        <v>122.11</v>
      </c>
      <c r="H343" s="57"/>
      <c r="I343" s="57"/>
      <c r="J343" s="57"/>
      <c r="K343" s="1018"/>
      <c r="L343" s="614"/>
      <c r="M343" s="935"/>
      <c r="N343" s="615"/>
      <c r="O343" s="615"/>
      <c r="P343" s="615"/>
      <c r="Q343" s="616"/>
    </row>
    <row r="344" spans="1:17" collapsed="1">
      <c r="A344" s="376">
        <v>307</v>
      </c>
      <c r="B344" s="602" t="s">
        <v>251</v>
      </c>
      <c r="C344" s="439" t="s">
        <v>260</v>
      </c>
      <c r="D344" s="184">
        <f>дек18!D333+дек18!D334</f>
        <v>337.31</v>
      </c>
      <c r="E344" s="23">
        <f>6.7838-7.0643</f>
        <v>-0.28049999999999997</v>
      </c>
      <c r="F344" s="23">
        <f t="shared" si="64"/>
        <v>-0.28049999999999997</v>
      </c>
      <c r="G344" s="185">
        <f>ROUND(D344*(E344),2)</f>
        <v>-94.62</v>
      </c>
      <c r="H344" s="669"/>
      <c r="I344" s="620"/>
      <c r="J344" s="620"/>
      <c r="K344" s="1020"/>
      <c r="L344" s="603">
        <f>SUM(G344:G346)</f>
        <v>2639.9300000000003</v>
      </c>
      <c r="M344" s="187">
        <v>2639.93</v>
      </c>
      <c r="N344" s="604"/>
      <c r="O344" s="635"/>
      <c r="P344" s="636"/>
      <c r="Q344" s="605"/>
    </row>
    <row r="345" spans="1:17">
      <c r="A345" s="934"/>
      <c r="B345" s="506"/>
      <c r="C345" s="48" t="s">
        <v>263</v>
      </c>
      <c r="D345" s="49">
        <v>17.100000000000001</v>
      </c>
      <c r="E345" s="41">
        <v>6.7838000000000003</v>
      </c>
      <c r="F345" s="41">
        <f>+E345</f>
        <v>6.7838000000000003</v>
      </c>
      <c r="G345" s="50">
        <f>ROUND(D345*(E345),2)</f>
        <v>116</v>
      </c>
      <c r="H345" s="296"/>
      <c r="I345" s="298"/>
      <c r="J345" s="298"/>
      <c r="K345" s="1021"/>
      <c r="L345" s="606"/>
      <c r="M345" s="935"/>
      <c r="N345" s="607"/>
      <c r="O345" s="608"/>
      <c r="P345" s="609"/>
      <c r="Q345" s="610"/>
    </row>
    <row r="346" spans="1:17" ht="15.75" thickBot="1">
      <c r="A346" s="960"/>
      <c r="B346" s="506"/>
      <c r="C346" s="54" t="s">
        <v>29</v>
      </c>
      <c r="D346" s="296">
        <v>386</v>
      </c>
      <c r="E346" s="56">
        <v>6.7838000000000003</v>
      </c>
      <c r="F346" s="41">
        <f t="shared" ref="F346:F350" si="66">+E346</f>
        <v>6.7838000000000003</v>
      </c>
      <c r="G346" s="50">
        <f t="shared" ref="G346" si="67">ROUND(D346*(E346),2)</f>
        <v>2618.5500000000002</v>
      </c>
      <c r="H346" s="296"/>
      <c r="I346" s="298"/>
      <c r="J346" s="298"/>
      <c r="K346" s="1021"/>
      <c r="L346" s="614"/>
      <c r="M346" s="935"/>
      <c r="N346" s="615"/>
      <c r="O346" s="615"/>
      <c r="P346" s="615"/>
      <c r="Q346" s="616"/>
    </row>
    <row r="347" spans="1:17" collapsed="1">
      <c r="A347" s="376">
        <v>308</v>
      </c>
      <c r="B347" s="602" t="s">
        <v>247</v>
      </c>
      <c r="C347" s="439" t="s">
        <v>260</v>
      </c>
      <c r="D347" s="184">
        <f>дек18!D336+дек18!D337</f>
        <v>367.59</v>
      </c>
      <c r="E347" s="23">
        <f>6.7838-7.0643</f>
        <v>-0.28049999999999997</v>
      </c>
      <c r="F347" s="23">
        <f t="shared" si="66"/>
        <v>-0.28049999999999997</v>
      </c>
      <c r="G347" s="185">
        <f>ROUND(D347*(E347),2)+0.01</f>
        <v>-103.1</v>
      </c>
      <c r="H347" s="669"/>
      <c r="I347" s="620"/>
      <c r="J347" s="620"/>
      <c r="K347" s="1020"/>
      <c r="L347" s="603">
        <f>SUM(G347:G349)</f>
        <v>2376.44</v>
      </c>
      <c r="M347" s="187">
        <v>2376.44</v>
      </c>
      <c r="N347" s="604"/>
      <c r="O347" s="635"/>
      <c r="P347" s="636"/>
      <c r="Q347" s="605"/>
    </row>
    <row r="348" spans="1:17">
      <c r="A348" s="934"/>
      <c r="B348" s="506"/>
      <c r="C348" s="48" t="s">
        <v>263</v>
      </c>
      <c r="D348" s="49">
        <v>15.51</v>
      </c>
      <c r="E348" s="41">
        <v>6.7838000000000003</v>
      </c>
      <c r="F348" s="41">
        <f>+E348</f>
        <v>6.7838000000000003</v>
      </c>
      <c r="G348" s="50">
        <f>ROUND(D348*(E348),2)-0.01</f>
        <v>105.21</v>
      </c>
      <c r="H348" s="296"/>
      <c r="I348" s="298"/>
      <c r="J348" s="298"/>
      <c r="K348" s="1021"/>
      <c r="L348" s="606"/>
      <c r="M348" s="935"/>
      <c r="N348" s="607"/>
      <c r="O348" s="608"/>
      <c r="P348" s="609"/>
      <c r="Q348" s="610"/>
    </row>
    <row r="349" spans="1:17" ht="15.75" thickBot="1">
      <c r="A349" s="960"/>
      <c r="B349" s="506"/>
      <c r="C349" s="54" t="s">
        <v>29</v>
      </c>
      <c r="D349" s="296">
        <v>350</v>
      </c>
      <c r="E349" s="56">
        <v>6.7838000000000003</v>
      </c>
      <c r="F349" s="41">
        <f t="shared" ref="F349" si="68">+E349</f>
        <v>6.7838000000000003</v>
      </c>
      <c r="G349" s="50">
        <f t="shared" ref="G349" si="69">ROUND(D349*(E349),2)</f>
        <v>2374.33</v>
      </c>
      <c r="H349" s="296"/>
      <c r="I349" s="298"/>
      <c r="J349" s="298"/>
      <c r="K349" s="1021"/>
      <c r="L349" s="614"/>
      <c r="M349" s="935"/>
      <c r="N349" s="615"/>
      <c r="O349" s="615"/>
      <c r="P349" s="615"/>
      <c r="Q349" s="616"/>
    </row>
    <row r="350" spans="1:17" ht="15.75" hidden="1" collapsed="1" thickBot="1">
      <c r="A350" s="376" t="s">
        <v>254</v>
      </c>
      <c r="B350" s="602" t="s">
        <v>235</v>
      </c>
      <c r="C350" s="439" t="s">
        <v>260</v>
      </c>
      <c r="D350" s="184"/>
      <c r="E350" s="41">
        <f>7.0643-7.1352</f>
        <v>-7.0899999999999963E-2</v>
      </c>
      <c r="F350" s="23">
        <f t="shared" si="66"/>
        <v>-7.0899999999999963E-2</v>
      </c>
      <c r="G350" s="185">
        <f>ROUND(D350*(E350),2)-0.01</f>
        <v>-0.01</v>
      </c>
      <c r="H350" s="620"/>
      <c r="I350" s="620"/>
      <c r="J350" s="620"/>
      <c r="K350" s="1020"/>
      <c r="L350" s="603">
        <f>SUM(G350:G352)</f>
        <v>-0.01</v>
      </c>
      <c r="M350" s="187"/>
      <c r="N350" s="615"/>
      <c r="O350" s="615"/>
      <c r="P350" s="615"/>
      <c r="Q350" s="615"/>
    </row>
    <row r="351" spans="1:17" ht="15.75" hidden="1" thickBot="1">
      <c r="A351" s="934">
        <v>314</v>
      </c>
      <c r="B351" s="506"/>
      <c r="C351" s="48" t="s">
        <v>263</v>
      </c>
      <c r="D351" s="49"/>
      <c r="E351" s="41">
        <v>7.0643000000000002</v>
      </c>
      <c r="F351" s="41">
        <f>+E351</f>
        <v>7.0643000000000002</v>
      </c>
      <c r="G351" s="50">
        <f>ROUND(D351*(E351),2)</f>
        <v>0</v>
      </c>
      <c r="H351" s="296"/>
      <c r="I351" s="298"/>
      <c r="J351" s="298"/>
      <c r="K351" s="1021"/>
      <c r="L351" s="606"/>
      <c r="M351" s="935"/>
      <c r="N351" s="615"/>
      <c r="O351" s="615"/>
      <c r="P351" s="615"/>
      <c r="Q351" s="615"/>
    </row>
    <row r="352" spans="1:17" ht="15.75" hidden="1" thickBot="1">
      <c r="A352" s="934"/>
      <c r="B352" s="506"/>
      <c r="C352" s="54" t="s">
        <v>29</v>
      </c>
      <c r="D352" s="296"/>
      <c r="E352" s="56">
        <v>7.0643000000000002</v>
      </c>
      <c r="F352" s="41">
        <f t="shared" ref="F352:F355" si="70">+E352</f>
        <v>7.0643000000000002</v>
      </c>
      <c r="G352" s="50">
        <f t="shared" ref="G352" si="71">ROUND(D352*(E352),2)</f>
        <v>0</v>
      </c>
      <c r="H352" s="296"/>
      <c r="I352" s="298"/>
      <c r="J352" s="298"/>
      <c r="K352" s="1021"/>
      <c r="L352" s="614"/>
      <c r="M352" s="935"/>
      <c r="N352" s="615"/>
      <c r="O352" s="615"/>
      <c r="P352" s="615"/>
      <c r="Q352" s="615"/>
    </row>
    <row r="353" spans="1:17" ht="15.75" hidden="1" thickBot="1">
      <c r="A353" s="376">
        <v>311</v>
      </c>
      <c r="B353" s="602" t="s">
        <v>204</v>
      </c>
      <c r="C353" s="439" t="s">
        <v>260</v>
      </c>
      <c r="D353" s="184"/>
      <c r="E353" s="41">
        <f>6.7023-6.509</f>
        <v>0.19329999999999981</v>
      </c>
      <c r="F353" s="23">
        <f t="shared" si="70"/>
        <v>0.19329999999999981</v>
      </c>
      <c r="G353" s="185">
        <f>ROUND(D353*(E353),2)-0.01</f>
        <v>-0.01</v>
      </c>
      <c r="H353" s="620"/>
      <c r="I353" s="620"/>
      <c r="J353" s="620"/>
      <c r="K353" s="1020"/>
      <c r="L353" s="603">
        <f>SUM(G353:G356)</f>
        <v>-0.01</v>
      </c>
      <c r="M353" s="187"/>
      <c r="N353" s="604"/>
      <c r="O353" s="635" t="s">
        <v>274</v>
      </c>
      <c r="P353" s="636"/>
      <c r="Q353" s="605"/>
    </row>
    <row r="354" spans="1:17" ht="15.75" hidden="1" thickBot="1">
      <c r="A354" s="389"/>
      <c r="B354" s="939" t="s">
        <v>273</v>
      </c>
      <c r="C354" s="48" t="s">
        <v>263</v>
      </c>
      <c r="D354" s="49"/>
      <c r="E354" s="41">
        <v>6.7023000000000001</v>
      </c>
      <c r="F354" s="41">
        <f t="shared" si="70"/>
        <v>6.7023000000000001</v>
      </c>
      <c r="G354" s="50">
        <f>ROUND(D354*(E354),2)</f>
        <v>0</v>
      </c>
      <c r="H354" s="296"/>
      <c r="I354" s="298"/>
      <c r="J354" s="298"/>
      <c r="K354" s="1021"/>
      <c r="L354" s="606"/>
      <c r="M354" s="935"/>
      <c r="N354" s="607"/>
      <c r="O354" s="608"/>
      <c r="P354" s="609"/>
      <c r="Q354" s="610"/>
    </row>
    <row r="355" spans="1:17" ht="15.75" hidden="1" thickBot="1">
      <c r="A355" s="936"/>
      <c r="B355" s="506"/>
      <c r="C355" s="99" t="s">
        <v>29</v>
      </c>
      <c r="D355" s="296"/>
      <c r="E355" s="101">
        <v>6.7023000000000001</v>
      </c>
      <c r="F355" s="41">
        <f t="shared" si="70"/>
        <v>6.7023000000000001</v>
      </c>
      <c r="G355" s="50">
        <f>ROUND(D355*(E355),2)</f>
        <v>0</v>
      </c>
      <c r="H355" s="296"/>
      <c r="I355" s="298"/>
      <c r="J355" s="298"/>
      <c r="K355" s="1027"/>
      <c r="L355" s="614"/>
      <c r="M355" s="935"/>
      <c r="N355" s="615"/>
      <c r="O355" s="615"/>
      <c r="P355" s="615"/>
      <c r="Q355" s="616"/>
    </row>
    <row r="356" spans="1:17" ht="15.75" hidden="1" thickBot="1">
      <c r="A356" s="937"/>
      <c r="B356" s="278"/>
      <c r="C356" s="784"/>
      <c r="D356" s="941"/>
      <c r="E356" s="281"/>
      <c r="F356" s="57"/>
      <c r="G356" s="58">
        <f>ROUND(D356*(E356),2)</f>
        <v>0</v>
      </c>
      <c r="H356" s="613"/>
      <c r="I356" s="57"/>
      <c r="J356" s="57"/>
      <c r="K356" s="1028"/>
      <c r="L356" s="784"/>
      <c r="M356" s="938"/>
      <c r="N356" s="626"/>
      <c r="O356" s="626"/>
      <c r="P356" s="626"/>
      <c r="Q356" s="626"/>
    </row>
    <row r="357" spans="1:17" collapsed="1">
      <c r="A357" s="376">
        <v>311</v>
      </c>
      <c r="B357" s="602" t="s">
        <v>278</v>
      </c>
      <c r="C357" s="439" t="s">
        <v>260</v>
      </c>
      <c r="D357" s="184">
        <f>дек18!D346+дек18!D347</f>
        <v>204.68</v>
      </c>
      <c r="E357" s="41">
        <f>6.7838-7.0643</f>
        <v>-0.28049999999999997</v>
      </c>
      <c r="F357" s="23">
        <f t="shared" ref="F357" si="72">+E357</f>
        <v>-0.28049999999999997</v>
      </c>
      <c r="G357" s="185">
        <f>ROUND(D357*(E357),2)</f>
        <v>-57.41</v>
      </c>
      <c r="H357" s="620"/>
      <c r="I357" s="620"/>
      <c r="J357" s="620"/>
      <c r="K357" s="1020"/>
      <c r="L357" s="603">
        <f>SUM(G357:G359)</f>
        <v>1026.5</v>
      </c>
      <c r="M357" s="187">
        <v>1026.5</v>
      </c>
      <c r="N357" s="615"/>
      <c r="O357" s="615"/>
      <c r="P357" s="615"/>
      <c r="Q357" s="615"/>
    </row>
    <row r="358" spans="1:17">
      <c r="A358" s="934"/>
      <c r="B358" s="506"/>
      <c r="C358" s="48" t="s">
        <v>263</v>
      </c>
      <c r="D358" s="49">
        <v>6.78</v>
      </c>
      <c r="E358" s="41">
        <v>6.7838000000000003</v>
      </c>
      <c r="F358" s="41">
        <f>+E358</f>
        <v>6.7838000000000003</v>
      </c>
      <c r="G358" s="50">
        <f>ROUND(D358*(E358),2)</f>
        <v>45.99</v>
      </c>
      <c r="H358" s="296"/>
      <c r="I358" s="298"/>
      <c r="J358" s="298"/>
      <c r="K358" s="1021"/>
      <c r="L358" s="606"/>
      <c r="M358" s="935"/>
      <c r="N358" s="615"/>
      <c r="O358" s="615"/>
      <c r="P358" s="615"/>
      <c r="Q358" s="615"/>
    </row>
    <row r="359" spans="1:17" ht="15.75" thickBot="1">
      <c r="A359" s="934"/>
      <c r="B359" s="506"/>
      <c r="C359" s="54" t="s">
        <v>29</v>
      </c>
      <c r="D359" s="296">
        <v>153</v>
      </c>
      <c r="E359" s="56">
        <v>6.7838000000000003</v>
      </c>
      <c r="F359" s="41">
        <f t="shared" ref="F359" si="73">+E359</f>
        <v>6.7838000000000003</v>
      </c>
      <c r="G359" s="50">
        <f t="shared" ref="G359" si="74">ROUND(D359*(E359),2)</f>
        <v>1037.92</v>
      </c>
      <c r="H359" s="296"/>
      <c r="I359" s="298"/>
      <c r="J359" s="298"/>
      <c r="K359" s="1021"/>
      <c r="L359" s="614"/>
      <c r="M359" s="935"/>
      <c r="N359" s="615"/>
      <c r="O359" s="615"/>
      <c r="P359" s="615"/>
      <c r="Q359" s="615"/>
    </row>
    <row r="360" spans="1:17">
      <c r="A360" s="376">
        <v>312</v>
      </c>
      <c r="B360" s="602" t="s">
        <v>112</v>
      </c>
      <c r="C360" s="439" t="s">
        <v>260</v>
      </c>
      <c r="D360" s="184">
        <f>дек18!D349+дек18!D350</f>
        <v>690.28</v>
      </c>
      <c r="E360" s="23">
        <f>6.7838-7.0643</f>
        <v>-0.28049999999999997</v>
      </c>
      <c r="F360" s="23">
        <f>+E360</f>
        <v>-0.28049999999999997</v>
      </c>
      <c r="G360" s="185">
        <f>ROUND(D360*(E360),2)</f>
        <v>-193.62</v>
      </c>
      <c r="H360" s="620"/>
      <c r="I360" s="620"/>
      <c r="J360" s="620"/>
      <c r="K360" s="1020"/>
      <c r="L360" s="603">
        <f>SUM(G360:G363)</f>
        <v>5062.9399999999996</v>
      </c>
      <c r="M360" s="187">
        <v>5062.9399999999996</v>
      </c>
      <c r="N360" s="604"/>
      <c r="O360" s="635"/>
      <c r="P360" s="636"/>
      <c r="Q360" s="605"/>
    </row>
    <row r="361" spans="1:17">
      <c r="A361" s="934"/>
      <c r="B361" s="506"/>
      <c r="C361" s="48" t="s">
        <v>263</v>
      </c>
      <c r="D361" s="49">
        <v>32.869999999999997</v>
      </c>
      <c r="E361" s="41">
        <v>6.7838000000000003</v>
      </c>
      <c r="F361" s="41">
        <f>+E361</f>
        <v>6.7838000000000003</v>
      </c>
      <c r="G361" s="50">
        <f t="shared" ref="G361:G362" si="75">ROUND(D361*(E361),2)</f>
        <v>222.98</v>
      </c>
      <c r="H361" s="296"/>
      <c r="I361" s="298"/>
      <c r="J361" s="298"/>
      <c r="K361" s="1021"/>
      <c r="L361" s="606"/>
      <c r="M361" s="935"/>
      <c r="N361" s="607"/>
      <c r="O361" s="608"/>
      <c r="P361" s="609"/>
      <c r="Q361" s="610"/>
    </row>
    <row r="362" spans="1:17">
      <c r="A362" s="934"/>
      <c r="B362" s="506"/>
      <c r="C362" s="99" t="s">
        <v>29</v>
      </c>
      <c r="D362" s="296">
        <v>742</v>
      </c>
      <c r="E362" s="101">
        <v>6.7838000000000003</v>
      </c>
      <c r="F362" s="41">
        <f>+E362</f>
        <v>6.7838000000000003</v>
      </c>
      <c r="G362" s="50">
        <f t="shared" si="75"/>
        <v>5033.58</v>
      </c>
      <c r="H362" s="296"/>
      <c r="I362" s="298"/>
      <c r="J362" s="298"/>
      <c r="K362" s="1021"/>
      <c r="L362" s="614"/>
      <c r="M362" s="935"/>
      <c r="N362" s="615"/>
      <c r="O362" s="615"/>
      <c r="P362" s="615"/>
      <c r="Q362" s="616"/>
    </row>
    <row r="363" spans="1:17" ht="15.75" thickBot="1">
      <c r="A363" s="942"/>
      <c r="B363" s="278"/>
      <c r="C363" s="54"/>
      <c r="D363" s="941"/>
      <c r="E363" s="281"/>
      <c r="F363" s="57"/>
      <c r="G363" s="58"/>
      <c r="H363" s="613"/>
      <c r="I363" s="57"/>
      <c r="J363" s="57"/>
      <c r="K363" s="1029"/>
      <c r="L363" s="784"/>
      <c r="M363" s="938"/>
      <c r="N363" s="615"/>
      <c r="O363" s="615"/>
      <c r="P363" s="615"/>
      <c r="Q363" s="615"/>
    </row>
    <row r="364" spans="1:17" ht="15.75" hidden="1" collapsed="1" thickBot="1">
      <c r="A364" s="376">
        <v>314</v>
      </c>
      <c r="B364" s="602" t="s">
        <v>235</v>
      </c>
      <c r="C364" s="439" t="s">
        <v>149</v>
      </c>
      <c r="D364" s="184"/>
      <c r="E364" s="41">
        <f>6.509-6.4709</f>
        <v>3.8100000000000023E-2</v>
      </c>
      <c r="F364" s="23">
        <f t="shared" ref="F364" si="76">+E364</f>
        <v>3.8100000000000023E-2</v>
      </c>
      <c r="G364" s="185">
        <f>ROUND(D364*(E364),2)</f>
        <v>0</v>
      </c>
      <c r="H364" s="620"/>
      <c r="I364" s="620"/>
      <c r="J364" s="620"/>
      <c r="K364" s="1020"/>
      <c r="L364" s="603">
        <f>SUM(G364:G366)</f>
        <v>0</v>
      </c>
      <c r="M364" s="187"/>
      <c r="N364" s="615"/>
      <c r="O364" s="967" t="s">
        <v>249</v>
      </c>
      <c r="P364" s="615"/>
      <c r="Q364" s="615"/>
    </row>
    <row r="365" spans="1:17" ht="15.75" hidden="1" thickBot="1">
      <c r="A365" s="934"/>
      <c r="B365" s="516" t="s">
        <v>246</v>
      </c>
      <c r="C365" s="48" t="s">
        <v>150</v>
      </c>
      <c r="D365" s="49"/>
      <c r="E365" s="41">
        <v>6.5090000000000003</v>
      </c>
      <c r="F365" s="41">
        <f>+E365</f>
        <v>6.5090000000000003</v>
      </c>
      <c r="G365" s="50">
        <f>ROUND(D365*(E365),2)</f>
        <v>0</v>
      </c>
      <c r="H365" s="296"/>
      <c r="I365" s="298"/>
      <c r="J365" s="298"/>
      <c r="K365" s="1021"/>
      <c r="L365" s="606"/>
      <c r="M365" s="935"/>
      <c r="N365" s="615"/>
      <c r="O365" s="615"/>
      <c r="P365" s="615"/>
      <c r="Q365" s="615"/>
    </row>
    <row r="366" spans="1:17" ht="15.75" hidden="1" thickBot="1">
      <c r="A366" s="942"/>
      <c r="B366" s="982"/>
      <c r="C366" s="54" t="s">
        <v>29</v>
      </c>
      <c r="D366" s="613"/>
      <c r="E366" s="56">
        <v>6.5090000000000003</v>
      </c>
      <c r="F366" s="281">
        <f t="shared" ref="F366:F367" si="77">+E366</f>
        <v>6.5090000000000003</v>
      </c>
      <c r="G366" s="58">
        <f t="shared" ref="G366" si="78">ROUND(D366*(E366),2)</f>
        <v>0</v>
      </c>
      <c r="H366" s="613"/>
      <c r="I366" s="57"/>
      <c r="J366" s="57"/>
      <c r="K366" s="1029"/>
      <c r="L366" s="783"/>
      <c r="M366" s="938"/>
      <c r="N366" s="615"/>
      <c r="O366" s="615"/>
      <c r="P366" s="615"/>
      <c r="Q366" s="615"/>
    </row>
    <row r="367" spans="1:17" collapsed="1">
      <c r="A367" s="376">
        <v>316</v>
      </c>
      <c r="B367" s="602" t="s">
        <v>288</v>
      </c>
      <c r="C367" s="439" t="s">
        <v>260</v>
      </c>
      <c r="D367" s="184">
        <f>дек18!D356+дек18!D357</f>
        <v>105.47</v>
      </c>
      <c r="E367" s="41">
        <f>6.7838-7.0643</f>
        <v>-0.28049999999999997</v>
      </c>
      <c r="F367" s="23">
        <f t="shared" si="77"/>
        <v>-0.28049999999999997</v>
      </c>
      <c r="G367" s="185">
        <f>ROUND(D367*(E367),2)-0.01</f>
        <v>-29.59</v>
      </c>
      <c r="H367" s="620"/>
      <c r="I367" s="620"/>
      <c r="J367" s="620"/>
      <c r="K367" s="1020"/>
      <c r="L367" s="603">
        <f>SUM(G367:G369)</f>
        <v>770.97</v>
      </c>
      <c r="M367" s="187">
        <v>770.97</v>
      </c>
      <c r="N367" s="615"/>
      <c r="O367" s="615"/>
      <c r="P367" s="615"/>
      <c r="Q367" s="615"/>
    </row>
    <row r="368" spans="1:17">
      <c r="A368" s="934"/>
      <c r="B368" s="506"/>
      <c r="C368" s="48" t="s">
        <v>263</v>
      </c>
      <c r="D368" s="49">
        <v>5.01</v>
      </c>
      <c r="E368" s="41">
        <v>6.7838000000000003</v>
      </c>
      <c r="F368" s="41">
        <f>+E368</f>
        <v>6.7838000000000003</v>
      </c>
      <c r="G368" s="50">
        <f>ROUND(D368*(E368),2)</f>
        <v>33.99</v>
      </c>
      <c r="H368" s="296"/>
      <c r="I368" s="298"/>
      <c r="J368" s="298"/>
      <c r="K368" s="1021"/>
      <c r="L368" s="606"/>
      <c r="M368" s="935"/>
      <c r="N368" s="615"/>
      <c r="O368" s="615"/>
      <c r="P368" s="615"/>
      <c r="Q368" s="615"/>
    </row>
    <row r="369" spans="1:21" ht="15.75" thickBot="1">
      <c r="A369" s="934"/>
      <c r="B369" s="506"/>
      <c r="C369" s="54" t="s">
        <v>29</v>
      </c>
      <c r="D369" s="296">
        <v>113</v>
      </c>
      <c r="E369" s="56">
        <v>6.7838000000000003</v>
      </c>
      <c r="F369" s="41">
        <f t="shared" ref="F369" si="79">+E369</f>
        <v>6.7838000000000003</v>
      </c>
      <c r="G369" s="50">
        <f t="shared" ref="G369" si="80">ROUND(D369*(E369),2)</f>
        <v>766.57</v>
      </c>
      <c r="H369" s="296"/>
      <c r="I369" s="298"/>
      <c r="J369" s="298"/>
      <c r="K369" s="1021"/>
      <c r="L369" s="614"/>
      <c r="M369" s="935"/>
      <c r="N369" s="615"/>
      <c r="O369" s="615"/>
      <c r="P369" s="615"/>
      <c r="Q369" s="615"/>
    </row>
    <row r="370" spans="1:21">
      <c r="A370" s="376">
        <v>403</v>
      </c>
      <c r="B370" s="602" t="s">
        <v>279</v>
      </c>
      <c r="C370" s="618" t="s">
        <v>73</v>
      </c>
      <c r="D370" s="619">
        <v>2</v>
      </c>
      <c r="E370" s="21">
        <v>40.556600000000003</v>
      </c>
      <c r="F370" s="21">
        <v>47.5304</v>
      </c>
      <c r="G370" s="185">
        <f>ROUND(D370*(E370+F370),2)</f>
        <v>176.17</v>
      </c>
      <c r="H370" s="620"/>
      <c r="I370" s="620"/>
      <c r="J370" s="620"/>
      <c r="K370" s="454"/>
      <c r="L370" s="603">
        <f>SUM(G370:G376,J370:J376)</f>
        <v>2389.23</v>
      </c>
      <c r="M370" s="187">
        <v>2389.23</v>
      </c>
      <c r="N370" s="621"/>
      <c r="O370" s="621"/>
      <c r="P370" s="621"/>
      <c r="Q370" s="622"/>
    </row>
    <row r="371" spans="1:21">
      <c r="A371" s="936"/>
      <c r="B371" s="612"/>
      <c r="C371" s="542" t="s">
        <v>96</v>
      </c>
      <c r="D371" s="234"/>
      <c r="E371" s="38"/>
      <c r="F371" s="38"/>
      <c r="G371" s="235">
        <f>ROUND(D371*(E371+F371),2)</f>
        <v>0</v>
      </c>
      <c r="H371" s="298"/>
      <c r="I371" s="298"/>
      <c r="J371" s="298"/>
      <c r="K371" s="455"/>
      <c r="L371" s="606"/>
      <c r="M371" s="935"/>
      <c r="N371" s="615"/>
      <c r="O371" s="615"/>
      <c r="P371" s="615"/>
      <c r="Q371" s="616"/>
    </row>
    <row r="372" spans="1:21">
      <c r="A372" s="389"/>
      <c r="B372" s="516"/>
      <c r="C372" s="99" t="s">
        <v>90</v>
      </c>
      <c r="D372" s="508">
        <v>3</v>
      </c>
      <c r="E372" s="101">
        <v>347.06</v>
      </c>
      <c r="F372" s="38">
        <f>F370</f>
        <v>47.5304</v>
      </c>
      <c r="G372" s="50">
        <f>ROUND(D372*(E372+F372),2)</f>
        <v>1183.77</v>
      </c>
      <c r="H372" s="270"/>
      <c r="I372" s="41"/>
      <c r="J372" s="409"/>
      <c r="K372" s="1026"/>
      <c r="L372" s="597"/>
      <c r="M372" s="99"/>
      <c r="N372" s="518"/>
      <c r="O372" s="519"/>
      <c r="P372" s="515"/>
      <c r="Q372" s="271"/>
      <c r="R372" s="502"/>
      <c r="S372" s="503"/>
      <c r="T372" s="504"/>
    </row>
    <row r="373" spans="1:21">
      <c r="A373" s="389"/>
      <c r="B373" s="506"/>
      <c r="C373" s="390" t="s">
        <v>97</v>
      </c>
      <c r="D373" s="508">
        <f>дек18!D360</f>
        <v>3</v>
      </c>
      <c r="E373" s="41">
        <f>347.06-330.44</f>
        <v>16.620000000000005</v>
      </c>
      <c r="F373" s="38"/>
      <c r="G373" s="50">
        <f>D373*(E373+F373)</f>
        <v>49.860000000000014</v>
      </c>
      <c r="H373" s="432"/>
      <c r="I373" s="362"/>
      <c r="J373" s="41"/>
      <c r="K373" s="1026"/>
      <c r="L373" s="597"/>
      <c r="M373" s="99"/>
      <c r="N373" s="521"/>
      <c r="O373" s="522"/>
      <c r="P373" s="523"/>
      <c r="Q373" s="362"/>
      <c r="R373" s="502"/>
      <c r="S373" s="503"/>
      <c r="T373" s="504"/>
    </row>
    <row r="374" spans="1:21">
      <c r="A374" s="936"/>
      <c r="B374" s="612"/>
      <c r="C374" s="48" t="s">
        <v>260</v>
      </c>
      <c r="D374" s="623">
        <f>дек18!D363+дек18!D364</f>
        <v>145.16</v>
      </c>
      <c r="E374" s="41">
        <f>6.7838-7.0643</f>
        <v>-0.28049999999999997</v>
      </c>
      <c r="F374" s="41">
        <f t="shared" ref="F374:F376" si="81">+E374</f>
        <v>-0.28049999999999997</v>
      </c>
      <c r="G374" s="50">
        <f>ROUND(D374*(E374),2)</f>
        <v>-40.72</v>
      </c>
      <c r="H374" s="298"/>
      <c r="I374" s="298"/>
      <c r="J374" s="298"/>
      <c r="K374" s="455"/>
      <c r="L374" s="614"/>
      <c r="M374" s="935"/>
      <c r="N374" s="615"/>
      <c r="O374" s="615"/>
      <c r="P374" s="615"/>
      <c r="Q374" s="616"/>
    </row>
    <row r="375" spans="1:21">
      <c r="A375" s="936"/>
      <c r="B375" s="612"/>
      <c r="C375" s="48" t="s">
        <v>263</v>
      </c>
      <c r="D375" s="623">
        <v>6.38</v>
      </c>
      <c r="E375" s="41">
        <v>6.7838000000000003</v>
      </c>
      <c r="F375" s="41">
        <f t="shared" si="81"/>
        <v>6.7838000000000003</v>
      </c>
      <c r="G375" s="39">
        <f>ROUND(D375*(E375),2)</f>
        <v>43.28</v>
      </c>
      <c r="H375" s="298"/>
      <c r="I375" s="298"/>
      <c r="J375" s="298"/>
      <c r="K375" s="455"/>
      <c r="L375" s="614"/>
      <c r="M375" s="273"/>
      <c r="N375" s="615"/>
      <c r="O375" s="615"/>
      <c r="P375" s="615"/>
      <c r="Q375" s="616"/>
    </row>
    <row r="376" spans="1:21" ht="15.75" thickBot="1">
      <c r="A376" s="937"/>
      <c r="B376" s="526"/>
      <c r="C376" s="99" t="s">
        <v>29</v>
      </c>
      <c r="D376" s="995">
        <v>144</v>
      </c>
      <c r="E376" s="56">
        <v>6.7838000000000003</v>
      </c>
      <c r="F376" s="281">
        <f t="shared" si="81"/>
        <v>6.7838000000000003</v>
      </c>
      <c r="G376" s="414">
        <f>ROUND(D376*(E376),2)</f>
        <v>976.87</v>
      </c>
      <c r="H376" s="41"/>
      <c r="I376" s="41"/>
      <c r="J376" s="281"/>
      <c r="K376" s="56"/>
      <c r="L376" s="784"/>
      <c r="M376" s="938"/>
      <c r="N376" s="626"/>
      <c r="O376" s="626"/>
      <c r="P376" s="626"/>
      <c r="Q376" s="627"/>
    </row>
    <row r="377" spans="1:21" collapsed="1">
      <c r="A377" s="353" t="s">
        <v>203</v>
      </c>
      <c r="B377" s="494" t="s">
        <v>104</v>
      </c>
      <c r="C377" s="71" t="s">
        <v>243</v>
      </c>
      <c r="D377" s="495">
        <v>16</v>
      </c>
      <c r="E377" s="21">
        <v>40.556600000000003</v>
      </c>
      <c r="F377" s="21">
        <v>47.5304</v>
      </c>
      <c r="G377" s="185">
        <f>ROUND(D377*(E377+F377),2)</f>
        <v>1409.39</v>
      </c>
      <c r="H377" s="496"/>
      <c r="I377" s="73"/>
      <c r="J377" s="73"/>
      <c r="K377" s="679"/>
      <c r="L377" s="439">
        <f>SUM(G377:G384)+SUM(J377:J383)</f>
        <v>15767.3</v>
      </c>
      <c r="M377" s="26">
        <v>15767.3</v>
      </c>
      <c r="N377" s="499"/>
      <c r="O377" s="500"/>
      <c r="P377" s="501" t="s">
        <v>87</v>
      </c>
      <c r="Q377" s="185" t="e">
        <f t="shared" ref="Q377" si="82">C377+G377+J377-M377-N377-O377</f>
        <v>#VALUE!</v>
      </c>
      <c r="R377" s="502" t="s">
        <v>88</v>
      </c>
      <c r="S377" s="503"/>
      <c r="T377" s="504"/>
    </row>
    <row r="378" spans="1:21">
      <c r="A378" s="934">
        <v>417</v>
      </c>
      <c r="B378" s="506"/>
      <c r="C378" s="599" t="s">
        <v>96</v>
      </c>
      <c r="D378" s="234"/>
      <c r="E378" s="38"/>
      <c r="F378" s="38"/>
      <c r="G378" s="235">
        <f>ROUND(D378*(E378+F378),2)</f>
        <v>0</v>
      </c>
      <c r="H378" s="448"/>
      <c r="I378" s="509"/>
      <c r="J378" s="409"/>
      <c r="K378" s="1026"/>
      <c r="L378" s="48"/>
      <c r="M378" s="512"/>
      <c r="N378" s="513"/>
      <c r="O378" s="514"/>
      <c r="P378" s="515"/>
      <c r="Q378" s="262"/>
      <c r="R378" s="502"/>
      <c r="S378" s="503"/>
      <c r="T378" s="504"/>
    </row>
    <row r="379" spans="1:21">
      <c r="A379" s="934"/>
      <c r="B379" s="516" t="s">
        <v>89</v>
      </c>
      <c r="C379" s="512" t="s">
        <v>90</v>
      </c>
      <c r="D379" s="508">
        <v>0</v>
      </c>
      <c r="E379" s="101">
        <v>347.06</v>
      </c>
      <c r="F379" s="38">
        <f>F33</f>
        <v>47.5304</v>
      </c>
      <c r="G379" s="50">
        <f>ROUND(D379*(E379+F379),2)</f>
        <v>0</v>
      </c>
      <c r="H379" s="270"/>
      <c r="I379" s="41"/>
      <c r="J379" s="409"/>
      <c r="K379" s="1026"/>
      <c r="L379" s="600"/>
      <c r="M379" s="99"/>
      <c r="N379" s="518"/>
      <c r="O379" s="519"/>
      <c r="P379" s="515" t="s">
        <v>87</v>
      </c>
      <c r="Q379" s="271">
        <f>+G379+J379-M379-N379-O379</f>
        <v>0</v>
      </c>
      <c r="R379" s="502" t="s">
        <v>88</v>
      </c>
      <c r="S379" s="503"/>
      <c r="T379" s="504"/>
    </row>
    <row r="380" spans="1:21">
      <c r="A380" s="934"/>
      <c r="B380" s="541"/>
      <c r="C380" s="84" t="s">
        <v>97</v>
      </c>
      <c r="D380" s="508">
        <f>дек18!D367</f>
        <v>0</v>
      </c>
      <c r="E380" s="41">
        <f>347.06-330.44</f>
        <v>16.620000000000005</v>
      </c>
      <c r="F380" s="38"/>
      <c r="G380" s="50">
        <f>ROUND(D380*(E380+F380),2)</f>
        <v>0</v>
      </c>
      <c r="H380" s="432"/>
      <c r="I380" s="362"/>
      <c r="J380" s="41"/>
      <c r="K380" s="1026"/>
      <c r="L380" s="600"/>
      <c r="M380" s="520"/>
      <c r="N380" s="521"/>
      <c r="O380" s="522"/>
      <c r="P380" s="523"/>
      <c r="Q380" s="362"/>
      <c r="R380" s="502"/>
      <c r="S380" s="503"/>
      <c r="T380" s="504"/>
    </row>
    <row r="381" spans="1:21">
      <c r="A381" s="934"/>
      <c r="B381" s="541"/>
      <c r="C381" s="84" t="s">
        <v>97</v>
      </c>
      <c r="D381" s="508"/>
      <c r="E381" s="41"/>
      <c r="F381" s="41"/>
      <c r="G381" s="50">
        <f>D381*(E381+F381)</f>
        <v>0</v>
      </c>
      <c r="H381" s="432"/>
      <c r="I381" s="362"/>
      <c r="J381" s="41"/>
      <c r="K381" s="1026"/>
      <c r="L381" s="600"/>
      <c r="M381" s="520"/>
      <c r="N381" s="521"/>
      <c r="O381" s="522"/>
      <c r="P381" s="523"/>
      <c r="Q381" s="362"/>
      <c r="R381" s="502"/>
      <c r="S381" s="503"/>
      <c r="T381" s="504"/>
    </row>
    <row r="382" spans="1:21">
      <c r="A382" s="934"/>
      <c r="B382" s="506"/>
      <c r="C382" s="48" t="s">
        <v>260</v>
      </c>
      <c r="D382" s="37">
        <f>дек18!D371+дек18!D372</f>
        <v>2229.58</v>
      </c>
      <c r="E382" s="41">
        <f>6.7838-7.0643</f>
        <v>-0.28049999999999997</v>
      </c>
      <c r="F382" s="297">
        <f t="shared" ref="F382:F384" si="83">+E382</f>
        <v>-0.28049999999999997</v>
      </c>
      <c r="G382" s="39">
        <f>ROUND(D382*(E382),2)</f>
        <v>-625.4</v>
      </c>
      <c r="H382" s="432"/>
      <c r="I382" s="362"/>
      <c r="J382" s="41"/>
      <c r="K382" s="1026"/>
      <c r="L382" s="600"/>
      <c r="M382" s="520"/>
      <c r="N382" s="521"/>
      <c r="O382" s="522"/>
      <c r="P382" s="523"/>
      <c r="Q382" s="362"/>
      <c r="R382" s="502"/>
      <c r="S382" s="503"/>
      <c r="T382" s="504"/>
    </row>
    <row r="383" spans="1:21">
      <c r="A383" s="934"/>
      <c r="B383" s="506"/>
      <c r="C383" s="48" t="s">
        <v>263</v>
      </c>
      <c r="D383" s="37">
        <v>93.69</v>
      </c>
      <c r="E383" s="41">
        <v>6.7838000000000003</v>
      </c>
      <c r="F383" s="298">
        <f t="shared" si="83"/>
        <v>6.7838000000000003</v>
      </c>
      <c r="G383" s="39">
        <f>ROUND(D383*(E383),2)</f>
        <v>635.57000000000005</v>
      </c>
      <c r="H383" s="432"/>
      <c r="I383" s="362"/>
      <c r="J383" s="41"/>
      <c r="K383" s="1026"/>
      <c r="L383" s="600"/>
      <c r="M383" s="520"/>
      <c r="N383" s="521"/>
      <c r="O383" s="522"/>
      <c r="P383" s="523"/>
      <c r="Q383" s="362"/>
      <c r="R383" s="502"/>
      <c r="S383" s="503"/>
      <c r="T383" s="504"/>
      <c r="U383" s="33"/>
    </row>
    <row r="384" spans="1:21" ht="15.75" thickBot="1">
      <c r="A384" s="934"/>
      <c r="B384" s="526"/>
      <c r="C384" s="99" t="s">
        <v>29</v>
      </c>
      <c r="D384" s="55">
        <v>2115</v>
      </c>
      <c r="E384" s="56">
        <v>6.7838000000000003</v>
      </c>
      <c r="F384" s="57">
        <f t="shared" si="83"/>
        <v>6.7838000000000003</v>
      </c>
      <c r="G384" s="414">
        <f>ROUND(D384*(E384),2)</f>
        <v>14347.74</v>
      </c>
      <c r="H384" s="248"/>
      <c r="I384" s="203"/>
      <c r="J384" s="60"/>
      <c r="K384" s="1024"/>
      <c r="L384" s="204"/>
      <c r="M384" s="54"/>
      <c r="N384" s="527"/>
      <c r="O384" s="528"/>
      <c r="P384" s="529" t="s">
        <v>87</v>
      </c>
      <c r="Q384" s="362">
        <f>+G384+J384-M384-N384-O384</f>
        <v>14347.74</v>
      </c>
      <c r="R384" s="502" t="s">
        <v>88</v>
      </c>
      <c r="S384" s="598">
        <f>SUM(N377:N384)+O377:O384</f>
        <v>0</v>
      </c>
      <c r="T384" s="598" t="e">
        <f>SUM(Q377:Q384)</f>
        <v>#VALUE!</v>
      </c>
    </row>
    <row r="385" spans="1:21">
      <c r="A385" s="376">
        <v>407</v>
      </c>
      <c r="B385" s="494" t="s">
        <v>108</v>
      </c>
      <c r="C385" s="71">
        <f>+[1]дек!U87</f>
        <v>0</v>
      </c>
      <c r="D385" s="495">
        <v>4</v>
      </c>
      <c r="E385" s="21">
        <v>40.556600000000003</v>
      </c>
      <c r="F385" s="21">
        <v>47.5304</v>
      </c>
      <c r="G385" s="185">
        <f>ROUND(D385*(E385+F385),2)</f>
        <v>352.35</v>
      </c>
      <c r="H385" s="496"/>
      <c r="I385" s="73"/>
      <c r="J385" s="73"/>
      <c r="K385" s="679"/>
      <c r="L385" s="498">
        <f>SUM(G385:G391)+SUM(J385:J390)</f>
        <v>2354.4699999999998</v>
      </c>
      <c r="M385" s="26">
        <v>2354.4699999999998</v>
      </c>
      <c r="N385" s="499"/>
      <c r="O385" s="500"/>
      <c r="P385" s="501" t="s">
        <v>87</v>
      </c>
      <c r="Q385" s="304">
        <f t="shared" ref="Q385:Q387" si="84">C385+G385+J385-M385-N385-O385</f>
        <v>-2002.12</v>
      </c>
    </row>
    <row r="386" spans="1:21">
      <c r="A386" s="389"/>
      <c r="B386" s="506"/>
      <c r="C386" s="542" t="s">
        <v>96</v>
      </c>
      <c r="D386" s="234"/>
      <c r="E386" s="38"/>
      <c r="F386" s="38"/>
      <c r="G386" s="235">
        <f>ROUND(D386*(E386+F386),2)</f>
        <v>0</v>
      </c>
      <c r="H386" s="448"/>
      <c r="I386" s="509"/>
      <c r="J386" s="409"/>
      <c r="K386" s="1026"/>
      <c r="L386" s="632"/>
      <c r="M386" s="512"/>
      <c r="N386" s="513"/>
      <c r="O386" s="514"/>
      <c r="P386" s="515"/>
      <c r="Q386" s="262"/>
    </row>
    <row r="387" spans="1:21">
      <c r="A387" s="389"/>
      <c r="B387" s="516" t="s">
        <v>109</v>
      </c>
      <c r="C387" s="633"/>
      <c r="D387" s="508">
        <v>0</v>
      </c>
      <c r="E387" s="101">
        <v>347.06</v>
      </c>
      <c r="F387" s="38">
        <f>F385</f>
        <v>47.5304</v>
      </c>
      <c r="G387" s="50">
        <f>D387*(E387+F387)</f>
        <v>0</v>
      </c>
      <c r="H387" s="270"/>
      <c r="I387" s="41"/>
      <c r="J387" s="409"/>
      <c r="K387" s="1026"/>
      <c r="L387" s="597"/>
      <c r="M387" s="99"/>
      <c r="N387" s="518"/>
      <c r="O387" s="519"/>
      <c r="P387" s="515" t="s">
        <v>87</v>
      </c>
      <c r="Q387" s="271">
        <f t="shared" si="84"/>
        <v>0</v>
      </c>
    </row>
    <row r="388" spans="1:21">
      <c r="A388" s="389"/>
      <c r="B388" s="541"/>
      <c r="C388" s="84" t="s">
        <v>97</v>
      </c>
      <c r="D388" s="508">
        <f>дек18!D375</f>
        <v>0</v>
      </c>
      <c r="E388" s="41">
        <f>347.06-330.44</f>
        <v>16.620000000000005</v>
      </c>
      <c r="F388" s="41"/>
      <c r="G388" s="50">
        <f>D388*(E388+F388)</f>
        <v>0</v>
      </c>
      <c r="H388" s="432"/>
      <c r="I388" s="362"/>
      <c r="J388" s="207"/>
      <c r="K388" s="1026"/>
      <c r="L388" s="597"/>
      <c r="M388" s="520"/>
      <c r="N388" s="521"/>
      <c r="O388" s="522"/>
      <c r="P388" s="523"/>
      <c r="Q388" s="362"/>
    </row>
    <row r="389" spans="1:21">
      <c r="A389" s="389"/>
      <c r="B389" s="506"/>
      <c r="C389" s="48" t="s">
        <v>260</v>
      </c>
      <c r="D389" s="37">
        <f>дек18!D378+дек18!D379</f>
        <v>363.42</v>
      </c>
      <c r="E389" s="41">
        <f>6.7838-7.0643</f>
        <v>-0.28049999999999997</v>
      </c>
      <c r="F389" s="41">
        <f>+E389</f>
        <v>-0.28049999999999997</v>
      </c>
      <c r="G389" s="39">
        <f>ROUND(D389*(E389),2)</f>
        <v>-101.94</v>
      </c>
      <c r="H389" s="432"/>
      <c r="I389" s="362"/>
      <c r="J389" s="207"/>
      <c r="K389" s="1026"/>
      <c r="L389" s="597"/>
      <c r="M389" s="520"/>
      <c r="N389" s="521"/>
      <c r="O389" s="522"/>
      <c r="P389" s="523"/>
      <c r="Q389" s="362"/>
    </row>
    <row r="390" spans="1:21">
      <c r="A390" s="389"/>
      <c r="B390" s="506"/>
      <c r="C390" s="48" t="s">
        <v>263</v>
      </c>
      <c r="D390" s="37">
        <v>13.16</v>
      </c>
      <c r="E390" s="41">
        <v>6.7838000000000003</v>
      </c>
      <c r="F390" s="41">
        <f>+E390</f>
        <v>6.7838000000000003</v>
      </c>
      <c r="G390" s="39">
        <f t="shared" ref="G390:G391" si="85">ROUND(D390*(E390),2)</f>
        <v>89.27</v>
      </c>
      <c r="H390" s="432"/>
      <c r="I390" s="362"/>
      <c r="J390" s="207"/>
      <c r="K390" s="1026"/>
      <c r="L390" s="597"/>
      <c r="M390" s="520"/>
      <c r="N390" s="521"/>
      <c r="O390" s="522"/>
      <c r="P390" s="523"/>
      <c r="Q390" s="362"/>
    </row>
    <row r="391" spans="1:21" ht="15.75" thickBot="1">
      <c r="A391" s="411"/>
      <c r="B391" s="526"/>
      <c r="C391" s="54" t="s">
        <v>29</v>
      </c>
      <c r="D391" s="55">
        <v>297</v>
      </c>
      <c r="E391" s="56">
        <v>6.7838000000000003</v>
      </c>
      <c r="F391" s="281">
        <f>+E391</f>
        <v>6.7838000000000003</v>
      </c>
      <c r="G391" s="414">
        <f t="shared" si="85"/>
        <v>2014.79</v>
      </c>
      <c r="H391" s="248"/>
      <c r="I391" s="203"/>
      <c r="J391" s="60"/>
      <c r="K391" s="1024"/>
      <c r="L391" s="249"/>
      <c r="M391" s="54"/>
      <c r="N391" s="527"/>
      <c r="O391" s="528"/>
      <c r="P391" s="529" t="s">
        <v>87</v>
      </c>
      <c r="Q391" s="282">
        <f>+G391+J391-M391-N391-O391</f>
        <v>2014.79</v>
      </c>
    </row>
    <row r="392" spans="1:21" collapsed="1">
      <c r="A392" s="376">
        <v>411</v>
      </c>
      <c r="B392" s="602" t="s">
        <v>127</v>
      </c>
      <c r="C392" s="439" t="s">
        <v>260</v>
      </c>
      <c r="D392" s="184">
        <f>дек18!D381+дек18!D382</f>
        <v>483.51</v>
      </c>
      <c r="E392" s="23">
        <f>6.7838-7.0643</f>
        <v>-0.28049999999999997</v>
      </c>
      <c r="F392" s="23">
        <f t="shared" ref="F392" si="86">+E392</f>
        <v>-0.28049999999999997</v>
      </c>
      <c r="G392" s="185">
        <f>ROUND(D392*(E392),2)-0.01</f>
        <v>-135.63</v>
      </c>
      <c r="H392" s="669"/>
      <c r="I392" s="620"/>
      <c r="J392" s="620"/>
      <c r="K392" s="1020"/>
      <c r="L392" s="603">
        <f>SUM(G392:G395)</f>
        <v>3434.89</v>
      </c>
      <c r="M392" s="187">
        <v>3434.89</v>
      </c>
      <c r="N392" s="604"/>
      <c r="O392" s="635"/>
      <c r="P392" s="636"/>
      <c r="Q392" s="605"/>
    </row>
    <row r="393" spans="1:21">
      <c r="A393" s="934"/>
      <c r="B393" s="506"/>
      <c r="C393" s="48" t="s">
        <v>263</v>
      </c>
      <c r="D393" s="49">
        <v>22.33</v>
      </c>
      <c r="E393" s="41">
        <v>6.7838000000000003</v>
      </c>
      <c r="F393" s="41">
        <f>+E393</f>
        <v>6.7838000000000003</v>
      </c>
      <c r="G393" s="50">
        <f>ROUND(D393*(E393),2)</f>
        <v>151.47999999999999</v>
      </c>
      <c r="H393" s="296"/>
      <c r="I393" s="298"/>
      <c r="J393" s="298"/>
      <c r="K393" s="1021"/>
      <c r="L393" s="606"/>
      <c r="M393" s="935"/>
      <c r="N393" s="607"/>
      <c r="O393" s="608"/>
      <c r="P393" s="609"/>
      <c r="Q393" s="610"/>
    </row>
    <row r="394" spans="1:21">
      <c r="A394" s="934"/>
      <c r="B394" s="506"/>
      <c r="C394" s="99" t="s">
        <v>29</v>
      </c>
      <c r="D394" s="296">
        <v>504</v>
      </c>
      <c r="E394" s="101">
        <v>6.7838000000000003</v>
      </c>
      <c r="F394" s="41">
        <f t="shared" ref="F394" si="87">+E394</f>
        <v>6.7838000000000003</v>
      </c>
      <c r="G394" s="50">
        <f t="shared" ref="G394" si="88">ROUND(D394*(E394),2)</f>
        <v>3419.04</v>
      </c>
      <c r="H394" s="296"/>
      <c r="I394" s="298"/>
      <c r="J394" s="298"/>
      <c r="K394" s="1021"/>
      <c r="L394" s="606"/>
      <c r="M394" s="935"/>
      <c r="N394" s="615"/>
      <c r="O394" s="615"/>
      <c r="P394" s="615"/>
      <c r="Q394" s="616"/>
    </row>
    <row r="395" spans="1:21" ht="15.75" thickBot="1">
      <c r="A395" s="942"/>
      <c r="B395" s="278"/>
      <c r="C395" s="784"/>
      <c r="D395" s="941"/>
      <c r="E395" s="281"/>
      <c r="F395" s="57"/>
      <c r="G395" s="58"/>
      <c r="H395" s="613"/>
      <c r="I395" s="57"/>
      <c r="J395" s="57"/>
      <c r="K395" s="1021"/>
      <c r="L395" s="606"/>
      <c r="M395" s="935"/>
      <c r="N395" s="615"/>
      <c r="O395" s="615"/>
      <c r="P395" s="615"/>
      <c r="Q395" s="615"/>
    </row>
    <row r="396" spans="1:21">
      <c r="A396" s="376">
        <v>501</v>
      </c>
      <c r="B396" s="494" t="s">
        <v>202</v>
      </c>
      <c r="C396" s="71"/>
      <c r="D396" s="495">
        <v>12</v>
      </c>
      <c r="E396" s="21">
        <v>40.556600000000003</v>
      </c>
      <c r="F396" s="21">
        <v>47.5304</v>
      </c>
      <c r="G396" s="185">
        <f>ROUND(D396*(E396+F396),2)</f>
        <v>1057.04</v>
      </c>
      <c r="H396" s="496"/>
      <c r="I396" s="73"/>
      <c r="J396" s="73"/>
      <c r="K396" s="679"/>
      <c r="L396" s="498">
        <f>+SUM(G396:G403,C403)+SUM(J396:J403)</f>
        <v>50653.612000000001</v>
      </c>
      <c r="M396" s="26">
        <v>50653.61</v>
      </c>
      <c r="N396" s="499"/>
      <c r="O396" s="500"/>
      <c r="P396" s="501" t="s">
        <v>87</v>
      </c>
      <c r="Q396" s="304">
        <f t="shared" ref="Q396:Q413" si="89">C396+G396+J396-M396-N396-O396</f>
        <v>-49596.57</v>
      </c>
      <c r="R396" s="502" t="s">
        <v>88</v>
      </c>
      <c r="S396" s="503"/>
      <c r="T396" s="504"/>
      <c r="U396" s="33"/>
    </row>
    <row r="397" spans="1:21">
      <c r="A397" s="389"/>
      <c r="B397" s="506"/>
      <c r="C397" s="507" t="s">
        <v>264</v>
      </c>
      <c r="D397" s="508"/>
      <c r="E397" s="38"/>
      <c r="F397" s="38"/>
      <c r="G397" s="50">
        <f>ROUND(D397*(E397+F397),2)</f>
        <v>0</v>
      </c>
      <c r="H397" s="448"/>
      <c r="I397" s="509"/>
      <c r="J397" s="409"/>
      <c r="K397" s="1026"/>
      <c r="L397" s="511"/>
      <c r="M397" s="512"/>
      <c r="N397" s="513"/>
      <c r="O397" s="514"/>
      <c r="P397" s="515"/>
      <c r="Q397" s="262"/>
      <c r="R397" s="502"/>
      <c r="S397" s="503"/>
      <c r="T397" s="504"/>
      <c r="U397" s="33"/>
    </row>
    <row r="398" spans="1:21">
      <c r="A398" s="389"/>
      <c r="B398" s="516" t="s">
        <v>89</v>
      </c>
      <c r="C398" s="512" t="s">
        <v>90</v>
      </c>
      <c r="D398" s="508">
        <v>5</v>
      </c>
      <c r="E398" s="101">
        <v>347.06</v>
      </c>
      <c r="F398" s="38">
        <f>F396</f>
        <v>47.5304</v>
      </c>
      <c r="G398" s="50">
        <f>D398*(E398+F398)</f>
        <v>1972.952</v>
      </c>
      <c r="H398" s="270"/>
      <c r="I398" s="41"/>
      <c r="J398" s="409"/>
      <c r="K398" s="1026"/>
      <c r="L398" s="517"/>
      <c r="M398" s="99"/>
      <c r="N398" s="518"/>
      <c r="O398" s="519"/>
      <c r="P398" s="515" t="s">
        <v>87</v>
      </c>
      <c r="Q398" s="271">
        <f>+G398+J398-M398-N398-O398</f>
        <v>1972.952</v>
      </c>
      <c r="R398" s="502" t="s">
        <v>88</v>
      </c>
      <c r="S398" s="503"/>
      <c r="T398" s="504"/>
    </row>
    <row r="399" spans="1:21">
      <c r="A399" s="389"/>
      <c r="B399" s="506" t="s">
        <v>91</v>
      </c>
      <c r="C399" s="507"/>
      <c r="D399" s="508">
        <f>дек18!D386</f>
        <v>7</v>
      </c>
      <c r="E399" s="41">
        <f>347.06-330.44</f>
        <v>16.620000000000005</v>
      </c>
      <c r="F399" s="38"/>
      <c r="G399" s="50">
        <f>ROUND(D399*(E399+F399),2)</f>
        <v>116.34</v>
      </c>
      <c r="H399" s="432"/>
      <c r="I399" s="362"/>
      <c r="J399" s="409"/>
      <c r="K399" s="1026"/>
      <c r="L399" s="517"/>
      <c r="M399" s="520"/>
      <c r="N399" s="521"/>
      <c r="O399" s="522"/>
      <c r="P399" s="523"/>
      <c r="Q399" s="362"/>
      <c r="R399" s="502"/>
      <c r="S399" s="503"/>
      <c r="T399" s="504"/>
    </row>
    <row r="400" spans="1:21">
      <c r="A400" s="389"/>
      <c r="B400" s="506" t="s">
        <v>91</v>
      </c>
      <c r="C400" s="507"/>
      <c r="D400" s="508"/>
      <c r="E400" s="38"/>
      <c r="F400" s="41"/>
      <c r="G400" s="50">
        <f>D400*(E400+F400)</f>
        <v>0</v>
      </c>
      <c r="H400" s="432"/>
      <c r="I400" s="362"/>
      <c r="J400" s="409"/>
      <c r="K400" s="1026"/>
      <c r="L400" s="517"/>
      <c r="M400" s="520"/>
      <c r="N400" s="521"/>
      <c r="O400" s="522"/>
      <c r="P400" s="523"/>
      <c r="Q400" s="362"/>
      <c r="R400" s="502"/>
      <c r="S400" s="503"/>
      <c r="T400" s="504"/>
    </row>
    <row r="401" spans="1:21">
      <c r="A401" s="389"/>
      <c r="B401" s="506" t="s">
        <v>92</v>
      </c>
      <c r="C401" s="48" t="s">
        <v>260</v>
      </c>
      <c r="D401" s="508">
        <f>дек18!D390+дек18!D391</f>
        <v>7299.66</v>
      </c>
      <c r="E401" s="41">
        <f>6.7838-7.0643</f>
        <v>-0.28049999999999997</v>
      </c>
      <c r="F401" s="41">
        <f>+E401</f>
        <v>-0.28049999999999997</v>
      </c>
      <c r="G401" s="39">
        <f>ROUNDDOWN(D401*E401,2)-0.01</f>
        <v>-2047.56</v>
      </c>
      <c r="H401" s="432"/>
      <c r="I401" s="362"/>
      <c r="J401" s="41"/>
      <c r="K401" s="1026"/>
      <c r="L401" s="517"/>
      <c r="M401" s="520"/>
      <c r="N401" s="521"/>
      <c r="O401" s="522"/>
      <c r="P401" s="523"/>
      <c r="Q401" s="362"/>
      <c r="R401" s="502"/>
      <c r="S401" s="503"/>
      <c r="T401" s="504"/>
    </row>
    <row r="402" spans="1:21">
      <c r="A402" s="389"/>
      <c r="B402" s="506"/>
      <c r="C402" s="48" t="s">
        <v>263</v>
      </c>
      <c r="D402" s="508">
        <v>309.88</v>
      </c>
      <c r="E402" s="41">
        <v>6.7838000000000003</v>
      </c>
      <c r="F402" s="41">
        <f>+E402</f>
        <v>6.7838000000000003</v>
      </c>
      <c r="G402" s="39">
        <f>ROUND(D402*E402,2)</f>
        <v>2102.16</v>
      </c>
      <c r="H402" s="432"/>
      <c r="I402" s="362"/>
      <c r="J402" s="207"/>
      <c r="K402" s="1030"/>
      <c r="L402" s="517"/>
      <c r="M402" s="520"/>
      <c r="N402" s="521"/>
      <c r="O402" s="522"/>
      <c r="P402" s="523"/>
      <c r="Q402" s="362"/>
      <c r="R402" s="502"/>
      <c r="S402" s="503"/>
      <c r="T402" s="504"/>
    </row>
    <row r="403" spans="1:21" ht="15.75" thickBot="1">
      <c r="A403" s="411"/>
      <c r="B403" s="526"/>
      <c r="C403" s="99" t="s">
        <v>29</v>
      </c>
      <c r="D403" s="55">
        <v>6995</v>
      </c>
      <c r="E403" s="56">
        <v>6.7838000000000003</v>
      </c>
      <c r="F403" s="57">
        <f>+E403</f>
        <v>6.7838000000000003</v>
      </c>
      <c r="G403" s="58">
        <f>ROUND(D403*E403,2)</f>
        <v>47452.68</v>
      </c>
      <c r="H403" s="248"/>
      <c r="I403" s="203"/>
      <c r="J403" s="60"/>
      <c r="K403" s="1024"/>
      <c r="L403" s="249"/>
      <c r="M403" s="54"/>
      <c r="N403" s="527"/>
      <c r="O403" s="528"/>
      <c r="P403" s="529" t="s">
        <v>87</v>
      </c>
      <c r="Q403" s="282">
        <f>+G403+J403-M403-N403-O403</f>
        <v>47452.68</v>
      </c>
      <c r="R403" s="530" t="s">
        <v>88</v>
      </c>
      <c r="S403" s="531">
        <f>SUM(N396:N403)+O396:O403</f>
        <v>0</v>
      </c>
      <c r="T403" s="531">
        <f>SUM(Q396:Q403)</f>
        <v>-170.93800000000192</v>
      </c>
      <c r="U403" s="33"/>
    </row>
    <row r="404" spans="1:21" ht="15.75" thickTop="1">
      <c r="A404" s="339">
        <v>502</v>
      </c>
      <c r="B404" s="532" t="s">
        <v>192</v>
      </c>
      <c r="C404" s="71">
        <f>+[1]дек!U51</f>
        <v>-6.0000000303261913E-4</v>
      </c>
      <c r="D404" s="213">
        <v>42</v>
      </c>
      <c r="E404" s="21">
        <v>40.556600000000003</v>
      </c>
      <c r="F404" s="21">
        <v>47.5304</v>
      </c>
      <c r="G404" s="214">
        <f>ROUND(D404*(E404+F404),2)</f>
        <v>3699.65</v>
      </c>
      <c r="H404" s="496"/>
      <c r="I404" s="73"/>
      <c r="J404" s="73"/>
      <c r="K404" s="679"/>
      <c r="L404" s="533">
        <f>+SUM(G404:G411,)+SUM(J404:J411)</f>
        <v>51624.22</v>
      </c>
      <c r="M404" s="26">
        <v>51624.22</v>
      </c>
      <c r="N404" s="534"/>
      <c r="O404" s="535"/>
      <c r="P404" s="536" t="s">
        <v>87</v>
      </c>
      <c r="Q404" s="537">
        <f t="shared" si="89"/>
        <v>-47924.570600000006</v>
      </c>
      <c r="R404" s="538" t="s">
        <v>95</v>
      </c>
      <c r="S404" s="539"/>
      <c r="T404" s="540"/>
      <c r="U404" s="33"/>
    </row>
    <row r="405" spans="1:21">
      <c r="A405" s="353"/>
      <c r="B405" s="541"/>
      <c r="C405" s="542" t="s">
        <v>96</v>
      </c>
      <c r="D405" s="234"/>
      <c r="E405" s="38"/>
      <c r="F405" s="38"/>
      <c r="G405" s="235">
        <f>ROUND(D405*(E405+F405),2)</f>
        <v>0</v>
      </c>
      <c r="H405" s="448"/>
      <c r="I405" s="509"/>
      <c r="J405" s="509"/>
      <c r="K405" s="1025"/>
      <c r="L405" s="544"/>
      <c r="M405" s="545"/>
      <c r="N405" s="546"/>
      <c r="O405" s="547"/>
      <c r="P405" s="548"/>
      <c r="Q405" s="549"/>
      <c r="R405" s="550"/>
      <c r="S405" s="551"/>
      <c r="T405" s="552"/>
      <c r="U405" s="33"/>
    </row>
    <row r="406" spans="1:21">
      <c r="A406" s="353"/>
      <c r="B406" s="516" t="s">
        <v>32</v>
      </c>
      <c r="C406" s="99" t="s">
        <v>90</v>
      </c>
      <c r="D406" s="234">
        <v>31</v>
      </c>
      <c r="E406" s="101">
        <v>347.06</v>
      </c>
      <c r="F406" s="38">
        <f>F404</f>
        <v>47.5304</v>
      </c>
      <c r="G406" s="235">
        <f>ROUND(D406*(E406+F406),2)</f>
        <v>12232.3</v>
      </c>
      <c r="H406" s="270"/>
      <c r="I406" s="41"/>
      <c r="J406" s="41"/>
      <c r="K406" s="1026"/>
      <c r="L406" s="553"/>
      <c r="M406" s="554"/>
      <c r="N406" s="555"/>
      <c r="O406" s="556"/>
      <c r="P406" s="557" t="s">
        <v>87</v>
      </c>
      <c r="Q406" s="558">
        <f>+G406+J406-M406-N406-O406</f>
        <v>12232.3</v>
      </c>
      <c r="R406" s="550" t="s">
        <v>95</v>
      </c>
      <c r="S406" s="551"/>
      <c r="T406" s="552"/>
    </row>
    <row r="407" spans="1:21">
      <c r="A407" s="353"/>
      <c r="B407" s="541"/>
      <c r="C407" s="84" t="s">
        <v>97</v>
      </c>
      <c r="D407" s="234">
        <f>дек18!D394</f>
        <v>24</v>
      </c>
      <c r="E407" s="41">
        <f>347.06-330.44</f>
        <v>16.620000000000005</v>
      </c>
      <c r="F407" s="38"/>
      <c r="G407" s="50">
        <f>ROUND(D407*(E407+F407),2)</f>
        <v>398.88</v>
      </c>
      <c r="H407" s="432"/>
      <c r="I407" s="362"/>
      <c r="J407" s="41"/>
      <c r="K407" s="1026"/>
      <c r="L407" s="559"/>
      <c r="M407" s="560"/>
      <c r="N407" s="561"/>
      <c r="O407" s="562"/>
      <c r="P407" s="563"/>
      <c r="Q407" s="564"/>
      <c r="R407" s="550"/>
      <c r="S407" s="551"/>
      <c r="T407" s="552"/>
    </row>
    <row r="408" spans="1:21">
      <c r="A408" s="353"/>
      <c r="B408" s="541"/>
      <c r="C408" s="84" t="s">
        <v>97</v>
      </c>
      <c r="D408" s="234"/>
      <c r="E408" s="38"/>
      <c r="F408" s="240"/>
      <c r="G408" s="50">
        <f>D408*(E408+F408)</f>
        <v>0</v>
      </c>
      <c r="H408" s="432"/>
      <c r="I408" s="362"/>
      <c r="J408" s="41"/>
      <c r="K408" s="1026"/>
      <c r="L408" s="559"/>
      <c r="M408" s="560"/>
      <c r="N408" s="561"/>
      <c r="O408" s="562"/>
      <c r="P408" s="563"/>
      <c r="Q408" s="564"/>
      <c r="R408" s="550"/>
      <c r="S408" s="551"/>
      <c r="T408" s="552"/>
    </row>
    <row r="409" spans="1:21">
      <c r="A409" s="353"/>
      <c r="B409" s="541"/>
      <c r="C409" s="48" t="s">
        <v>260</v>
      </c>
      <c r="D409" s="37">
        <f>дек18!D398+дек18!D399</f>
        <v>4725.46</v>
      </c>
      <c r="E409" s="41">
        <f>6.7838-7.0643</f>
        <v>-0.28049999999999997</v>
      </c>
      <c r="F409" s="41">
        <f>+E409</f>
        <v>-0.28049999999999997</v>
      </c>
      <c r="G409" s="235">
        <f>ROUND(D409*E409,2)</f>
        <v>-1325.49</v>
      </c>
      <c r="H409" s="565"/>
      <c r="I409" s="564"/>
      <c r="J409" s="566"/>
      <c r="K409" s="1031"/>
      <c r="L409" s="559"/>
      <c r="M409" s="560"/>
      <c r="N409" s="561"/>
      <c r="O409" s="562"/>
      <c r="P409" s="563"/>
      <c r="Q409" s="564"/>
      <c r="R409" s="550"/>
      <c r="S409" s="551"/>
      <c r="T409" s="552"/>
      <c r="U409" s="352"/>
    </row>
    <row r="410" spans="1:21">
      <c r="A410" s="353"/>
      <c r="B410" s="541"/>
      <c r="C410" s="48" t="s">
        <v>263</v>
      </c>
      <c r="D410" s="37">
        <v>228.99</v>
      </c>
      <c r="E410" s="41">
        <v>6.7838000000000003</v>
      </c>
      <c r="F410" s="41">
        <f>+E410</f>
        <v>6.7838000000000003</v>
      </c>
      <c r="G410" s="235">
        <f>ROUND(D410*E410,2)</f>
        <v>1553.42</v>
      </c>
      <c r="H410" s="565"/>
      <c r="I410" s="564"/>
      <c r="J410" s="566"/>
      <c r="K410" s="1031"/>
      <c r="L410" s="559"/>
      <c r="M410" s="560"/>
      <c r="N410" s="561"/>
      <c r="O410" s="562"/>
      <c r="P410" s="563"/>
      <c r="Q410" s="564"/>
      <c r="R410" s="550"/>
      <c r="S410" s="551"/>
      <c r="T410" s="552"/>
      <c r="U410" s="33"/>
    </row>
    <row r="411" spans="1:21" ht="15.75" thickBot="1">
      <c r="A411" s="369"/>
      <c r="B411" s="568"/>
      <c r="C411" s="99" t="s">
        <v>29</v>
      </c>
      <c r="D411" s="246">
        <v>5169</v>
      </c>
      <c r="E411" s="56">
        <v>6.7838000000000003</v>
      </c>
      <c r="F411" s="57">
        <f>+E411</f>
        <v>6.7838000000000003</v>
      </c>
      <c r="G411" s="247">
        <f>ROUND(D411*E411,2)</f>
        <v>35065.46</v>
      </c>
      <c r="H411" s="248"/>
      <c r="I411" s="203"/>
      <c r="J411" s="60"/>
      <c r="K411" s="61"/>
      <c r="L411" s="204"/>
      <c r="M411" s="560"/>
      <c r="N411" s="561"/>
      <c r="O411" s="528"/>
      <c r="P411" s="529" t="s">
        <v>87</v>
      </c>
      <c r="Q411" s="564">
        <f>+G411+J411-M411-N411-O411</f>
        <v>35065.46</v>
      </c>
      <c r="R411" s="550" t="s">
        <v>95</v>
      </c>
      <c r="S411" s="569">
        <f>SUM(N404:N411)+O404:O411</f>
        <v>0</v>
      </c>
      <c r="T411" s="570">
        <f>SUM(Q406:Q411)</f>
        <v>47297.759999999995</v>
      </c>
    </row>
    <row r="412" spans="1:21" ht="15.75" hidden="1" outlineLevel="1" thickBot="1">
      <c r="A412" s="571"/>
      <c r="B412" s="572" t="s">
        <v>98</v>
      </c>
      <c r="C412" s="573" t="s">
        <v>99</v>
      </c>
      <c r="D412" s="574"/>
      <c r="E412" s="575">
        <f>3.193-2.9732</f>
        <v>0.21980000000000022</v>
      </c>
      <c r="F412" s="575">
        <f>3.193-2.9732</f>
        <v>0.21980000000000022</v>
      </c>
      <c r="G412" s="576">
        <f>D412*E412*70%+D412*F412*30%</f>
        <v>0</v>
      </c>
      <c r="H412" s="577"/>
      <c r="I412" s="578"/>
      <c r="J412" s="579"/>
      <c r="K412" s="579"/>
      <c r="L412" s="580"/>
      <c r="M412" s="581"/>
      <c r="N412" s="582"/>
      <c r="O412" s="535"/>
      <c r="P412" s="536"/>
      <c r="Q412" s="583"/>
      <c r="R412" s="584"/>
      <c r="S412" s="569"/>
      <c r="T412" s="585"/>
    </row>
    <row r="413" spans="1:21" s="81" customFormat="1" ht="16.5" hidden="1" customHeight="1" outlineLevel="1" thickBot="1">
      <c r="A413" s="933" t="s">
        <v>100</v>
      </c>
      <c r="B413" s="587" t="s">
        <v>98</v>
      </c>
      <c r="C413" s="588">
        <f>+[1]авг!C52</f>
        <v>0</v>
      </c>
      <c r="D413" s="589"/>
      <c r="E413" s="575">
        <v>3.1930000000000001</v>
      </c>
      <c r="F413" s="575">
        <f>+E413</f>
        <v>3.1930000000000001</v>
      </c>
      <c r="G413" s="576">
        <f>D413*E413*70%+D413*F413*30%</f>
        <v>0</v>
      </c>
      <c r="H413" s="579"/>
      <c r="I413" s="579"/>
      <c r="J413" s="579"/>
      <c r="K413" s="579"/>
      <c r="L413" s="579">
        <f>+C413+G413+G412</f>
        <v>0</v>
      </c>
      <c r="M413" s="590"/>
      <c r="N413" s="500"/>
      <c r="O413" s="528"/>
      <c r="P413" s="529" t="s">
        <v>87</v>
      </c>
      <c r="Q413" s="591">
        <f t="shared" si="89"/>
        <v>0</v>
      </c>
      <c r="R413" s="592" t="s">
        <v>101</v>
      </c>
      <c r="S413" s="77">
        <f>SUM(N413:N413)+SUM(O413:O413)</f>
        <v>0</v>
      </c>
      <c r="T413" s="593">
        <f>SUM(Q413:Q413)</f>
        <v>0</v>
      </c>
    </row>
    <row r="414" spans="1:21" ht="15.75" hidden="1" outlineLevel="1" thickBot="1">
      <c r="A414" s="944"/>
      <c r="B414" s="945" t="s">
        <v>128</v>
      </c>
      <c r="C414" s="573" t="s">
        <v>115</v>
      </c>
      <c r="D414" s="946"/>
      <c r="E414" s="579">
        <f>6.8021-6.8946</f>
        <v>-9.2499999999999361E-2</v>
      </c>
      <c r="F414" s="579">
        <f t="shared" ref="F414" si="90">+E414</f>
        <v>-9.2499999999999361E-2</v>
      </c>
      <c r="G414" s="947">
        <f>ROUND(D414*(E414),2)</f>
        <v>0</v>
      </c>
      <c r="H414" s="948"/>
      <c r="I414" s="949"/>
      <c r="J414" s="949"/>
      <c r="K414" s="950"/>
      <c r="L414" s="951"/>
      <c r="M414" s="952"/>
      <c r="N414" s="604"/>
      <c r="O414" s="635"/>
      <c r="P414" s="636"/>
      <c r="Q414" s="605"/>
    </row>
    <row r="415" spans="1:21" ht="15.75" hidden="1" outlineLevel="1" thickBot="1">
      <c r="A415" s="953"/>
      <c r="B415" s="954"/>
      <c r="C415" s="573" t="s">
        <v>114</v>
      </c>
      <c r="D415" s="946"/>
      <c r="E415" s="579">
        <v>6.8021000000000003</v>
      </c>
      <c r="F415" s="579">
        <f>+E415</f>
        <v>6.8021000000000003</v>
      </c>
      <c r="G415" s="947">
        <f>ROUND(D415*(E415),2)</f>
        <v>0</v>
      </c>
      <c r="H415" s="948"/>
      <c r="I415" s="949"/>
      <c r="J415" s="949"/>
      <c r="K415" s="950"/>
      <c r="L415" s="955"/>
      <c r="M415" s="956"/>
      <c r="N415" s="607"/>
      <c r="O415" s="608"/>
      <c r="P415" s="609"/>
      <c r="Q415" s="610"/>
    </row>
    <row r="416" spans="1:21" ht="15.75" hidden="1" outlineLevel="1" thickBot="1">
      <c r="A416" s="944"/>
      <c r="B416" s="954"/>
      <c r="C416" s="916" t="s">
        <v>29</v>
      </c>
      <c r="D416" s="948"/>
      <c r="E416" s="917">
        <v>6.8021000000000003</v>
      </c>
      <c r="F416" s="579">
        <f t="shared" ref="F416" si="91">+E416</f>
        <v>6.8021000000000003</v>
      </c>
      <c r="G416" s="947">
        <f t="shared" ref="G416" si="92">ROUND(D416*(E416),2)</f>
        <v>0</v>
      </c>
      <c r="H416" s="948"/>
      <c r="I416" s="949"/>
      <c r="J416" s="949"/>
      <c r="K416" s="950"/>
      <c r="L416" s="951"/>
      <c r="M416" s="956"/>
      <c r="N416" s="615"/>
      <c r="O416" s="615"/>
      <c r="P416" s="615"/>
      <c r="Q416" s="616"/>
    </row>
    <row r="417" spans="1:20" ht="15.75" hidden="1" outlineLevel="1" thickBot="1">
      <c r="A417" s="953"/>
      <c r="B417" s="955"/>
      <c r="C417" s="575"/>
      <c r="D417" s="957"/>
      <c r="E417" s="580"/>
      <c r="F417" s="575"/>
      <c r="G417" s="958"/>
      <c r="H417" s="959"/>
      <c r="I417" s="575"/>
      <c r="J417" s="575"/>
      <c r="K417" s="575"/>
      <c r="L417" s="955"/>
      <c r="M417" s="956"/>
      <c r="N417" s="615"/>
      <c r="O417" s="615"/>
      <c r="P417" s="615"/>
      <c r="Q417" s="615"/>
    </row>
    <row r="418" spans="1:20" collapsed="1">
      <c r="A418" s="963"/>
      <c r="B418" s="621"/>
      <c r="C418" s="621"/>
      <c r="D418" s="964"/>
      <c r="E418" s="905"/>
      <c r="F418" s="621"/>
      <c r="G418" s="905"/>
      <c r="H418" s="621"/>
      <c r="I418" s="621"/>
      <c r="J418" s="621"/>
      <c r="K418" s="621"/>
      <c r="L418" s="621"/>
      <c r="M418" s="965"/>
      <c r="N418" s="615"/>
      <c r="O418" s="615"/>
      <c r="P418" s="615"/>
      <c r="Q418" s="615"/>
    </row>
    <row r="419" spans="1:20" ht="15.75" thickBot="1">
      <c r="A419" s="966"/>
      <c r="B419" s="615"/>
      <c r="C419" s="615"/>
      <c r="D419" s="696"/>
      <c r="E419" s="473"/>
      <c r="F419" s="615"/>
      <c r="G419" s="473"/>
      <c r="H419" s="615"/>
      <c r="I419" s="615"/>
      <c r="J419" s="615"/>
      <c r="K419" s="615"/>
      <c r="L419" s="615"/>
      <c r="M419" s="967"/>
      <c r="N419" s="615"/>
      <c r="O419" s="615"/>
      <c r="P419" s="615"/>
      <c r="Q419" s="615"/>
    </row>
    <row r="420" spans="1:20" s="81" customFormat="1" ht="15" customHeight="1" thickTop="1">
      <c r="A420" s="476"/>
      <c r="B420" s="158"/>
      <c r="C420" s="322"/>
      <c r="D420" s="477"/>
      <c r="E420" s="163"/>
      <c r="F420" s="163"/>
      <c r="G420" s="478"/>
      <c r="H420" s="163"/>
      <c r="I420" s="163"/>
      <c r="J420" s="163"/>
      <c r="K420" s="163"/>
      <c r="L420" s="163"/>
      <c r="M420" s="164"/>
      <c r="N420" s="479"/>
      <c r="O420" s="479"/>
      <c r="P420" s="479"/>
      <c r="Q420" s="479"/>
      <c r="R420" s="422"/>
      <c r="S420"/>
      <c r="T420" s="399"/>
    </row>
    <row r="421" spans="1:20" ht="15.75" thickBot="1">
      <c r="A421" s="968" t="s">
        <v>113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  <c r="N421" s="2"/>
      <c r="O421" s="2"/>
      <c r="P421" s="2"/>
      <c r="Q421" s="2"/>
    </row>
    <row r="422" spans="1:20" ht="15.75" customHeight="1" thickTop="1" thickBot="1">
      <c r="A422" s="1559" t="s">
        <v>1</v>
      </c>
      <c r="B422" s="1543" t="s">
        <v>2</v>
      </c>
      <c r="C422" s="1545" t="s">
        <v>3</v>
      </c>
      <c r="D422" s="1546" t="s">
        <v>4</v>
      </c>
      <c r="E422" s="1546"/>
      <c r="F422" s="1546"/>
      <c r="G422" s="1546"/>
      <c r="H422" s="1547"/>
      <c r="I422" s="1548"/>
      <c r="J422" s="1548"/>
      <c r="K422" s="1549"/>
      <c r="L422" s="1524" t="s">
        <v>6</v>
      </c>
      <c r="M422" s="1511" t="s">
        <v>7</v>
      </c>
      <c r="N422" s="1551" t="s">
        <v>8</v>
      </c>
      <c r="O422" s="1551"/>
      <c r="P422" s="1551"/>
      <c r="Q422" s="1552"/>
      <c r="R422" s="481"/>
      <c r="S422" s="482" t="s">
        <v>20</v>
      </c>
      <c r="T422" s="482" t="s">
        <v>21</v>
      </c>
    </row>
    <row r="423" spans="1:20" ht="26.25" thickBot="1">
      <c r="A423" s="1560"/>
      <c r="B423" s="1557"/>
      <c r="C423" s="1558" t="s">
        <v>10</v>
      </c>
      <c r="D423" s="483" t="s">
        <v>11</v>
      </c>
      <c r="E423" s="649" t="s">
        <v>12</v>
      </c>
      <c r="F423" s="649" t="s">
        <v>13</v>
      </c>
      <c r="G423" s="650" t="s">
        <v>14</v>
      </c>
      <c r="H423" s="483" t="s">
        <v>11</v>
      </c>
      <c r="I423" s="486" t="s">
        <v>15</v>
      </c>
      <c r="J423" s="485"/>
      <c r="K423" s="1014" t="s">
        <v>16</v>
      </c>
      <c r="L423" s="1525"/>
      <c r="M423" s="1554"/>
      <c r="N423" s="655"/>
      <c r="O423" s="653"/>
      <c r="P423" s="656" t="s">
        <v>18</v>
      </c>
      <c r="Q423" s="657" t="s">
        <v>19</v>
      </c>
      <c r="R423" s="491"/>
      <c r="S423" s="492"/>
      <c r="T423" s="492"/>
    </row>
    <row r="424" spans="1:20">
      <c r="A424" s="961" t="s">
        <v>212</v>
      </c>
      <c r="B424" s="659" t="s">
        <v>116</v>
      </c>
      <c r="C424" s="668" t="s">
        <v>73</v>
      </c>
      <c r="D424" s="669">
        <v>7</v>
      </c>
      <c r="E424" s="21">
        <v>40.556600000000003</v>
      </c>
      <c r="F424" s="21">
        <v>47.5304</v>
      </c>
      <c r="G424" s="214">
        <f>+D424*(E424+F424)</f>
        <v>616.60900000000004</v>
      </c>
      <c r="H424" s="1015"/>
      <c r="I424" s="1016"/>
      <c r="J424" s="620"/>
      <c r="K424" s="1017"/>
      <c r="L424" s="603">
        <f>SUM(G424:G430)+SUM(J424:J428)</f>
        <v>13189.739</v>
      </c>
      <c r="M424" s="187">
        <v>13189.74</v>
      </c>
      <c r="N424" s="670"/>
      <c r="O424" s="670"/>
      <c r="P424" s="670"/>
      <c r="Q424" s="670"/>
    </row>
    <row r="425" spans="1:20">
      <c r="A425" s="970"/>
      <c r="B425" s="672"/>
      <c r="C425" s="48" t="s">
        <v>264</v>
      </c>
      <c r="D425" s="673"/>
      <c r="E425" s="41"/>
      <c r="F425" s="298"/>
      <c r="G425" s="235">
        <f>+D425*(E425+F425)</f>
        <v>0</v>
      </c>
      <c r="H425" s="687"/>
      <c r="I425" s="688"/>
      <c r="J425" s="670"/>
      <c r="K425" s="689"/>
      <c r="L425" s="606"/>
      <c r="M425" s="935"/>
      <c r="N425" s="298"/>
      <c r="O425" s="298"/>
      <c r="P425" s="298"/>
      <c r="Q425" s="298"/>
    </row>
    <row r="426" spans="1:20">
      <c r="A426" s="970"/>
      <c r="B426" s="442"/>
      <c r="C426" s="48"/>
      <c r="D426" s="673"/>
      <c r="E426" s="41"/>
      <c r="F426" s="298"/>
      <c r="G426" s="235">
        <f t="shared" ref="G426:G442" si="93">ROUND(D426*E426,2)</f>
        <v>0</v>
      </c>
      <c r="H426" s="687"/>
      <c r="I426" s="688"/>
      <c r="J426" s="670"/>
      <c r="K426" s="689"/>
      <c r="L426" s="614"/>
      <c r="M426" s="935"/>
      <c r="N426" s="298"/>
      <c r="O426" s="298"/>
      <c r="P426" s="298"/>
      <c r="Q426" s="298"/>
    </row>
    <row r="427" spans="1:20">
      <c r="A427" s="970"/>
      <c r="B427" s="35"/>
      <c r="C427" s="606"/>
      <c r="D427" s="673"/>
      <c r="E427" s="41"/>
      <c r="F427" s="298"/>
      <c r="G427" s="235">
        <f t="shared" si="93"/>
        <v>0</v>
      </c>
      <c r="H427" s="270"/>
      <c r="I427" s="688"/>
      <c r="J427" s="670"/>
      <c r="K427" s="689"/>
      <c r="L427" s="614"/>
      <c r="M427" s="273"/>
      <c r="N427" s="298"/>
      <c r="O427" s="298"/>
      <c r="P427" s="298"/>
      <c r="Q427" s="298"/>
    </row>
    <row r="428" spans="1:20" ht="15.75">
      <c r="A428" s="971"/>
      <c r="B428" s="672"/>
      <c r="C428" s="48" t="s">
        <v>260</v>
      </c>
      <c r="D428" s="269">
        <f>дек18!D417+дек18!D418</f>
        <v>1515.79</v>
      </c>
      <c r="E428" s="41">
        <f>6.7838-7.0643</f>
        <v>-0.28049999999999997</v>
      </c>
      <c r="F428" s="298">
        <f t="shared" ref="F428:F429" si="94">+E428</f>
        <v>-0.28049999999999997</v>
      </c>
      <c r="G428" s="235">
        <f>ROUND(D428*E428,2)</f>
        <v>-425.18</v>
      </c>
      <c r="H428" s="270"/>
      <c r="I428" s="41"/>
      <c r="J428" s="670"/>
      <c r="K428" s="689"/>
      <c r="L428" s="606"/>
      <c r="M428" s="935"/>
      <c r="N428" s="663"/>
      <c r="O428" s="237"/>
      <c r="P428" s="275"/>
      <c r="Q428" s="237"/>
    </row>
    <row r="429" spans="1:20" ht="15.75">
      <c r="A429" s="972"/>
      <c r="B429" s="35"/>
      <c r="C429" s="48" t="s">
        <v>263</v>
      </c>
      <c r="D429" s="269">
        <v>64.08</v>
      </c>
      <c r="E429" s="41">
        <v>6.7838000000000003</v>
      </c>
      <c r="F429" s="298">
        <f t="shared" si="94"/>
        <v>6.7838000000000003</v>
      </c>
      <c r="G429" s="235">
        <f t="shared" si="93"/>
        <v>434.71</v>
      </c>
      <c r="H429" s="270"/>
      <c r="I429" s="41"/>
      <c r="J429" s="41"/>
      <c r="K429" s="101"/>
      <c r="L429" s="614"/>
      <c r="M429" s="935"/>
      <c r="N429" s="663"/>
      <c r="O429" s="237"/>
      <c r="P429" s="275"/>
      <c r="Q429" s="237"/>
    </row>
    <row r="430" spans="1:20" ht="15.75" thickBot="1">
      <c r="A430" s="973"/>
      <c r="B430" s="665"/>
      <c r="C430" s="54" t="s">
        <v>29</v>
      </c>
      <c r="D430" s="613">
        <v>1852</v>
      </c>
      <c r="E430" s="56">
        <v>6.7838000000000003</v>
      </c>
      <c r="F430" s="57"/>
      <c r="G430" s="247">
        <f t="shared" si="93"/>
        <v>12563.6</v>
      </c>
      <c r="H430" s="613"/>
      <c r="I430" s="57"/>
      <c r="J430" s="57"/>
      <c r="K430" s="1018"/>
      <c r="L430" s="783"/>
      <c r="M430" s="250"/>
      <c r="N430" s="57"/>
      <c r="O430" s="57"/>
      <c r="P430" s="57"/>
      <c r="Q430" s="57"/>
      <c r="R430" s="615"/>
    </row>
    <row r="431" spans="1:20" ht="15.75">
      <c r="A431" s="658">
        <v>212</v>
      </c>
      <c r="B431" s="659" t="s">
        <v>148</v>
      </c>
      <c r="C431" s="786" t="s">
        <v>260</v>
      </c>
      <c r="D431" s="259">
        <f>дек18!D420+дек18!D421</f>
        <v>192.13</v>
      </c>
      <c r="E431" s="41">
        <f>6.7838-7.0643</f>
        <v>-0.28049999999999997</v>
      </c>
      <c r="F431" s="691">
        <f>+E431</f>
        <v>-0.28049999999999997</v>
      </c>
      <c r="G431" s="214">
        <f>ROUND(D431*E431,2)</f>
        <v>-53.89</v>
      </c>
      <c r="H431" s="303"/>
      <c r="I431" s="23"/>
      <c r="J431" s="23"/>
      <c r="K431" s="341"/>
      <c r="L431" s="603">
        <f>SUM(G431:G433)</f>
        <v>1453.67</v>
      </c>
      <c r="M431" s="187">
        <v>1453.67</v>
      </c>
      <c r="N431" s="660"/>
      <c r="O431" s="217"/>
      <c r="P431" s="661"/>
      <c r="Q431" s="219"/>
    </row>
    <row r="432" spans="1:20" ht="15.75">
      <c r="A432" s="662"/>
      <c r="B432" s="35"/>
      <c r="C432" s="48" t="s">
        <v>263</v>
      </c>
      <c r="D432" s="269">
        <v>7.43</v>
      </c>
      <c r="E432" s="41">
        <v>6.7838000000000003</v>
      </c>
      <c r="F432" s="298">
        <f t="shared" ref="F432" si="95">+E432</f>
        <v>6.7838000000000003</v>
      </c>
      <c r="G432" s="235">
        <f t="shared" si="93"/>
        <v>50.4</v>
      </c>
      <c r="H432" s="270"/>
      <c r="I432" s="41"/>
      <c r="J432" s="41"/>
      <c r="K432" s="101"/>
      <c r="L432" s="606"/>
      <c r="M432" s="935"/>
      <c r="N432" s="663"/>
      <c r="O432" s="237"/>
      <c r="P432" s="275"/>
      <c r="Q432" s="238"/>
    </row>
    <row r="433" spans="1:18" ht="15.75" thickBot="1">
      <c r="A433" s="975"/>
      <c r="B433" s="665"/>
      <c r="C433" s="99" t="s">
        <v>29</v>
      </c>
      <c r="D433" s="613">
        <v>214.8</v>
      </c>
      <c r="E433" s="56">
        <v>6.7838000000000003</v>
      </c>
      <c r="F433" s="57"/>
      <c r="G433" s="247">
        <f t="shared" si="93"/>
        <v>1457.16</v>
      </c>
      <c r="H433" s="613"/>
      <c r="I433" s="57"/>
      <c r="J433" s="57"/>
      <c r="K433" s="1018"/>
      <c r="L433" s="614"/>
      <c r="M433" s="606"/>
      <c r="N433" s="57"/>
      <c r="O433" s="57"/>
      <c r="P433" s="57"/>
      <c r="Q433" s="666"/>
    </row>
    <row r="434" spans="1:18" ht="15.75">
      <c r="A434" s="658">
        <v>215</v>
      </c>
      <c r="B434" s="659" t="s">
        <v>292</v>
      </c>
      <c r="C434" s="786" t="s">
        <v>260</v>
      </c>
      <c r="D434" s="259">
        <f>дек18!D423+дек18!D424</f>
        <v>51.73</v>
      </c>
      <c r="E434" s="41">
        <f>6.7838-7.0643</f>
        <v>-0.28049999999999997</v>
      </c>
      <c r="F434" s="691">
        <f>+E434</f>
        <v>-0.28049999999999997</v>
      </c>
      <c r="G434" s="214">
        <f>ROUND(D434*E434,2)</f>
        <v>-14.51</v>
      </c>
      <c r="H434" s="303"/>
      <c r="I434" s="23"/>
      <c r="J434" s="23"/>
      <c r="K434" s="341"/>
      <c r="L434" s="603">
        <f>SUM(G434:G436)</f>
        <v>336.42</v>
      </c>
      <c r="M434" s="187">
        <v>336.42</v>
      </c>
      <c r="N434" s="660"/>
      <c r="O434" s="217"/>
      <c r="P434" s="661"/>
      <c r="Q434" s="219"/>
    </row>
    <row r="435" spans="1:18" ht="15.75">
      <c r="A435" s="662"/>
      <c r="B435" s="35"/>
      <c r="C435" s="48" t="s">
        <v>263</v>
      </c>
      <c r="D435" s="269">
        <v>1.73</v>
      </c>
      <c r="E435" s="41">
        <v>6.7838000000000003</v>
      </c>
      <c r="F435" s="298">
        <f t="shared" ref="F435" si="96">+E435</f>
        <v>6.7838000000000003</v>
      </c>
      <c r="G435" s="235">
        <f>ROUND(D435*E435,2)</f>
        <v>11.74</v>
      </c>
      <c r="H435" s="270"/>
      <c r="I435" s="41"/>
      <c r="J435" s="41"/>
      <c r="K435" s="101"/>
      <c r="L435" s="606"/>
      <c r="M435" s="935"/>
      <c r="N435" s="663"/>
      <c r="O435" s="237"/>
      <c r="P435" s="275"/>
      <c r="Q435" s="238"/>
    </row>
    <row r="436" spans="1:18" ht="15.75" thickBot="1">
      <c r="A436" s="975"/>
      <c r="B436" s="665"/>
      <c r="C436" s="99" t="s">
        <v>29</v>
      </c>
      <c r="D436" s="613">
        <v>50</v>
      </c>
      <c r="E436" s="56">
        <v>6.7838000000000003</v>
      </c>
      <c r="F436" s="57"/>
      <c r="G436" s="247">
        <f t="shared" ref="G436" si="97">ROUND(D436*E436,2)</f>
        <v>339.19</v>
      </c>
      <c r="H436" s="613"/>
      <c r="I436" s="57"/>
      <c r="J436" s="57"/>
      <c r="K436" s="1018"/>
      <c r="L436" s="614"/>
      <c r="M436" s="606"/>
      <c r="N436" s="57"/>
      <c r="O436" s="57"/>
      <c r="P436" s="57"/>
      <c r="Q436" s="666"/>
    </row>
    <row r="437" spans="1:18" ht="15.75">
      <c r="A437" s="658">
        <v>216</v>
      </c>
      <c r="B437" s="659" t="s">
        <v>240</v>
      </c>
      <c r="C437" s="786" t="s">
        <v>260</v>
      </c>
      <c r="D437" s="259">
        <f>дек18!D426+дек18!D427</f>
        <v>165.54</v>
      </c>
      <c r="E437" s="41">
        <f>6.7838-7.0643</f>
        <v>-0.28049999999999997</v>
      </c>
      <c r="F437" s="691">
        <f>+E437</f>
        <v>-0.28049999999999997</v>
      </c>
      <c r="G437" s="214">
        <f>ROUND(D437*E437,2)</f>
        <v>-46.43</v>
      </c>
      <c r="H437" s="303"/>
      <c r="I437" s="23"/>
      <c r="J437" s="23"/>
      <c r="K437" s="341"/>
      <c r="L437" s="603">
        <f>SUM(G437:G439)</f>
        <v>1076.5600000000002</v>
      </c>
      <c r="M437" s="187">
        <v>1076.56</v>
      </c>
      <c r="N437" s="660"/>
      <c r="O437" s="217"/>
      <c r="P437" s="661"/>
      <c r="Q437" s="219"/>
    </row>
    <row r="438" spans="1:18" ht="15.75">
      <c r="A438" s="662"/>
      <c r="B438" s="35"/>
      <c r="C438" s="48" t="s">
        <v>263</v>
      </c>
      <c r="D438" s="269">
        <v>5.54</v>
      </c>
      <c r="E438" s="41">
        <v>6.7838000000000003</v>
      </c>
      <c r="F438" s="298">
        <f t="shared" ref="F438" si="98">+E438</f>
        <v>6.7838000000000003</v>
      </c>
      <c r="G438" s="235">
        <f t="shared" ref="G438:G439" si="99">ROUND(D438*E438,2)</f>
        <v>37.58</v>
      </c>
      <c r="H438" s="270"/>
      <c r="I438" s="41"/>
      <c r="J438" s="41"/>
      <c r="K438" s="101"/>
      <c r="L438" s="606"/>
      <c r="M438" s="935"/>
      <c r="N438" s="663"/>
      <c r="O438" s="237"/>
      <c r="P438" s="275"/>
      <c r="Q438" s="238"/>
    </row>
    <row r="439" spans="1:18" ht="15.75" thickBot="1">
      <c r="A439" s="975"/>
      <c r="B439" s="665"/>
      <c r="C439" s="99" t="s">
        <v>29</v>
      </c>
      <c r="D439" s="613">
        <v>160</v>
      </c>
      <c r="E439" s="56">
        <v>6.7838000000000003</v>
      </c>
      <c r="F439" s="57"/>
      <c r="G439" s="247">
        <f t="shared" si="99"/>
        <v>1085.4100000000001</v>
      </c>
      <c r="H439" s="613"/>
      <c r="I439" s="57"/>
      <c r="J439" s="57"/>
      <c r="K439" s="1018"/>
      <c r="L439" s="614"/>
      <c r="M439" s="606"/>
      <c r="N439" s="57"/>
      <c r="O439" s="57"/>
      <c r="P439" s="57"/>
      <c r="Q439" s="666"/>
    </row>
    <row r="440" spans="1:18" ht="15.75">
      <c r="A440" s="658">
        <v>218</v>
      </c>
      <c r="B440" s="659" t="s">
        <v>117</v>
      </c>
      <c r="C440" s="439" t="s">
        <v>260</v>
      </c>
      <c r="D440" s="259">
        <f>дек18!D429+дек18!D430</f>
        <v>308.71999999999997</v>
      </c>
      <c r="E440" s="23">
        <f>6.7838-7.0643</f>
        <v>-0.28049999999999997</v>
      </c>
      <c r="F440" s="691">
        <f>+E440</f>
        <v>-0.28049999999999997</v>
      </c>
      <c r="G440" s="214">
        <f>ROUND(D440*E440,2)</f>
        <v>-86.6</v>
      </c>
      <c r="H440" s="303"/>
      <c r="I440" s="23"/>
      <c r="J440" s="23"/>
      <c r="K440" s="341"/>
      <c r="L440" s="603">
        <f>SUM(G440:G442)</f>
        <v>2381.8200000000002</v>
      </c>
      <c r="M440" s="187">
        <v>2381.8200000000002</v>
      </c>
      <c r="N440" s="660"/>
      <c r="O440" s="217"/>
      <c r="P440" s="661"/>
      <c r="Q440" s="219"/>
      <c r="R440" s="615"/>
    </row>
    <row r="441" spans="1:18" ht="15.75">
      <c r="A441" s="662"/>
      <c r="B441" s="506"/>
      <c r="C441" s="48" t="s">
        <v>263</v>
      </c>
      <c r="D441" s="773">
        <v>12.17</v>
      </c>
      <c r="E441" s="41">
        <v>6.7838000000000003</v>
      </c>
      <c r="F441" s="774">
        <f t="shared" ref="F441" si="100">+E441</f>
        <v>6.7838000000000003</v>
      </c>
      <c r="G441" s="775">
        <f t="shared" si="93"/>
        <v>82.56</v>
      </c>
      <c r="H441" s="432"/>
      <c r="I441" s="207"/>
      <c r="J441" s="207"/>
      <c r="K441" s="876"/>
      <c r="L441" s="776"/>
      <c r="M441" s="974"/>
      <c r="N441" s="777"/>
      <c r="O441" s="778"/>
      <c r="P441" s="779"/>
      <c r="Q441" s="780"/>
    </row>
    <row r="442" spans="1:18" ht="15.75" thickBot="1">
      <c r="A442" s="975"/>
      <c r="B442" s="278"/>
      <c r="C442" s="54" t="s">
        <v>29</v>
      </c>
      <c r="D442" s="613">
        <v>351.7</v>
      </c>
      <c r="E442" s="56">
        <v>6.7838000000000003</v>
      </c>
      <c r="F442" s="57"/>
      <c r="G442" s="247">
        <f t="shared" si="93"/>
        <v>2385.86</v>
      </c>
      <c r="H442" s="613"/>
      <c r="I442" s="57"/>
      <c r="J442" s="57"/>
      <c r="K442" s="1018"/>
      <c r="L442" s="783"/>
      <c r="M442" s="938"/>
      <c r="N442" s="57"/>
      <c r="O442" s="57"/>
      <c r="P442" s="57"/>
      <c r="Q442" s="666"/>
    </row>
    <row r="443" spans="1:18" ht="15.75">
      <c r="A443" s="658">
        <v>221</v>
      </c>
      <c r="B443" s="659" t="s">
        <v>284</v>
      </c>
      <c r="C443" s="786" t="s">
        <v>260</v>
      </c>
      <c r="D443" s="259">
        <f>дек18!D432+дек18!D433</f>
        <v>51.73</v>
      </c>
      <c r="E443" s="41">
        <f>6.7838-7.0643</f>
        <v>-0.28049999999999997</v>
      </c>
      <c r="F443" s="691">
        <f>+E443</f>
        <v>-0.28049999999999997</v>
      </c>
      <c r="G443" s="214">
        <f>ROUND(D443*E443,2)</f>
        <v>-14.51</v>
      </c>
      <c r="H443" s="303"/>
      <c r="I443" s="23"/>
      <c r="J443" s="23"/>
      <c r="K443" s="341"/>
      <c r="L443" s="603">
        <f>SUM(G443:G445)</f>
        <v>336.42</v>
      </c>
      <c r="M443" s="187">
        <v>336.42</v>
      </c>
      <c r="N443" s="660"/>
      <c r="O443" s="217"/>
      <c r="P443" s="661"/>
      <c r="Q443" s="219"/>
    </row>
    <row r="444" spans="1:18" ht="15.75">
      <c r="A444" s="662"/>
      <c r="B444" s="35"/>
      <c r="C444" s="48" t="s">
        <v>263</v>
      </c>
      <c r="D444" s="269">
        <v>1.73</v>
      </c>
      <c r="E444" s="41">
        <v>6.7838000000000003</v>
      </c>
      <c r="F444" s="298">
        <f t="shared" ref="F444" si="101">+E444</f>
        <v>6.7838000000000003</v>
      </c>
      <c r="G444" s="235">
        <f>ROUND(D444*E444,2)</f>
        <v>11.74</v>
      </c>
      <c r="H444" s="270"/>
      <c r="I444" s="41"/>
      <c r="J444" s="41"/>
      <c r="K444" s="101"/>
      <c r="L444" s="606"/>
      <c r="M444" s="935"/>
      <c r="N444" s="663"/>
      <c r="O444" s="237"/>
      <c r="P444" s="275"/>
      <c r="Q444" s="238"/>
    </row>
    <row r="445" spans="1:18" ht="15.75" thickBot="1">
      <c r="A445" s="975"/>
      <c r="B445" s="665"/>
      <c r="C445" s="99" t="s">
        <v>29</v>
      </c>
      <c r="D445" s="613">
        <v>50</v>
      </c>
      <c r="E445" s="56">
        <v>6.7838000000000003</v>
      </c>
      <c r="F445" s="57"/>
      <c r="G445" s="247">
        <f t="shared" ref="G445" si="102">ROUND(D445*E445,2)</f>
        <v>339.19</v>
      </c>
      <c r="H445" s="613"/>
      <c r="I445" s="57"/>
      <c r="J445" s="57"/>
      <c r="K445" s="1018"/>
      <c r="L445" s="614"/>
      <c r="M445" s="606"/>
      <c r="N445" s="57"/>
      <c r="O445" s="57"/>
      <c r="P445" s="57"/>
      <c r="Q445" s="666"/>
    </row>
    <row r="446" spans="1:18" ht="16.5" thickBot="1">
      <c r="A446" s="658">
        <v>311</v>
      </c>
      <c r="B446" s="602" t="s">
        <v>142</v>
      </c>
      <c r="C446" s="786" t="s">
        <v>73</v>
      </c>
      <c r="D446" s="787">
        <v>4</v>
      </c>
      <c r="E446" s="21">
        <v>40.556600000000003</v>
      </c>
      <c r="F446" s="21">
        <v>47.5304</v>
      </c>
      <c r="G446" s="214">
        <f>+D446*(E446+F446)</f>
        <v>352.34800000000001</v>
      </c>
      <c r="H446" s="687"/>
      <c r="I446" s="688"/>
      <c r="J446" s="670"/>
      <c r="K446" s="689"/>
      <c r="L446" s="603">
        <f>SUM(G446:G450,J446:J450)</f>
        <v>12476.338</v>
      </c>
      <c r="M446" s="187">
        <v>12476.34</v>
      </c>
      <c r="N446" s="788"/>
      <c r="O446" s="789"/>
      <c r="P446" s="790"/>
      <c r="Q446" s="791"/>
    </row>
    <row r="447" spans="1:18" ht="15.75">
      <c r="A447" s="658"/>
      <c r="B447" s="602"/>
      <c r="C447" s="786" t="s">
        <v>264</v>
      </c>
      <c r="D447" s="787"/>
      <c r="E447" s="21"/>
      <c r="F447" s="21"/>
      <c r="G447" s="214">
        <f>+D447*(E447+F447)</f>
        <v>0</v>
      </c>
      <c r="H447" s="687"/>
      <c r="I447" s="688"/>
      <c r="J447" s="670"/>
      <c r="K447" s="689"/>
      <c r="L447" s="603"/>
      <c r="M447" s="187"/>
      <c r="N447" s="788"/>
      <c r="O447" s="789"/>
      <c r="P447" s="790"/>
      <c r="Q447" s="791"/>
    </row>
    <row r="448" spans="1:18" ht="15.75">
      <c r="A448" s="662"/>
      <c r="B448" s="939"/>
      <c r="C448" s="48" t="s">
        <v>260</v>
      </c>
      <c r="D448" s="269">
        <f>дек18!D437+дек18!D438</f>
        <v>2193.35</v>
      </c>
      <c r="E448" s="41">
        <f>6.7838-7.0643</f>
        <v>-0.28049999999999997</v>
      </c>
      <c r="F448" s="297">
        <f>+E448</f>
        <v>-0.28049999999999997</v>
      </c>
      <c r="G448" s="235">
        <f>ROUND(D448*E448,2)-0.01</f>
        <v>-615.24</v>
      </c>
      <c r="H448" s="270"/>
      <c r="I448" s="688"/>
      <c r="J448" s="670"/>
      <c r="K448" s="689"/>
      <c r="L448" s="614"/>
      <c r="M448" s="273"/>
      <c r="N448" s="663"/>
      <c r="O448" s="237"/>
      <c r="P448" s="275"/>
      <c r="Q448" s="238"/>
    </row>
    <row r="449" spans="1:17" ht="15.75">
      <c r="A449" s="662"/>
      <c r="B449" s="506"/>
      <c r="C449" s="48" t="s">
        <v>263</v>
      </c>
      <c r="D449" s="269">
        <v>62.8</v>
      </c>
      <c r="E449" s="41">
        <v>6.7838000000000003</v>
      </c>
      <c r="F449" s="298">
        <f t="shared" ref="F449" si="103">+E449</f>
        <v>6.7838000000000003</v>
      </c>
      <c r="G449" s="235">
        <f t="shared" ref="G449:G456" si="104">ROUND(D449*E449,2)</f>
        <v>426.02</v>
      </c>
      <c r="H449" s="270"/>
      <c r="I449" s="41"/>
      <c r="J449" s="670"/>
      <c r="K449" s="689"/>
      <c r="L449" s="606"/>
      <c r="M449" s="935"/>
      <c r="N449" s="663"/>
      <c r="O449" s="237"/>
      <c r="P449" s="275"/>
      <c r="Q449" s="238"/>
    </row>
    <row r="450" spans="1:17" ht="15.75" thickBot="1">
      <c r="A450" s="975"/>
      <c r="B450" s="278"/>
      <c r="C450" s="54" t="s">
        <v>29</v>
      </c>
      <c r="D450" s="795">
        <v>1815.09</v>
      </c>
      <c r="E450" s="56">
        <v>6.7838000000000003</v>
      </c>
      <c r="F450" s="797"/>
      <c r="G450" s="798">
        <f t="shared" si="104"/>
        <v>12313.21</v>
      </c>
      <c r="H450" s="795"/>
      <c r="I450" s="797"/>
      <c r="J450" s="797"/>
      <c r="K450" s="1019"/>
      <c r="L450" s="799"/>
      <c r="M450" s="976"/>
      <c r="N450" s="797"/>
      <c r="O450" s="797"/>
      <c r="P450" s="797"/>
      <c r="Q450" s="800"/>
    </row>
    <row r="451" spans="1:17" ht="15.75">
      <c r="A451" s="658">
        <v>500</v>
      </c>
      <c r="B451" s="659" t="s">
        <v>55</v>
      </c>
      <c r="C451" s="48" t="s">
        <v>260</v>
      </c>
      <c r="D451" s="259">
        <f>дек18!D440+дек18!D441</f>
        <v>2172.06</v>
      </c>
      <c r="E451" s="41">
        <f>6.7838-7.0643</f>
        <v>-0.28049999999999997</v>
      </c>
      <c r="F451" s="691">
        <f>+E451</f>
        <v>-0.28049999999999997</v>
      </c>
      <c r="G451" s="214">
        <f>ROUND(D451*E451,2)</f>
        <v>-609.26</v>
      </c>
      <c r="H451" s="303"/>
      <c r="I451" s="23"/>
      <c r="J451" s="23"/>
      <c r="K451" s="341"/>
      <c r="L451" s="603">
        <f>SUM(G451:G453)</f>
        <v>17706.59</v>
      </c>
      <c r="M451" s="187">
        <v>17706.59</v>
      </c>
      <c r="N451" s="660"/>
      <c r="O451" s="217"/>
      <c r="P451" s="661"/>
      <c r="Q451" s="219"/>
    </row>
    <row r="452" spans="1:17" ht="15.75">
      <c r="A452" s="662" t="s">
        <v>211</v>
      </c>
      <c r="B452" s="35"/>
      <c r="C452" s="48" t="s">
        <v>263</v>
      </c>
      <c r="D452" s="269">
        <v>90.29</v>
      </c>
      <c r="E452" s="41">
        <v>6.7838000000000003</v>
      </c>
      <c r="F452" s="298">
        <f t="shared" ref="F452" si="105">+E452</f>
        <v>6.7838000000000003</v>
      </c>
      <c r="G452" s="235">
        <f t="shared" si="104"/>
        <v>612.51</v>
      </c>
      <c r="H452" s="270"/>
      <c r="I452" s="41"/>
      <c r="J452" s="41"/>
      <c r="K452" s="101"/>
      <c r="L452" s="606"/>
      <c r="M452" s="935"/>
      <c r="N452" s="663"/>
      <c r="O452" s="237"/>
      <c r="P452" s="275"/>
      <c r="Q452" s="238"/>
    </row>
    <row r="453" spans="1:17" ht="15.75" thickBot="1">
      <c r="A453" s="969"/>
      <c r="B453" s="665"/>
      <c r="C453" s="99" t="s">
        <v>29</v>
      </c>
      <c r="D453" s="613">
        <v>2609.65</v>
      </c>
      <c r="E453" s="56">
        <v>6.7838000000000003</v>
      </c>
      <c r="F453" s="57"/>
      <c r="G453" s="247">
        <f t="shared" si="104"/>
        <v>17703.34</v>
      </c>
      <c r="H453" s="613"/>
      <c r="I453" s="57"/>
      <c r="J453" s="57"/>
      <c r="K453" s="1018"/>
      <c r="L453" s="614"/>
      <c r="M453" s="935"/>
      <c r="N453" s="57"/>
      <c r="O453" s="57"/>
      <c r="P453" s="57"/>
      <c r="Q453" s="666"/>
    </row>
    <row r="454" spans="1:17" ht="15.75">
      <c r="A454" s="658">
        <v>501</v>
      </c>
      <c r="B454" s="659" t="s">
        <v>300</v>
      </c>
      <c r="C454" s="48" t="s">
        <v>260</v>
      </c>
      <c r="D454" s="259">
        <f>дек18!D443+дек18!D444</f>
        <v>1888.8500000000001</v>
      </c>
      <c r="E454" s="41">
        <f>6.7838-7.0643</f>
        <v>-0.28049999999999997</v>
      </c>
      <c r="F454" s="691">
        <f>+E454</f>
        <v>-0.28049999999999997</v>
      </c>
      <c r="G454" s="214">
        <f>ROUND(D454*E454,2)</f>
        <v>-529.82000000000005</v>
      </c>
      <c r="H454" s="303"/>
      <c r="I454" s="23"/>
      <c r="J454" s="23"/>
      <c r="K454" s="341"/>
      <c r="L454" s="603">
        <f>SUM(G454:G456)</f>
        <v>15651.71</v>
      </c>
      <c r="M454" s="187">
        <v>15651.71</v>
      </c>
      <c r="N454" s="660"/>
      <c r="O454" s="217"/>
      <c r="P454" s="661"/>
      <c r="Q454" s="219"/>
    </row>
    <row r="455" spans="1:17" ht="15.75">
      <c r="A455" s="662"/>
      <c r="B455" s="35"/>
      <c r="C455" s="48" t="s">
        <v>263</v>
      </c>
      <c r="D455" s="269">
        <v>79.77</v>
      </c>
      <c r="E455" s="41">
        <v>6.7838000000000003</v>
      </c>
      <c r="F455" s="298">
        <f t="shared" ref="F455" si="106">+E455</f>
        <v>6.7838000000000003</v>
      </c>
      <c r="G455" s="235">
        <f t="shared" si="104"/>
        <v>541.14</v>
      </c>
      <c r="H455" s="270"/>
      <c r="I455" s="41"/>
      <c r="J455" s="41"/>
      <c r="K455" s="101"/>
      <c r="L455" s="606"/>
      <c r="M455" s="935"/>
      <c r="N455" s="663"/>
      <c r="O455" s="237"/>
      <c r="P455" s="275"/>
      <c r="Q455" s="238"/>
    </row>
    <row r="456" spans="1:17" ht="15.75" thickBot="1">
      <c r="A456" s="969"/>
      <c r="B456" s="665"/>
      <c r="C456" s="99" t="s">
        <v>29</v>
      </c>
      <c r="D456" s="613">
        <v>2305.5500000000002</v>
      </c>
      <c r="E456" s="56">
        <v>6.7838000000000003</v>
      </c>
      <c r="F456" s="57"/>
      <c r="G456" s="247">
        <f t="shared" si="104"/>
        <v>15640.39</v>
      </c>
      <c r="H456" s="613"/>
      <c r="I456" s="57"/>
      <c r="J456" s="57"/>
      <c r="K456" s="1018"/>
      <c r="L456" s="614"/>
      <c r="M456" s="935"/>
      <c r="N456" s="57"/>
      <c r="O456" s="57"/>
      <c r="P456" s="57"/>
      <c r="Q456" s="666"/>
    </row>
    <row r="457" spans="1:17">
      <c r="A457" s="977"/>
    </row>
    <row r="458" spans="1:17">
      <c r="A458" s="977"/>
    </row>
    <row r="459" spans="1:17">
      <c r="A459" s="977"/>
    </row>
  </sheetData>
  <mergeCells count="41"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  <mergeCell ref="M146:M147"/>
    <mergeCell ref="N146:Q146"/>
    <mergeCell ref="O288:Q288"/>
    <mergeCell ref="A294:A295"/>
    <mergeCell ref="B294:B295"/>
    <mergeCell ref="C294:C295"/>
    <mergeCell ref="D294:G294"/>
    <mergeCell ref="H294:K294"/>
    <mergeCell ref="L294:L295"/>
    <mergeCell ref="M294:M295"/>
    <mergeCell ref="A146:A147"/>
    <mergeCell ref="B146:B147"/>
    <mergeCell ref="C146:C147"/>
    <mergeCell ref="D146:G146"/>
    <mergeCell ref="H146:K146"/>
    <mergeCell ref="L146:L147"/>
    <mergeCell ref="N294:Q294"/>
    <mergeCell ref="A422:A423"/>
    <mergeCell ref="B422:B423"/>
    <mergeCell ref="C422:C423"/>
    <mergeCell ref="D422:G422"/>
    <mergeCell ref="H422:K422"/>
    <mergeCell ref="L422:L423"/>
    <mergeCell ref="M422:M423"/>
    <mergeCell ref="N422:Q422"/>
  </mergeCells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V465"/>
  <sheetViews>
    <sheetView topLeftCell="A108" workbookViewId="0">
      <pane xSplit="3" topLeftCell="D1" activePane="topRight" state="frozen"/>
      <selection pane="topRight" activeCell="E70" sqref="E7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069" t="s">
        <v>23</v>
      </c>
      <c r="C4" s="1129"/>
      <c r="D4" s="1130">
        <v>112</v>
      </c>
      <c r="E4" s="1072">
        <v>41.244</v>
      </c>
      <c r="F4" s="1072">
        <v>48.335999999999999</v>
      </c>
      <c r="G4" s="1042">
        <f>ROUND(D4*(E4+F4),2)</f>
        <v>10032.959999999999</v>
      </c>
      <c r="H4" s="1130"/>
      <c r="I4" s="1040"/>
      <c r="J4" s="1040"/>
      <c r="K4" s="1131"/>
      <c r="L4" s="1132">
        <f>SUM(G4:G8,J4:J7)</f>
        <v>135093.76999999999</v>
      </c>
      <c r="M4" s="1046">
        <v>135093.76999999999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047" t="s">
        <v>221</v>
      </c>
      <c r="C5" s="1133" t="s">
        <v>26</v>
      </c>
      <c r="D5" s="1080"/>
      <c r="E5" s="1081"/>
      <c r="F5" s="1081"/>
      <c r="G5" s="1082">
        <f>ROUND(D5*(E5+F5),2)</f>
        <v>0</v>
      </c>
      <c r="H5" s="1134"/>
      <c r="I5" s="1050"/>
      <c r="J5" s="1050"/>
      <c r="K5" s="1135"/>
      <c r="L5" s="1136"/>
      <c r="M5" s="1137"/>
      <c r="N5" s="45"/>
      <c r="O5" s="46"/>
      <c r="P5" s="47"/>
      <c r="Q5" s="46"/>
      <c r="R5" s="30"/>
      <c r="S5" s="31"/>
      <c r="T5" s="32"/>
    </row>
    <row r="6" spans="1:22">
      <c r="A6" s="34"/>
      <c r="B6" s="1089"/>
      <c r="C6" s="1048" t="s">
        <v>260</v>
      </c>
      <c r="D6" s="1083"/>
      <c r="E6" s="1050"/>
      <c r="F6" s="1050">
        <f>+E6</f>
        <v>0</v>
      </c>
      <c r="G6" s="1090">
        <f>ROUND(D6*E6,2)</f>
        <v>0</v>
      </c>
      <c r="H6" s="1138"/>
      <c r="I6" s="1050"/>
      <c r="J6" s="1050"/>
      <c r="K6" s="1135"/>
      <c r="L6" s="1136"/>
      <c r="M6" s="1137"/>
      <c r="N6" s="45"/>
      <c r="O6" s="46"/>
      <c r="P6" s="47"/>
      <c r="Q6" s="46"/>
      <c r="R6" s="30">
        <f>+G7+G8</f>
        <v>125060.81</v>
      </c>
      <c r="S6" s="31"/>
      <c r="T6" s="32"/>
    </row>
    <row r="7" spans="1:22">
      <c r="A7" s="34"/>
      <c r="B7" s="1089"/>
      <c r="C7" s="1048" t="s">
        <v>263</v>
      </c>
      <c r="D7" s="1083">
        <f>375.83+110.04</f>
        <v>485.87</v>
      </c>
      <c r="E7" s="1050">
        <v>7.4969000000000001</v>
      </c>
      <c r="F7" s="1050">
        <f>+E7</f>
        <v>7.4969000000000001</v>
      </c>
      <c r="G7" s="1090">
        <f>ROUND(D7*E7,2)</f>
        <v>3642.52</v>
      </c>
      <c r="H7" s="1134"/>
      <c r="I7" s="1050"/>
      <c r="J7" s="1050"/>
      <c r="K7" s="1135"/>
      <c r="L7" s="1136"/>
      <c r="M7" s="1137"/>
      <c r="N7" s="45"/>
      <c r="O7" s="46"/>
      <c r="P7" s="47"/>
      <c r="Q7" s="46"/>
      <c r="R7" s="30"/>
      <c r="S7" s="31"/>
      <c r="T7" s="32"/>
      <c r="V7" s="33">
        <f>+G7+G8</f>
        <v>125060.81</v>
      </c>
    </row>
    <row r="8" spans="1:22" ht="15.75" thickBot="1">
      <c r="A8" s="52"/>
      <c r="B8" s="1097"/>
      <c r="C8" s="1098" t="s">
        <v>29</v>
      </c>
      <c r="D8" s="1099">
        <f>12527.7+3668.1</f>
        <v>16195.800000000001</v>
      </c>
      <c r="E8" s="1061">
        <v>7.4969000000000001</v>
      </c>
      <c r="F8" s="1126">
        <f>+E8</f>
        <v>7.4969000000000001</v>
      </c>
      <c r="G8" s="1101">
        <f>ROUND(D8*E8,2)</f>
        <v>121418.29</v>
      </c>
      <c r="H8" s="1139"/>
      <c r="I8" s="1104"/>
      <c r="J8" s="1104"/>
      <c r="K8" s="1140"/>
      <c r="L8" s="1141"/>
      <c r="M8" s="1142"/>
      <c r="N8" s="64"/>
      <c r="O8" s="65"/>
      <c r="P8" s="47" t="s">
        <v>24</v>
      </c>
      <c r="Q8" s="65">
        <f>+G8+J8-M8-N8-O8</f>
        <v>121418.29</v>
      </c>
      <c r="R8" s="66" t="s">
        <v>25</v>
      </c>
      <c r="S8" s="67">
        <f>SUM(O4:O8)</f>
        <v>0</v>
      </c>
      <c r="T8" s="68">
        <f>SUM(Q4:Q8)</f>
        <v>121418.29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40</v>
      </c>
      <c r="E13" s="21">
        <v>41.244</v>
      </c>
      <c r="F13" s="21">
        <v>48.335999999999999</v>
      </c>
      <c r="G13" s="22">
        <f>ROUND(D13*(E13+F13),2)</f>
        <v>3583.2</v>
      </c>
      <c r="H13" s="72"/>
      <c r="I13" s="21"/>
      <c r="J13" s="73"/>
      <c r="K13" s="24"/>
      <c r="L13" s="74">
        <f>SUM(G13:G20,J13:J19)</f>
        <v>56078.948799999998</v>
      </c>
      <c r="M13" s="26">
        <v>56078.95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-1.1999999987892807E-3</v>
      </c>
    </row>
    <row r="14" spans="1:22" s="81" customFormat="1">
      <c r="A14" s="82"/>
      <c r="B14" s="83"/>
      <c r="C14" s="84" t="s">
        <v>26</v>
      </c>
      <c r="D14" s="37">
        <f>янв19!D13</f>
        <v>86</v>
      </c>
      <c r="E14" s="38">
        <f>41.244-40.5566</f>
        <v>0.68739999999999668</v>
      </c>
      <c r="F14" s="38">
        <f>48.336-47.5304</f>
        <v>0.80559999999999832</v>
      </c>
      <c r="G14" s="39">
        <f>ROUND(D14*(E14+F14),2)</f>
        <v>128.4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44</v>
      </c>
      <c r="E15" s="101">
        <v>357.98</v>
      </c>
      <c r="F15" s="38">
        <f>F13</f>
        <v>48.335999999999999</v>
      </c>
      <c r="G15" s="39">
        <f>ROUND(D15*(E15+F15),2)</f>
        <v>17877.900000000001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янв19!D15</f>
        <v>48</v>
      </c>
      <c r="E16" s="41">
        <f>357.98-347.06</f>
        <v>10.920000000000016</v>
      </c>
      <c r="F16" s="38">
        <f>F14</f>
        <v>0.80559999999999832</v>
      </c>
      <c r="G16" s="50">
        <f>+D16*(E16+F16)</f>
        <v>562.82880000000068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янв19!D19+янв19!D20</f>
        <v>5049.58</v>
      </c>
      <c r="E18" s="881">
        <f>7.2025-6.7838</f>
        <v>0.41869999999999941</v>
      </c>
      <c r="F18" s="41">
        <f>+E18</f>
        <v>0.41869999999999941</v>
      </c>
      <c r="G18" s="50">
        <f>ROUND(D18*E18*70%+D18*F18*30%,2)</f>
        <v>2114.2600000000002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14.98+109.32+4.35</f>
        <v>128.65</v>
      </c>
      <c r="E19" s="41">
        <v>7.2024999999999997</v>
      </c>
      <c r="F19" s="41">
        <f>E19</f>
        <v>7.2024999999999997</v>
      </c>
      <c r="G19" s="50">
        <f>ROUND(D19*E19*70%+D19*F19*30%,2)</f>
        <v>926.6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499.2+3644+145</f>
        <v>4288.2</v>
      </c>
      <c r="E20" s="56">
        <v>7.2024999999999997</v>
      </c>
      <c r="F20" s="109">
        <f>+E20</f>
        <v>7.2024999999999997</v>
      </c>
      <c r="G20" s="110">
        <f>ROUND(D20*E20*70%+D20*F20*30%,2)</f>
        <v>30885.759999999998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янв19!D28+янв19!D29</f>
        <v>2818.33</v>
      </c>
      <c r="E27" s="41">
        <f>7.2025-6.7838</f>
        <v>0.41869999999999941</v>
      </c>
      <c r="F27" s="691">
        <f>+E27</f>
        <v>0.41869999999999941</v>
      </c>
      <c r="G27" s="214">
        <f>ROUND(D27*E27,2)+0.01</f>
        <v>1180.04</v>
      </c>
      <c r="H27" s="303"/>
      <c r="I27" s="23"/>
      <c r="J27" s="23"/>
      <c r="K27" s="23"/>
      <c r="L27" s="603">
        <f>SUM(G27:G29)</f>
        <v>20320.82</v>
      </c>
      <c r="M27" s="187">
        <v>20320.82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77.400000000000006</v>
      </c>
      <c r="E28" s="41">
        <v>7.2024999999999997</v>
      </c>
      <c r="F28" s="298">
        <f t="shared" ref="F28" si="0">+E28</f>
        <v>7.2024999999999997</v>
      </c>
      <c r="G28" s="235">
        <f>ROUND(D28*E28,2)</f>
        <v>557.47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2580.12</v>
      </c>
      <c r="E29" s="56">
        <v>7.2024999999999997</v>
      </c>
      <c r="F29" s="57"/>
      <c r="G29" s="247">
        <f>ROUND(D29*E29,2)</f>
        <v>18583.310000000001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>
      <c r="A33" s="888" t="s">
        <v>241</v>
      </c>
      <c r="B33" s="183" t="s">
        <v>242</v>
      </c>
      <c r="C33" s="439" t="s">
        <v>243</v>
      </c>
      <c r="D33" s="1008">
        <v>0.7</v>
      </c>
      <c r="E33" s="23">
        <v>41.244</v>
      </c>
      <c r="F33" s="23">
        <v>48.335999999999999</v>
      </c>
      <c r="G33" s="214">
        <f>ROUND(D33*(E33+F33),2)</f>
        <v>62.71</v>
      </c>
      <c r="H33" s="1001"/>
      <c r="I33" s="23"/>
      <c r="J33" s="23"/>
      <c r="K33" s="304"/>
      <c r="L33" s="343">
        <f>SUM(G33:G37)+J33:J34</f>
        <v>8544.19</v>
      </c>
      <c r="M33" s="187">
        <v>8544.19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>
        <f>янв19!D33</f>
        <v>0.6</v>
      </c>
      <c r="E34" s="41">
        <f>41.244-40.5566</f>
        <v>0.68739999999999668</v>
      </c>
      <c r="F34" s="41">
        <f>48.336-47.5304</f>
        <v>0.80559999999999832</v>
      </c>
      <c r="G34" s="235">
        <f>ROUND(D34*(E34+F34),2)</f>
        <v>0.9</v>
      </c>
      <c r="H34" s="1002"/>
      <c r="I34" s="281"/>
      <c r="J34" s="281"/>
      <c r="K34" s="28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янв19!D36+янв19!D37</f>
        <v>764.80000000000007</v>
      </c>
      <c r="E35" s="41">
        <f>7.2025-6.7838</f>
        <v>0.41869999999999941</v>
      </c>
      <c r="F35" s="41">
        <f t="shared" ref="F35:F67" si="1">+E35</f>
        <v>0.41869999999999941</v>
      </c>
      <c r="G35" s="50">
        <f>ROUND(D35*E35,2)</f>
        <v>320.22000000000003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11.99</v>
      </c>
      <c r="E36" s="41">
        <v>7.2024999999999997</v>
      </c>
      <c r="F36" s="41">
        <f t="shared" si="1"/>
        <v>7.2024999999999997</v>
      </c>
      <c r="G36" s="50">
        <f>ROUND(D36*E36,2)</f>
        <v>86.36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1121</v>
      </c>
      <c r="E37" s="56">
        <v>7.2024999999999997</v>
      </c>
      <c r="F37" s="57">
        <f t="shared" si="1"/>
        <v>7.2024999999999997</v>
      </c>
      <c r="G37" s="247">
        <f>ROUND(D37*E37*70%+D37*F37*30%,2)</f>
        <v>8074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29.79+38.97</f>
        <v>68.759999999999991</v>
      </c>
      <c r="E38" s="21">
        <v>41.244</v>
      </c>
      <c r="F38" s="21">
        <v>48.335999999999999</v>
      </c>
      <c r="G38" s="214">
        <f>ROUND(D38*(E38+F38),2)</f>
        <v>6159.52</v>
      </c>
      <c r="H38" s="213"/>
      <c r="I38" s="41"/>
      <c r="J38" s="215"/>
      <c r="K38" s="679"/>
      <c r="L38" s="294">
        <f>SUM(G38:G42)</f>
        <v>43104.4</v>
      </c>
      <c r="M38" s="227">
        <v>43104.4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>
        <f>янв19!D38</f>
        <v>35.012</v>
      </c>
      <c r="E39" s="38">
        <f>41.244-40.5566</f>
        <v>0.68739999999999668</v>
      </c>
      <c r="F39" s="38">
        <f>48.336-47.5304</f>
        <v>0.80559999999999832</v>
      </c>
      <c r="G39" s="235">
        <f>ROUND(D39*(E39+F39),2)</f>
        <v>52.27</v>
      </c>
      <c r="H39" s="225"/>
      <c r="I39" s="41"/>
      <c r="J39" s="194"/>
      <c r="K39" s="295"/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янв19!D41+янв19!D42</f>
        <v>3493.99</v>
      </c>
      <c r="E40" s="41">
        <f>7.2025-6.7838</f>
        <v>0.41869999999999941</v>
      </c>
      <c r="F40" s="41">
        <f t="shared" ref="F40:F42" si="2">+E40</f>
        <v>0.41869999999999941</v>
      </c>
      <c r="G40" s="235">
        <f>ROUND(D40*E40,2)</f>
        <v>1462.93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52.08</v>
      </c>
      <c r="E41" s="41">
        <v>7.2024999999999997</v>
      </c>
      <c r="F41" s="41">
        <f t="shared" si="2"/>
        <v>7.2024999999999997</v>
      </c>
      <c r="G41" s="235">
        <f t="shared" ref="G41:G42" si="3">ROUND(D41*E41,2)</f>
        <v>375.11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4867</v>
      </c>
      <c r="E42" s="56">
        <v>7.2024999999999997</v>
      </c>
      <c r="F42" s="57">
        <f t="shared" si="2"/>
        <v>7.2024999999999997</v>
      </c>
      <c r="G42" s="247">
        <f t="shared" si="3"/>
        <v>35054.57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1105" t="s">
        <v>312</v>
      </c>
      <c r="C43" s="1059" t="s">
        <v>59</v>
      </c>
      <c r="D43" s="1106">
        <f>1.422+4.879</f>
        <v>6.3009999999999993</v>
      </c>
      <c r="E43" s="1072">
        <v>41.244</v>
      </c>
      <c r="F43" s="1072">
        <v>48.335999999999999</v>
      </c>
      <c r="G43" s="1107">
        <f>ROUND(D43*(E43+F43),2)</f>
        <v>564.44000000000005</v>
      </c>
      <c r="H43" s="1108"/>
      <c r="I43" s="1050"/>
      <c r="J43" s="1109"/>
      <c r="K43" s="1110"/>
      <c r="L43" s="1111">
        <f>SUM(G43:G47)</f>
        <v>24303.52</v>
      </c>
      <c r="M43" s="1112">
        <v>24303.52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1113" t="s">
        <v>313</v>
      </c>
      <c r="C44" s="1114" t="s">
        <v>264</v>
      </c>
      <c r="D44" s="1115"/>
      <c r="E44" s="1081"/>
      <c r="F44" s="1081"/>
      <c r="G44" s="1116">
        <f>ROUND(D44*(E44+F44),2)</f>
        <v>0</v>
      </c>
      <c r="H44" s="1117"/>
      <c r="I44" s="1050"/>
      <c r="J44" s="1118"/>
      <c r="K44" s="1119"/>
      <c r="L44" s="1111"/>
      <c r="M44" s="1112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1113"/>
      <c r="C45" s="1048" t="s">
        <v>260</v>
      </c>
      <c r="D45" s="1120"/>
      <c r="E45" s="1050"/>
      <c r="F45" s="1050">
        <f t="shared" ref="F45:F47" si="4">+E45</f>
        <v>0</v>
      </c>
      <c r="G45" s="1116">
        <f>ROUND(D45*E45,2)</f>
        <v>0</v>
      </c>
      <c r="H45" s="1121"/>
      <c r="I45" s="1050"/>
      <c r="J45" s="1050"/>
      <c r="K45" s="1084"/>
      <c r="L45" s="1122"/>
      <c r="M45" s="1123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1113"/>
      <c r="C46" s="1048" t="s">
        <v>263</v>
      </c>
      <c r="D46" s="1115">
        <f>33.38+0.05+0.09</f>
        <v>33.520000000000003</v>
      </c>
      <c r="E46" s="1050">
        <v>7.4969000000000001</v>
      </c>
      <c r="F46" s="1050">
        <f t="shared" si="4"/>
        <v>7.4969000000000001</v>
      </c>
      <c r="G46" s="1116">
        <f>ROUND(D46*E46,2)-0.01</f>
        <v>251.29000000000002</v>
      </c>
      <c r="H46" s="1121"/>
      <c r="I46" s="1050"/>
      <c r="J46" s="1050"/>
      <c r="K46" s="1084"/>
      <c r="L46" s="1122"/>
      <c r="M46" s="1123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1105"/>
      <c r="C47" s="1059" t="s">
        <v>29</v>
      </c>
      <c r="D47" s="1124">
        <f>3120+5+8</f>
        <v>3133</v>
      </c>
      <c r="E47" s="1125">
        <v>7.4969000000000001</v>
      </c>
      <c r="F47" s="1126">
        <f t="shared" si="4"/>
        <v>7.4969000000000001</v>
      </c>
      <c r="G47" s="1127">
        <f t="shared" ref="G47" si="5">ROUND(D47*E47,2)</f>
        <v>23487.79</v>
      </c>
      <c r="H47" s="1064"/>
      <c r="I47" s="1065"/>
      <c r="J47" s="1065"/>
      <c r="K47" s="1066"/>
      <c r="L47" s="1067"/>
      <c r="M47" s="1128"/>
      <c r="N47" s="283"/>
      <c r="O47" s="252"/>
      <c r="P47" s="284"/>
      <c r="Q47" s="252"/>
      <c r="R47" s="242"/>
      <c r="S47" s="266"/>
      <c r="T47" s="266"/>
    </row>
    <row r="48" spans="1:21">
      <c r="A48" s="892">
        <v>112</v>
      </c>
      <c r="B48" s="183" t="s">
        <v>307</v>
      </c>
      <c r="C48" s="439" t="s">
        <v>243</v>
      </c>
      <c r="D48" s="1008">
        <v>0.3</v>
      </c>
      <c r="E48" s="23">
        <v>41.244</v>
      </c>
      <c r="F48" s="23">
        <v>48.335999999999999</v>
      </c>
      <c r="G48" s="214">
        <f>ROUND(D48*(E48+F48),2)</f>
        <v>26.87</v>
      </c>
      <c r="H48" s="1001"/>
      <c r="I48" s="23"/>
      <c r="J48" s="23"/>
      <c r="K48" s="304"/>
      <c r="L48" s="343">
        <f>SUM(G48:G52)+J48:J52</f>
        <v>1055.21</v>
      </c>
      <c r="M48" s="187">
        <v>1055.21</v>
      </c>
      <c r="N48" s="274"/>
      <c r="O48" s="237"/>
      <c r="P48" s="275"/>
      <c r="Q48" s="237"/>
      <c r="R48" s="242"/>
      <c r="S48" s="266"/>
      <c r="T48" s="266"/>
    </row>
    <row r="49" spans="1:20" ht="15.75" thickBot="1">
      <c r="A49" s="896"/>
      <c r="B49" s="192"/>
      <c r="C49" s="48" t="s">
        <v>260</v>
      </c>
      <c r="D49" s="1009">
        <f>янв19!D48</f>
        <v>0.3</v>
      </c>
      <c r="E49" s="41">
        <f>41.244-40.5566</f>
        <v>0.68739999999999668</v>
      </c>
      <c r="F49" s="41">
        <f>48.336-47.5304</f>
        <v>0.80559999999999832</v>
      </c>
      <c r="G49" s="235">
        <f>ROUND(D49*(E49+F49),2)</f>
        <v>0.45</v>
      </c>
      <c r="H49" s="1002"/>
      <c r="I49" s="281"/>
      <c r="J49" s="281"/>
      <c r="K49" s="282"/>
      <c r="L49" s="988"/>
      <c r="M49" s="989"/>
      <c r="N49" s="274"/>
      <c r="O49" s="237"/>
      <c r="P49" s="275"/>
      <c r="Q49" s="237"/>
      <c r="R49" s="242"/>
      <c r="S49" s="266"/>
      <c r="T49" s="266"/>
    </row>
    <row r="50" spans="1:20">
      <c r="A50" s="1034"/>
      <c r="C50" s="439" t="s">
        <v>260</v>
      </c>
      <c r="D50" s="296">
        <f>янв19!D51+янв19!D52</f>
        <v>191.33</v>
      </c>
      <c r="E50" s="41">
        <f>7.2025-6.7838</f>
        <v>0.41869999999999941</v>
      </c>
      <c r="F50" s="41">
        <f t="shared" si="1"/>
        <v>0.41869999999999941</v>
      </c>
      <c r="G50" s="235">
        <f>ROUND(D50*E50,2)</f>
        <v>80.11</v>
      </c>
      <c r="H50" s="270"/>
      <c r="I50" s="41"/>
      <c r="J50" s="41"/>
      <c r="K50" s="271"/>
      <c r="L50" s="294"/>
      <c r="M50" s="227"/>
      <c r="N50" s="274"/>
      <c r="O50" s="237"/>
      <c r="P50" s="275"/>
      <c r="Q50" s="237"/>
      <c r="R50" s="242"/>
      <c r="S50" s="266"/>
      <c r="T50" s="266"/>
    </row>
    <row r="51" spans="1:20" ht="15.75">
      <c r="A51" s="896"/>
      <c r="B51" s="192"/>
      <c r="C51" s="48" t="s">
        <v>263</v>
      </c>
      <c r="D51" s="269">
        <v>1.39</v>
      </c>
      <c r="E51" s="41">
        <v>7.2024999999999997</v>
      </c>
      <c r="F51" s="41">
        <f t="shared" si="1"/>
        <v>7.2024999999999997</v>
      </c>
      <c r="G51" s="235">
        <f>ROUND(D51*E51,2)</f>
        <v>10.01</v>
      </c>
      <c r="H51" s="270"/>
      <c r="I51" s="41"/>
      <c r="J51" s="41"/>
      <c r="K51" s="271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thickBot="1">
      <c r="A52" s="891"/>
      <c r="B52" s="202"/>
      <c r="C52" s="54" t="s">
        <v>29</v>
      </c>
      <c r="D52" s="279">
        <v>130.19999999999999</v>
      </c>
      <c r="E52" s="56">
        <v>7.2024999999999997</v>
      </c>
      <c r="F52" s="57">
        <f t="shared" si="1"/>
        <v>7.2024999999999997</v>
      </c>
      <c r="G52" s="247">
        <f t="shared" ref="G52" si="6">ROUND(D52*E52,2)</f>
        <v>937.77</v>
      </c>
      <c r="H52" s="280"/>
      <c r="I52" s="281"/>
      <c r="J52" s="281"/>
      <c r="K52" s="282"/>
      <c r="L52" s="204"/>
      <c r="M52" s="250"/>
      <c r="N52" s="283"/>
      <c r="O52" s="252"/>
      <c r="P52" s="284"/>
      <c r="Q52" s="252"/>
      <c r="R52" s="242"/>
      <c r="S52" s="266"/>
      <c r="T52" s="266"/>
    </row>
    <row r="53" spans="1:20">
      <c r="A53" s="896">
        <v>202</v>
      </c>
      <c r="B53" s="192" t="s">
        <v>159</v>
      </c>
      <c r="C53" s="700" t="s">
        <v>260</v>
      </c>
      <c r="D53" s="985">
        <f>янв19!D54+янв19!D55</f>
        <v>74.59</v>
      </c>
      <c r="E53" s="261">
        <f>7.2025-6.7838</f>
        <v>0.41869999999999941</v>
      </c>
      <c r="F53" s="261">
        <f t="shared" si="1"/>
        <v>0.41869999999999941</v>
      </c>
      <c r="G53" s="195">
        <f>ROUND(D53*E53,2)</f>
        <v>31.23</v>
      </c>
      <c r="H53" s="260"/>
      <c r="I53" s="261"/>
      <c r="J53" s="261"/>
      <c r="K53" s="262"/>
      <c r="L53" s="294">
        <f>SUM(G53:G55)</f>
        <v>869.82</v>
      </c>
      <c r="M53" s="227">
        <v>869.82</v>
      </c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1.23</v>
      </c>
      <c r="E54" s="41">
        <v>7.2024999999999997</v>
      </c>
      <c r="F54" s="41">
        <f t="shared" si="1"/>
        <v>7.2024999999999997</v>
      </c>
      <c r="G54" s="235">
        <f t="shared" ref="G54:G55" si="7">ROUND(D54*E54,2)</f>
        <v>8.86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887"/>
      <c r="C55" s="54" t="s">
        <v>29</v>
      </c>
      <c r="D55" s="279">
        <v>115.2</v>
      </c>
      <c r="E55" s="56">
        <v>7.2024999999999997</v>
      </c>
      <c r="F55" s="57">
        <f t="shared" si="1"/>
        <v>7.2024999999999997</v>
      </c>
      <c r="G55" s="247">
        <f t="shared" si="7"/>
        <v>829.73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 ht="15.75" hidden="1" thickBot="1">
      <c r="A56" s="892">
        <v>204</v>
      </c>
      <c r="B56" s="183" t="s">
        <v>137</v>
      </c>
      <c r="C56" s="439" t="s">
        <v>260</v>
      </c>
      <c r="D56" s="296"/>
      <c r="E56" s="41">
        <f>6.6439-6.7023</f>
        <v>-5.8399999999999785E-2</v>
      </c>
      <c r="F56" s="41">
        <f t="shared" si="1"/>
        <v>-5.8399999999999785E-2</v>
      </c>
      <c r="G56" s="235">
        <f>ROUND(D56*E56,2)</f>
        <v>0</v>
      </c>
      <c r="H56" s="270"/>
      <c r="I56" s="41"/>
      <c r="J56" s="41"/>
      <c r="K56" s="271"/>
      <c r="L56" s="294">
        <f>SUM(G56:G58)</f>
        <v>0</v>
      </c>
      <c r="M56" s="227"/>
      <c r="N56" s="274"/>
      <c r="O56" s="237"/>
      <c r="P56" s="275"/>
      <c r="Q56" s="237"/>
      <c r="R56" s="242"/>
      <c r="S56" s="266"/>
      <c r="T56" s="266"/>
    </row>
    <row r="57" spans="1:20" ht="16.5" hidden="1" thickBot="1">
      <c r="A57" s="896"/>
      <c r="B57" s="991" t="s">
        <v>275</v>
      </c>
      <c r="C57" s="48" t="s">
        <v>263</v>
      </c>
      <c r="D57" s="269"/>
      <c r="E57" s="41">
        <v>6.6439000000000004</v>
      </c>
      <c r="F57" s="41">
        <f t="shared" si="1"/>
        <v>6.6439000000000004</v>
      </c>
      <c r="G57" s="235">
        <f>ROUND(D57*E57,2)</f>
        <v>0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hidden="1" thickBot="1">
      <c r="A58" s="891"/>
      <c r="B58" s="887"/>
      <c r="C58" s="54" t="s">
        <v>29</v>
      </c>
      <c r="D58" s="279"/>
      <c r="E58" s="56">
        <v>6.6439000000000004</v>
      </c>
      <c r="F58" s="57">
        <f t="shared" si="1"/>
        <v>6.6439000000000004</v>
      </c>
      <c r="G58" s="247">
        <f>ROUND(D58*E58,2)</f>
        <v>0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892">
        <v>204</v>
      </c>
      <c r="B59" s="183" t="s">
        <v>289</v>
      </c>
      <c r="C59" s="439" t="s">
        <v>260</v>
      </c>
      <c r="D59" s="296">
        <f>янв19!D60+янв19!D61</f>
        <v>94.1</v>
      </c>
      <c r="E59" s="41">
        <f>7.2025-6.7838</f>
        <v>0.41869999999999941</v>
      </c>
      <c r="F59" s="41">
        <f t="shared" si="1"/>
        <v>0.41869999999999941</v>
      </c>
      <c r="G59" s="235">
        <f>ROUND(D59*E59,2)-0.01</f>
        <v>39.39</v>
      </c>
      <c r="H59" s="270"/>
      <c r="I59" s="41"/>
      <c r="J59" s="41"/>
      <c r="K59" s="271"/>
      <c r="L59" s="294">
        <f>SUM(G59:G61)</f>
        <v>966.79</v>
      </c>
      <c r="M59" s="227">
        <v>966.79</v>
      </c>
      <c r="N59" s="274"/>
      <c r="O59" s="237"/>
      <c r="P59" s="275"/>
      <c r="Q59" s="237"/>
      <c r="R59" s="242"/>
      <c r="S59" s="266"/>
      <c r="T59" s="266"/>
    </row>
    <row r="60" spans="1:20" ht="15.75">
      <c r="A60" s="896"/>
      <c r="B60" s="192"/>
      <c r="C60" s="48" t="s">
        <v>263</v>
      </c>
      <c r="D60" s="269">
        <v>1.36</v>
      </c>
      <c r="E60" s="41">
        <v>7.2024999999999997</v>
      </c>
      <c r="F60" s="41">
        <f t="shared" si="1"/>
        <v>7.2024999999999997</v>
      </c>
      <c r="G60" s="235">
        <f>ROUND(D60*E60,2)</f>
        <v>9.8000000000000007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891"/>
      <c r="B61" s="887"/>
      <c r="C61" s="54" t="s">
        <v>29</v>
      </c>
      <c r="D61" s="279">
        <v>127.4</v>
      </c>
      <c r="E61" s="56">
        <v>7.2024999999999997</v>
      </c>
      <c r="F61" s="57">
        <f t="shared" si="1"/>
        <v>7.2024999999999997</v>
      </c>
      <c r="G61" s="247">
        <f t="shared" ref="G61" si="8">ROUND(D61*E61,2)</f>
        <v>917.6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210</v>
      </c>
      <c r="B62" s="183" t="s">
        <v>245</v>
      </c>
      <c r="C62" s="439" t="s">
        <v>260</v>
      </c>
      <c r="D62" s="296">
        <f>янв19!D63+янв19!D64</f>
        <v>174.54999999999998</v>
      </c>
      <c r="E62" s="41">
        <f>7.2025-6.7838</f>
        <v>0.41869999999999941</v>
      </c>
      <c r="F62" s="41">
        <f t="shared" si="1"/>
        <v>0.41869999999999941</v>
      </c>
      <c r="G62" s="235">
        <f>ROUND(D62*E62,2)+0.01</f>
        <v>73.09</v>
      </c>
      <c r="H62" s="270"/>
      <c r="I62" s="41"/>
      <c r="J62" s="41"/>
      <c r="K62" s="271"/>
      <c r="L62" s="294">
        <f>SUM(G62:G64)</f>
        <v>1833.3</v>
      </c>
      <c r="M62" s="227">
        <v>1833.3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2.59</v>
      </c>
      <c r="E63" s="41">
        <v>7.2024999999999997</v>
      </c>
      <c r="F63" s="41">
        <f t="shared" si="1"/>
        <v>7.2024999999999997</v>
      </c>
      <c r="G63" s="235">
        <f>ROUND(D63*E63,2)</f>
        <v>18.649999999999999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241.8</v>
      </c>
      <c r="E64" s="56">
        <v>7.2024999999999997</v>
      </c>
      <c r="F64" s="57">
        <f t="shared" si="1"/>
        <v>7.2024999999999997</v>
      </c>
      <c r="G64" s="247">
        <f t="shared" ref="G64" si="9">ROUND(D64*E64,2)</f>
        <v>1741.56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213</v>
      </c>
      <c r="B65" s="183" t="s">
        <v>262</v>
      </c>
      <c r="C65" s="439" t="s">
        <v>260</v>
      </c>
      <c r="D65" s="296">
        <f>янв19!D66+янв19!D67</f>
        <v>100.56</v>
      </c>
      <c r="E65" s="41">
        <f>7.2025-6.7838</f>
        <v>0.41869999999999941</v>
      </c>
      <c r="F65" s="41">
        <f t="shared" si="1"/>
        <v>0.41869999999999941</v>
      </c>
      <c r="G65" s="235">
        <f>ROUND(D65*E65,2)</f>
        <v>42.1</v>
      </c>
      <c r="H65" s="270"/>
      <c r="I65" s="41"/>
      <c r="J65" s="41"/>
      <c r="K65" s="271"/>
      <c r="L65" s="294">
        <f>SUM(G65:G67)</f>
        <v>1075.81</v>
      </c>
      <c r="M65" s="227">
        <v>1075.81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1.52</v>
      </c>
      <c r="E66" s="41">
        <v>7.2024999999999997</v>
      </c>
      <c r="F66" s="41">
        <f t="shared" si="1"/>
        <v>7.2024999999999997</v>
      </c>
      <c r="G66" s="235">
        <f>ROUND(D66*E66,2)</f>
        <v>10.95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142</v>
      </c>
      <c r="E67" s="56">
        <v>7.2024999999999997</v>
      </c>
      <c r="F67" s="57">
        <f t="shared" si="1"/>
        <v>7.2024999999999997</v>
      </c>
      <c r="G67" s="247">
        <f t="shared" ref="G67" si="10">ROUND(D67*E67,2)</f>
        <v>1022.76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215</v>
      </c>
      <c r="B68" s="183" t="s">
        <v>189</v>
      </c>
      <c r="C68" s="71" t="s">
        <v>243</v>
      </c>
      <c r="D68" s="213">
        <v>5.4</v>
      </c>
      <c r="E68" s="21">
        <v>41.244</v>
      </c>
      <c r="F68" s="21">
        <v>48.335999999999999</v>
      </c>
      <c r="G68" s="214">
        <f>ROUND(D68*(E68+F68),2)</f>
        <v>483.73</v>
      </c>
      <c r="H68" s="213"/>
      <c r="I68" s="194"/>
      <c r="J68" s="215"/>
      <c r="K68" s="679"/>
      <c r="L68" s="216">
        <f>SUM(G68:G75)+SUM(J68:J75)</f>
        <v>3615.86</v>
      </c>
      <c r="M68" s="187">
        <v>3615.86</v>
      </c>
      <c r="N68" s="188"/>
      <c r="O68" s="217"/>
      <c r="P68" s="218"/>
      <c r="Q68" s="219"/>
      <c r="R68" s="220"/>
      <c r="S68" s="221"/>
      <c r="T68" s="222"/>
      <c r="U68" s="33"/>
    </row>
    <row r="69" spans="1:21">
      <c r="A69" s="890"/>
      <c r="B69" s="872"/>
      <c r="C69" s="84" t="s">
        <v>26</v>
      </c>
      <c r="D69" s="37">
        <f>янв19!D68</f>
        <v>0</v>
      </c>
      <c r="E69" s="38">
        <f>41.244-40.5566</f>
        <v>0.68739999999999668</v>
      </c>
      <c r="F69" s="38">
        <f>48.336-47.5304</f>
        <v>0.80559999999999832</v>
      </c>
      <c r="G69" s="39">
        <f>ROUND(D69*(E69+F69),2)</f>
        <v>0</v>
      </c>
      <c r="H69" s="225"/>
      <c r="I69" s="194"/>
      <c r="J69" s="194"/>
      <c r="K69" s="226"/>
      <c r="L69" s="196"/>
      <c r="M69" s="227"/>
      <c r="N69" s="228"/>
      <c r="O69" s="229"/>
      <c r="P69" s="230"/>
      <c r="Q69" s="231"/>
      <c r="R69" s="232"/>
      <c r="S69" s="233"/>
      <c r="T69" s="224"/>
      <c r="U69" s="33"/>
    </row>
    <row r="70" spans="1:21">
      <c r="A70" s="890"/>
      <c r="B70" s="873" t="s">
        <v>32</v>
      </c>
      <c r="C70" s="99" t="s">
        <v>33</v>
      </c>
      <c r="D70" s="234">
        <v>0</v>
      </c>
      <c r="E70" s="101"/>
      <c r="F70" s="38">
        <f>F68</f>
        <v>48.335999999999999</v>
      </c>
      <c r="G70" s="235">
        <f>ROUND(D70*(E70+F70),2)</f>
        <v>0</v>
      </c>
      <c r="H70" s="234"/>
      <c r="I70" s="194"/>
      <c r="J70" s="194"/>
      <c r="K70" s="195"/>
      <c r="L70" s="196"/>
      <c r="M70" s="227"/>
      <c r="N70" s="236"/>
      <c r="O70" s="237"/>
      <c r="P70" s="230"/>
      <c r="Q70" s="238"/>
      <c r="R70" s="232"/>
      <c r="S70" s="233"/>
      <c r="T70" s="224"/>
    </row>
    <row r="71" spans="1:21">
      <c r="A71" s="890"/>
      <c r="B71" s="872" t="s">
        <v>33</v>
      </c>
      <c r="C71" s="239" t="s">
        <v>26</v>
      </c>
      <c r="D71" s="234">
        <f>янв19!D70</f>
        <v>0</v>
      </c>
      <c r="E71" s="240"/>
      <c r="F71" s="240">
        <f>F68</f>
        <v>48.335999999999999</v>
      </c>
      <c r="G71" s="235">
        <f>+ROUND(D71*E71,2)</f>
        <v>0</v>
      </c>
      <c r="H71" s="241"/>
      <c r="I71" s="194"/>
      <c r="J71" s="194"/>
      <c r="K71" s="195"/>
      <c r="L71" s="196"/>
      <c r="M71" s="227"/>
      <c r="N71" s="236"/>
      <c r="O71" s="237"/>
      <c r="P71" s="230"/>
      <c r="Q71" s="238"/>
      <c r="R71" s="242"/>
      <c r="S71" s="233"/>
      <c r="T71" s="224"/>
    </row>
    <row r="72" spans="1:21">
      <c r="A72" s="890"/>
      <c r="B72" s="872"/>
      <c r="C72" s="239" t="s">
        <v>26</v>
      </c>
      <c r="D72" s="234"/>
      <c r="E72" s="240"/>
      <c r="F72" s="41"/>
      <c r="G72" s="235">
        <f>+ROUND(D72*F72,2)</f>
        <v>0</v>
      </c>
      <c r="H72" s="241"/>
      <c r="I72" s="194"/>
      <c r="J72" s="194"/>
      <c r="K72" s="195"/>
      <c r="L72" s="196"/>
      <c r="M72" s="227"/>
      <c r="N72" s="236"/>
      <c r="O72" s="237"/>
      <c r="P72" s="230"/>
      <c r="Q72" s="238"/>
      <c r="R72" s="242"/>
      <c r="S72" s="233"/>
      <c r="T72" s="224"/>
    </row>
    <row r="73" spans="1:21">
      <c r="A73" s="890"/>
      <c r="B73" s="872"/>
      <c r="C73" s="48" t="s">
        <v>260</v>
      </c>
      <c r="D73" s="49">
        <f>янв19!D74+янв19!D75</f>
        <v>343.64</v>
      </c>
      <c r="E73" s="41">
        <f>7.2025-6.7838</f>
        <v>0.41869999999999941</v>
      </c>
      <c r="F73" s="41">
        <f t="shared" ref="F73:F78" si="11">+E73</f>
        <v>0.41869999999999941</v>
      </c>
      <c r="G73" s="50">
        <f>ROUND(D73*E73,2)</f>
        <v>143.88</v>
      </c>
      <c r="H73" s="241"/>
      <c r="I73" s="194"/>
      <c r="J73" s="194"/>
      <c r="K73" s="195"/>
      <c r="L73" s="196"/>
      <c r="M73" s="227"/>
      <c r="N73" s="236"/>
      <c r="O73" s="237"/>
      <c r="P73" s="230"/>
      <c r="Q73" s="238"/>
      <c r="R73" s="242"/>
      <c r="S73" s="233"/>
      <c r="T73" s="224"/>
    </row>
    <row r="74" spans="1:21">
      <c r="A74" s="890"/>
      <c r="B74" s="872"/>
      <c r="C74" s="48" t="s">
        <v>263</v>
      </c>
      <c r="D74" s="49">
        <v>4.3899999999999997</v>
      </c>
      <c r="E74" s="41">
        <v>7.2024999999999997</v>
      </c>
      <c r="F74" s="41">
        <f t="shared" si="11"/>
        <v>7.2024999999999997</v>
      </c>
      <c r="G74" s="50">
        <f>ROUND(D74*E74,2)</f>
        <v>31.62</v>
      </c>
      <c r="H74" s="241"/>
      <c r="I74" s="194"/>
      <c r="J74" s="243"/>
      <c r="K74" s="195"/>
      <c r="L74" s="196"/>
      <c r="M74" s="227"/>
      <c r="N74" s="236"/>
      <c r="O74" s="237"/>
      <c r="P74" s="230"/>
      <c r="Q74" s="238"/>
      <c r="R74" s="242"/>
      <c r="S74" s="233"/>
      <c r="T74" s="224"/>
      <c r="U74" s="33"/>
    </row>
    <row r="75" spans="1:21" ht="15.75" thickBot="1">
      <c r="A75" s="897"/>
      <c r="B75" s="875"/>
      <c r="C75" s="99" t="s">
        <v>29</v>
      </c>
      <c r="D75" s="246">
        <v>410.5</v>
      </c>
      <c r="E75" s="56">
        <v>7.2024999999999997</v>
      </c>
      <c r="F75" s="57">
        <f t="shared" si="11"/>
        <v>7.2024999999999997</v>
      </c>
      <c r="G75" s="247">
        <f>ROUND(D75*E75*70%+D75*F75*30%,2)</f>
        <v>2956.63</v>
      </c>
      <c r="H75" s="248"/>
      <c r="I75" s="203"/>
      <c r="J75" s="60"/>
      <c r="K75" s="61"/>
      <c r="L75" s="249"/>
      <c r="M75" s="250"/>
      <c r="N75" s="251"/>
      <c r="O75" s="252"/>
      <c r="P75" s="253"/>
      <c r="Q75" s="254"/>
      <c r="R75" s="255"/>
      <c r="S75" s="256"/>
      <c r="T75" s="256"/>
    </row>
    <row r="76" spans="1:21" ht="15.75" thickTop="1">
      <c r="A76" s="892">
        <v>217</v>
      </c>
      <c r="B76" s="183" t="s">
        <v>269</v>
      </c>
      <c r="C76" s="439" t="s">
        <v>260</v>
      </c>
      <c r="D76" s="296">
        <f>янв19!D77+янв19!D78</f>
        <v>33.25</v>
      </c>
      <c r="E76" s="41">
        <f>7.2025-6.7838</f>
        <v>0.41869999999999941</v>
      </c>
      <c r="F76" s="41">
        <f t="shared" si="11"/>
        <v>0.41869999999999941</v>
      </c>
      <c r="G76" s="235">
        <f>ROUND(D76*E76,2)+0.01</f>
        <v>13.93</v>
      </c>
      <c r="H76" s="270"/>
      <c r="I76" s="41"/>
      <c r="J76" s="41"/>
      <c r="K76" s="271"/>
      <c r="L76" s="294">
        <f>SUM(G76:G78)</f>
        <v>318.95</v>
      </c>
      <c r="M76" s="227">
        <v>318.95</v>
      </c>
      <c r="N76" s="274"/>
      <c r="O76" s="237"/>
      <c r="P76" s="275"/>
      <c r="Q76" s="237"/>
      <c r="R76" s="242"/>
      <c r="S76" s="266"/>
      <c r="T76" s="266"/>
    </row>
    <row r="77" spans="1:21" ht="15.75">
      <c r="A77" s="896"/>
      <c r="B77" s="192"/>
      <c r="C77" s="48" t="s">
        <v>263</v>
      </c>
      <c r="D77" s="269">
        <v>0.45</v>
      </c>
      <c r="E77" s="41">
        <v>7.2024999999999997</v>
      </c>
      <c r="F77" s="41">
        <f t="shared" si="11"/>
        <v>7.2024999999999997</v>
      </c>
      <c r="G77" s="235">
        <f>ROUND(D77*E77,2)</f>
        <v>3.24</v>
      </c>
      <c r="H77" s="270"/>
      <c r="I77" s="41"/>
      <c r="J77" s="41"/>
      <c r="K77" s="271"/>
      <c r="L77" s="272"/>
      <c r="M77" s="273"/>
      <c r="N77" s="274"/>
      <c r="O77" s="237"/>
      <c r="P77" s="275"/>
      <c r="Q77" s="237"/>
      <c r="R77" s="242"/>
      <c r="S77" s="266"/>
      <c r="T77" s="266"/>
    </row>
    <row r="78" spans="1:21" ht="16.5" thickBot="1">
      <c r="A78" s="891"/>
      <c r="B78" s="887"/>
      <c r="C78" s="54" t="s">
        <v>29</v>
      </c>
      <c r="D78" s="279">
        <v>41.9</v>
      </c>
      <c r="E78" s="56">
        <v>7.2024999999999997</v>
      </c>
      <c r="F78" s="57">
        <f t="shared" si="11"/>
        <v>7.2024999999999997</v>
      </c>
      <c r="G78" s="247">
        <f t="shared" ref="G78" si="12">ROUND(D78*E78,2)</f>
        <v>301.77999999999997</v>
      </c>
      <c r="H78" s="280"/>
      <c r="I78" s="281"/>
      <c r="J78" s="281"/>
      <c r="K78" s="282"/>
      <c r="L78" s="204"/>
      <c r="M78" s="250"/>
      <c r="N78" s="283"/>
      <c r="O78" s="252"/>
      <c r="P78" s="284"/>
      <c r="Q78" s="252"/>
      <c r="R78" s="242"/>
      <c r="S78" s="266"/>
      <c r="T78" s="266"/>
    </row>
    <row r="79" spans="1:21" ht="15.75" collapsed="1" thickBot="1">
      <c r="A79" s="891">
        <v>309</v>
      </c>
      <c r="B79" s="887" t="s">
        <v>251</v>
      </c>
      <c r="C79" s="54" t="s">
        <v>260</v>
      </c>
      <c r="D79" s="296">
        <f>янв19!D80+янв19!D81</f>
        <v>253.79</v>
      </c>
      <c r="E79" s="41">
        <f>7.2025-6.7838</f>
        <v>0.41869999999999941</v>
      </c>
      <c r="F79" s="41">
        <f>+E79</f>
        <v>0.41869999999999941</v>
      </c>
      <c r="G79" s="235">
        <f>ROUND(D79*E79,2)+0.01</f>
        <v>106.27000000000001</v>
      </c>
      <c r="H79" s="270"/>
      <c r="I79" s="41"/>
      <c r="J79" s="41"/>
      <c r="K79" s="271"/>
      <c r="L79" s="294">
        <f>SUM(G79:G81)</f>
        <v>2566.06</v>
      </c>
      <c r="M79" s="227">
        <v>2566.06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885"/>
      <c r="C80" s="48" t="s">
        <v>263</v>
      </c>
      <c r="D80" s="269">
        <v>3.62</v>
      </c>
      <c r="E80" s="41">
        <v>7.2024999999999997</v>
      </c>
      <c r="F80" s="41">
        <f>+E80</f>
        <v>7.2024999999999997</v>
      </c>
      <c r="G80" s="235">
        <f t="shared" ref="G80:G81" si="13">ROUND(D80*E80,2)</f>
        <v>26.07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337.9</v>
      </c>
      <c r="E81" s="56">
        <v>7.2024999999999997</v>
      </c>
      <c r="F81" s="57">
        <f>+E81</f>
        <v>7.2024999999999997</v>
      </c>
      <c r="G81" s="247">
        <f t="shared" si="13"/>
        <v>2433.7199999999998</v>
      </c>
      <c r="H81" s="280"/>
      <c r="I81" s="281"/>
      <c r="J81" s="281"/>
      <c r="K81" s="282"/>
      <c r="L81" s="204"/>
      <c r="M81" s="250"/>
      <c r="N81" s="283"/>
      <c r="O81" s="252"/>
      <c r="P81" s="284"/>
      <c r="Q81" s="252"/>
      <c r="R81" s="242"/>
      <c r="S81" s="266"/>
      <c r="T81" s="266"/>
    </row>
    <row r="82" spans="1:21">
      <c r="A82" s="888">
        <v>314</v>
      </c>
      <c r="B82" s="889" t="s">
        <v>52</v>
      </c>
      <c r="C82" s="71">
        <v>0</v>
      </c>
      <c r="D82" s="213">
        <v>132.68</v>
      </c>
      <c r="E82" s="21">
        <v>41.244</v>
      </c>
      <c r="F82" s="21">
        <v>48.335999999999999</v>
      </c>
      <c r="G82" s="214">
        <f>ROUND(D82*(E82+F82),2)</f>
        <v>11885.47</v>
      </c>
      <c r="H82" s="213"/>
      <c r="I82" s="194"/>
      <c r="J82" s="215"/>
      <c r="K82" s="679"/>
      <c r="L82" s="216">
        <f>SUM(G82:G89)+SUM(J82:J89)</f>
        <v>72217.98</v>
      </c>
      <c r="M82" s="187">
        <v>72217.98</v>
      </c>
      <c r="N82" s="188"/>
      <c r="O82" s="217">
        <v>4253.6899999999996</v>
      </c>
      <c r="P82" s="218" t="s">
        <v>47</v>
      </c>
      <c r="Q82" s="219">
        <f t="shared" ref="Q82" si="14">C82+G82+J82-M82-N82-O82</f>
        <v>-64586.2</v>
      </c>
      <c r="R82" s="220" t="s">
        <v>53</v>
      </c>
      <c r="S82" s="221"/>
      <c r="T82" s="222"/>
      <c r="U82" s="33">
        <f>+C82+L82-M82</f>
        <v>0</v>
      </c>
    </row>
    <row r="83" spans="1:21" ht="15.75" thickBot="1">
      <c r="A83" s="890"/>
      <c r="B83" s="872"/>
      <c r="C83" s="84" t="s">
        <v>26</v>
      </c>
      <c r="D83" s="37">
        <f>янв19!D82</f>
        <v>124.49</v>
      </c>
      <c r="E83" s="38">
        <f>41.244-40.5566</f>
        <v>0.68739999999999668</v>
      </c>
      <c r="F83" s="38">
        <f>48.336-47.5304</f>
        <v>0.80559999999999832</v>
      </c>
      <c r="G83" s="39">
        <f>ROUND(D83*(E83+F83),2)</f>
        <v>185.86</v>
      </c>
      <c r="H83" s="225"/>
      <c r="I83" s="194"/>
      <c r="J83" s="194"/>
      <c r="K83" s="226"/>
      <c r="L83" s="196"/>
      <c r="M83" s="227"/>
      <c r="N83" s="228"/>
      <c r="O83" s="229"/>
      <c r="P83" s="230"/>
      <c r="Q83" s="231"/>
      <c r="R83" s="232"/>
      <c r="S83" s="233"/>
      <c r="T83" s="224"/>
      <c r="U83" s="33"/>
    </row>
    <row r="84" spans="1:21">
      <c r="A84" s="890"/>
      <c r="B84" s="873" t="s">
        <v>32</v>
      </c>
      <c r="C84" s="99" t="s">
        <v>33</v>
      </c>
      <c r="D84" s="234"/>
      <c r="E84" s="101"/>
      <c r="F84" s="21">
        <f>F82</f>
        <v>48.335999999999999</v>
      </c>
      <c r="G84" s="235">
        <f>ROUND(D84*(E84+F84),2)</f>
        <v>0</v>
      </c>
      <c r="H84" s="234"/>
      <c r="I84" s="194"/>
      <c r="J84" s="194"/>
      <c r="K84" s="195"/>
      <c r="L84" s="196"/>
      <c r="M84" s="227"/>
      <c r="N84" s="236"/>
      <c r="O84" s="237">
        <v>5456.6</v>
      </c>
      <c r="P84" s="230" t="s">
        <v>47</v>
      </c>
      <c r="Q84" s="238">
        <f>+G84+J84-M84-N84-O84</f>
        <v>-5456.6</v>
      </c>
      <c r="R84" s="232"/>
      <c r="S84" s="233"/>
      <c r="T84" s="224"/>
    </row>
    <row r="85" spans="1:21">
      <c r="A85" s="890"/>
      <c r="B85" s="872" t="s">
        <v>33</v>
      </c>
      <c r="C85" s="239" t="s">
        <v>26</v>
      </c>
      <c r="D85" s="234">
        <f>янв19!D84</f>
        <v>0</v>
      </c>
      <c r="E85" s="240"/>
      <c r="F85" s="240">
        <f>F83</f>
        <v>0.80559999999999832</v>
      </c>
      <c r="G85" s="235">
        <f>+ROUND(D85*E85,2)</f>
        <v>0</v>
      </c>
      <c r="H85" s="241"/>
      <c r="I85" s="194"/>
      <c r="J85" s="194"/>
      <c r="K85" s="195"/>
      <c r="L85" s="196"/>
      <c r="M85" s="227"/>
      <c r="N85" s="236"/>
      <c r="O85" s="237"/>
      <c r="P85" s="230"/>
      <c r="Q85" s="238"/>
      <c r="R85" s="242"/>
      <c r="S85" s="233"/>
      <c r="T85" s="224"/>
    </row>
    <row r="86" spans="1:21">
      <c r="A86" s="890"/>
      <c r="B86" s="872"/>
      <c r="C86" s="239" t="s">
        <v>26</v>
      </c>
      <c r="D86" s="234"/>
      <c r="E86" s="240"/>
      <c r="F86" s="41"/>
      <c r="G86" s="235">
        <f>+ROUND(D86*F86,2)</f>
        <v>0</v>
      </c>
      <c r="H86" s="241"/>
      <c r="I86" s="194"/>
      <c r="J86" s="194"/>
      <c r="K86" s="195"/>
      <c r="L86" s="196"/>
      <c r="M86" s="227"/>
      <c r="N86" s="236"/>
      <c r="O86" s="237"/>
      <c r="P86" s="230"/>
      <c r="Q86" s="238"/>
      <c r="R86" s="242"/>
      <c r="S86" s="233"/>
      <c r="T86" s="224"/>
    </row>
    <row r="87" spans="1:21">
      <c r="A87" s="890"/>
      <c r="B87" s="872"/>
      <c r="C87" s="48" t="s">
        <v>260</v>
      </c>
      <c r="D87" s="49">
        <f>янв19!D88+янв19!D89</f>
        <v>5005.3099999999995</v>
      </c>
      <c r="E87" s="41">
        <f>7.2025-6.7838</f>
        <v>0.41869999999999941</v>
      </c>
      <c r="F87" s="41">
        <f t="shared" ref="F87:F138" si="15">+E87</f>
        <v>0.41869999999999941</v>
      </c>
      <c r="G87" s="50">
        <f>ROUND(D87*E87,2)</f>
        <v>2095.7199999999998</v>
      </c>
      <c r="H87" s="241"/>
      <c r="I87" s="194"/>
      <c r="J87" s="194"/>
      <c r="K87" s="195"/>
      <c r="L87" s="196"/>
      <c r="M87" s="227"/>
      <c r="N87" s="236"/>
      <c r="O87" s="237"/>
      <c r="P87" s="230"/>
      <c r="Q87" s="238"/>
      <c r="R87" s="242"/>
      <c r="S87" s="233"/>
      <c r="T87" s="224"/>
    </row>
    <row r="88" spans="1:21">
      <c r="A88" s="890"/>
      <c r="B88" s="872"/>
      <c r="C88" s="48" t="s">
        <v>263</v>
      </c>
      <c r="D88" s="49">
        <v>85.33</v>
      </c>
      <c r="E88" s="41">
        <v>7.2024999999999997</v>
      </c>
      <c r="F88" s="41">
        <f t="shared" si="15"/>
        <v>7.2024999999999997</v>
      </c>
      <c r="G88" s="50">
        <f>ROUND(D88*E88,2)</f>
        <v>614.59</v>
      </c>
      <c r="H88" s="241"/>
      <c r="I88" s="194"/>
      <c r="J88" s="243"/>
      <c r="K88" s="195"/>
      <c r="L88" s="196"/>
      <c r="M88" s="227"/>
      <c r="N88" s="236"/>
      <c r="O88" s="237"/>
      <c r="P88" s="230"/>
      <c r="Q88" s="238"/>
      <c r="R88" s="242"/>
      <c r="S88" s="233"/>
      <c r="T88" s="224"/>
      <c r="U88" s="33"/>
    </row>
    <row r="89" spans="1:21" ht="15.75" thickBot="1">
      <c r="A89" s="891"/>
      <c r="B89" s="887"/>
      <c r="C89" s="54" t="s">
        <v>29</v>
      </c>
      <c r="D89" s="246">
        <v>7974.5</v>
      </c>
      <c r="E89" s="56">
        <v>7.2024999999999997</v>
      </c>
      <c r="F89" s="57">
        <f t="shared" si="15"/>
        <v>7.2024999999999997</v>
      </c>
      <c r="G89" s="247">
        <f>ROUND(D89*E89*70%+D89*F89*30%,2)</f>
        <v>57436.34</v>
      </c>
      <c r="H89" s="248"/>
      <c r="I89" s="203"/>
      <c r="J89" s="60"/>
      <c r="K89" s="61"/>
      <c r="L89" s="249"/>
      <c r="M89" s="250"/>
      <c r="N89" s="251"/>
      <c r="O89" s="252">
        <v>15777.9</v>
      </c>
      <c r="P89" s="253" t="s">
        <v>47</v>
      </c>
      <c r="Q89" s="254">
        <f>+G89+J89-M89-N89-O89</f>
        <v>41658.439999999995</v>
      </c>
      <c r="R89" s="255" t="s">
        <v>54</v>
      </c>
      <c r="S89" s="256">
        <f>SUM(O82:O89)</f>
        <v>25488.190000000002</v>
      </c>
      <c r="T89" s="256">
        <f>SUM(Q82:Q89)</f>
        <v>-28384.360000000008</v>
      </c>
    </row>
    <row r="90" spans="1:21">
      <c r="A90" s="892">
        <v>315</v>
      </c>
      <c r="B90" s="183" t="s">
        <v>318</v>
      </c>
      <c r="C90" s="439" t="s">
        <v>260</v>
      </c>
      <c r="D90" s="296"/>
      <c r="E90" s="41">
        <f>7.2025-6.7838</f>
        <v>0.41869999999999941</v>
      </c>
      <c r="F90" s="41">
        <f t="shared" ref="F90:F92" si="16">+E90</f>
        <v>0.41869999999999941</v>
      </c>
      <c r="G90" s="235">
        <f>ROUND(D90*E90,2)</f>
        <v>0</v>
      </c>
      <c r="H90" s="270"/>
      <c r="I90" s="41"/>
      <c r="J90" s="41"/>
      <c r="K90" s="271"/>
      <c r="L90" s="294">
        <f>SUM(G90:G92)</f>
        <v>171.78</v>
      </c>
      <c r="M90" s="227">
        <v>171.78</v>
      </c>
      <c r="N90" s="274"/>
      <c r="O90" s="237"/>
      <c r="P90" s="275"/>
      <c r="Q90" s="237"/>
      <c r="R90" s="242"/>
      <c r="S90" s="266"/>
      <c r="T90" s="266"/>
    </row>
    <row r="91" spans="1:21" ht="15.75">
      <c r="A91" s="896"/>
      <c r="B91" s="192"/>
      <c r="C91" s="48" t="s">
        <v>263</v>
      </c>
      <c r="D91" s="269">
        <v>0.25</v>
      </c>
      <c r="E91" s="41">
        <v>7.2024999999999997</v>
      </c>
      <c r="F91" s="41">
        <f t="shared" si="16"/>
        <v>7.2024999999999997</v>
      </c>
      <c r="G91" s="235">
        <f t="shared" ref="G91:G92" si="17">ROUND(D91*E91,2)</f>
        <v>1.8</v>
      </c>
      <c r="H91" s="270"/>
      <c r="I91" s="41"/>
      <c r="J91" s="41"/>
      <c r="K91" s="271"/>
      <c r="L91" s="272"/>
      <c r="M91" s="273"/>
      <c r="N91" s="274"/>
      <c r="O91" s="237"/>
      <c r="P91" s="275"/>
      <c r="Q91" s="237"/>
      <c r="R91" s="242"/>
      <c r="S91" s="266"/>
      <c r="T91" s="266"/>
    </row>
    <row r="92" spans="1:21" ht="16.5" thickBot="1">
      <c r="A92" s="891"/>
      <c r="B92" s="202"/>
      <c r="C92" s="54" t="s">
        <v>29</v>
      </c>
      <c r="D92" s="279">
        <v>23.6</v>
      </c>
      <c r="E92" s="56">
        <v>7.2024999999999997</v>
      </c>
      <c r="F92" s="57">
        <f t="shared" si="16"/>
        <v>7.2024999999999997</v>
      </c>
      <c r="G92" s="247">
        <f t="shared" si="17"/>
        <v>169.98</v>
      </c>
      <c r="H92" s="280"/>
      <c r="I92" s="281"/>
      <c r="J92" s="281"/>
      <c r="K92" s="282"/>
      <c r="L92" s="204"/>
      <c r="M92" s="250"/>
      <c r="N92" s="283"/>
      <c r="O92" s="252"/>
      <c r="P92" s="284"/>
      <c r="Q92" s="252"/>
      <c r="R92" s="242"/>
      <c r="S92" s="266"/>
      <c r="T92" s="266"/>
    </row>
    <row r="93" spans="1:21">
      <c r="A93" s="892">
        <v>402</v>
      </c>
      <c r="B93" s="183" t="s">
        <v>178</v>
      </c>
      <c r="C93" s="439" t="s">
        <v>260</v>
      </c>
      <c r="D93" s="296">
        <f>янв19!D91+янв19!D92</f>
        <v>120.6</v>
      </c>
      <c r="E93" s="41">
        <f>7.2025-6.7838</f>
        <v>0.41869999999999941</v>
      </c>
      <c r="F93" s="41">
        <f t="shared" si="15"/>
        <v>0.41869999999999941</v>
      </c>
      <c r="G93" s="235">
        <f>ROUND(D93*E93,2)-0.01</f>
        <v>50.49</v>
      </c>
      <c r="H93" s="270"/>
      <c r="I93" s="41"/>
      <c r="J93" s="41"/>
      <c r="K93" s="271"/>
      <c r="L93" s="294">
        <f>SUM(G93:G95)</f>
        <v>1207.93</v>
      </c>
      <c r="M93" s="227">
        <v>1207.93</v>
      </c>
      <c r="N93" s="274"/>
      <c r="O93" s="237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1.7</v>
      </c>
      <c r="E94" s="41">
        <v>7.2024999999999997</v>
      </c>
      <c r="F94" s="41">
        <f t="shared" si="15"/>
        <v>7.2024999999999997</v>
      </c>
      <c r="G94" s="235">
        <f t="shared" ref="G94:G107" si="18">ROUND(D94*E94,2)</f>
        <v>12.24</v>
      </c>
      <c r="H94" s="270"/>
      <c r="I94" s="41"/>
      <c r="J94" s="41"/>
      <c r="K94" s="271"/>
      <c r="L94" s="272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159</v>
      </c>
      <c r="E95" s="56">
        <v>7.2024999999999997</v>
      </c>
      <c r="F95" s="57">
        <f t="shared" si="15"/>
        <v>7.2024999999999997</v>
      </c>
      <c r="G95" s="247">
        <f t="shared" si="18"/>
        <v>1145.2</v>
      </c>
      <c r="H95" s="280"/>
      <c r="I95" s="281"/>
      <c r="J95" s="281"/>
      <c r="K95" s="282"/>
      <c r="L95" s="204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403</v>
      </c>
      <c r="B96" s="183" t="s">
        <v>290</v>
      </c>
      <c r="C96" s="439" t="s">
        <v>260</v>
      </c>
      <c r="D96" s="296">
        <f>янв19!D94+янв19!D95</f>
        <v>33.15</v>
      </c>
      <c r="E96" s="41">
        <f>7.2025-6.7838</f>
        <v>0.41869999999999941</v>
      </c>
      <c r="F96" s="41">
        <f t="shared" si="15"/>
        <v>0.41869999999999941</v>
      </c>
      <c r="G96" s="235">
        <f>ROUND(D96*E96,2)</f>
        <v>13.88</v>
      </c>
      <c r="H96" s="270"/>
      <c r="I96" s="41"/>
      <c r="J96" s="41"/>
      <c r="K96" s="271"/>
      <c r="L96" s="294">
        <f>SUM(G96:G98)</f>
        <v>292.69</v>
      </c>
      <c r="M96" s="996">
        <v>292.69</v>
      </c>
      <c r="N96" s="997"/>
      <c r="O96" s="998"/>
      <c r="P96" s="275"/>
      <c r="Q96" s="237"/>
      <c r="R96" s="242"/>
      <c r="S96" s="266"/>
      <c r="T96" s="266"/>
    </row>
    <row r="97" spans="1:20" ht="15.75">
      <c r="A97" s="896"/>
      <c r="B97" s="192" t="s">
        <v>291</v>
      </c>
      <c r="C97" s="48" t="s">
        <v>263</v>
      </c>
      <c r="D97" s="269">
        <v>0.41</v>
      </c>
      <c r="E97" s="41">
        <v>7.2024999999999997</v>
      </c>
      <c r="F97" s="41">
        <f t="shared" si="15"/>
        <v>7.2024999999999997</v>
      </c>
      <c r="G97" s="235">
        <f>ROUND(D97*E97,2)</f>
        <v>2.95</v>
      </c>
      <c r="H97" s="270"/>
      <c r="I97" s="41"/>
      <c r="J97" s="41"/>
      <c r="K97" s="271"/>
      <c r="L97" s="272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202"/>
      <c r="C98" s="54" t="s">
        <v>29</v>
      </c>
      <c r="D98" s="279">
        <v>38.299999999999997</v>
      </c>
      <c r="E98" s="56">
        <v>7.2024999999999997</v>
      </c>
      <c r="F98" s="57">
        <f t="shared" si="15"/>
        <v>7.2024999999999997</v>
      </c>
      <c r="G98" s="247">
        <f t="shared" ref="G98" si="19">ROUND(D98*E98,2)</f>
        <v>275.86</v>
      </c>
      <c r="H98" s="280"/>
      <c r="I98" s="281"/>
      <c r="J98" s="281"/>
      <c r="K98" s="282"/>
      <c r="L98" s="204"/>
      <c r="M98" s="250"/>
      <c r="N98" s="283"/>
      <c r="O98" s="252"/>
      <c r="P98" s="284"/>
      <c r="Q98" s="252"/>
      <c r="R98" s="242"/>
      <c r="S98" s="266"/>
      <c r="T98" s="266"/>
    </row>
    <row r="99" spans="1:20">
      <c r="A99" s="892">
        <v>409</v>
      </c>
      <c r="B99" s="183" t="s">
        <v>218</v>
      </c>
      <c r="C99" s="439" t="s">
        <v>260</v>
      </c>
      <c r="D99" s="296">
        <f>янв19!D97+янв19!D98</f>
        <v>111.99</v>
      </c>
      <c r="E99" s="41">
        <f>7.2025-6.7838</f>
        <v>0.41869999999999941</v>
      </c>
      <c r="F99" s="41">
        <f t="shared" si="15"/>
        <v>0.41869999999999941</v>
      </c>
      <c r="G99" s="235">
        <f>ROUND(D99*E99,2)+0.01</f>
        <v>46.9</v>
      </c>
      <c r="H99" s="270"/>
      <c r="I99" s="41"/>
      <c r="J99" s="41"/>
      <c r="K99" s="271"/>
      <c r="L99" s="294">
        <f>SUM(G99:G101)</f>
        <v>1282.99</v>
      </c>
      <c r="M99" s="227">
        <v>1282.99</v>
      </c>
      <c r="N99" s="274"/>
      <c r="O99" s="237"/>
      <c r="P99" s="275"/>
      <c r="Q99" s="237"/>
      <c r="R99" s="242"/>
      <c r="S99" s="266"/>
      <c r="T99" s="266"/>
    </row>
    <row r="100" spans="1:20" ht="15.75">
      <c r="A100" s="896"/>
      <c r="B100" s="192"/>
      <c r="C100" s="48" t="s">
        <v>263</v>
      </c>
      <c r="D100" s="269">
        <v>1.82</v>
      </c>
      <c r="E100" s="41">
        <v>7.2024999999999997</v>
      </c>
      <c r="F100" s="41">
        <f t="shared" si="15"/>
        <v>7.2024999999999997</v>
      </c>
      <c r="G100" s="235">
        <f t="shared" si="18"/>
        <v>13.11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6.5" thickBot="1">
      <c r="A101" s="891"/>
      <c r="B101" s="887"/>
      <c r="C101" s="54" t="s">
        <v>29</v>
      </c>
      <c r="D101" s="279">
        <v>169.8</v>
      </c>
      <c r="E101" s="56">
        <v>7.2024999999999997</v>
      </c>
      <c r="F101" s="57">
        <f t="shared" si="15"/>
        <v>7.2024999999999997</v>
      </c>
      <c r="G101" s="247">
        <f t="shared" si="18"/>
        <v>1222.98</v>
      </c>
      <c r="H101" s="280"/>
      <c r="I101" s="281"/>
      <c r="J101" s="281"/>
      <c r="K101" s="2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0">
      <c r="A102" s="892">
        <v>410</v>
      </c>
      <c r="B102" s="183" t="s">
        <v>138</v>
      </c>
      <c r="C102" s="439" t="s">
        <v>260</v>
      </c>
      <c r="D102" s="296">
        <f>янв19!D100+янв19!D101</f>
        <v>174.14000000000001</v>
      </c>
      <c r="E102" s="41">
        <f>7.2025-6.7838</f>
        <v>0.41869999999999941</v>
      </c>
      <c r="F102" s="41">
        <f t="shared" si="15"/>
        <v>0.41869999999999941</v>
      </c>
      <c r="G102" s="235">
        <f>ROUND(D102*E102,2)+0.01</f>
        <v>72.92</v>
      </c>
      <c r="H102" s="270"/>
      <c r="I102" s="41"/>
      <c r="J102" s="41"/>
      <c r="K102" s="271"/>
      <c r="L102" s="294">
        <f>SUM(G102:G104)</f>
        <v>1797.41</v>
      </c>
      <c r="M102" s="227">
        <v>1797.41</v>
      </c>
      <c r="N102" s="274"/>
      <c r="O102" s="237"/>
      <c r="P102" s="275"/>
      <c r="Q102" s="237"/>
      <c r="R102" s="242"/>
      <c r="S102" s="266"/>
      <c r="T102" s="266"/>
    </row>
    <row r="103" spans="1:20" ht="15.75">
      <c r="A103" s="896"/>
      <c r="B103" s="192"/>
      <c r="C103" s="48" t="s">
        <v>263</v>
      </c>
      <c r="D103" s="269">
        <v>2.5299999999999998</v>
      </c>
      <c r="E103" s="41">
        <v>7.2024999999999997</v>
      </c>
      <c r="F103" s="41">
        <f t="shared" si="15"/>
        <v>7.2024999999999997</v>
      </c>
      <c r="G103" s="235">
        <f t="shared" si="18"/>
        <v>18.22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0" ht="16.5" thickBot="1">
      <c r="A104" s="891"/>
      <c r="B104" s="887"/>
      <c r="C104" s="54" t="s">
        <v>29</v>
      </c>
      <c r="D104" s="279">
        <v>236.9</v>
      </c>
      <c r="E104" s="56">
        <v>7.2024999999999997</v>
      </c>
      <c r="F104" s="57">
        <f t="shared" si="15"/>
        <v>7.2024999999999997</v>
      </c>
      <c r="G104" s="247">
        <f t="shared" si="18"/>
        <v>1706.27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0" ht="15.75" hidden="1" thickBot="1">
      <c r="A105" s="892">
        <v>411</v>
      </c>
      <c r="B105" s="183" t="s">
        <v>229</v>
      </c>
      <c r="C105" s="439" t="s">
        <v>260</v>
      </c>
      <c r="D105" s="296"/>
      <c r="E105" s="41">
        <f>6.6439-6.7023</f>
        <v>-5.8399999999999785E-2</v>
      </c>
      <c r="F105" s="41">
        <f t="shared" si="15"/>
        <v>-5.8399999999999785E-2</v>
      </c>
      <c r="G105" s="235">
        <f t="shared" si="18"/>
        <v>0</v>
      </c>
      <c r="H105" s="270"/>
      <c r="I105" s="41"/>
      <c r="J105" s="41"/>
      <c r="K105" s="271"/>
      <c r="L105" s="294">
        <f>SUM(G105:G107)</f>
        <v>0</v>
      </c>
      <c r="M105" s="227"/>
      <c r="N105" s="274"/>
      <c r="O105" s="983" t="s">
        <v>271</v>
      </c>
      <c r="P105" s="275"/>
      <c r="Q105" s="237"/>
      <c r="R105" s="242"/>
      <c r="S105" s="266"/>
      <c r="T105" s="266"/>
    </row>
    <row r="106" spans="1:20" ht="16.5" hidden="1" thickBot="1">
      <c r="A106" s="896"/>
      <c r="B106" s="192"/>
      <c r="C106" s="48" t="s">
        <v>263</v>
      </c>
      <c r="D106" s="269"/>
      <c r="E106" s="41">
        <v>6.6439000000000004</v>
      </c>
      <c r="F106" s="41">
        <f t="shared" si="15"/>
        <v>6.6439000000000004</v>
      </c>
      <c r="G106" s="235">
        <f>ROUND(D106*E106,2)</f>
        <v>0</v>
      </c>
      <c r="H106" s="270"/>
      <c r="I106" s="41"/>
      <c r="J106" s="41"/>
      <c r="K106" s="271"/>
      <c r="L106" s="272"/>
      <c r="M106" s="273"/>
      <c r="N106" s="274"/>
      <c r="O106" s="237"/>
      <c r="P106" s="275"/>
      <c r="Q106" s="237"/>
      <c r="R106" s="242"/>
      <c r="S106" s="266"/>
      <c r="T106" s="266"/>
    </row>
    <row r="107" spans="1:20" ht="16.5" hidden="1" thickBot="1">
      <c r="A107" s="891"/>
      <c r="B107" s="887"/>
      <c r="C107" s="54" t="s">
        <v>29</v>
      </c>
      <c r="D107" s="279"/>
      <c r="E107" s="56">
        <v>6.6439000000000004</v>
      </c>
      <c r="F107" s="57">
        <f t="shared" si="15"/>
        <v>6.6439000000000004</v>
      </c>
      <c r="G107" s="247">
        <f t="shared" si="18"/>
        <v>0</v>
      </c>
      <c r="H107" s="280"/>
      <c r="I107" s="281"/>
      <c r="J107" s="281"/>
      <c r="K107" s="282"/>
      <c r="L107" s="204"/>
      <c r="M107" s="250"/>
      <c r="N107" s="283"/>
      <c r="O107" s="252"/>
      <c r="P107" s="284"/>
      <c r="Q107" s="252"/>
      <c r="R107" s="242"/>
      <c r="S107" s="266"/>
      <c r="T107" s="266"/>
    </row>
    <row r="108" spans="1:20" ht="16.5" collapsed="1" thickBot="1">
      <c r="A108" s="891">
        <v>412</v>
      </c>
      <c r="B108" s="887" t="s">
        <v>58</v>
      </c>
      <c r="C108" s="54" t="s">
        <v>59</v>
      </c>
      <c r="D108" s="822">
        <v>0.52800000000000002</v>
      </c>
      <c r="E108" s="21">
        <v>41.244</v>
      </c>
      <c r="F108" s="21">
        <v>48.335999999999999</v>
      </c>
      <c r="G108" s="214">
        <f>ROUND(D108*(E108+F108),2)</f>
        <v>47.3</v>
      </c>
      <c r="H108" s="213"/>
      <c r="I108" s="41"/>
      <c r="J108" s="215"/>
      <c r="K108" s="679"/>
      <c r="L108" s="294">
        <f>SUM(G108:G112)</f>
        <v>1626.8400000000001</v>
      </c>
      <c r="M108" s="227">
        <v>1626.84</v>
      </c>
      <c r="N108" s="264"/>
      <c r="O108" s="229"/>
      <c r="P108" s="265"/>
      <c r="Q108" s="229"/>
      <c r="R108" s="242"/>
      <c r="S108" s="266"/>
      <c r="T108" s="266"/>
    </row>
    <row r="109" spans="1:20" ht="15.75">
      <c r="A109" s="896"/>
      <c r="B109" s="885"/>
      <c r="C109" s="292" t="s">
        <v>264</v>
      </c>
      <c r="D109" s="269">
        <f>янв19!D105</f>
        <v>0.34499999999999997</v>
      </c>
      <c r="E109" s="38">
        <f>41.244-40.5566</f>
        <v>0.68739999999999668</v>
      </c>
      <c r="F109" s="38">
        <f>48.336-47.5304</f>
        <v>0.80559999999999832</v>
      </c>
      <c r="G109" s="235">
        <f>ROUND(D109*(E109+F109),2)</f>
        <v>0.52</v>
      </c>
      <c r="H109" s="225"/>
      <c r="I109" s="41"/>
      <c r="J109" s="194"/>
      <c r="K109" s="295"/>
      <c r="L109" s="294"/>
      <c r="M109" s="227"/>
      <c r="N109" s="264"/>
      <c r="O109" s="229"/>
      <c r="P109" s="265"/>
      <c r="Q109" s="229"/>
      <c r="R109" s="242"/>
      <c r="S109" s="266"/>
      <c r="T109" s="266"/>
    </row>
    <row r="110" spans="1:20">
      <c r="A110" s="896"/>
      <c r="B110" s="885"/>
      <c r="C110" s="48" t="s">
        <v>260</v>
      </c>
      <c r="D110" s="296">
        <f>янв19!D108+янв19!D109</f>
        <v>156.76</v>
      </c>
      <c r="E110" s="41">
        <f>7.2025-6.7838</f>
        <v>0.41869999999999941</v>
      </c>
      <c r="F110" s="41">
        <f t="shared" ref="F110:F135" si="20">+E110</f>
        <v>0.41869999999999941</v>
      </c>
      <c r="G110" s="235">
        <f>ROUND(D110*E110,2)-0.01</f>
        <v>65.63</v>
      </c>
      <c r="H110" s="270"/>
      <c r="I110" s="41"/>
      <c r="J110" s="41"/>
      <c r="K110" s="271"/>
      <c r="L110" s="272"/>
      <c r="M110" s="273"/>
      <c r="N110" s="274"/>
      <c r="O110" s="237"/>
      <c r="P110" s="275"/>
      <c r="Q110" s="237"/>
      <c r="R110" s="242"/>
      <c r="S110" s="266"/>
      <c r="T110" s="266"/>
    </row>
    <row r="111" spans="1:20" ht="15.75">
      <c r="A111" s="896"/>
      <c r="B111" s="885"/>
      <c r="C111" s="48" t="s">
        <v>263</v>
      </c>
      <c r="D111" s="269">
        <v>2.2200000000000002</v>
      </c>
      <c r="E111" s="41">
        <v>7.2024999999999997</v>
      </c>
      <c r="F111" s="41">
        <f t="shared" si="20"/>
        <v>7.2024999999999997</v>
      </c>
      <c r="G111" s="235">
        <f t="shared" ref="G111:G112" si="21">ROUND(D111*E111,2)</f>
        <v>15.99</v>
      </c>
      <c r="H111" s="270"/>
      <c r="I111" s="41"/>
      <c r="J111" s="41"/>
      <c r="K111" s="271"/>
      <c r="L111" s="272"/>
      <c r="M111" s="273"/>
      <c r="N111" s="274"/>
      <c r="O111" s="237"/>
      <c r="P111" s="275"/>
      <c r="Q111" s="237"/>
      <c r="R111" s="242"/>
      <c r="S111" s="266"/>
      <c r="T111" s="266"/>
    </row>
    <row r="112" spans="1:20" ht="16.5" thickBot="1">
      <c r="A112" s="891"/>
      <c r="B112" s="887"/>
      <c r="C112" s="54" t="s">
        <v>29</v>
      </c>
      <c r="D112" s="279">
        <v>207.9</v>
      </c>
      <c r="E112" s="56">
        <v>7.2024999999999997</v>
      </c>
      <c r="F112" s="57">
        <f t="shared" si="20"/>
        <v>7.2024999999999997</v>
      </c>
      <c r="G112" s="247">
        <f t="shared" si="21"/>
        <v>1497.4</v>
      </c>
      <c r="H112" s="280"/>
      <c r="I112" s="281"/>
      <c r="J112" s="281"/>
      <c r="K112" s="282"/>
      <c r="L112" s="204"/>
      <c r="M112" s="250"/>
      <c r="N112" s="283"/>
      <c r="O112" s="252"/>
      <c r="P112" s="284"/>
      <c r="Q112" s="252"/>
      <c r="R112" s="242"/>
      <c r="S112" s="266"/>
      <c r="T112" s="266"/>
    </row>
    <row r="113" spans="1:20" ht="15" customHeight="1">
      <c r="A113" s="892">
        <v>413</v>
      </c>
      <c r="B113" s="883" t="s">
        <v>56</v>
      </c>
      <c r="C113" s="439" t="s">
        <v>260</v>
      </c>
      <c r="D113" s="894">
        <f>янв19!D111+янв19!D112</f>
        <v>219.73000000000002</v>
      </c>
      <c r="E113" s="41">
        <f>7.2025-6.7838</f>
        <v>0.41869999999999941</v>
      </c>
      <c r="F113" s="41">
        <f t="shared" si="20"/>
        <v>0.41869999999999941</v>
      </c>
      <c r="G113" s="214">
        <f>ROUND(D113*E113,2)</f>
        <v>92</v>
      </c>
      <c r="H113" s="260"/>
      <c r="I113" s="261"/>
      <c r="J113" s="261"/>
      <c r="K113" s="262"/>
      <c r="L113" s="286">
        <f>SUM(G113:G115)</f>
        <v>2264.9299999999998</v>
      </c>
      <c r="M113" s="227">
        <v>2264.9299999999998</v>
      </c>
      <c r="N113" s="264"/>
      <c r="O113" s="229"/>
      <c r="P113" s="265"/>
      <c r="Q113" s="229"/>
      <c r="R113" s="287"/>
      <c r="S113" s="288"/>
      <c r="T113" s="288"/>
    </row>
    <row r="114" spans="1:20" ht="15.75">
      <c r="A114" s="893"/>
      <c r="B114" s="885"/>
      <c r="C114" s="48" t="s">
        <v>263</v>
      </c>
      <c r="D114" s="895">
        <v>3.19</v>
      </c>
      <c r="E114" s="41">
        <v>7.2024999999999997</v>
      </c>
      <c r="F114" s="41">
        <f t="shared" si="20"/>
        <v>7.2024999999999997</v>
      </c>
      <c r="G114" s="235">
        <f t="shared" ref="G114:G118" si="22">ROUND(D114*E114,2)</f>
        <v>22.98</v>
      </c>
      <c r="H114" s="270"/>
      <c r="I114" s="41"/>
      <c r="J114" s="41"/>
      <c r="K114" s="271"/>
      <c r="L114" s="272"/>
      <c r="M114" s="273"/>
      <c r="N114" s="274"/>
      <c r="O114" s="237"/>
      <c r="P114" s="275"/>
      <c r="Q114" s="237"/>
      <c r="R114" s="287"/>
      <c r="S114" s="288"/>
      <c r="T114" s="288"/>
    </row>
    <row r="115" spans="1:20" ht="16.5" thickBot="1">
      <c r="A115" s="891"/>
      <c r="B115" s="887"/>
      <c r="C115" s="54" t="s">
        <v>29</v>
      </c>
      <c r="D115" s="279">
        <v>298.5</v>
      </c>
      <c r="E115" s="56">
        <v>7.2024999999999997</v>
      </c>
      <c r="F115" s="57">
        <f t="shared" si="20"/>
        <v>7.2024999999999997</v>
      </c>
      <c r="G115" s="247">
        <f t="shared" si="22"/>
        <v>2149.9499999999998</v>
      </c>
      <c r="H115" s="280"/>
      <c r="I115" s="281"/>
      <c r="J115" s="281"/>
      <c r="K115" s="682"/>
      <c r="L115" s="204"/>
      <c r="M115" s="250"/>
      <c r="N115" s="283"/>
      <c r="O115" s="252"/>
      <c r="P115" s="284"/>
      <c r="Q115" s="252"/>
      <c r="R115" s="287"/>
      <c r="S115" s="288"/>
      <c r="T115" s="288"/>
    </row>
    <row r="116" spans="1:20">
      <c r="A116" s="892">
        <v>414</v>
      </c>
      <c r="B116" s="183" t="s">
        <v>179</v>
      </c>
      <c r="C116" s="439" t="s">
        <v>260</v>
      </c>
      <c r="D116" s="296">
        <f>янв19!D114+янв19!D115</f>
        <v>30.729999999999997</v>
      </c>
      <c r="E116" s="41">
        <f>7.2025-6.7838</f>
        <v>0.41869999999999941</v>
      </c>
      <c r="F116" s="41">
        <f t="shared" si="20"/>
        <v>0.41869999999999941</v>
      </c>
      <c r="G116" s="235">
        <f>ROUND(D116*E116,2)</f>
        <v>12.87</v>
      </c>
      <c r="H116" s="270"/>
      <c r="I116" s="41"/>
      <c r="J116" s="41"/>
      <c r="K116" s="271"/>
      <c r="L116" s="294">
        <f>SUM(G116:G118)</f>
        <v>418.37</v>
      </c>
      <c r="M116" s="227">
        <v>418.37</v>
      </c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192"/>
      <c r="C117" s="48" t="s">
        <v>263</v>
      </c>
      <c r="D117" s="269">
        <v>0.6</v>
      </c>
      <c r="E117" s="41">
        <v>7.2024999999999997</v>
      </c>
      <c r="F117" s="41">
        <f t="shared" si="20"/>
        <v>7.2024999999999997</v>
      </c>
      <c r="G117" s="235">
        <f t="shared" si="22"/>
        <v>4.32</v>
      </c>
      <c r="H117" s="270"/>
      <c r="I117" s="41"/>
      <c r="J117" s="41"/>
      <c r="K117" s="271"/>
      <c r="L117" s="272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99" t="s">
        <v>29</v>
      </c>
      <c r="D118" s="279">
        <v>55.7</v>
      </c>
      <c r="E118" s="56">
        <v>7.2024999999999997</v>
      </c>
      <c r="F118" s="57">
        <f t="shared" si="20"/>
        <v>7.2024999999999997</v>
      </c>
      <c r="G118" s="247">
        <f t="shared" si="22"/>
        <v>401.18</v>
      </c>
      <c r="H118" s="280"/>
      <c r="I118" s="281"/>
      <c r="J118" s="281"/>
      <c r="K118" s="282"/>
      <c r="L118" s="204"/>
      <c r="M118" s="250"/>
      <c r="N118" s="283"/>
      <c r="O118" s="252"/>
      <c r="P118" s="284"/>
      <c r="Q118" s="252"/>
      <c r="R118" s="242"/>
      <c r="S118" s="266"/>
      <c r="T118" s="266"/>
    </row>
    <row r="119" spans="1:20" collapsed="1">
      <c r="A119" s="892">
        <v>415</v>
      </c>
      <c r="B119" s="183" t="s">
        <v>166</v>
      </c>
      <c r="C119" s="439" t="s">
        <v>260</v>
      </c>
      <c r="D119" s="296">
        <f>янв19!D117+янв19!D118</f>
        <v>186.88</v>
      </c>
      <c r="E119" s="41">
        <f>7.2025-6.7838</f>
        <v>0.41869999999999941</v>
      </c>
      <c r="F119" s="41">
        <f t="shared" si="20"/>
        <v>0.41869999999999941</v>
      </c>
      <c r="G119" s="235">
        <f>ROUND(D119*E119,2)</f>
        <v>78.25</v>
      </c>
      <c r="H119" s="270"/>
      <c r="I119" s="41"/>
      <c r="J119" s="41"/>
      <c r="K119" s="271"/>
      <c r="L119" s="294">
        <f>SUM(G119:G121)</f>
        <v>1651.3500000000001</v>
      </c>
      <c r="M119" s="227">
        <v>1651.35</v>
      </c>
      <c r="N119" s="274"/>
      <c r="O119" s="237"/>
      <c r="P119" s="275"/>
      <c r="Q119" s="237"/>
      <c r="R119" s="242"/>
      <c r="S119" s="266"/>
      <c r="T119" s="266"/>
    </row>
    <row r="120" spans="1:20" ht="15.75">
      <c r="A120" s="896"/>
      <c r="B120" s="192"/>
      <c r="C120" s="48" t="s">
        <v>263</v>
      </c>
      <c r="D120" s="269">
        <v>2.31</v>
      </c>
      <c r="E120" s="41">
        <v>7.2024999999999997</v>
      </c>
      <c r="F120" s="41">
        <f t="shared" si="20"/>
        <v>7.2024999999999997</v>
      </c>
      <c r="G120" s="235">
        <f t="shared" ref="G120:G121" si="23">ROUND(D120*E120,2)</f>
        <v>16.64</v>
      </c>
      <c r="H120" s="270"/>
      <c r="I120" s="41"/>
      <c r="J120" s="41"/>
      <c r="K120" s="271"/>
      <c r="L120" s="272"/>
      <c r="M120" s="273"/>
      <c r="N120" s="274"/>
      <c r="O120" s="237"/>
      <c r="P120" s="275"/>
      <c r="Q120" s="237"/>
      <c r="R120" s="242"/>
      <c r="S120" s="266"/>
      <c r="T120" s="266"/>
    </row>
    <row r="121" spans="1:20" ht="16.5" thickBot="1">
      <c r="A121" s="891"/>
      <c r="B121" s="887"/>
      <c r="C121" s="54" t="s">
        <v>29</v>
      </c>
      <c r="D121" s="279">
        <v>216.1</v>
      </c>
      <c r="E121" s="56">
        <v>7.2024999999999997</v>
      </c>
      <c r="F121" s="57">
        <f t="shared" si="20"/>
        <v>7.2024999999999997</v>
      </c>
      <c r="G121" s="247">
        <f t="shared" si="23"/>
        <v>1556.46</v>
      </c>
      <c r="H121" s="280"/>
      <c r="I121" s="281"/>
      <c r="J121" s="281"/>
      <c r="K121" s="282"/>
      <c r="L121" s="204"/>
      <c r="M121" s="250"/>
      <c r="N121" s="283"/>
      <c r="O121" s="252"/>
      <c r="P121" s="284"/>
      <c r="Q121" s="252"/>
      <c r="R121" s="242"/>
      <c r="S121" s="266"/>
      <c r="T121" s="266"/>
    </row>
    <row r="122" spans="1:20" ht="15.75" hidden="1" thickBot="1">
      <c r="A122" s="892">
        <v>416</v>
      </c>
      <c r="B122" s="183" t="s">
        <v>173</v>
      </c>
      <c r="C122" s="439" t="s">
        <v>260</v>
      </c>
      <c r="D122" s="296"/>
      <c r="E122" s="41">
        <f>6.7023-6.509</f>
        <v>0.19329999999999981</v>
      </c>
      <c r="F122" s="41">
        <f t="shared" si="20"/>
        <v>0.19329999999999981</v>
      </c>
      <c r="G122" s="235">
        <f>ROUND(D122*E122,2)+0.01</f>
        <v>0.01</v>
      </c>
      <c r="H122" s="270"/>
      <c r="I122" s="41"/>
      <c r="J122" s="41"/>
      <c r="K122" s="271"/>
      <c r="L122" s="294">
        <f>SUM(G122:G124)</f>
        <v>0.01</v>
      </c>
      <c r="M122" s="227"/>
      <c r="N122" s="274"/>
      <c r="O122" s="237"/>
      <c r="P122" s="275"/>
      <c r="Q122" s="237"/>
      <c r="R122" s="242"/>
      <c r="S122" s="266"/>
      <c r="T122" s="266"/>
    </row>
    <row r="123" spans="1:20" ht="16.5" hidden="1" thickBot="1">
      <c r="A123" s="896"/>
      <c r="B123" s="192"/>
      <c r="C123" s="48" t="s">
        <v>263</v>
      </c>
      <c r="D123" s="269"/>
      <c r="E123" s="41">
        <v>6.7023000000000001</v>
      </c>
      <c r="F123" s="41">
        <f t="shared" si="20"/>
        <v>6.7023000000000001</v>
      </c>
      <c r="G123" s="235">
        <f>ROUND(D123*E123,2)</f>
        <v>0</v>
      </c>
      <c r="H123" s="270"/>
      <c r="I123" s="41"/>
      <c r="J123" s="41"/>
      <c r="K123" s="271"/>
      <c r="L123" s="272"/>
      <c r="M123" s="273"/>
      <c r="N123" s="274"/>
      <c r="O123" s="237"/>
      <c r="P123" s="275"/>
      <c r="Q123" s="237"/>
      <c r="R123" s="242"/>
      <c r="S123" s="266"/>
      <c r="T123" s="266"/>
    </row>
    <row r="124" spans="1:20" ht="16.5" hidden="1" thickBot="1">
      <c r="A124" s="891"/>
      <c r="B124" s="887"/>
      <c r="C124" s="54" t="s">
        <v>29</v>
      </c>
      <c r="D124" s="279"/>
      <c r="E124" s="56">
        <v>6.7023000000000001</v>
      </c>
      <c r="F124" s="57">
        <f t="shared" si="20"/>
        <v>6.7023000000000001</v>
      </c>
      <c r="G124" s="247">
        <f>ROUND(D124*E124,2)</f>
        <v>0</v>
      </c>
      <c r="H124" s="280"/>
      <c r="I124" s="281"/>
      <c r="J124" s="281"/>
      <c r="K124" s="282"/>
      <c r="L124" s="204"/>
      <c r="M124" s="250"/>
      <c r="N124" s="283"/>
      <c r="O124" s="252"/>
      <c r="P124" s="284"/>
      <c r="Q124" s="252"/>
      <c r="R124" s="242"/>
      <c r="S124" s="266"/>
      <c r="T124" s="266"/>
    </row>
    <row r="125" spans="1:20">
      <c r="A125" s="892">
        <v>416</v>
      </c>
      <c r="B125" s="183" t="s">
        <v>295</v>
      </c>
      <c r="C125" s="439" t="s">
        <v>260</v>
      </c>
      <c r="D125" s="296">
        <f>янв19!D123+янв19!D124</f>
        <v>76</v>
      </c>
      <c r="E125" s="41">
        <f>7.2025-6.7838</f>
        <v>0.41869999999999941</v>
      </c>
      <c r="F125" s="41">
        <f t="shared" si="20"/>
        <v>0.41869999999999941</v>
      </c>
      <c r="G125" s="235">
        <f>ROUND(D125*E125,2)</f>
        <v>31.82</v>
      </c>
      <c r="H125" s="270"/>
      <c r="I125" s="41"/>
      <c r="J125" s="41"/>
      <c r="K125" s="271"/>
      <c r="L125" s="294">
        <f>SUM(G125:G127)</f>
        <v>778</v>
      </c>
      <c r="M125" s="227">
        <v>778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1.1000000000000001</v>
      </c>
      <c r="E126" s="41">
        <v>7.2024999999999997</v>
      </c>
      <c r="F126" s="41">
        <f t="shared" si="20"/>
        <v>7.2024999999999997</v>
      </c>
      <c r="G126" s="235">
        <f t="shared" ref="G126:G127" si="24">ROUND(D126*E126,2)</f>
        <v>7.92</v>
      </c>
      <c r="H126" s="270"/>
      <c r="I126" s="41"/>
      <c r="J126" s="41"/>
      <c r="K126" s="271"/>
      <c r="L126" s="272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202"/>
      <c r="C127" s="54" t="s">
        <v>29</v>
      </c>
      <c r="D127" s="279">
        <v>102.5</v>
      </c>
      <c r="E127" s="56">
        <v>7.2024999999999997</v>
      </c>
      <c r="F127" s="57">
        <f t="shared" si="20"/>
        <v>7.2024999999999997</v>
      </c>
      <c r="G127" s="247">
        <f t="shared" si="24"/>
        <v>738.26</v>
      </c>
      <c r="H127" s="280"/>
      <c r="I127" s="281"/>
      <c r="J127" s="281"/>
      <c r="K127" s="282"/>
      <c r="L127" s="204"/>
      <c r="M127" s="250"/>
      <c r="N127" s="283"/>
      <c r="O127" s="252"/>
      <c r="P127" s="284"/>
      <c r="Q127" s="252"/>
      <c r="R127" s="242"/>
      <c r="S127" s="266"/>
      <c r="T127" s="266"/>
    </row>
    <row r="128" spans="1:20">
      <c r="A128" s="892">
        <v>417</v>
      </c>
      <c r="B128" s="183" t="s">
        <v>174</v>
      </c>
      <c r="C128" s="439" t="s">
        <v>260</v>
      </c>
      <c r="D128" s="296">
        <f>янв19!D126+янв19!D127</f>
        <v>145.44</v>
      </c>
      <c r="E128" s="41">
        <f>7.2025-6.7838</f>
        <v>0.41869999999999941</v>
      </c>
      <c r="F128" s="41">
        <f t="shared" si="20"/>
        <v>0.41869999999999941</v>
      </c>
      <c r="G128" s="235">
        <f>ROUND(D128*E128,2)</f>
        <v>60.9</v>
      </c>
      <c r="H128" s="270"/>
      <c r="I128" s="41"/>
      <c r="J128" s="41"/>
      <c r="K128" s="271"/>
      <c r="L128" s="294">
        <f>SUM(G128:G130)</f>
        <v>1611.45</v>
      </c>
      <c r="M128" s="227">
        <v>1611.45</v>
      </c>
      <c r="N128" s="274"/>
      <c r="O128" s="237"/>
      <c r="P128" s="275"/>
      <c r="Q128" s="237"/>
      <c r="R128" s="242"/>
      <c r="S128" s="266"/>
      <c r="T128" s="266"/>
    </row>
    <row r="129" spans="1:20" ht="15.75">
      <c r="A129" s="896"/>
      <c r="B129" s="192"/>
      <c r="C129" s="48" t="s">
        <v>263</v>
      </c>
      <c r="D129" s="269">
        <v>2.2799999999999998</v>
      </c>
      <c r="E129" s="41">
        <v>7.2024999999999997</v>
      </c>
      <c r="F129" s="41">
        <f t="shared" si="20"/>
        <v>7.2024999999999997</v>
      </c>
      <c r="G129" s="235">
        <f t="shared" ref="G129:G130" si="25">ROUND(D129*E129,2)</f>
        <v>16.420000000000002</v>
      </c>
      <c r="H129" s="270"/>
      <c r="I129" s="41"/>
      <c r="J129" s="41"/>
      <c r="K129" s="271"/>
      <c r="L129" s="272"/>
      <c r="M129" s="273"/>
      <c r="N129" s="274"/>
      <c r="O129" s="237"/>
      <c r="P129" s="275"/>
      <c r="Q129" s="237"/>
      <c r="R129" s="242"/>
      <c r="S129" s="266"/>
      <c r="T129" s="266"/>
    </row>
    <row r="130" spans="1:20" ht="16.5" thickBot="1">
      <c r="A130" s="891"/>
      <c r="B130" s="202"/>
      <c r="C130" s="54" t="s">
        <v>29</v>
      </c>
      <c r="D130" s="279">
        <v>213</v>
      </c>
      <c r="E130" s="56">
        <v>7.2024999999999997</v>
      </c>
      <c r="F130" s="57">
        <f t="shared" si="20"/>
        <v>7.2024999999999997</v>
      </c>
      <c r="G130" s="247">
        <f t="shared" si="25"/>
        <v>1534.13</v>
      </c>
      <c r="H130" s="280"/>
      <c r="I130" s="281"/>
      <c r="J130" s="281"/>
      <c r="K130" s="282"/>
      <c r="L130" s="204"/>
      <c r="M130" s="250"/>
      <c r="N130" s="283"/>
      <c r="O130" s="252"/>
      <c r="P130" s="284"/>
      <c r="Q130" s="252"/>
      <c r="R130" s="242"/>
      <c r="S130" s="266"/>
      <c r="T130" s="266"/>
    </row>
    <row r="131" spans="1:20" ht="15.75" thickBot="1">
      <c r="A131" s="892">
        <v>420</v>
      </c>
      <c r="B131" s="183" t="s">
        <v>306</v>
      </c>
      <c r="C131" s="439" t="s">
        <v>243</v>
      </c>
      <c r="D131" s="1008">
        <v>0.18</v>
      </c>
      <c r="E131" s="23">
        <v>41.244</v>
      </c>
      <c r="F131" s="23">
        <v>48.335999999999999</v>
      </c>
      <c r="G131" s="214">
        <f>ROUND(D131*(E131+F131),2)</f>
        <v>16.12</v>
      </c>
      <c r="H131" s="1001"/>
      <c r="I131" s="23"/>
      <c r="J131" s="23"/>
      <c r="K131" s="304"/>
      <c r="L131" s="343">
        <f>SUM(G131:G135)+J131:J135</f>
        <v>1645.39</v>
      </c>
      <c r="M131" s="187">
        <v>1645.39</v>
      </c>
      <c r="N131" s="274"/>
      <c r="O131" s="237"/>
      <c r="P131" s="275"/>
      <c r="Q131" s="237"/>
      <c r="R131" s="242"/>
      <c r="S131" s="266"/>
      <c r="T131" s="266"/>
    </row>
    <row r="132" spans="1:20" ht="15.75" thickBot="1">
      <c r="A132" s="892"/>
      <c r="B132" s="183"/>
      <c r="C132" s="48" t="s">
        <v>260</v>
      </c>
      <c r="D132" s="1009">
        <f>янв19!D128</f>
        <v>0.54100000000000004</v>
      </c>
      <c r="E132" s="41">
        <f>41.244-40.5566</f>
        <v>0.68739999999999668</v>
      </c>
      <c r="F132" s="41">
        <f>48.336-47.5304</f>
        <v>0.80559999999999832</v>
      </c>
      <c r="G132" s="235">
        <f>ROUND(D132*(E132+F132),2)</f>
        <v>0.81</v>
      </c>
      <c r="H132" s="1002"/>
      <c r="I132" s="281"/>
      <c r="J132" s="281"/>
      <c r="K132" s="282"/>
      <c r="L132" s="988"/>
      <c r="M132" s="989"/>
      <c r="N132" s="274"/>
      <c r="O132" s="237"/>
      <c r="P132" s="275"/>
      <c r="Q132" s="237"/>
      <c r="R132" s="242"/>
      <c r="S132" s="266"/>
      <c r="T132" s="266"/>
    </row>
    <row r="133" spans="1:20">
      <c r="A133" s="896"/>
      <c r="B133" s="192"/>
      <c r="C133" s="439" t="s">
        <v>260</v>
      </c>
      <c r="D133" s="296">
        <f>янв19!D131+янв19!D132</f>
        <v>189.51</v>
      </c>
      <c r="E133" s="41">
        <f>7.2025-6.7838</f>
        <v>0.41869999999999941</v>
      </c>
      <c r="F133" s="41">
        <f t="shared" si="20"/>
        <v>0.41869999999999941</v>
      </c>
      <c r="G133" s="235">
        <f>ROUND(D133*E133,2)</f>
        <v>79.349999999999994</v>
      </c>
      <c r="H133" s="270"/>
      <c r="I133" s="41"/>
      <c r="J133" s="41"/>
      <c r="K133" s="271"/>
      <c r="L133" s="294"/>
      <c r="M133" s="227"/>
      <c r="N133" s="274"/>
      <c r="O133" s="237"/>
      <c r="P133" s="275"/>
      <c r="Q133" s="237"/>
      <c r="R133" s="242"/>
      <c r="S133" s="266"/>
      <c r="T133" s="266"/>
    </row>
    <row r="134" spans="1:20" ht="15.75">
      <c r="A134" s="896"/>
      <c r="B134" s="192"/>
      <c r="C134" s="48" t="s">
        <v>263</v>
      </c>
      <c r="D134" s="269">
        <v>2.2799999999999998</v>
      </c>
      <c r="E134" s="41">
        <v>7.2024999999999997</v>
      </c>
      <c r="F134" s="41">
        <f t="shared" si="20"/>
        <v>7.2024999999999997</v>
      </c>
      <c r="G134" s="235">
        <f>ROUND(D134*E134,2)</f>
        <v>16.420000000000002</v>
      </c>
      <c r="H134" s="270"/>
      <c r="I134" s="41"/>
      <c r="J134" s="41"/>
      <c r="K134" s="271"/>
      <c r="L134" s="272"/>
      <c r="M134" s="273"/>
      <c r="N134" s="274"/>
      <c r="O134" s="237"/>
      <c r="P134" s="275"/>
      <c r="Q134" s="237"/>
      <c r="R134" s="242"/>
      <c r="S134" s="266"/>
      <c r="T134" s="266"/>
    </row>
    <row r="135" spans="1:20" ht="16.5" thickBot="1">
      <c r="A135" s="891"/>
      <c r="B135" s="202"/>
      <c r="C135" s="54" t="s">
        <v>29</v>
      </c>
      <c r="D135" s="279">
        <v>212.8</v>
      </c>
      <c r="E135" s="56">
        <v>7.2024999999999997</v>
      </c>
      <c r="F135" s="57">
        <f t="shared" si="20"/>
        <v>7.2024999999999997</v>
      </c>
      <c r="G135" s="247">
        <f t="shared" ref="G135" si="26">ROUND(D135*E135,2)</f>
        <v>1532.69</v>
      </c>
      <c r="H135" s="280"/>
      <c r="I135" s="281"/>
      <c r="J135" s="281"/>
      <c r="K135" s="282"/>
      <c r="L135" s="204"/>
      <c r="M135" s="250"/>
      <c r="N135" s="283"/>
      <c r="O135" s="252"/>
      <c r="P135" s="284"/>
      <c r="Q135" s="252"/>
      <c r="R135" s="242"/>
      <c r="S135" s="266"/>
      <c r="T135" s="266"/>
    </row>
    <row r="136" spans="1:20" ht="15.75">
      <c r="A136" s="892">
        <v>500</v>
      </c>
      <c r="B136" s="883" t="s">
        <v>55</v>
      </c>
      <c r="C136" s="439" t="s">
        <v>260</v>
      </c>
      <c r="D136" s="259">
        <f>янв19!D134+янв19!D135</f>
        <v>1861.52</v>
      </c>
      <c r="E136" s="41">
        <f>7.2025-6.7838</f>
        <v>0.41869999999999941</v>
      </c>
      <c r="F136" s="41">
        <f t="shared" si="15"/>
        <v>0.41869999999999941</v>
      </c>
      <c r="G136" s="214">
        <f>ROUND(D136*E136,2)</f>
        <v>779.42</v>
      </c>
      <c r="H136" s="260"/>
      <c r="I136" s="261"/>
      <c r="J136" s="261"/>
      <c r="K136" s="262"/>
      <c r="L136" s="263">
        <f>SUM(G136:G138)</f>
        <v>18679.87</v>
      </c>
      <c r="M136" s="187">
        <v>18679.87</v>
      </c>
      <c r="N136" s="264"/>
      <c r="O136" s="229"/>
      <c r="P136" s="265"/>
      <c r="Q136" s="229"/>
      <c r="R136" s="242"/>
      <c r="S136" s="266"/>
      <c r="T136" s="266"/>
    </row>
    <row r="137" spans="1:20" ht="15.75">
      <c r="A137" s="893" t="s">
        <v>197</v>
      </c>
      <c r="B137" s="885"/>
      <c r="C137" s="48" t="s">
        <v>263</v>
      </c>
      <c r="D137" s="269">
        <v>26.31</v>
      </c>
      <c r="E137" s="41">
        <v>7.2024999999999997</v>
      </c>
      <c r="F137" s="41">
        <f t="shared" si="15"/>
        <v>7.2024999999999997</v>
      </c>
      <c r="G137" s="235">
        <f>ROUND(D137*E137,2)</f>
        <v>189.5</v>
      </c>
      <c r="H137" s="270"/>
      <c r="I137" s="41"/>
      <c r="J137" s="41"/>
      <c r="K137" s="271"/>
      <c r="L137" s="272"/>
      <c r="M137" s="273"/>
      <c r="N137" s="274"/>
      <c r="O137" s="237"/>
      <c r="P137" s="275"/>
      <c r="Q137" s="237"/>
      <c r="R137" s="242"/>
      <c r="S137" s="266"/>
      <c r="T137" s="266"/>
    </row>
    <row r="138" spans="1:20" ht="16.5" thickBot="1">
      <c r="A138" s="891"/>
      <c r="B138" s="887"/>
      <c r="C138" s="54" t="s">
        <v>29</v>
      </c>
      <c r="D138" s="279">
        <v>2459</v>
      </c>
      <c r="E138" s="56">
        <v>7.2024999999999997</v>
      </c>
      <c r="F138" s="57">
        <f t="shared" si="15"/>
        <v>7.2024999999999997</v>
      </c>
      <c r="G138" s="247">
        <f t="shared" ref="G138" si="27">ROUND(D138*E138,2)</f>
        <v>17710.95</v>
      </c>
      <c r="H138" s="280"/>
      <c r="I138" s="281"/>
      <c r="J138" s="281"/>
      <c r="K138" s="282"/>
      <c r="L138" s="204"/>
      <c r="M138" s="250"/>
      <c r="N138" s="283"/>
      <c r="O138" s="252"/>
      <c r="P138" s="284"/>
      <c r="Q138" s="252"/>
      <c r="R138" s="242"/>
      <c r="S138" s="266"/>
      <c r="T138" s="266"/>
    </row>
    <row r="139" spans="1:20" ht="16.5" hidden="1" outlineLevel="1" thickBot="1">
      <c r="A139" s="892"/>
      <c r="B139" s="883" t="s">
        <v>57</v>
      </c>
      <c r="C139" s="439"/>
      <c r="D139" s="259"/>
      <c r="E139" s="21">
        <v>36.214199999999998</v>
      </c>
      <c r="F139" s="21">
        <v>42.4328</v>
      </c>
      <c r="G139" s="214">
        <f>ROUND(D139*(E139+F139),2)</f>
        <v>0</v>
      </c>
      <c r="H139" s="213">
        <v>0</v>
      </c>
      <c r="I139">
        <v>22.478999999999999</v>
      </c>
      <c r="J139" s="215">
        <f t="shared" ref="J139" si="28">H139*I139</f>
        <v>0</v>
      </c>
      <c r="K139" s="679">
        <v>42705</v>
      </c>
      <c r="L139" s="294">
        <f>SUM(G139:G143)+J139+J141</f>
        <v>0</v>
      </c>
      <c r="M139" s="227"/>
      <c r="N139" s="264"/>
      <c r="O139" s="229"/>
      <c r="P139" s="265"/>
      <c r="Q139" s="229"/>
      <c r="R139" s="242"/>
      <c r="S139" s="266"/>
      <c r="T139" s="266"/>
    </row>
    <row r="140" spans="1:20" ht="16.5" hidden="1" outlineLevel="1" thickBot="1">
      <c r="A140" s="891"/>
      <c r="B140" s="887"/>
      <c r="C140" s="54"/>
      <c r="D140" s="269"/>
      <c r="E140" s="38">
        <f>32.332-28.8628</f>
        <v>3.4692000000000007</v>
      </c>
      <c r="F140" s="38">
        <f>37.8898-33.8306</f>
        <v>4.0592000000000041</v>
      </c>
      <c r="G140" s="235">
        <f>ROUND(D140*(E140+F140),2)</f>
        <v>0</v>
      </c>
      <c r="H140" s="225"/>
      <c r="J140" s="194"/>
      <c r="K140" s="683"/>
      <c r="L140" s="294"/>
      <c r="M140" s="227"/>
      <c r="N140" s="264"/>
      <c r="O140" s="229"/>
      <c r="P140" s="265"/>
      <c r="Q140" s="229"/>
      <c r="R140" s="242"/>
      <c r="S140" s="266"/>
      <c r="T140" s="266"/>
    </row>
    <row r="141" spans="1:20" ht="15.75" hidden="1" outlineLevel="1" thickBot="1">
      <c r="A141" s="892"/>
      <c r="B141" s="883"/>
      <c r="C141" s="439" t="s">
        <v>170</v>
      </c>
      <c r="D141" s="296"/>
      <c r="E141" s="41">
        <f>7.0207-6.6426</f>
        <v>0.37809999999999988</v>
      </c>
      <c r="F141" s="41">
        <f>+E141</f>
        <v>0.37809999999999988</v>
      </c>
      <c r="G141" s="235">
        <f>ROUND(D141*E141,2)</f>
        <v>0</v>
      </c>
      <c r="H141" s="270"/>
      <c r="I141" s="41"/>
      <c r="J141" s="41"/>
      <c r="K141" s="684"/>
      <c r="L141" s="272"/>
      <c r="M141" s="273"/>
      <c r="N141" s="274"/>
      <c r="O141" s="237"/>
      <c r="P141" s="275"/>
      <c r="Q141" s="237"/>
      <c r="R141" s="242"/>
      <c r="S141" s="266"/>
      <c r="T141" s="266"/>
    </row>
    <row r="142" spans="1:20" ht="16.5" hidden="1" outlineLevel="1" thickBot="1">
      <c r="A142" s="891"/>
      <c r="B142" s="887"/>
      <c r="C142" s="54" t="s">
        <v>171</v>
      </c>
      <c r="D142" s="269"/>
      <c r="E142" s="41">
        <v>7.0206999999999997</v>
      </c>
      <c r="F142" s="41">
        <f>+E142</f>
        <v>7.0206999999999997</v>
      </c>
      <c r="G142" s="235">
        <f>ROUND(D142*E142,2)</f>
        <v>0</v>
      </c>
      <c r="H142" s="270"/>
      <c r="I142" s="41"/>
      <c r="J142" s="41"/>
      <c r="K142" s="684"/>
      <c r="L142" s="272"/>
      <c r="M142" s="273"/>
      <c r="N142" s="274"/>
      <c r="O142" s="237"/>
      <c r="P142" s="275"/>
      <c r="Q142" s="237"/>
      <c r="R142" s="242"/>
      <c r="S142" s="266"/>
      <c r="T142" s="266"/>
    </row>
    <row r="143" spans="1:20" ht="16.5" hidden="1" outlineLevel="1" thickBot="1">
      <c r="A143" s="892"/>
      <c r="B143" s="883"/>
      <c r="C143" s="439" t="s">
        <v>29</v>
      </c>
      <c r="D143" s="279"/>
      <c r="E143" s="56">
        <v>7.0206999999999997</v>
      </c>
      <c r="F143" s="57">
        <f>+E143</f>
        <v>7.0206999999999997</v>
      </c>
      <c r="G143" s="247">
        <f>ROUND(D143*E143,2)</f>
        <v>0</v>
      </c>
      <c r="H143" s="280"/>
      <c r="I143" s="281"/>
      <c r="J143" s="281"/>
      <c r="K143" s="682"/>
      <c r="L143" s="204"/>
      <c r="M143" s="250"/>
      <c r="N143" s="283"/>
      <c r="O143" s="252"/>
      <c r="P143" s="284"/>
      <c r="Q143" s="252"/>
      <c r="R143" s="242"/>
      <c r="S143" s="266"/>
      <c r="T143" s="266"/>
    </row>
    <row r="144" spans="1:20" ht="15.75" hidden="1" outlineLevel="1" thickBot="1">
      <c r="A144" s="892"/>
      <c r="B144" s="183" t="s">
        <v>145</v>
      </c>
      <c r="C144" s="439" t="s">
        <v>170</v>
      </c>
      <c r="D144" s="296"/>
      <c r="E144" s="41">
        <f>7.0207-6.6426</f>
        <v>0.37809999999999988</v>
      </c>
      <c r="F144" s="41">
        <f t="shared" ref="F144:F146" si="29">+E144</f>
        <v>0.37809999999999988</v>
      </c>
      <c r="G144" s="235">
        <f>ROUND(D144*E144,2)</f>
        <v>0</v>
      </c>
      <c r="H144" s="270"/>
      <c r="I144" s="41"/>
      <c r="J144" s="41"/>
      <c r="K144" s="271"/>
      <c r="L144" s="294">
        <f>SUM(G144:G146)</f>
        <v>0</v>
      </c>
      <c r="M144" s="227"/>
      <c r="N144" s="274"/>
      <c r="O144" s="237"/>
      <c r="P144" s="275"/>
      <c r="Q144" s="237"/>
      <c r="R144" s="242"/>
      <c r="S144" s="266"/>
      <c r="T144" s="266"/>
    </row>
    <row r="145" spans="1:21" ht="16.5" hidden="1" outlineLevel="1" thickBot="1">
      <c r="A145" s="891"/>
      <c r="B145" s="887"/>
      <c r="C145" s="54" t="s">
        <v>171</v>
      </c>
      <c r="D145" s="269"/>
      <c r="E145" s="41">
        <v>7.0206999999999997</v>
      </c>
      <c r="F145" s="41">
        <f t="shared" si="29"/>
        <v>7.0206999999999997</v>
      </c>
      <c r="G145" s="235">
        <f t="shared" ref="G145:G146" si="30">ROUND(D145*E145,2)</f>
        <v>0</v>
      </c>
      <c r="H145" s="270"/>
      <c r="I145" s="41"/>
      <c r="J145" s="41"/>
      <c r="K145" s="271"/>
      <c r="L145" s="272"/>
      <c r="M145" s="273"/>
      <c r="N145" s="274"/>
      <c r="O145" s="237"/>
      <c r="P145" s="275"/>
      <c r="Q145" s="237"/>
      <c r="R145" s="242"/>
      <c r="S145" s="266"/>
      <c r="T145" s="266"/>
    </row>
    <row r="146" spans="1:21" ht="16.5" hidden="1" outlineLevel="1" thickBot="1">
      <c r="A146" s="892"/>
      <c r="B146" s="183"/>
      <c r="C146" s="439" t="s">
        <v>29</v>
      </c>
      <c r="D146" s="279"/>
      <c r="E146" s="56">
        <v>7.0206999999999997</v>
      </c>
      <c r="F146" s="57">
        <f t="shared" si="29"/>
        <v>7.0206999999999997</v>
      </c>
      <c r="G146" s="247">
        <f t="shared" si="30"/>
        <v>0</v>
      </c>
      <c r="H146" s="280"/>
      <c r="I146" s="281"/>
      <c r="J146" s="281"/>
      <c r="K146" s="282"/>
      <c r="L146" s="204"/>
      <c r="M146" s="250"/>
      <c r="N146" s="283"/>
      <c r="O146" s="252"/>
      <c r="P146" s="284"/>
      <c r="Q146" s="252"/>
      <c r="R146" s="242"/>
      <c r="S146" s="266"/>
      <c r="T146" s="266"/>
    </row>
    <row r="147" spans="1:21" ht="16.5" collapsed="1" thickTop="1">
      <c r="A147" s="898"/>
      <c r="B147" s="321"/>
      <c r="C147" s="322"/>
      <c r="D147" s="323"/>
      <c r="E147" s="163"/>
      <c r="F147" s="324"/>
      <c r="G147" s="325"/>
      <c r="H147" s="163"/>
      <c r="I147" s="163"/>
      <c r="J147" s="163"/>
      <c r="K147" s="163"/>
      <c r="L147" s="163"/>
      <c r="M147" s="326"/>
      <c r="N147" s="327"/>
      <c r="O147" s="328"/>
      <c r="P147" s="329"/>
      <c r="Q147" s="328"/>
      <c r="R147" s="330"/>
      <c r="S147" s="331"/>
      <c r="T147" s="266"/>
    </row>
    <row r="148" spans="1:21" ht="21.75" thickBot="1">
      <c r="A148" s="171" t="s">
        <v>60</v>
      </c>
      <c r="B148" s="2"/>
      <c r="C148" s="3"/>
      <c r="D148" s="2"/>
      <c r="E148" s="2"/>
      <c r="F148" s="2"/>
      <c r="G148" s="332"/>
      <c r="H148" s="332"/>
      <c r="I148" s="332"/>
      <c r="J148" s="2"/>
      <c r="K148" s="2"/>
      <c r="L148" s="2"/>
      <c r="M148" s="3"/>
      <c r="N148" s="2"/>
      <c r="O148" s="2"/>
      <c r="P148" s="2"/>
      <c r="Q148" s="2"/>
      <c r="R148" s="2"/>
      <c r="S148" s="2"/>
    </row>
    <row r="149" spans="1:21" ht="15" customHeight="1" thickTop="1">
      <c r="A149" s="1553" t="s">
        <v>1</v>
      </c>
      <c r="B149" s="1516" t="s">
        <v>2</v>
      </c>
      <c r="C149" s="1518" t="s">
        <v>3</v>
      </c>
      <c r="D149" s="1532" t="s">
        <v>4</v>
      </c>
      <c r="E149" s="1532"/>
      <c r="F149" s="1532"/>
      <c r="G149" s="1532"/>
      <c r="H149" s="1533" t="s">
        <v>5</v>
      </c>
      <c r="I149" s="1534"/>
      <c r="J149" s="1534"/>
      <c r="K149" s="1534"/>
      <c r="L149" s="1524" t="s">
        <v>6</v>
      </c>
      <c r="M149" s="1537" t="s">
        <v>7</v>
      </c>
      <c r="N149" s="1538" t="s">
        <v>8</v>
      </c>
      <c r="O149" s="1538"/>
      <c r="P149" s="1538"/>
      <c r="Q149" s="1539"/>
      <c r="R149" s="5"/>
      <c r="S149" s="5"/>
      <c r="T149" s="5" t="s">
        <v>61</v>
      </c>
      <c r="U149" t="s">
        <v>21</v>
      </c>
    </row>
    <row r="150" spans="1:21" ht="27" customHeight="1" thickBot="1">
      <c r="A150" s="1531"/>
      <c r="B150" s="1517"/>
      <c r="C150" s="1519" t="s">
        <v>10</v>
      </c>
      <c r="D150" s="333" t="s">
        <v>11</v>
      </c>
      <c r="E150" s="7" t="s">
        <v>12</v>
      </c>
      <c r="F150" s="7" t="s">
        <v>13</v>
      </c>
      <c r="G150" s="334" t="s">
        <v>14</v>
      </c>
      <c r="H150" s="335" t="s">
        <v>11</v>
      </c>
      <c r="I150" s="333" t="s">
        <v>15</v>
      </c>
      <c r="J150" s="336" t="s">
        <v>14</v>
      </c>
      <c r="K150" s="11" t="s">
        <v>16</v>
      </c>
      <c r="L150" s="1525"/>
      <c r="M150" s="1511"/>
      <c r="N150" s="337" t="s">
        <v>62</v>
      </c>
      <c r="O150" s="338" t="s">
        <v>44</v>
      </c>
      <c r="P150" s="13" t="s">
        <v>18</v>
      </c>
      <c r="Q150" s="14" t="s">
        <v>19</v>
      </c>
    </row>
    <row r="151" spans="1:21" ht="14.25" customHeight="1">
      <c r="A151" s="339" t="s">
        <v>63</v>
      </c>
      <c r="B151" s="1069" t="s">
        <v>64</v>
      </c>
      <c r="C151" s="1070" t="s">
        <v>243</v>
      </c>
      <c r="D151" s="1071">
        <v>40</v>
      </c>
      <c r="E151" s="1072">
        <v>41.244</v>
      </c>
      <c r="F151" s="1072">
        <v>48.335999999999999</v>
      </c>
      <c r="G151" s="1073">
        <f>ROUND(D151*(E151+F151),2)</f>
        <v>3583.2</v>
      </c>
      <c r="H151" s="1074"/>
      <c r="I151" s="1040"/>
      <c r="J151" s="1075"/>
      <c r="K151" s="1076"/>
      <c r="L151" s="1077">
        <f>SUM(G151:G156,J151:J155)</f>
        <v>287983.05</v>
      </c>
      <c r="M151" s="1078">
        <v>287983.05</v>
      </c>
      <c r="N151" s="345"/>
      <c r="O151" s="346">
        <v>7157.88</v>
      </c>
      <c r="P151" s="347" t="s">
        <v>24</v>
      </c>
      <c r="Q151" s="348" t="e">
        <f t="shared" ref="Q151:Q227" si="31">C151+G151+J151-M151-N151-O151</f>
        <v>#VALUE!</v>
      </c>
      <c r="R151" s="349" t="s">
        <v>65</v>
      </c>
      <c r="S151" s="350" t="s">
        <v>20</v>
      </c>
      <c r="T151" s="351" t="s">
        <v>21</v>
      </c>
      <c r="U151" s="352" t="e">
        <f>+L151-M151+C151</f>
        <v>#VALUE!</v>
      </c>
    </row>
    <row r="152" spans="1:21" ht="14.25" customHeight="1">
      <c r="A152" s="353"/>
      <c r="B152" s="1047" t="s">
        <v>221</v>
      </c>
      <c r="C152" s="1079" t="s">
        <v>26</v>
      </c>
      <c r="D152" s="1080"/>
      <c r="E152" s="1081"/>
      <c r="F152" s="1081"/>
      <c r="G152" s="1082">
        <f>ROUND(D152*(E152+F152),2)</f>
        <v>0</v>
      </c>
      <c r="H152" s="1083"/>
      <c r="I152" s="1084"/>
      <c r="J152" s="1085"/>
      <c r="K152" s="1086"/>
      <c r="L152" s="1087"/>
      <c r="M152" s="1088"/>
      <c r="N152" s="357"/>
      <c r="O152" s="358"/>
      <c r="P152" s="359"/>
      <c r="Q152" s="358"/>
      <c r="R152" s="349"/>
      <c r="S152" s="350"/>
      <c r="T152" s="351"/>
      <c r="U152" s="352"/>
    </row>
    <row r="153" spans="1:21">
      <c r="A153" s="353"/>
      <c r="B153" s="1089"/>
      <c r="C153" s="1048"/>
      <c r="D153" s="1083"/>
      <c r="E153" s="1050"/>
      <c r="F153" s="1050"/>
      <c r="G153" s="1090">
        <f>ROUND(D153*E153*70%+D153*F153*30%,2)</f>
        <v>0</v>
      </c>
      <c r="H153" s="1083"/>
      <c r="I153" s="1084"/>
      <c r="J153" s="1050"/>
      <c r="K153" s="1086"/>
      <c r="L153" s="1087"/>
      <c r="M153" s="1088"/>
      <c r="N153" s="357"/>
      <c r="O153" s="358"/>
      <c r="P153" s="359"/>
      <c r="Q153" s="358"/>
      <c r="R153" s="349"/>
      <c r="S153" s="350"/>
      <c r="T153" s="351"/>
      <c r="U153" s="352"/>
    </row>
    <row r="154" spans="1:21">
      <c r="A154" s="353"/>
      <c r="B154" s="1089"/>
      <c r="C154" s="1048" t="s">
        <v>260</v>
      </c>
      <c r="D154" s="1083"/>
      <c r="E154" s="1050"/>
      <c r="F154" s="1081"/>
      <c r="G154" s="1090">
        <f>ROUND(+D154*E154,2)</f>
        <v>0</v>
      </c>
      <c r="H154" s="1083"/>
      <c r="I154" s="1084"/>
      <c r="J154" s="1050"/>
      <c r="K154" s="1086"/>
      <c r="L154" s="1087"/>
      <c r="M154" s="1088"/>
      <c r="N154" s="357"/>
      <c r="O154" s="358"/>
      <c r="P154" s="359"/>
      <c r="Q154" s="358"/>
      <c r="R154" s="349"/>
      <c r="S154" s="350"/>
      <c r="T154" s="351"/>
      <c r="U154" s="352"/>
    </row>
    <row r="155" spans="1:21">
      <c r="A155" s="353"/>
      <c r="B155" s="1089"/>
      <c r="C155" s="1048" t="s">
        <v>263</v>
      </c>
      <c r="D155" s="1083">
        <f>64.26+18.14+8.06</f>
        <v>90.460000000000008</v>
      </c>
      <c r="E155" s="1050">
        <v>7.5269000000000004</v>
      </c>
      <c r="F155" s="1050">
        <f>+E155</f>
        <v>7.5269000000000004</v>
      </c>
      <c r="G155" s="1090">
        <f>ROUND(D155*E155,2)</f>
        <v>680.88</v>
      </c>
      <c r="H155" s="1091"/>
      <c r="I155" s="1092"/>
      <c r="J155" s="1093"/>
      <c r="K155" s="1094"/>
      <c r="L155" s="1095"/>
      <c r="M155" s="1096"/>
      <c r="N155" s="366"/>
      <c r="O155" s="367"/>
      <c r="P155" s="368"/>
      <c r="Q155" s="358"/>
      <c r="R155" s="349"/>
      <c r="S155" s="350"/>
      <c r="T155" s="351"/>
      <c r="U155" s="352"/>
    </row>
    <row r="156" spans="1:21" ht="15.75" thickBot="1">
      <c r="A156" s="369"/>
      <c r="B156" s="1097" t="s">
        <v>66</v>
      </c>
      <c r="C156" s="1098" t="s">
        <v>29</v>
      </c>
      <c r="D156" s="1099">
        <f>26774+7560+3360</f>
        <v>37694</v>
      </c>
      <c r="E156" s="1061">
        <v>7.5269000000000004</v>
      </c>
      <c r="F156" s="1100">
        <f>+E156</f>
        <v>7.5269000000000004</v>
      </c>
      <c r="G156" s="1101">
        <f>ROUND(D156*E156,2)</f>
        <v>283718.96999999997</v>
      </c>
      <c r="H156" s="1102"/>
      <c r="I156" s="1103"/>
      <c r="J156" s="1104"/>
      <c r="K156" s="1103"/>
      <c r="L156" s="1067"/>
      <c r="M156" s="1068"/>
      <c r="N156" s="372"/>
      <c r="O156" s="373">
        <v>165882.5</v>
      </c>
      <c r="P156" s="374" t="s">
        <v>24</v>
      </c>
      <c r="Q156" s="373">
        <f>G156+J156-M156-N156-O156</f>
        <v>117836.46999999997</v>
      </c>
      <c r="R156" s="349" t="s">
        <v>65</v>
      </c>
      <c r="S156" s="375">
        <f>SUM(O151:O156)</f>
        <v>173040.38</v>
      </c>
      <c r="T156" s="375" t="e">
        <f>SUM(Q151:Q156)</f>
        <v>#VALUE!</v>
      </c>
    </row>
    <row r="157" spans="1:21" s="81" customFormat="1" ht="15" customHeight="1">
      <c r="A157" s="437">
        <v>101</v>
      </c>
      <c r="B157" s="438" t="s">
        <v>82</v>
      </c>
      <c r="C157" s="377" t="s">
        <v>73</v>
      </c>
      <c r="D157" s="378">
        <v>27</v>
      </c>
      <c r="E157" s="21">
        <v>41.244</v>
      </c>
      <c r="F157" s="21">
        <v>48.335999999999999</v>
      </c>
      <c r="G157" s="22">
        <f>+D157*(E157+F157)</f>
        <v>2418.66</v>
      </c>
      <c r="H157" s="303"/>
      <c r="I157" s="381"/>
      <c r="J157" s="381"/>
      <c r="K157" s="342"/>
      <c r="L157" s="263">
        <f>SUM(G157:G161,J157:J161)</f>
        <v>112640.37</v>
      </c>
      <c r="M157" s="26">
        <v>112640.37</v>
      </c>
      <c r="N157" s="421"/>
      <c r="O157" s="77"/>
      <c r="P157" s="77"/>
      <c r="Q157" s="384"/>
      <c r="R157" s="422"/>
      <c r="S157" s="399"/>
      <c r="T157" s="399"/>
    </row>
    <row r="158" spans="1:21" s="81" customFormat="1" ht="15" customHeight="1">
      <c r="A158" s="441"/>
      <c r="B158" s="442"/>
      <c r="C158" s="36" t="s">
        <v>26</v>
      </c>
      <c r="D158" s="37">
        <f>янв19!D154</f>
        <v>33</v>
      </c>
      <c r="E158" s="38">
        <f>41.244-40.5566</f>
        <v>0.68739999999999668</v>
      </c>
      <c r="F158" s="38">
        <f>48.336-47.5304</f>
        <v>0.80559999999999832</v>
      </c>
      <c r="G158" s="39">
        <f>ROUND(D158*(E158+F158),2)</f>
        <v>49.27</v>
      </c>
      <c r="H158" s="457"/>
      <c r="I158" s="392"/>
      <c r="J158" s="402"/>
      <c r="K158" s="393"/>
      <c r="L158" s="459"/>
      <c r="M158" s="44"/>
      <c r="N158" s="430"/>
      <c r="O158" s="435"/>
      <c r="P158" s="435"/>
      <c r="Q158" s="425"/>
      <c r="R158" s="422"/>
      <c r="S158" s="399"/>
      <c r="T158" s="399"/>
    </row>
    <row r="159" spans="1:21" s="81" customFormat="1" ht="15" customHeight="1">
      <c r="A159" s="441"/>
      <c r="B159" s="442"/>
      <c r="C159" s="48" t="s">
        <v>260</v>
      </c>
      <c r="D159" s="37">
        <f>янв19!D157+янв19!D158</f>
        <v>16703.990000000002</v>
      </c>
      <c r="E159" s="41">
        <f>7.3681-6.9835</f>
        <v>0.38459999999999983</v>
      </c>
      <c r="F159" s="38"/>
      <c r="G159" s="39">
        <f>ROUND(D159*(E159),2)+0.01</f>
        <v>6424.3600000000006</v>
      </c>
      <c r="H159" s="270"/>
      <c r="I159" s="41"/>
      <c r="J159" s="41"/>
      <c r="K159" s="271"/>
      <c r="L159" s="272"/>
      <c r="M159" s="102"/>
      <c r="N159" s="430"/>
      <c r="O159" s="435"/>
      <c r="P159" s="435"/>
      <c r="Q159" s="425"/>
      <c r="R159" s="422"/>
      <c r="S159" s="399"/>
      <c r="T159" s="399"/>
    </row>
    <row r="160" spans="1:21" s="81" customFormat="1" ht="15" customHeight="1">
      <c r="A160" s="441"/>
      <c r="B160" s="442"/>
      <c r="C160" s="48" t="s">
        <v>263</v>
      </c>
      <c r="D160" s="37">
        <v>33.71</v>
      </c>
      <c r="E160" s="41">
        <v>7.3681000000000001</v>
      </c>
      <c r="F160" s="38"/>
      <c r="G160" s="39">
        <f>ROUND(D160*(E160),2)</f>
        <v>248.38</v>
      </c>
      <c r="H160" s="270"/>
      <c r="I160" s="41"/>
      <c r="J160" s="41"/>
      <c r="K160" s="271"/>
      <c r="L160" s="272"/>
      <c r="M160" s="102"/>
      <c r="N160" s="434"/>
      <c r="O160" s="435"/>
      <c r="P160" s="435"/>
      <c r="Q160" s="425"/>
      <c r="R160" s="422"/>
      <c r="S160" s="399"/>
      <c r="T160" s="399"/>
    </row>
    <row r="161" spans="1:20" s="81" customFormat="1" ht="15" customHeight="1" thickBot="1">
      <c r="A161" s="445"/>
      <c r="B161" s="446"/>
      <c r="C161" s="54" t="s">
        <v>29</v>
      </c>
      <c r="D161" s="413">
        <v>14047</v>
      </c>
      <c r="E161" s="56">
        <v>7.3681000000000001</v>
      </c>
      <c r="F161" s="281"/>
      <c r="G161" s="414">
        <f>ROUND(D161*(E161),2)</f>
        <v>103499.7</v>
      </c>
      <c r="H161" s="280"/>
      <c r="I161" s="281"/>
      <c r="J161" s="281"/>
      <c r="K161" s="282"/>
      <c r="L161" s="204"/>
      <c r="M161" s="371"/>
      <c r="N161" s="426"/>
      <c r="O161" s="416"/>
      <c r="P161" s="416"/>
      <c r="Q161" s="417"/>
      <c r="R161" s="899"/>
      <c r="S161" s="399"/>
      <c r="T161" s="399"/>
    </row>
    <row r="162" spans="1:20" s="81" customFormat="1" ht="15.75" customHeight="1">
      <c r="A162" s="902">
        <v>105</v>
      </c>
      <c r="B162" s="903" t="s">
        <v>256</v>
      </c>
      <c r="C162" s="439" t="s">
        <v>260</v>
      </c>
      <c r="D162" s="904">
        <f>янв19!D160+янв19!D161</f>
        <v>1577.78</v>
      </c>
      <c r="E162" s="23">
        <f>7.3681-6.9835</f>
        <v>0.38459999999999983</v>
      </c>
      <c r="F162" s="905"/>
      <c r="G162" s="22">
        <f>ROUND(D162*E162,2)</f>
        <v>606.80999999999995</v>
      </c>
      <c r="H162" s="303"/>
      <c r="I162" s="23"/>
      <c r="J162" s="23"/>
      <c r="K162" s="304"/>
      <c r="L162" s="263">
        <f>SUM(G162:G164)</f>
        <v>10858.27</v>
      </c>
      <c r="M162" s="26">
        <v>10858.27</v>
      </c>
      <c r="N162" s="421"/>
      <c r="O162" s="77"/>
      <c r="P162" s="77"/>
      <c r="Q162" s="384"/>
      <c r="R162" s="422"/>
      <c r="S162" s="399"/>
      <c r="T162" s="399"/>
    </row>
    <row r="163" spans="1:20" s="81" customFormat="1" ht="15.75" customHeight="1">
      <c r="A163" s="468"/>
      <c r="B163" s="469"/>
      <c r="C163" s="48" t="s">
        <v>263</v>
      </c>
      <c r="D163" s="471">
        <v>3.33</v>
      </c>
      <c r="E163" s="41">
        <v>7.3681000000000001</v>
      </c>
      <c r="F163" s="473"/>
      <c r="G163" s="449">
        <f>ROUND(D163*E163,2)</f>
        <v>24.54</v>
      </c>
      <c r="H163" s="260"/>
      <c r="I163" s="261"/>
      <c r="J163" s="261"/>
      <c r="K163" s="262"/>
      <c r="L163" s="286"/>
      <c r="M163" s="90"/>
      <c r="N163" s="423"/>
      <c r="O163" s="406"/>
      <c r="P163" s="406"/>
      <c r="Q163" s="407"/>
      <c r="R163" s="422"/>
      <c r="S163" s="399"/>
      <c r="T163" s="399"/>
    </row>
    <row r="164" spans="1:20" s="81" customFormat="1" ht="15.75" customHeight="1" thickBot="1">
      <c r="A164" s="858"/>
      <c r="B164" s="859"/>
      <c r="C164" s="54" t="s">
        <v>29</v>
      </c>
      <c r="D164" s="860">
        <v>1388</v>
      </c>
      <c r="E164" s="56">
        <v>7.3681000000000001</v>
      </c>
      <c r="F164" s="861"/>
      <c r="G164" s="414">
        <f t="shared" ref="G164" si="32">ROUND(D164*E164,2)</f>
        <v>10226.92</v>
      </c>
      <c r="H164" s="280"/>
      <c r="I164" s="281"/>
      <c r="J164" s="281"/>
      <c r="K164" s="282"/>
      <c r="L164" s="204"/>
      <c r="M164" s="371"/>
      <c r="N164" s="426"/>
      <c r="O164" s="416"/>
      <c r="P164" s="416"/>
      <c r="Q164" s="417"/>
      <c r="R164" s="422"/>
      <c r="S164" s="399"/>
      <c r="T164" s="399"/>
    </row>
    <row r="165" spans="1:20" s="81" customFormat="1" ht="15.75" hidden="1" customHeight="1">
      <c r="A165" s="902">
        <v>107</v>
      </c>
      <c r="B165" s="903" t="s">
        <v>239</v>
      </c>
      <c r="C165" s="439" t="s">
        <v>260</v>
      </c>
      <c r="D165" s="904"/>
      <c r="E165" s="23">
        <f>6.9835-7.2015</f>
        <v>-0.21799999999999997</v>
      </c>
      <c r="F165" s="905"/>
      <c r="G165" s="22">
        <f>ROUND(D165*E165,2)</f>
        <v>0</v>
      </c>
      <c r="H165" s="303"/>
      <c r="I165" s="23"/>
      <c r="J165" s="23"/>
      <c r="K165" s="304"/>
      <c r="L165" s="263">
        <f>SUM(G165:G167)</f>
        <v>0</v>
      </c>
      <c r="M165" s="26"/>
      <c r="N165" s="421"/>
      <c r="O165" s="77"/>
      <c r="P165" s="77"/>
      <c r="Q165" s="384"/>
      <c r="R165" s="422"/>
      <c r="S165" s="399"/>
      <c r="T165" s="399"/>
    </row>
    <row r="166" spans="1:20" s="81" customFormat="1" ht="15.75" hidden="1" customHeight="1">
      <c r="A166" s="468"/>
      <c r="B166" s="469"/>
      <c r="C166" s="48" t="s">
        <v>263</v>
      </c>
      <c r="D166" s="471"/>
      <c r="E166" s="41">
        <v>6.9835000000000003</v>
      </c>
      <c r="F166" s="473"/>
      <c r="G166" s="449">
        <f>ROUND(D166*E166,2)</f>
        <v>0</v>
      </c>
      <c r="H166" s="260"/>
      <c r="I166" s="261"/>
      <c r="J166" s="261"/>
      <c r="K166" s="262"/>
      <c r="L166" s="286"/>
      <c r="M166" s="90"/>
      <c r="N166" s="423"/>
      <c r="O166" s="406"/>
      <c r="P166" s="406"/>
      <c r="Q166" s="407"/>
      <c r="R166" s="422"/>
      <c r="S166" s="399"/>
      <c r="T166" s="399"/>
    </row>
    <row r="167" spans="1:20" s="81" customFormat="1" ht="15.75" hidden="1" customHeight="1" thickBot="1">
      <c r="A167" s="858"/>
      <c r="B167" s="859"/>
      <c r="C167" s="54" t="s">
        <v>29</v>
      </c>
      <c r="D167" s="860"/>
      <c r="E167" s="56">
        <v>6.9835000000000003</v>
      </c>
      <c r="F167" s="861"/>
      <c r="G167" s="414">
        <f t="shared" ref="G167" si="33">ROUND(D167*E167,2)</f>
        <v>0</v>
      </c>
      <c r="H167" s="280"/>
      <c r="I167" s="281"/>
      <c r="J167" s="281"/>
      <c r="K167" s="282"/>
      <c r="L167" s="204"/>
      <c r="M167" s="371"/>
      <c r="N167" s="426"/>
      <c r="O167" s="416"/>
      <c r="P167" s="416"/>
      <c r="Q167" s="417"/>
      <c r="R167" s="422"/>
      <c r="S167" s="399"/>
      <c r="T167" s="399"/>
    </row>
    <row r="168" spans="1:20" s="81" customFormat="1" ht="15.75" customHeight="1">
      <c r="A168" s="902">
        <v>108</v>
      </c>
      <c r="B168" s="903" t="s">
        <v>168</v>
      </c>
      <c r="C168" s="439" t="s">
        <v>260</v>
      </c>
      <c r="D168" s="904">
        <f>янв19!D166+янв19!D167</f>
        <v>398.96</v>
      </c>
      <c r="E168" s="23">
        <f>7.3681-6.9835</f>
        <v>0.38459999999999983</v>
      </c>
      <c r="F168" s="905"/>
      <c r="G168" s="22">
        <f>ROUND(D168*E168,2)+0.01</f>
        <v>153.44999999999999</v>
      </c>
      <c r="H168" s="303"/>
      <c r="I168" s="23"/>
      <c r="J168" s="23"/>
      <c r="K168" s="304"/>
      <c r="L168" s="263">
        <f>SUM(G168:G170)</f>
        <v>2287.9100000000003</v>
      </c>
      <c r="M168" s="26">
        <v>2287.91</v>
      </c>
      <c r="N168" s="421"/>
      <c r="O168" s="77"/>
      <c r="P168" s="77"/>
      <c r="Q168" s="384"/>
      <c r="R168" s="422"/>
      <c r="S168" s="399"/>
      <c r="T168" s="399"/>
    </row>
    <row r="169" spans="1:20" s="81" customFormat="1" ht="15.75" customHeight="1">
      <c r="A169" s="468"/>
      <c r="B169" s="469"/>
      <c r="C169" s="48" t="s">
        <v>263</v>
      </c>
      <c r="D169" s="471">
        <v>0.69</v>
      </c>
      <c r="E169" s="41">
        <v>7.3681000000000001</v>
      </c>
      <c r="F169" s="473"/>
      <c r="G169" s="449">
        <f>ROUND(D169*E169,2)</f>
        <v>5.08</v>
      </c>
      <c r="H169" s="260"/>
      <c r="I169" s="261"/>
      <c r="J169" s="261"/>
      <c r="K169" s="262"/>
      <c r="L169" s="286"/>
      <c r="M169" s="90"/>
      <c r="N169" s="423"/>
      <c r="O169" s="406"/>
      <c r="P169" s="406"/>
      <c r="Q169" s="407"/>
      <c r="R169" s="422"/>
      <c r="S169" s="399"/>
      <c r="T169" s="399"/>
    </row>
    <row r="170" spans="1:20" s="81" customFormat="1" ht="15.75" customHeight="1" thickBot="1">
      <c r="A170" s="858"/>
      <c r="B170" s="859"/>
      <c r="C170" s="520" t="s">
        <v>29</v>
      </c>
      <c r="D170" s="471">
        <v>289</v>
      </c>
      <c r="E170" s="876">
        <v>7.3681000000000001</v>
      </c>
      <c r="F170" s="473"/>
      <c r="G170" s="453">
        <f t="shared" ref="G170" si="34">ROUND(D170*E170,2)</f>
        <v>2129.38</v>
      </c>
      <c r="H170" s="432"/>
      <c r="I170" s="207"/>
      <c r="J170" s="207"/>
      <c r="K170" s="362"/>
      <c r="L170" s="433"/>
      <c r="M170" s="371"/>
      <c r="N170" s="426"/>
      <c r="O170" s="416"/>
      <c r="P170" s="416"/>
      <c r="Q170" s="417"/>
      <c r="R170" s="422"/>
      <c r="S170" s="399"/>
      <c r="T170" s="399"/>
    </row>
    <row r="171" spans="1:20" s="81" customFormat="1" ht="15.75" customHeight="1">
      <c r="A171" s="376">
        <v>109</v>
      </c>
      <c r="B171" s="924" t="s">
        <v>175</v>
      </c>
      <c r="C171" s="439" t="s">
        <v>260</v>
      </c>
      <c r="D171" s="378">
        <f>янв19!D169+янв19!D170</f>
        <v>1752.2</v>
      </c>
      <c r="E171" s="23">
        <f>7.3681-6.9835</f>
        <v>0.38459999999999983</v>
      </c>
      <c r="F171" s="23"/>
      <c r="G171" s="22">
        <f>ROUND(D171*E171,2)-0.01</f>
        <v>673.89</v>
      </c>
      <c r="H171" s="303"/>
      <c r="I171" s="23"/>
      <c r="J171" s="23"/>
      <c r="K171" s="185"/>
      <c r="L171" s="263">
        <f>SUM(G171:G175)+SUM(J171:J175)</f>
        <v>10042.493</v>
      </c>
      <c r="M171" s="877">
        <v>10042.49</v>
      </c>
      <c r="N171" s="443"/>
      <c r="O171" s="94"/>
      <c r="P171" s="94"/>
      <c r="Q171" s="396"/>
      <c r="R171" s="422"/>
      <c r="S171" s="399"/>
      <c r="T171" s="399"/>
    </row>
    <row r="172" spans="1:20" s="81" customFormat="1" ht="15.75" customHeight="1">
      <c r="A172" s="389"/>
      <c r="B172" s="920"/>
      <c r="C172" s="48" t="s">
        <v>263</v>
      </c>
      <c r="D172" s="37">
        <v>2.99</v>
      </c>
      <c r="E172" s="41">
        <v>7.3681000000000001</v>
      </c>
      <c r="F172" s="41"/>
      <c r="G172" s="39">
        <f>ROUND(D172*E172,2)</f>
        <v>22.03</v>
      </c>
      <c r="H172" s="270"/>
      <c r="I172" s="41"/>
      <c r="J172" s="41"/>
      <c r="K172" s="50"/>
      <c r="L172" s="272"/>
      <c r="M172" s="990"/>
      <c r="N172" s="423"/>
      <c r="O172" s="406"/>
      <c r="P172" s="406"/>
      <c r="Q172" s="407"/>
      <c r="R172" s="422"/>
      <c r="S172" s="399"/>
      <c r="T172" s="399"/>
    </row>
    <row r="173" spans="1:20" s="81" customFormat="1" ht="15.75" customHeight="1">
      <c r="A173" s="389"/>
      <c r="B173" s="920"/>
      <c r="C173" s="99" t="s">
        <v>29</v>
      </c>
      <c r="D173" s="37">
        <v>1244</v>
      </c>
      <c r="E173" s="101">
        <v>7.3681000000000001</v>
      </c>
      <c r="F173" s="41"/>
      <c r="G173" s="39">
        <f t="shared" ref="G173" si="35">ROUND(D173*E173,2)</f>
        <v>9165.92</v>
      </c>
      <c r="H173" s="270"/>
      <c r="I173" s="41"/>
      <c r="J173" s="41"/>
      <c r="K173" s="50"/>
      <c r="L173" s="272"/>
      <c r="M173" s="990"/>
      <c r="N173" s="423"/>
      <c r="O173" s="406"/>
      <c r="P173" s="406"/>
      <c r="Q173" s="407"/>
      <c r="R173" s="422"/>
      <c r="S173" s="399"/>
      <c r="T173" s="399"/>
    </row>
    <row r="174" spans="1:20" s="81" customFormat="1" ht="15.75" customHeight="1" thickBot="1">
      <c r="A174" s="389"/>
      <c r="B174" s="920"/>
      <c r="C174" s="99" t="s">
        <v>73</v>
      </c>
      <c r="D174" s="37">
        <v>2</v>
      </c>
      <c r="E174" s="101">
        <v>41.244</v>
      </c>
      <c r="F174" s="41">
        <v>48.335999999999999</v>
      </c>
      <c r="G174" s="39">
        <f>+D174*(E174+F174)</f>
        <v>179.16</v>
      </c>
      <c r="H174" s="270"/>
      <c r="I174" s="41"/>
      <c r="J174" s="41"/>
      <c r="K174" s="50"/>
      <c r="L174" s="272"/>
      <c r="M174" s="880"/>
      <c r="N174" s="426"/>
      <c r="O174" s="416"/>
      <c r="P174" s="416"/>
      <c r="Q174" s="417"/>
      <c r="R174" s="422"/>
      <c r="S174" s="399"/>
      <c r="T174" s="399"/>
    </row>
    <row r="175" spans="1:20" s="81" customFormat="1" ht="15.75" customHeight="1" thickBot="1">
      <c r="A175" s="411"/>
      <c r="B175" s="921"/>
      <c r="C175" s="54" t="s">
        <v>264</v>
      </c>
      <c r="D175" s="413">
        <f>янв19!D171</f>
        <v>1</v>
      </c>
      <c r="E175" s="56">
        <f>41.244-40.5566</f>
        <v>0.68739999999999668</v>
      </c>
      <c r="F175" s="281">
        <f>48.336-47.5304</f>
        <v>0.80559999999999832</v>
      </c>
      <c r="G175" s="414">
        <f>+D175*(E175+F175)</f>
        <v>1.492999999999995</v>
      </c>
      <c r="H175" s="280"/>
      <c r="I175" s="281"/>
      <c r="J175" s="281"/>
      <c r="K175" s="58"/>
      <c r="L175" s="204"/>
      <c r="M175" s="880"/>
      <c r="N175" s="426"/>
      <c r="O175" s="416"/>
      <c r="P175" s="416"/>
      <c r="Q175" s="417"/>
      <c r="R175" s="422"/>
      <c r="S175" s="399"/>
      <c r="T175" s="399"/>
    </row>
    <row r="176" spans="1:20" s="81" customFormat="1" ht="15.75" customHeight="1">
      <c r="A176" s="376">
        <v>117</v>
      </c>
      <c r="B176" s="420" t="s">
        <v>72</v>
      </c>
      <c r="C176" s="390" t="s">
        <v>73</v>
      </c>
      <c r="D176" s="869">
        <v>101</v>
      </c>
      <c r="E176" s="86">
        <v>41.244</v>
      </c>
      <c r="F176" s="86">
        <v>48.335999999999999</v>
      </c>
      <c r="G176" s="449">
        <f>+D176*(E176+F176)</f>
        <v>9047.58</v>
      </c>
      <c r="H176" s="260"/>
      <c r="I176" s="392"/>
      <c r="J176" s="392"/>
      <c r="K176" s="870"/>
      <c r="L176" s="286">
        <f>SUM(G176:G180,J176:J180)</f>
        <v>266371.59999999998</v>
      </c>
      <c r="M176" s="26">
        <v>266371.59999999998</v>
      </c>
      <c r="N176" s="421"/>
      <c r="O176" s="77"/>
      <c r="P176" s="77"/>
      <c r="Q176" s="384"/>
      <c r="R176" s="422"/>
      <c r="S176" s="399"/>
      <c r="T176" s="399"/>
    </row>
    <row r="177" spans="1:20" s="81" customFormat="1" ht="15.75" customHeight="1">
      <c r="A177" s="389"/>
      <c r="B177" s="83"/>
      <c r="C177" s="84" t="s">
        <v>26</v>
      </c>
      <c r="D177" s="37">
        <f>янв19!D173</f>
        <v>112</v>
      </c>
      <c r="E177" s="38">
        <f>41.244-40.5566</f>
        <v>0.68739999999999668</v>
      </c>
      <c r="F177" s="38">
        <f>48.336-47.5304</f>
        <v>0.80559999999999832</v>
      </c>
      <c r="G177" s="39">
        <f>ROUND(D177*(E177+F177),2)</f>
        <v>167.22</v>
      </c>
      <c r="H177" s="270"/>
      <c r="I177" s="392"/>
      <c r="J177" s="402"/>
      <c r="K177" s="393"/>
      <c r="L177" s="272"/>
      <c r="M177" s="102"/>
      <c r="N177" s="423"/>
      <c r="O177" s="406"/>
      <c r="P177" s="406"/>
      <c r="Q177" s="407"/>
      <c r="R177" s="422"/>
      <c r="S177" s="399"/>
      <c r="T177" s="399"/>
    </row>
    <row r="178" spans="1:20" s="81" customFormat="1" ht="15.75" customHeight="1">
      <c r="A178" s="389"/>
      <c r="B178" s="83"/>
      <c r="C178" s="48" t="s">
        <v>260</v>
      </c>
      <c r="D178" s="37">
        <f>янв19!D176+янв19!D177</f>
        <v>46431.17</v>
      </c>
      <c r="E178" s="41">
        <f>7.3681-6.9835</f>
        <v>0.38459999999999983</v>
      </c>
      <c r="F178" s="38"/>
      <c r="G178" s="39">
        <f>ROUND(D178*(E178),2)-0.01</f>
        <v>17857.420000000002</v>
      </c>
      <c r="H178" s="270"/>
      <c r="I178" s="41"/>
      <c r="J178" s="41"/>
      <c r="K178" s="271"/>
      <c r="L178" s="272"/>
      <c r="M178" s="102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>
      <c r="A179" s="389"/>
      <c r="B179" s="83"/>
      <c r="C179" s="48" t="s">
        <v>263</v>
      </c>
      <c r="D179" s="37">
        <v>77.760000000000005</v>
      </c>
      <c r="E179" s="41">
        <v>7.3681000000000001</v>
      </c>
      <c r="F179" s="38"/>
      <c r="G179" s="39">
        <f>ROUND(D179*(E179),2)</f>
        <v>572.94000000000005</v>
      </c>
      <c r="H179" s="270"/>
      <c r="I179" s="41"/>
      <c r="J179" s="41"/>
      <c r="K179" s="271"/>
      <c r="L179" s="272"/>
      <c r="M179" s="102"/>
      <c r="N179" s="423"/>
      <c r="O179" s="406"/>
      <c r="P179" s="406"/>
      <c r="Q179" s="425"/>
      <c r="R179" s="422"/>
      <c r="S179" s="399"/>
      <c r="T179" s="399"/>
    </row>
    <row r="180" spans="1:20" s="81" customFormat="1" ht="15.75" customHeight="1" thickBot="1">
      <c r="A180" s="411"/>
      <c r="B180" s="412"/>
      <c r="C180" s="99" t="s">
        <v>29</v>
      </c>
      <c r="D180" s="413">
        <v>32400</v>
      </c>
      <c r="E180" s="56">
        <v>7.3681000000000001</v>
      </c>
      <c r="F180" s="281"/>
      <c r="G180" s="414">
        <f>ROUND(D180*(E180),2)</f>
        <v>238726.44</v>
      </c>
      <c r="H180" s="280"/>
      <c r="I180" s="281"/>
      <c r="J180" s="281"/>
      <c r="K180" s="282"/>
      <c r="L180" s="204"/>
      <c r="M180" s="371"/>
      <c r="N180" s="426"/>
      <c r="O180" s="416"/>
      <c r="P180" s="416"/>
      <c r="Q180" s="417"/>
      <c r="R180" s="422"/>
      <c r="S180" s="399"/>
      <c r="T180" s="399"/>
    </row>
    <row r="181" spans="1:20" s="81" customFormat="1" ht="15.75" customHeight="1">
      <c r="A181" s="376">
        <v>118</v>
      </c>
      <c r="B181" s="924" t="s">
        <v>215</v>
      </c>
      <c r="C181" s="377" t="s">
        <v>73</v>
      </c>
      <c r="D181" s="378">
        <v>53</v>
      </c>
      <c r="E181" s="21">
        <v>41.244</v>
      </c>
      <c r="F181" s="21">
        <v>48.335999999999999</v>
      </c>
      <c r="G181" s="22">
        <f>+D181*(E181+F181)</f>
        <v>4747.74</v>
      </c>
      <c r="H181" s="303"/>
      <c r="I181" s="381"/>
      <c r="J181" s="41"/>
      <c r="K181" s="342"/>
      <c r="L181" s="263">
        <f>SUM(G181:G185,J181:J185)</f>
        <v>54350.61</v>
      </c>
      <c r="M181" s="26">
        <v>54350.61</v>
      </c>
      <c r="N181" s="421"/>
      <c r="O181" s="77"/>
      <c r="P181" s="77"/>
      <c r="Q181" s="384"/>
      <c r="R181" s="422"/>
      <c r="S181" s="399"/>
      <c r="T181" s="399"/>
    </row>
    <row r="182" spans="1:20" s="81" customFormat="1" ht="15.75" customHeight="1">
      <c r="A182" s="389"/>
      <c r="B182" s="920"/>
      <c r="C182" s="36" t="s">
        <v>26</v>
      </c>
      <c r="D182" s="37">
        <f>янв19!D178</f>
        <v>57</v>
      </c>
      <c r="E182" s="38">
        <f>41.244-40.5566</f>
        <v>0.68739999999999668</v>
      </c>
      <c r="F182" s="38">
        <f>48.336-47.5304</f>
        <v>0.80559999999999832</v>
      </c>
      <c r="G182" s="39">
        <f>ROUND(D182*(E182+F182),2)</f>
        <v>85.1</v>
      </c>
      <c r="H182" s="457"/>
      <c r="I182" s="392"/>
      <c r="J182" s="41"/>
      <c r="K182" s="393"/>
      <c r="L182" s="459"/>
      <c r="M182" s="44"/>
      <c r="N182" s="430"/>
      <c r="O182" s="406"/>
      <c r="P182" s="406"/>
      <c r="Q182" s="407"/>
      <c r="R182" s="422"/>
      <c r="S182" s="399"/>
      <c r="T182" s="399"/>
    </row>
    <row r="183" spans="1:20" s="81" customFormat="1" ht="15.75" customHeight="1">
      <c r="A183" s="389"/>
      <c r="B183" s="920"/>
      <c r="C183" s="48" t="s">
        <v>260</v>
      </c>
      <c r="D183" s="37">
        <f>янв19!D181+янв19!D182</f>
        <v>8401.11</v>
      </c>
      <c r="E183" s="41">
        <f>7.3681-6.9835</f>
        <v>0.38459999999999983</v>
      </c>
      <c r="F183" s="38"/>
      <c r="G183" s="39">
        <f>ROUND(D183*(E183),2)</f>
        <v>3231.07</v>
      </c>
      <c r="H183" s="270"/>
      <c r="I183" s="41"/>
      <c r="J183" s="41"/>
      <c r="K183" s="271"/>
      <c r="L183" s="272"/>
      <c r="M183" s="102"/>
      <c r="N183" s="430"/>
      <c r="O183" s="406"/>
      <c r="P183" s="406"/>
      <c r="Q183" s="407"/>
      <c r="R183" s="422"/>
      <c r="S183" s="399"/>
      <c r="T183" s="399"/>
    </row>
    <row r="184" spans="1:20" s="81" customFormat="1" ht="15.75" customHeight="1">
      <c r="A184" s="389"/>
      <c r="B184" s="920"/>
      <c r="C184" s="48" t="s">
        <v>263</v>
      </c>
      <c r="D184" s="37">
        <v>15.04</v>
      </c>
      <c r="E184" s="41">
        <v>7.3681000000000001</v>
      </c>
      <c r="F184" s="38"/>
      <c r="G184" s="39">
        <f>ROUND(D184*(E184),2)</f>
        <v>110.82</v>
      </c>
      <c r="H184" s="270"/>
      <c r="I184" s="41"/>
      <c r="J184" s="41"/>
      <c r="K184" s="271"/>
      <c r="L184" s="272"/>
      <c r="M184" s="102"/>
      <c r="N184" s="434"/>
      <c r="O184" s="435"/>
      <c r="P184" s="435"/>
      <c r="Q184" s="425"/>
      <c r="R184" s="422"/>
      <c r="S184" s="399"/>
      <c r="T184" s="399"/>
    </row>
    <row r="185" spans="1:20" s="81" customFormat="1" ht="15.75" customHeight="1" thickBot="1">
      <c r="A185" s="411"/>
      <c r="B185" s="921"/>
      <c r="C185" s="54" t="s">
        <v>29</v>
      </c>
      <c r="D185" s="413">
        <v>6267</v>
      </c>
      <c r="E185" s="56">
        <v>7.3681000000000001</v>
      </c>
      <c r="F185" s="281"/>
      <c r="G185" s="414">
        <f>ROUND(D185*(E185),2)</f>
        <v>46175.88</v>
      </c>
      <c r="H185" s="432"/>
      <c r="I185" s="207"/>
      <c r="J185" s="207"/>
      <c r="K185" s="362"/>
      <c r="L185" s="433"/>
      <c r="M185" s="63"/>
      <c r="N185" s="434"/>
      <c r="O185" s="435"/>
      <c r="P185" s="435"/>
      <c r="Q185" s="425"/>
      <c r="R185" s="422"/>
      <c r="S185" s="399"/>
      <c r="T185" s="399"/>
    </row>
    <row r="186" spans="1:20" s="81" customFormat="1" ht="15.75" customHeight="1">
      <c r="A186" s="468">
        <v>121</v>
      </c>
      <c r="B186" s="699" t="s">
        <v>154</v>
      </c>
      <c r="C186" s="700" t="s">
        <v>260</v>
      </c>
      <c r="D186" s="471">
        <f>янв19!D184+янв19!D185</f>
        <v>283.68</v>
      </c>
      <c r="E186" s="261">
        <f>7.3681-6.9835</f>
        <v>0.38459999999999983</v>
      </c>
      <c r="F186" s="473"/>
      <c r="G186" s="449">
        <f>ROUND(D186*E186,2)</f>
        <v>109.1</v>
      </c>
      <c r="H186" s="303"/>
      <c r="I186" s="23"/>
      <c r="J186" s="23"/>
      <c r="K186" s="304"/>
      <c r="L186" s="263">
        <f>SUM(G186:G188)</f>
        <v>2214.02</v>
      </c>
      <c r="M186" s="26">
        <v>2214.02</v>
      </c>
      <c r="N186" s="421"/>
      <c r="O186" s="77"/>
      <c r="P186" s="77"/>
      <c r="Q186" s="384"/>
      <c r="R186" s="422"/>
      <c r="S186" s="399"/>
      <c r="T186" s="399"/>
    </row>
    <row r="187" spans="1:20" s="81" customFormat="1" ht="15.75" customHeight="1">
      <c r="A187" s="468"/>
      <c r="B187" s="469"/>
      <c r="C187" s="48" t="s">
        <v>263</v>
      </c>
      <c r="D187" s="471">
        <v>0.68</v>
      </c>
      <c r="E187" s="41">
        <v>7.3681000000000001</v>
      </c>
      <c r="F187" s="473"/>
      <c r="G187" s="449">
        <f>ROUND(D187*E187,2)</f>
        <v>5.01</v>
      </c>
      <c r="H187" s="260"/>
      <c r="I187" s="261"/>
      <c r="J187" s="261"/>
      <c r="K187" s="262"/>
      <c r="L187" s="286"/>
      <c r="M187" s="90"/>
      <c r="N187" s="423"/>
      <c r="O187" s="406"/>
      <c r="P187" s="406"/>
      <c r="Q187" s="407"/>
      <c r="R187" s="422"/>
      <c r="S187" s="399"/>
      <c r="T187" s="399"/>
    </row>
    <row r="188" spans="1:20" s="81" customFormat="1" ht="15.75" customHeight="1" thickBot="1">
      <c r="A188" s="858"/>
      <c r="B188" s="859"/>
      <c r="C188" s="54" t="s">
        <v>29</v>
      </c>
      <c r="D188" s="860">
        <v>285</v>
      </c>
      <c r="E188" s="56">
        <v>7.3681000000000001</v>
      </c>
      <c r="F188" s="861"/>
      <c r="G188" s="414">
        <f t="shared" ref="G188" si="36">ROUND(D188*E188,2)</f>
        <v>2099.91</v>
      </c>
      <c r="H188" s="280"/>
      <c r="I188" s="281"/>
      <c r="J188" s="281"/>
      <c r="K188" s="282"/>
      <c r="L188" s="204"/>
      <c r="M188" s="371"/>
      <c r="N188" s="426"/>
      <c r="O188" s="416"/>
      <c r="P188" s="416"/>
      <c r="Q188" s="417"/>
      <c r="R188" s="422"/>
      <c r="S188" s="399"/>
      <c r="T188" s="399"/>
    </row>
    <row r="189" spans="1:20" s="81" customFormat="1" ht="15.75" customHeight="1">
      <c r="A189" s="376">
        <v>202</v>
      </c>
      <c r="B189" s="420" t="s">
        <v>74</v>
      </c>
      <c r="C189" s="377" t="s">
        <v>73</v>
      </c>
      <c r="D189" s="378">
        <v>13</v>
      </c>
      <c r="E189" s="21">
        <v>41.244</v>
      </c>
      <c r="F189" s="21">
        <v>48.335999999999999</v>
      </c>
      <c r="G189" s="22">
        <f>ROUND(D189*(E189+F189),2)</f>
        <v>1164.54</v>
      </c>
      <c r="H189" s="303"/>
      <c r="I189" s="381"/>
      <c r="J189" s="381"/>
      <c r="K189" s="342"/>
      <c r="L189" s="263">
        <f>SUM(G189:G195,J189:J195)</f>
        <v>23554.2</v>
      </c>
      <c r="M189" s="26">
        <v>23554.2</v>
      </c>
      <c r="N189" s="421"/>
      <c r="O189" s="77"/>
      <c r="P189" s="77"/>
      <c r="Q189" s="384"/>
      <c r="R189" s="422"/>
      <c r="S189" s="399"/>
      <c r="T189" s="399"/>
    </row>
    <row r="190" spans="1:20" s="81" customFormat="1" ht="15.75" customHeight="1">
      <c r="A190" s="389"/>
      <c r="B190" s="98"/>
      <c r="C190" s="84" t="s">
        <v>26</v>
      </c>
      <c r="D190" s="37">
        <f>янв19!D186</f>
        <v>12</v>
      </c>
      <c r="E190" s="38">
        <f>41.244-40.5566</f>
        <v>0.68739999999999668</v>
      </c>
      <c r="F190" s="38">
        <f>48.336-47.5304</f>
        <v>0.80559999999999832</v>
      </c>
      <c r="G190" s="39">
        <f>ROUND(D190*(E190+F190),2)</f>
        <v>17.920000000000002</v>
      </c>
      <c r="H190" s="270"/>
      <c r="I190" s="392"/>
      <c r="J190" s="402"/>
      <c r="K190" s="393"/>
      <c r="L190" s="272"/>
      <c r="M190" s="102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389"/>
      <c r="B191" s="98" t="s">
        <v>32</v>
      </c>
      <c r="C191" s="99" t="s">
        <v>33</v>
      </c>
      <c r="D191" s="428">
        <v>8</v>
      </c>
      <c r="E191" s="101">
        <v>357.98</v>
      </c>
      <c r="F191" s="38">
        <f>F189</f>
        <v>48.335999999999999</v>
      </c>
      <c r="G191" s="39">
        <f>ROUND(D191*(E191+F191),2)</f>
        <v>3250.53</v>
      </c>
      <c r="H191" s="270"/>
      <c r="I191" s="41"/>
      <c r="J191" s="41"/>
      <c r="K191" s="271"/>
      <c r="L191" s="272"/>
      <c r="M191" s="102"/>
      <c r="N191" s="423"/>
      <c r="O191" s="406"/>
      <c r="P191" s="406"/>
      <c r="Q191" s="407"/>
      <c r="R191" s="422"/>
      <c r="S191" s="399"/>
      <c r="T191" s="399"/>
    </row>
    <row r="192" spans="1:20" s="81" customFormat="1" ht="15.75" customHeight="1">
      <c r="A192" s="389"/>
      <c r="B192" s="83"/>
      <c r="C192" s="48" t="s">
        <v>76</v>
      </c>
      <c r="D192" s="37">
        <f>янв19!D188</f>
        <v>7</v>
      </c>
      <c r="E192" s="41">
        <f>357.98-347.06</f>
        <v>10.920000000000016</v>
      </c>
      <c r="F192" s="38">
        <f>F190</f>
        <v>0.80559999999999832</v>
      </c>
      <c r="G192" s="39">
        <f>ROUND(D192*(E192+F192),2)</f>
        <v>82.08</v>
      </c>
      <c r="H192" s="270"/>
      <c r="I192" s="41"/>
      <c r="J192" s="41"/>
      <c r="K192" s="271"/>
      <c r="L192" s="272"/>
      <c r="M192" s="102"/>
      <c r="N192" s="423"/>
      <c r="O192" s="406"/>
      <c r="P192" s="406"/>
      <c r="Q192" s="407"/>
      <c r="R192" s="422"/>
      <c r="S192" s="399"/>
      <c r="T192" s="399"/>
    </row>
    <row r="193" spans="1:20" s="81" customFormat="1" ht="15.75" customHeight="1">
      <c r="A193" s="389"/>
      <c r="B193" s="83"/>
      <c r="C193" s="48" t="s">
        <v>260</v>
      </c>
      <c r="D193" s="37">
        <f>янв19!D191+янв19!D192</f>
        <v>2646.34</v>
      </c>
      <c r="E193" s="41">
        <f>7.3681-6.9835</f>
        <v>0.38459999999999983</v>
      </c>
      <c r="F193" s="38"/>
      <c r="G193" s="39">
        <f>ROUND(D193*(E193+F193),2)+0.01</f>
        <v>1017.79</v>
      </c>
      <c r="H193" s="270"/>
      <c r="I193" s="41"/>
      <c r="J193" s="41"/>
      <c r="K193" s="271"/>
      <c r="L193" s="272"/>
      <c r="M193" s="102"/>
      <c r="N193" s="423"/>
      <c r="O193" s="406"/>
      <c r="P193" s="406"/>
      <c r="Q193" s="407"/>
      <c r="R193" s="422"/>
      <c r="S193" s="399"/>
      <c r="T193" s="399"/>
    </row>
    <row r="194" spans="1:20" s="81" customFormat="1" ht="15.75" customHeight="1">
      <c r="A194" s="389"/>
      <c r="B194" s="83"/>
      <c r="C194" s="48" t="s">
        <v>263</v>
      </c>
      <c r="D194" s="37">
        <v>5.86</v>
      </c>
      <c r="E194" s="41">
        <v>7.3681000000000001</v>
      </c>
      <c r="F194" s="38"/>
      <c r="G194" s="39">
        <f>ROUND(D194*E194,2)</f>
        <v>43.18</v>
      </c>
      <c r="H194" s="270"/>
      <c r="I194" s="41"/>
      <c r="J194" s="41"/>
      <c r="K194" s="271"/>
      <c r="L194" s="272"/>
      <c r="M194" s="102"/>
      <c r="N194" s="423"/>
      <c r="O194" s="406"/>
      <c r="P194" s="406"/>
      <c r="Q194" s="425"/>
      <c r="R194" s="422"/>
      <c r="S194" s="399"/>
      <c r="T194" s="399"/>
    </row>
    <row r="195" spans="1:20" s="81" customFormat="1" ht="15" customHeight="1" thickBot="1">
      <c r="A195" s="411"/>
      <c r="B195" s="412"/>
      <c r="C195" s="99" t="s">
        <v>29</v>
      </c>
      <c r="D195" s="413">
        <v>2440</v>
      </c>
      <c r="E195" s="56">
        <v>7.3681000000000001</v>
      </c>
      <c r="F195" s="281"/>
      <c r="G195" s="414">
        <f>ROUND(D195*(E195+F195),2)</f>
        <v>17978.16</v>
      </c>
      <c r="H195" s="280"/>
      <c r="I195" s="281"/>
      <c r="J195" s="281"/>
      <c r="K195" s="282"/>
      <c r="L195" s="204"/>
      <c r="M195" s="371"/>
      <c r="N195" s="426"/>
      <c r="O195" s="416"/>
      <c r="P195" s="416"/>
      <c r="Q195" s="417"/>
      <c r="R195" s="422"/>
      <c r="S195" s="399"/>
      <c r="T195" s="399"/>
    </row>
    <row r="196" spans="1:20" s="81" customFormat="1" ht="15.75" customHeight="1">
      <c r="A196" s="902">
        <v>203</v>
      </c>
      <c r="B196" s="903" t="s">
        <v>230</v>
      </c>
      <c r="C196" s="439" t="s">
        <v>260</v>
      </c>
      <c r="D196" s="904">
        <f>янв19!D194+янв19!D195</f>
        <v>5.01</v>
      </c>
      <c r="E196" s="23">
        <f>7.3681-6.9835</f>
        <v>0.38459999999999983</v>
      </c>
      <c r="F196" s="905"/>
      <c r="G196" s="22">
        <f>ROUND(D196*E196,2)</f>
        <v>1.93</v>
      </c>
      <c r="H196" s="303"/>
      <c r="I196" s="23"/>
      <c r="J196" s="23"/>
      <c r="K196" s="304"/>
      <c r="L196" s="263">
        <f>SUM(G196:G198)</f>
        <v>1.93</v>
      </c>
      <c r="M196" s="26"/>
      <c r="N196" s="421"/>
      <c r="O196" s="1013" t="s">
        <v>319</v>
      </c>
      <c r="P196" s="77"/>
      <c r="Q196" s="384"/>
      <c r="R196" s="422"/>
      <c r="S196" s="399"/>
      <c r="T196" s="399"/>
    </row>
    <row r="197" spans="1:20" s="81" customFormat="1" ht="15.75" customHeight="1">
      <c r="A197" s="468"/>
      <c r="B197" s="469" t="s">
        <v>291</v>
      </c>
      <c r="C197" s="48" t="s">
        <v>263</v>
      </c>
      <c r="D197" s="471">
        <v>0</v>
      </c>
      <c r="E197" s="41">
        <v>7.3681000000000001</v>
      </c>
      <c r="F197" s="473"/>
      <c r="G197" s="449">
        <f>ROUND(D197*E197,2)</f>
        <v>0</v>
      </c>
      <c r="H197" s="260"/>
      <c r="I197" s="261"/>
      <c r="J197" s="261"/>
      <c r="K197" s="262"/>
      <c r="L197" s="286"/>
      <c r="M197" s="90"/>
      <c r="N197" s="423"/>
      <c r="O197" s="406"/>
      <c r="P197" s="406"/>
      <c r="Q197" s="407"/>
      <c r="R197" s="422"/>
      <c r="S197" s="399"/>
      <c r="T197" s="399"/>
    </row>
    <row r="198" spans="1:20" s="81" customFormat="1" ht="15.75" customHeight="1" thickBot="1">
      <c r="A198" s="858"/>
      <c r="B198" s="859"/>
      <c r="C198" s="54" t="s">
        <v>29</v>
      </c>
      <c r="D198" s="860">
        <v>0</v>
      </c>
      <c r="E198" s="56">
        <v>7.3681000000000001</v>
      </c>
      <c r="F198" s="861"/>
      <c r="G198" s="414">
        <f t="shared" ref="G198" si="37">ROUND(D198*E198,2)</f>
        <v>0</v>
      </c>
      <c r="H198" s="280"/>
      <c r="I198" s="281"/>
      <c r="J198" s="207"/>
      <c r="K198" s="362"/>
      <c r="L198" s="433"/>
      <c r="M198" s="63"/>
      <c r="N198" s="426"/>
      <c r="O198" s="416"/>
      <c r="P198" s="416"/>
      <c r="Q198" s="417"/>
      <c r="R198" s="422"/>
      <c r="S198" s="399"/>
      <c r="T198" s="399"/>
    </row>
    <row r="199" spans="1:20" s="81" customFormat="1" ht="15.75" customHeight="1">
      <c r="A199" s="902">
        <v>204</v>
      </c>
      <c r="B199" s="903" t="s">
        <v>257</v>
      </c>
      <c r="C199" s="439" t="s">
        <v>260</v>
      </c>
      <c r="D199" s="904">
        <f>янв19!D197+янв19!D198</f>
        <v>72.17</v>
      </c>
      <c r="E199" s="23">
        <f>7.3681-6.9835</f>
        <v>0.38459999999999983</v>
      </c>
      <c r="F199" s="905"/>
      <c r="G199" s="22">
        <f>ROUND(D199*E199,2)</f>
        <v>27.76</v>
      </c>
      <c r="H199" s="303"/>
      <c r="I199" s="23"/>
      <c r="J199" s="23"/>
      <c r="K199" s="304"/>
      <c r="L199" s="263">
        <f>SUM(G199:G201)</f>
        <v>470.88</v>
      </c>
      <c r="M199" s="26">
        <v>470.88</v>
      </c>
      <c r="N199" s="421"/>
      <c r="O199" s="77"/>
      <c r="P199" s="77"/>
      <c r="Q199" s="384"/>
      <c r="R199" s="422"/>
      <c r="S199" s="399"/>
      <c r="T199" s="399"/>
    </row>
    <row r="200" spans="1:20" s="81" customFormat="1" ht="15.75" customHeight="1">
      <c r="A200" s="468"/>
      <c r="B200" s="469"/>
      <c r="C200" s="48" t="s">
        <v>263</v>
      </c>
      <c r="D200" s="471">
        <v>0.14000000000000001</v>
      </c>
      <c r="E200" s="41">
        <v>7.3681000000000001</v>
      </c>
      <c r="F200" s="473"/>
      <c r="G200" s="449">
        <f>ROUND(D200*E200,2)</f>
        <v>1.03</v>
      </c>
      <c r="H200" s="260"/>
      <c r="I200" s="261"/>
      <c r="J200" s="261"/>
      <c r="K200" s="262"/>
      <c r="L200" s="286"/>
      <c r="M200" s="90"/>
      <c r="N200" s="423"/>
      <c r="O200" s="406"/>
      <c r="P200" s="406"/>
      <c r="Q200" s="407"/>
      <c r="R200" s="422"/>
      <c r="S200" s="399"/>
      <c r="T200" s="399"/>
    </row>
    <row r="201" spans="1:20" s="81" customFormat="1" ht="15.75" customHeight="1" thickBot="1">
      <c r="A201" s="858"/>
      <c r="B201" s="859"/>
      <c r="C201" s="54" t="s">
        <v>29</v>
      </c>
      <c r="D201" s="860">
        <v>60</v>
      </c>
      <c r="E201" s="56">
        <v>7.3681000000000001</v>
      </c>
      <c r="F201" s="861"/>
      <c r="G201" s="414">
        <f t="shared" ref="G201" si="38">ROUND(D201*E201,2)</f>
        <v>442.09</v>
      </c>
      <c r="H201" s="280"/>
      <c r="I201" s="281"/>
      <c r="J201" s="281"/>
      <c r="K201" s="282"/>
      <c r="L201" s="204"/>
      <c r="M201" s="371"/>
      <c r="N201" s="426"/>
      <c r="O201" s="416"/>
      <c r="P201" s="416"/>
      <c r="Q201" s="417"/>
      <c r="R201" s="422"/>
      <c r="S201" s="399"/>
      <c r="T201" s="399"/>
    </row>
    <row r="202" spans="1:20" s="81" customFormat="1" ht="15.75" customHeight="1">
      <c r="A202" s="902">
        <v>207</v>
      </c>
      <c r="B202" s="903" t="s">
        <v>248</v>
      </c>
      <c r="C202" s="439" t="s">
        <v>260</v>
      </c>
      <c r="D202" s="904">
        <f>янв19!D200+янв19!D201</f>
        <v>435.04</v>
      </c>
      <c r="E202" s="23">
        <f>7.3681-6.9835</f>
        <v>0.38459999999999983</v>
      </c>
      <c r="F202" s="905"/>
      <c r="G202" s="22">
        <f>ROUND(D202*E202,2)</f>
        <v>167.32</v>
      </c>
      <c r="H202" s="303"/>
      <c r="I202" s="23"/>
      <c r="J202" s="23"/>
      <c r="K202" s="304"/>
      <c r="L202" s="263">
        <f>SUM(G202:G204)</f>
        <v>2996.08</v>
      </c>
      <c r="M202" s="26">
        <v>2996.08</v>
      </c>
      <c r="N202" s="421"/>
      <c r="O202" s="77"/>
      <c r="P202" s="77"/>
      <c r="Q202" s="384"/>
      <c r="R202" s="422"/>
      <c r="S202" s="399"/>
      <c r="T202" s="399"/>
    </row>
    <row r="203" spans="1:20" s="81" customFormat="1" ht="15.75" customHeight="1">
      <c r="A203" s="468"/>
      <c r="B203" s="469"/>
      <c r="C203" s="48" t="s">
        <v>263</v>
      </c>
      <c r="D203" s="471">
        <v>0.92</v>
      </c>
      <c r="E203" s="41">
        <v>7.3681000000000001</v>
      </c>
      <c r="F203" s="473"/>
      <c r="G203" s="449">
        <f>ROUND(D203*E203,2)</f>
        <v>6.78</v>
      </c>
      <c r="H203" s="260"/>
      <c r="I203" s="261"/>
      <c r="J203" s="261"/>
      <c r="K203" s="262"/>
      <c r="L203" s="286"/>
      <c r="M203" s="90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858"/>
      <c r="B204" s="859"/>
      <c r="C204" s="54" t="s">
        <v>29</v>
      </c>
      <c r="D204" s="860">
        <v>383</v>
      </c>
      <c r="E204" s="56">
        <v>7.3681000000000001</v>
      </c>
      <c r="F204" s="861"/>
      <c r="G204" s="414">
        <f t="shared" ref="G204" si="39">ROUND(D204*E204,2)</f>
        <v>2821.98</v>
      </c>
      <c r="H204" s="280"/>
      <c r="I204" s="281"/>
      <c r="J204" s="207"/>
      <c r="K204" s="362"/>
      <c r="L204" s="433"/>
      <c r="M204" s="63"/>
      <c r="N204" s="426"/>
      <c r="O204" s="416"/>
      <c r="P204" s="416"/>
      <c r="Q204" s="417"/>
      <c r="R204" s="422"/>
      <c r="S204" s="399"/>
      <c r="T204" s="399"/>
    </row>
    <row r="205" spans="1:20" s="81" customFormat="1" ht="15.75" customHeight="1">
      <c r="A205" s="906">
        <v>208</v>
      </c>
      <c r="B205" s="903" t="s">
        <v>316</v>
      </c>
      <c r="C205" s="48" t="s">
        <v>260</v>
      </c>
      <c r="D205" s="471">
        <f>янв19!D203+янв19!D204</f>
        <v>30.07</v>
      </c>
      <c r="E205" s="41">
        <f>7.3681-6.9835</f>
        <v>0.38459999999999983</v>
      </c>
      <c r="F205" s="473"/>
      <c r="G205" s="862">
        <f>ROUND(D205*E205,2)+0.01</f>
        <v>11.57</v>
      </c>
      <c r="H205" s="270"/>
      <c r="I205" s="41"/>
      <c r="J205" s="41"/>
      <c r="K205" s="271"/>
      <c r="L205" s="263">
        <f>SUM(G205:G207)</f>
        <v>1200.7</v>
      </c>
      <c r="M205" s="878">
        <v>1200.7</v>
      </c>
      <c r="N205" s="421"/>
      <c r="O205" s="406"/>
      <c r="P205" s="406"/>
      <c r="Q205" s="407"/>
      <c r="R205" s="422"/>
      <c r="S205" s="399"/>
      <c r="T205" s="399"/>
    </row>
    <row r="206" spans="1:20" s="81" customFormat="1" ht="15.75" customHeight="1">
      <c r="A206" s="468"/>
      <c r="B206" s="469"/>
      <c r="C206" s="48" t="s">
        <v>263</v>
      </c>
      <c r="D206" s="471">
        <v>0.39</v>
      </c>
      <c r="E206" s="41">
        <v>7.3681000000000001</v>
      </c>
      <c r="F206" s="473"/>
      <c r="G206" s="862">
        <f>ROUND(D206*E206,2)</f>
        <v>2.87</v>
      </c>
      <c r="H206" s="270"/>
      <c r="I206" s="41"/>
      <c r="J206" s="41"/>
      <c r="K206" s="271"/>
      <c r="L206" s="272"/>
      <c r="M206" s="878"/>
      <c r="N206" s="423"/>
      <c r="O206" s="406"/>
      <c r="P206" s="406"/>
      <c r="Q206" s="407"/>
      <c r="R206" s="422"/>
      <c r="S206" s="399"/>
      <c r="T206" s="399"/>
    </row>
    <row r="207" spans="1:20" s="81" customFormat="1" ht="15.75" customHeight="1" thickBot="1">
      <c r="A207" s="858"/>
      <c r="B207" s="859"/>
      <c r="C207" s="54" t="s">
        <v>29</v>
      </c>
      <c r="D207" s="860">
        <v>161</v>
      </c>
      <c r="E207" s="56">
        <v>7.3681000000000001</v>
      </c>
      <c r="F207" s="861"/>
      <c r="G207" s="866">
        <f t="shared" ref="G207" si="40">ROUND(D207*E207,2)</f>
        <v>1186.26</v>
      </c>
      <c r="H207" s="280"/>
      <c r="I207" s="281"/>
      <c r="J207" s="281"/>
      <c r="K207" s="282"/>
      <c r="L207" s="204"/>
      <c r="M207" s="880"/>
      <c r="N207" s="426"/>
      <c r="O207" s="416"/>
      <c r="P207" s="416"/>
      <c r="Q207" s="417"/>
      <c r="R207" s="422"/>
      <c r="S207" s="399"/>
      <c r="T207" s="399"/>
    </row>
    <row r="208" spans="1:20" s="81" customFormat="1" ht="15" customHeight="1">
      <c r="A208" s="376">
        <v>210</v>
      </c>
      <c r="B208" s="420" t="s">
        <v>77</v>
      </c>
      <c r="C208" s="377" t="s">
        <v>73</v>
      </c>
      <c r="D208" s="378">
        <v>4</v>
      </c>
      <c r="E208" s="21">
        <v>41.244</v>
      </c>
      <c r="F208" s="21">
        <v>48.335999999999999</v>
      </c>
      <c r="G208" s="22">
        <f t="shared" ref="G208:G214" si="41">ROUND(D208*(E208+F208),2)</f>
        <v>358.32</v>
      </c>
      <c r="H208" s="303"/>
      <c r="I208" s="381"/>
      <c r="J208" s="381"/>
      <c r="K208" s="342"/>
      <c r="L208" s="382">
        <f>+SUM(G208:G214,J208:J214)</f>
        <v>4055.4700000000003</v>
      </c>
      <c r="M208" s="26">
        <v>4055.47</v>
      </c>
      <c r="N208" s="421"/>
      <c r="O208" s="77"/>
      <c r="P208" s="77"/>
      <c r="Q208" s="384"/>
      <c r="R208" s="422"/>
      <c r="S208" s="399"/>
      <c r="T208" s="399"/>
    </row>
    <row r="209" spans="1:20" s="81" customFormat="1" ht="15" customHeight="1">
      <c r="A209" s="389"/>
      <c r="B209" s="83"/>
      <c r="C209" s="84" t="s">
        <v>26</v>
      </c>
      <c r="D209" s="37">
        <f>янв19!D205</f>
        <v>3</v>
      </c>
      <c r="E209" s="38">
        <f>41.244-40.5566</f>
        <v>0.68739999999999668</v>
      </c>
      <c r="F209" s="38">
        <f>48.336-47.5304</f>
        <v>0.80559999999999832</v>
      </c>
      <c r="G209" s="39">
        <f t="shared" si="41"/>
        <v>4.4800000000000004</v>
      </c>
      <c r="H209" s="270"/>
      <c r="I209" s="392"/>
      <c r="J209" s="402"/>
      <c r="K209" s="393"/>
      <c r="L209" s="429"/>
      <c r="M209" s="102"/>
      <c r="N209" s="430"/>
      <c r="O209" s="406"/>
      <c r="P209" s="406"/>
      <c r="Q209" s="407"/>
      <c r="R209" s="422"/>
      <c r="S209" s="399"/>
      <c r="T209" s="399"/>
    </row>
    <row r="210" spans="1:20" s="81" customFormat="1" ht="15" customHeight="1">
      <c r="A210" s="389"/>
      <c r="B210" s="98" t="s">
        <v>32</v>
      </c>
      <c r="C210" s="99" t="s">
        <v>33</v>
      </c>
      <c r="D210" s="37">
        <v>4</v>
      </c>
      <c r="E210" s="101">
        <v>357.98</v>
      </c>
      <c r="F210" s="38">
        <f>F208</f>
        <v>48.335999999999999</v>
      </c>
      <c r="G210" s="39">
        <f t="shared" si="41"/>
        <v>1625.26</v>
      </c>
      <c r="H210" s="270"/>
      <c r="I210" s="41"/>
      <c r="J210" s="41"/>
      <c r="K210" s="271"/>
      <c r="L210" s="272"/>
      <c r="M210" s="102"/>
      <c r="N210" s="430"/>
      <c r="O210" s="406"/>
      <c r="P210" s="406"/>
      <c r="Q210" s="407"/>
      <c r="R210" s="422"/>
      <c r="S210" s="399"/>
      <c r="T210" s="399"/>
    </row>
    <row r="211" spans="1:20" s="81" customFormat="1" ht="15" customHeight="1">
      <c r="A211" s="389"/>
      <c r="B211" s="83"/>
      <c r="C211" s="48" t="s">
        <v>190</v>
      </c>
      <c r="D211" s="37">
        <f>янв19!D207</f>
        <v>4</v>
      </c>
      <c r="E211" s="41">
        <f>357.98-347.06</f>
        <v>10.920000000000016</v>
      </c>
      <c r="F211" s="38">
        <f>F209</f>
        <v>0.80559999999999832</v>
      </c>
      <c r="G211" s="39">
        <f>ROUND(D211*(E211+F211),2)</f>
        <v>46.9</v>
      </c>
      <c r="H211" s="270"/>
      <c r="I211" s="41"/>
      <c r="J211" s="41"/>
      <c r="K211" s="271"/>
      <c r="L211" s="272"/>
      <c r="M211" s="102"/>
      <c r="N211" s="430"/>
      <c r="O211" s="406"/>
      <c r="P211" s="406"/>
      <c r="Q211" s="407"/>
      <c r="R211" s="422"/>
      <c r="S211" s="399"/>
      <c r="T211" s="399"/>
    </row>
    <row r="212" spans="1:20" s="81" customFormat="1" ht="15" customHeight="1">
      <c r="A212" s="389"/>
      <c r="B212" s="83"/>
      <c r="C212" s="48" t="s">
        <v>260</v>
      </c>
      <c r="D212" s="37">
        <f>янв19!D210+янв19!D211</f>
        <v>260.62</v>
      </c>
      <c r="E212" s="41">
        <f>7.3681-6.9835</f>
        <v>0.38459999999999983</v>
      </c>
      <c r="F212" s="38"/>
      <c r="G212" s="39">
        <f>ROUND(D212*(E212+F212),2)</f>
        <v>100.23</v>
      </c>
      <c r="H212" s="270"/>
      <c r="I212" s="41"/>
      <c r="J212" s="41"/>
      <c r="K212" s="271"/>
      <c r="L212" s="272"/>
      <c r="M212" s="102"/>
      <c r="N212" s="430"/>
      <c r="O212" s="406"/>
      <c r="P212" s="406"/>
      <c r="Q212" s="407"/>
      <c r="R212" s="899"/>
      <c r="S212" s="399"/>
      <c r="T212" s="399"/>
    </row>
    <row r="213" spans="1:20" s="81" customFormat="1" ht="15" customHeight="1">
      <c r="A213" s="389"/>
      <c r="B213" s="83"/>
      <c r="C213" s="48" t="s">
        <v>263</v>
      </c>
      <c r="D213" s="37">
        <v>0.62</v>
      </c>
      <c r="E213" s="41">
        <v>7.3681000000000001</v>
      </c>
      <c r="F213" s="38"/>
      <c r="G213" s="39">
        <f t="shared" si="41"/>
        <v>4.57</v>
      </c>
      <c r="H213" s="432"/>
      <c r="I213" s="207"/>
      <c r="J213" s="207"/>
      <c r="K213" s="362"/>
      <c r="L213" s="433"/>
      <c r="M213" s="63"/>
      <c r="N213" s="434"/>
      <c r="O213" s="435"/>
      <c r="P213" s="435"/>
      <c r="Q213" s="425"/>
      <c r="R213" s="899"/>
      <c r="S213" s="399"/>
      <c r="T213" s="399"/>
    </row>
    <row r="214" spans="1:20" s="81" customFormat="1" ht="15" customHeight="1" thickBot="1">
      <c r="A214" s="411"/>
      <c r="B214" s="412"/>
      <c r="C214" s="99" t="s">
        <v>29</v>
      </c>
      <c r="D214" s="413">
        <v>260</v>
      </c>
      <c r="E214" s="56">
        <v>7.3681000000000001</v>
      </c>
      <c r="F214" s="281"/>
      <c r="G214" s="414">
        <f t="shared" si="41"/>
        <v>1915.71</v>
      </c>
      <c r="H214" s="280"/>
      <c r="I214" s="281"/>
      <c r="J214" s="281"/>
      <c r="K214" s="282"/>
      <c r="L214" s="204"/>
      <c r="M214" s="371"/>
      <c r="N214" s="426"/>
      <c r="O214" s="416"/>
      <c r="P214" s="416"/>
      <c r="Q214" s="417"/>
      <c r="R214" s="899"/>
      <c r="S214" s="399"/>
      <c r="T214" s="399"/>
    </row>
    <row r="215" spans="1:20" s="81" customFormat="1" ht="15.75" customHeight="1">
      <c r="A215" s="447">
        <v>211</v>
      </c>
      <c r="B215" s="903" t="s">
        <v>231</v>
      </c>
      <c r="C215" s="439" t="s">
        <v>260</v>
      </c>
      <c r="D215" s="904">
        <f>янв19!D213+янв19!D214</f>
        <v>257.62</v>
      </c>
      <c r="E215" s="23">
        <f>7.3681-6.9835</f>
        <v>0.38459999999999983</v>
      </c>
      <c r="F215" s="905"/>
      <c r="G215" s="22">
        <f>ROUND(D215*E215,2)-0.01</f>
        <v>99.07</v>
      </c>
      <c r="H215" s="303"/>
      <c r="I215" s="23"/>
      <c r="J215" s="23"/>
      <c r="K215" s="304"/>
      <c r="L215" s="263">
        <f>SUM(G215:G217)</f>
        <v>1827.3400000000001</v>
      </c>
      <c r="M215" s="26">
        <v>1827.34</v>
      </c>
      <c r="N215" s="421"/>
      <c r="O215" s="77"/>
      <c r="P215" s="77"/>
      <c r="Q215" s="384"/>
      <c r="R215" s="422"/>
      <c r="S215" s="399"/>
      <c r="T215" s="399"/>
    </row>
    <row r="216" spans="1:20" s="81" customFormat="1" ht="15.75" customHeight="1">
      <c r="A216" s="450"/>
      <c r="B216" s="469"/>
      <c r="C216" s="48" t="s">
        <v>263</v>
      </c>
      <c r="D216" s="471">
        <v>0.56000000000000005</v>
      </c>
      <c r="E216" s="41">
        <v>7.3681000000000001</v>
      </c>
      <c r="F216" s="473"/>
      <c r="G216" s="449">
        <f>ROUND(D216*E216,2)</f>
        <v>4.13</v>
      </c>
      <c r="H216" s="260"/>
      <c r="I216" s="261"/>
      <c r="J216" s="261"/>
      <c r="K216" s="262"/>
      <c r="L216" s="286"/>
      <c r="M216" s="90"/>
      <c r="N216" s="423"/>
      <c r="O216" s="406"/>
      <c r="P216" s="406"/>
      <c r="Q216" s="407"/>
      <c r="R216" s="422"/>
      <c r="S216" s="399"/>
      <c r="T216" s="399"/>
    </row>
    <row r="217" spans="1:20" s="81" customFormat="1" ht="15.75" customHeight="1" thickBot="1">
      <c r="A217" s="451"/>
      <c r="B217" s="859"/>
      <c r="C217" s="54" t="s">
        <v>29</v>
      </c>
      <c r="D217" s="860">
        <v>234</v>
      </c>
      <c r="E217" s="56">
        <v>7.3681000000000001</v>
      </c>
      <c r="F217" s="861"/>
      <c r="G217" s="414">
        <f t="shared" ref="G217" si="42">ROUND(D217*E217,2)</f>
        <v>1724.14</v>
      </c>
      <c r="H217" s="280"/>
      <c r="I217" s="281"/>
      <c r="J217" s="207"/>
      <c r="K217" s="362"/>
      <c r="L217" s="433"/>
      <c r="M217" s="63"/>
      <c r="N217" s="426"/>
      <c r="O217" s="416"/>
      <c r="P217" s="416"/>
      <c r="Q217" s="417"/>
      <c r="R217" s="422"/>
      <c r="S217" s="399"/>
      <c r="T217" s="399"/>
    </row>
    <row r="218" spans="1:20" s="81" customFormat="1" ht="15.75" customHeight="1">
      <c r="A218" s="447">
        <v>212</v>
      </c>
      <c r="B218" s="903" t="s">
        <v>140</v>
      </c>
      <c r="C218" s="439" t="s">
        <v>260</v>
      </c>
      <c r="D218" s="904">
        <f>янв19!D216+янв19!D217</f>
        <v>622.49</v>
      </c>
      <c r="E218" s="23">
        <f>7.3681-6.9835</f>
        <v>0.38459999999999983</v>
      </c>
      <c r="F218" s="905"/>
      <c r="G218" s="22">
        <f>ROUND(D218*E218,2)-0.01</f>
        <v>239.4</v>
      </c>
      <c r="H218" s="303"/>
      <c r="I218" s="23"/>
      <c r="J218" s="23"/>
      <c r="K218" s="304"/>
      <c r="L218" s="263">
        <f>SUM(G218:G220)</f>
        <v>4057.85</v>
      </c>
      <c r="M218" s="26">
        <v>4057.85</v>
      </c>
      <c r="N218" s="421"/>
      <c r="O218" s="77"/>
      <c r="P218" s="77"/>
      <c r="Q218" s="384"/>
      <c r="R218" s="422"/>
      <c r="S218" s="399"/>
      <c r="T218" s="399"/>
    </row>
    <row r="219" spans="1:20" s="81" customFormat="1" ht="15.75" customHeight="1">
      <c r="A219" s="450"/>
      <c r="B219" s="469"/>
      <c r="C219" s="48" t="s">
        <v>263</v>
      </c>
      <c r="D219" s="471">
        <v>1.24</v>
      </c>
      <c r="E219" s="41">
        <v>7.3681000000000001</v>
      </c>
      <c r="F219" s="473"/>
      <c r="G219" s="449">
        <f>ROUND(D219*E219,2)</f>
        <v>9.14</v>
      </c>
      <c r="H219" s="260"/>
      <c r="I219" s="261"/>
      <c r="J219" s="261"/>
      <c r="K219" s="262"/>
      <c r="L219" s="286"/>
      <c r="M219" s="90"/>
      <c r="N219" s="423"/>
      <c r="O219" s="406"/>
      <c r="P219" s="406"/>
      <c r="Q219" s="407"/>
      <c r="R219" s="422"/>
      <c r="S219" s="399"/>
      <c r="T219" s="399"/>
    </row>
    <row r="220" spans="1:20" s="81" customFormat="1" ht="15.75" customHeight="1" thickBot="1">
      <c r="A220" s="451"/>
      <c r="B220" s="859"/>
      <c r="C220" s="54" t="s">
        <v>29</v>
      </c>
      <c r="D220" s="860">
        <v>517</v>
      </c>
      <c r="E220" s="56">
        <v>7.3681000000000001</v>
      </c>
      <c r="F220" s="861"/>
      <c r="G220" s="414">
        <f t="shared" ref="G220" si="43">ROUND(D220*E220,2)</f>
        <v>3809.31</v>
      </c>
      <c r="H220" s="280"/>
      <c r="I220" s="281"/>
      <c r="J220" s="207"/>
      <c r="K220" s="362"/>
      <c r="L220" s="433"/>
      <c r="M220" s="63"/>
      <c r="N220" s="426"/>
      <c r="O220" s="416"/>
      <c r="P220" s="416"/>
      <c r="Q220" s="417"/>
      <c r="R220" s="422"/>
      <c r="S220" s="399"/>
      <c r="T220" s="399"/>
    </row>
    <row r="221" spans="1:20" s="81" customFormat="1" ht="15.75" hidden="1" customHeight="1">
      <c r="A221" s="447">
        <v>213</v>
      </c>
      <c r="B221" s="903" t="s">
        <v>134</v>
      </c>
      <c r="C221" s="439" t="s">
        <v>260</v>
      </c>
      <c r="D221" s="904"/>
      <c r="E221" s="23">
        <f>7.0999-6.7991</f>
        <v>0.30079999999999973</v>
      </c>
      <c r="F221" s="905"/>
      <c r="G221" s="22">
        <f>ROUND(D221*E221,2)-0.01</f>
        <v>-0.01</v>
      </c>
      <c r="H221" s="303"/>
      <c r="I221" s="23"/>
      <c r="J221" s="23"/>
      <c r="K221" s="304"/>
      <c r="L221" s="263">
        <f>SUM(G221:G223)</f>
        <v>-0.01</v>
      </c>
      <c r="M221" s="26"/>
      <c r="N221" s="421"/>
      <c r="O221" s="77"/>
      <c r="P221" s="77"/>
      <c r="Q221" s="384"/>
      <c r="R221" s="422"/>
      <c r="S221" s="399"/>
      <c r="T221" s="399"/>
    </row>
    <row r="222" spans="1:20" s="81" customFormat="1" ht="15.75" hidden="1" customHeight="1">
      <c r="A222" s="450"/>
      <c r="B222" s="469"/>
      <c r="C222" s="48" t="s">
        <v>263</v>
      </c>
      <c r="D222" s="471"/>
      <c r="E222" s="41">
        <v>7.0998999999999999</v>
      </c>
      <c r="F222" s="473"/>
      <c r="G222" s="449">
        <f t="shared" ref="G222:G223" si="44">ROUND(D222*E222,2)</f>
        <v>0</v>
      </c>
      <c r="H222" s="260"/>
      <c r="I222" s="261"/>
      <c r="J222" s="261"/>
      <c r="K222" s="262"/>
      <c r="L222" s="286"/>
      <c r="M222" s="90"/>
      <c r="N222" s="423"/>
      <c r="O222" s="406"/>
      <c r="P222" s="406"/>
      <c r="Q222" s="407"/>
      <c r="R222" s="422"/>
      <c r="S222" s="399"/>
      <c r="T222" s="399"/>
    </row>
    <row r="223" spans="1:20" s="81" customFormat="1" ht="15.75" hidden="1" customHeight="1" thickBot="1">
      <c r="A223" s="451"/>
      <c r="B223" s="859"/>
      <c r="C223" s="54" t="s">
        <v>29</v>
      </c>
      <c r="D223" s="860"/>
      <c r="E223" s="56">
        <v>7.0998999999999999</v>
      </c>
      <c r="F223" s="861"/>
      <c r="G223" s="414">
        <f t="shared" si="44"/>
        <v>0</v>
      </c>
      <c r="H223" s="280"/>
      <c r="I223" s="281"/>
      <c r="J223" s="281"/>
      <c r="K223" s="282"/>
      <c r="L223" s="204"/>
      <c r="M223" s="371"/>
      <c r="N223" s="426"/>
      <c r="O223" s="416"/>
      <c r="P223" s="416"/>
      <c r="Q223" s="417"/>
      <c r="R223" s="422"/>
      <c r="S223" s="399"/>
      <c r="T223" s="399"/>
    </row>
    <row r="224" spans="1:20" s="81" customFormat="1" ht="15.75" customHeight="1">
      <c r="A224" s="447">
        <v>215</v>
      </c>
      <c r="B224" s="1037" t="s">
        <v>314</v>
      </c>
      <c r="C224" s="1038"/>
      <c r="D224" s="1039"/>
      <c r="E224" s="1040"/>
      <c r="F224" s="1041"/>
      <c r="G224" s="1042">
        <f>ROUND(D224*E224,2)</f>
        <v>0</v>
      </c>
      <c r="H224" s="1043"/>
      <c r="I224" s="1040"/>
      <c r="J224" s="1040"/>
      <c r="K224" s="1044"/>
      <c r="L224" s="1045">
        <f>SUM(G224:G226)</f>
        <v>4074.3100000000004</v>
      </c>
      <c r="M224" s="1046">
        <v>4074.31</v>
      </c>
      <c r="N224" s="421"/>
      <c r="O224" s="77"/>
      <c r="P224" s="77"/>
      <c r="Q224" s="384"/>
      <c r="R224" s="422"/>
      <c r="S224" s="399"/>
      <c r="T224" s="399"/>
    </row>
    <row r="225" spans="1:21" s="81" customFormat="1" ht="15.75" customHeight="1">
      <c r="A225" s="450"/>
      <c r="B225" s="1047" t="s">
        <v>221</v>
      </c>
      <c r="C225" s="1048" t="s">
        <v>263</v>
      </c>
      <c r="D225" s="1049">
        <v>1.3</v>
      </c>
      <c r="E225" s="1050">
        <v>7.5269000000000004</v>
      </c>
      <c r="F225" s="1051"/>
      <c r="G225" s="1052">
        <f>ROUND(D225*E225,2)</f>
        <v>9.7799999999999994</v>
      </c>
      <c r="H225" s="1053"/>
      <c r="I225" s="1054"/>
      <c r="J225" s="1054"/>
      <c r="K225" s="1055"/>
      <c r="L225" s="1056"/>
      <c r="M225" s="1057"/>
      <c r="N225" s="423"/>
      <c r="O225" s="406"/>
      <c r="P225" s="406"/>
      <c r="Q225" s="407"/>
      <c r="R225" s="422"/>
      <c r="S225" s="399"/>
      <c r="T225" s="399"/>
    </row>
    <row r="226" spans="1:21" s="81" customFormat="1" ht="15.75" customHeight="1" thickBot="1">
      <c r="A226" s="451"/>
      <c r="B226" s="1058"/>
      <c r="C226" s="1059" t="s">
        <v>29</v>
      </c>
      <c r="D226" s="1060">
        <v>540</v>
      </c>
      <c r="E226" s="1061">
        <v>7.5269000000000004</v>
      </c>
      <c r="F226" s="1062"/>
      <c r="G226" s="1063">
        <f t="shared" ref="G226" si="45">ROUND(D226*E226,2)</f>
        <v>4064.53</v>
      </c>
      <c r="H226" s="1064"/>
      <c r="I226" s="1065"/>
      <c r="J226" s="1065"/>
      <c r="K226" s="1066"/>
      <c r="L226" s="1067"/>
      <c r="M226" s="1068"/>
      <c r="N226" s="426"/>
      <c r="O226" s="416"/>
      <c r="P226" s="416"/>
      <c r="Q226" s="417"/>
      <c r="R226" s="422"/>
      <c r="S226" s="399"/>
      <c r="T226" s="399"/>
    </row>
    <row r="227" spans="1:21" s="81" customFormat="1" ht="15" customHeight="1">
      <c r="A227" s="376">
        <v>301</v>
      </c>
      <c r="B227" s="70" t="s">
        <v>67</v>
      </c>
      <c r="C227" s="377" t="s">
        <v>243</v>
      </c>
      <c r="D227" s="378">
        <v>605</v>
      </c>
      <c r="E227" s="21">
        <v>41.244</v>
      </c>
      <c r="F227" s="21">
        <v>48.335999999999999</v>
      </c>
      <c r="G227" s="379">
        <f>ROUND(D227*(E227+F227),2)</f>
        <v>54195.9</v>
      </c>
      <c r="H227" s="380"/>
      <c r="I227" s="381"/>
      <c r="J227" s="381"/>
      <c r="K227" s="342"/>
      <c r="L227" s="382">
        <f>+SUM(G227:G236,J227:J235)</f>
        <v>185113.766</v>
      </c>
      <c r="M227" s="26">
        <v>185113.77</v>
      </c>
      <c r="N227" s="383"/>
      <c r="O227" s="77"/>
      <c r="P227" s="77" t="s">
        <v>68</v>
      </c>
      <c r="Q227" s="384" t="e">
        <f t="shared" si="31"/>
        <v>#VALUE!</v>
      </c>
      <c r="R227" s="385" t="s">
        <v>69</v>
      </c>
      <c r="S227" s="386"/>
      <c r="T227" s="387"/>
      <c r="U227" s="388"/>
    </row>
    <row r="228" spans="1:21" s="81" customFormat="1" ht="12.75">
      <c r="A228" s="389"/>
      <c r="B228" s="83"/>
      <c r="C228" s="390" t="s">
        <v>26</v>
      </c>
      <c r="D228" s="37">
        <f>янв19!D224</f>
        <v>541</v>
      </c>
      <c r="E228" s="38">
        <f>41.244-40.5566</f>
        <v>0.68739999999999668</v>
      </c>
      <c r="F228" s="38">
        <f>48.336-47.5304</f>
        <v>0.80559999999999832</v>
      </c>
      <c r="G228" s="39">
        <f>ROUND(D228*(E228+F228),2)</f>
        <v>807.71</v>
      </c>
      <c r="H228" s="391"/>
      <c r="I228" s="392"/>
      <c r="J228" s="402"/>
      <c r="K228" s="393"/>
      <c r="L228" s="394"/>
      <c r="M228" s="90"/>
      <c r="N228" s="395"/>
      <c r="O228" s="94"/>
      <c r="P228" s="94"/>
      <c r="Q228" s="396"/>
      <c r="R228" s="397"/>
      <c r="S228" s="398"/>
      <c r="T228" s="399"/>
    </row>
    <row r="229" spans="1:21" s="81" customFormat="1" ht="12.75">
      <c r="A229" s="389"/>
      <c r="B229" s="98" t="s">
        <v>32</v>
      </c>
      <c r="C229" s="99" t="s">
        <v>33</v>
      </c>
      <c r="D229" s="37">
        <f>71+50</f>
        <v>121</v>
      </c>
      <c r="E229" s="101">
        <v>357.98</v>
      </c>
      <c r="F229" s="38">
        <f>F227</f>
        <v>48.335999999999999</v>
      </c>
      <c r="G229" s="400">
        <f>ROUND(D229*(E229+F229),2)</f>
        <v>49164.24</v>
      </c>
      <c r="H229" s="401"/>
      <c r="I229" s="402"/>
      <c r="J229" s="402"/>
      <c r="K229" s="403"/>
      <c r="L229" s="404"/>
      <c r="M229" s="102"/>
      <c r="N229" s="405"/>
      <c r="O229" s="406"/>
      <c r="P229" s="406" t="s">
        <v>68</v>
      </c>
      <c r="Q229" s="407">
        <f>+G229+J229-M229-N229-O229</f>
        <v>49164.24</v>
      </c>
      <c r="R229" s="397" t="s">
        <v>69</v>
      </c>
      <c r="S229" s="398"/>
      <c r="T229" s="399"/>
    </row>
    <row r="230" spans="1:21" s="81" customFormat="1" ht="15" customHeight="1">
      <c r="A230" s="389"/>
      <c r="B230" s="98"/>
      <c r="C230" s="84" t="s">
        <v>26</v>
      </c>
      <c r="D230" s="37">
        <f>янв19!D226</f>
        <v>110</v>
      </c>
      <c r="E230" s="41">
        <f>357.98-347.06</f>
        <v>10.920000000000016</v>
      </c>
      <c r="F230" s="38">
        <f>F228</f>
        <v>0.80559999999999832</v>
      </c>
      <c r="G230" s="400">
        <f>+D230*(E230+F230)</f>
        <v>1289.8160000000016</v>
      </c>
      <c r="H230" s="401"/>
      <c r="I230" s="402"/>
      <c r="J230" s="402"/>
      <c r="K230" s="408"/>
      <c r="L230" s="404"/>
      <c r="M230" s="102"/>
      <c r="N230" s="405"/>
      <c r="O230" s="406"/>
      <c r="P230" s="406"/>
      <c r="Q230" s="407"/>
      <c r="R230" s="397"/>
      <c r="S230" s="398"/>
      <c r="T230" s="399"/>
    </row>
    <row r="231" spans="1:21" s="81" customFormat="1" ht="15" customHeight="1">
      <c r="A231" s="389"/>
      <c r="B231" s="83"/>
      <c r="C231" s="84"/>
      <c r="D231" s="37"/>
      <c r="E231" s="41"/>
      <c r="F231" s="38"/>
      <c r="G231" s="400"/>
      <c r="H231" s="401"/>
      <c r="I231" s="402"/>
      <c r="J231" s="402"/>
      <c r="K231" s="408"/>
      <c r="L231" s="404"/>
      <c r="M231" s="102"/>
      <c r="N231" s="405"/>
      <c r="O231" s="406"/>
      <c r="P231" s="406"/>
      <c r="Q231" s="407"/>
      <c r="R231" s="397"/>
      <c r="S231" s="398"/>
      <c r="T231" s="399"/>
    </row>
    <row r="232" spans="1:21" s="81" customFormat="1" ht="15" customHeight="1">
      <c r="A232" s="389"/>
      <c r="B232" s="83" t="s">
        <v>70</v>
      </c>
      <c r="C232" s="84"/>
      <c r="D232" s="37"/>
      <c r="E232" s="41"/>
      <c r="F232" s="38"/>
      <c r="G232" s="400"/>
      <c r="H232" s="401"/>
      <c r="I232" s="402"/>
      <c r="J232" s="402"/>
      <c r="K232" s="408"/>
      <c r="L232" s="404"/>
      <c r="M232" s="102"/>
      <c r="N232" s="405"/>
      <c r="O232" s="406"/>
      <c r="P232" s="406"/>
      <c r="Q232" s="407"/>
      <c r="R232" s="397"/>
      <c r="S232" s="398"/>
      <c r="T232" s="399"/>
    </row>
    <row r="233" spans="1:21" s="81" customFormat="1" ht="15" customHeight="1">
      <c r="A233" s="389"/>
      <c r="B233" s="83"/>
      <c r="C233" s="48"/>
      <c r="D233" s="37"/>
      <c r="E233" s="41"/>
      <c r="F233" s="38"/>
      <c r="G233" s="39">
        <f>ROUND(D233*(E233+F233),2)</f>
        <v>0</v>
      </c>
      <c r="H233" s="37"/>
      <c r="I233" s="409"/>
      <c r="J233" s="409"/>
      <c r="K233" s="408"/>
      <c r="L233" s="404"/>
      <c r="M233" s="102"/>
      <c r="N233" s="405"/>
      <c r="O233" s="406"/>
      <c r="P233" s="406"/>
      <c r="Q233" s="407"/>
      <c r="R233" s="397"/>
      <c r="S233" s="398"/>
      <c r="T233" s="399"/>
    </row>
    <row r="234" spans="1:21" s="81" customFormat="1" ht="15" customHeight="1">
      <c r="A234" s="389"/>
      <c r="B234" s="83"/>
      <c r="C234" s="48" t="s">
        <v>260</v>
      </c>
      <c r="D234" s="37">
        <f>янв19!D232+янв19!D233</f>
        <v>12771.58</v>
      </c>
      <c r="E234" s="41">
        <f>7.3681-6.9835</f>
        <v>0.38459999999999983</v>
      </c>
      <c r="F234" s="38">
        <f>+E234</f>
        <v>0.38459999999999983</v>
      </c>
      <c r="G234" s="39">
        <f>ROUND(D234*E234,2)+0.01</f>
        <v>4911.96</v>
      </c>
      <c r="H234" s="37"/>
      <c r="I234" s="409"/>
      <c r="J234" s="409"/>
      <c r="K234" s="408"/>
      <c r="L234" s="404"/>
      <c r="M234" s="102"/>
      <c r="N234" s="405"/>
      <c r="O234" s="406"/>
      <c r="P234" s="406"/>
      <c r="Q234" s="407"/>
      <c r="R234" s="397"/>
      <c r="S234" s="398"/>
      <c r="T234" s="399"/>
    </row>
    <row r="235" spans="1:21" s="81" customFormat="1" ht="15" customHeight="1">
      <c r="A235" s="389"/>
      <c r="B235" s="83"/>
      <c r="C235" s="48" t="s">
        <v>263</v>
      </c>
      <c r="D235" s="37">
        <f>24.1+0.19</f>
        <v>24.290000000000003</v>
      </c>
      <c r="E235" s="41">
        <v>7.3681000000000001</v>
      </c>
      <c r="F235" s="41">
        <f>+E235</f>
        <v>7.3681000000000001</v>
      </c>
      <c r="G235" s="39">
        <f>ROUND(D235*E235,2)</f>
        <v>178.97</v>
      </c>
      <c r="H235" s="37"/>
      <c r="I235" s="409"/>
      <c r="J235" s="409"/>
      <c r="K235" s="410"/>
      <c r="L235" s="404"/>
      <c r="M235" s="102"/>
      <c r="N235" s="405"/>
      <c r="O235" s="406"/>
      <c r="P235" s="406"/>
      <c r="Q235" s="407"/>
      <c r="R235" s="397"/>
      <c r="S235" s="398"/>
      <c r="T235" s="399"/>
    </row>
    <row r="236" spans="1:21" s="81" customFormat="1" ht="15.75" customHeight="1" thickBot="1">
      <c r="A236" s="411"/>
      <c r="B236" s="412"/>
      <c r="C236" s="99" t="s">
        <v>29</v>
      </c>
      <c r="D236" s="413">
        <f>10040+80</f>
        <v>10120</v>
      </c>
      <c r="E236" s="56">
        <v>7.3681000000000001</v>
      </c>
      <c r="F236" s="41">
        <f>+E236</f>
        <v>7.3681000000000001</v>
      </c>
      <c r="G236" s="414">
        <f>ROUND(D236*E236,2)</f>
        <v>74565.17</v>
      </c>
      <c r="H236" s="248"/>
      <c r="I236" s="60"/>
      <c r="J236" s="60"/>
      <c r="K236" s="203"/>
      <c r="L236" s="204"/>
      <c r="M236" s="371"/>
      <c r="N236" s="415"/>
      <c r="O236" s="416"/>
      <c r="P236" s="416" t="s">
        <v>68</v>
      </c>
      <c r="Q236" s="417">
        <f>+G236+J236-M236-N236-O236</f>
        <v>74565.17</v>
      </c>
      <c r="R236" s="418" t="s">
        <v>69</v>
      </c>
      <c r="S236" s="419">
        <f>SUM(O227:O236)</f>
        <v>0</v>
      </c>
      <c r="T236" s="419" t="e">
        <f>SUM(Q227:Q236)</f>
        <v>#VALUE!</v>
      </c>
    </row>
    <row r="237" spans="1:21" s="81" customFormat="1" ht="15.75" customHeight="1">
      <c r="A237" s="902">
        <v>303</v>
      </c>
      <c r="B237" s="903" t="s">
        <v>227</v>
      </c>
      <c r="C237" s="439" t="s">
        <v>260</v>
      </c>
      <c r="D237" s="904">
        <f>янв19!D235+янв19!D236</f>
        <v>469.12</v>
      </c>
      <c r="E237" s="23">
        <f>7.3681-6.9835</f>
        <v>0.38459999999999983</v>
      </c>
      <c r="F237" s="905"/>
      <c r="G237" s="22">
        <f>ROUND(D237*E237,2)</f>
        <v>180.42</v>
      </c>
      <c r="H237" s="303"/>
      <c r="I237" s="23"/>
      <c r="J237" s="23"/>
      <c r="K237" s="304"/>
      <c r="L237" s="263">
        <f>SUM(G237:G239)</f>
        <v>3341.5600000000004</v>
      </c>
      <c r="M237" s="26">
        <v>3341.56</v>
      </c>
      <c r="N237" s="421"/>
      <c r="O237" s="77"/>
      <c r="P237" s="77"/>
      <c r="Q237" s="384"/>
      <c r="R237" s="422"/>
      <c r="S237" s="399"/>
      <c r="T237" s="399"/>
    </row>
    <row r="238" spans="1:21" s="81" customFormat="1" ht="15.75" customHeight="1">
      <c r="A238" s="468"/>
      <c r="B238" s="469" t="s">
        <v>291</v>
      </c>
      <c r="C238" s="48" t="s">
        <v>263</v>
      </c>
      <c r="D238" s="471">
        <v>1.03</v>
      </c>
      <c r="E238" s="41">
        <v>7.3681000000000001</v>
      </c>
      <c r="F238" s="473"/>
      <c r="G238" s="449">
        <f>ROUND(D238*E238,2)</f>
        <v>7.59</v>
      </c>
      <c r="H238" s="260"/>
      <c r="I238" s="261"/>
      <c r="J238" s="261"/>
      <c r="K238" s="262"/>
      <c r="L238" s="286"/>
      <c r="M238" s="90"/>
      <c r="N238" s="423"/>
      <c r="O238" s="406"/>
      <c r="P238" s="406"/>
      <c r="Q238" s="407"/>
      <c r="R238" s="422"/>
      <c r="S238" s="399"/>
      <c r="T238" s="399"/>
    </row>
    <row r="239" spans="1:21" s="81" customFormat="1" ht="15.75" customHeight="1" thickBot="1">
      <c r="A239" s="858"/>
      <c r="B239" s="859"/>
      <c r="C239" s="54" t="s">
        <v>29</v>
      </c>
      <c r="D239" s="860">
        <v>428</v>
      </c>
      <c r="E239" s="56">
        <v>7.3681000000000001</v>
      </c>
      <c r="F239" s="861"/>
      <c r="G239" s="414">
        <f t="shared" ref="G239" si="46">ROUND(D239*E239,2)</f>
        <v>3153.55</v>
      </c>
      <c r="H239" s="280"/>
      <c r="I239" s="281"/>
      <c r="J239" s="281"/>
      <c r="K239" s="282"/>
      <c r="L239" s="204"/>
      <c r="M239" s="371"/>
      <c r="N239" s="426"/>
      <c r="O239" s="416"/>
      <c r="P239" s="416"/>
      <c r="Q239" s="417"/>
      <c r="R239" s="422"/>
      <c r="S239" s="399"/>
      <c r="T239" s="399"/>
    </row>
    <row r="240" spans="1:21" s="81" customFormat="1" ht="15" customHeight="1">
      <c r="A240" s="437">
        <v>304</v>
      </c>
      <c r="B240" s="438" t="s">
        <v>83</v>
      </c>
      <c r="C240" s="377" t="s">
        <v>73</v>
      </c>
      <c r="D240" s="378">
        <v>1</v>
      </c>
      <c r="E240" s="21">
        <v>41.244</v>
      </c>
      <c r="F240" s="21">
        <v>48.335999999999999</v>
      </c>
      <c r="G240" s="22">
        <f>+D240*(E240+F240)</f>
        <v>89.58</v>
      </c>
      <c r="H240" s="303"/>
      <c r="I240" s="381"/>
      <c r="J240" s="381"/>
      <c r="K240" s="342"/>
      <c r="L240" s="263">
        <f>SUM(G240:G244,J240:J244)</f>
        <v>481.18</v>
      </c>
      <c r="M240" s="26">
        <v>481.18</v>
      </c>
      <c r="N240" s="421"/>
      <c r="O240" s="77"/>
      <c r="P240" s="77"/>
      <c r="Q240" s="384"/>
      <c r="R240" s="899"/>
      <c r="S240" s="399"/>
      <c r="T240" s="399"/>
    </row>
    <row r="241" spans="1:20" s="81" customFormat="1" ht="15" customHeight="1">
      <c r="A241" s="441"/>
      <c r="B241" s="442"/>
      <c r="C241" s="36" t="s">
        <v>26</v>
      </c>
      <c r="D241" s="37">
        <f>янв19!D237</f>
        <v>1</v>
      </c>
      <c r="E241" s="38">
        <f>41.244-40.5566</f>
        <v>0.68739999999999668</v>
      </c>
      <c r="F241" s="38">
        <f>48.336-47.5304</f>
        <v>0.80559999999999832</v>
      </c>
      <c r="G241" s="39">
        <f>ROUND(D241*(E241+F241),2)</f>
        <v>1.49</v>
      </c>
      <c r="H241" s="457"/>
      <c r="I241" s="392"/>
      <c r="J241" s="402"/>
      <c r="K241" s="393"/>
      <c r="L241" s="459"/>
      <c r="M241" s="44"/>
      <c r="N241" s="430"/>
      <c r="O241" s="435"/>
      <c r="P241" s="435"/>
      <c r="Q241" s="425"/>
      <c r="R241" s="422"/>
      <c r="S241" s="399"/>
      <c r="T241" s="399"/>
    </row>
    <row r="242" spans="1:20" s="81" customFormat="1" ht="15" customHeight="1">
      <c r="A242" s="441"/>
      <c r="B242" s="442"/>
      <c r="C242" s="48" t="s">
        <v>260</v>
      </c>
      <c r="D242" s="37">
        <f>янв19!D240+янв19!D241</f>
        <v>54.13</v>
      </c>
      <c r="E242" s="41">
        <f>7.3681-6.9835</f>
        <v>0.38459999999999983</v>
      </c>
      <c r="F242" s="38"/>
      <c r="G242" s="39">
        <f>ROUND(D242*(E242),2)</f>
        <v>20.82</v>
      </c>
      <c r="H242" s="270"/>
      <c r="I242" s="41"/>
      <c r="J242" s="41"/>
      <c r="K242" s="271"/>
      <c r="L242" s="272"/>
      <c r="M242" s="102"/>
      <c r="N242" s="430"/>
      <c r="O242" s="435"/>
      <c r="P242" s="435"/>
      <c r="Q242" s="425"/>
      <c r="R242" s="422"/>
      <c r="S242" s="399"/>
      <c r="T242" s="399"/>
    </row>
    <row r="243" spans="1:20" s="81" customFormat="1" ht="15" customHeight="1">
      <c r="A243" s="441"/>
      <c r="B243" s="442"/>
      <c r="C243" s="48" t="s">
        <v>263</v>
      </c>
      <c r="D243" s="37">
        <v>0.12</v>
      </c>
      <c r="E243" s="41">
        <v>7.3681000000000001</v>
      </c>
      <c r="F243" s="38"/>
      <c r="G243" s="39">
        <f>ROUND(D243*(E243),2)</f>
        <v>0.88</v>
      </c>
      <c r="H243" s="270"/>
      <c r="I243" s="41"/>
      <c r="J243" s="41"/>
      <c r="K243" s="271"/>
      <c r="L243" s="272"/>
      <c r="M243" s="102"/>
      <c r="N243" s="434"/>
      <c r="O243" s="435"/>
      <c r="P243" s="435"/>
      <c r="Q243" s="425"/>
      <c r="R243" s="422"/>
      <c r="S243" s="399"/>
      <c r="T243" s="399"/>
    </row>
    <row r="244" spans="1:20" s="81" customFormat="1" ht="15.75" customHeight="1" thickBot="1">
      <c r="A244" s="445"/>
      <c r="B244" s="446"/>
      <c r="C244" s="54" t="s">
        <v>29</v>
      </c>
      <c r="D244" s="413">
        <v>50</v>
      </c>
      <c r="E244" s="56">
        <v>7.3681000000000001</v>
      </c>
      <c r="F244" s="281"/>
      <c r="G244" s="414">
        <f>ROUND(D244*(E244),2)</f>
        <v>368.41</v>
      </c>
      <c r="H244" s="280"/>
      <c r="I244" s="281"/>
      <c r="J244" s="281"/>
      <c r="K244" s="282"/>
      <c r="L244" s="204"/>
      <c r="M244" s="371"/>
      <c r="N244" s="426"/>
      <c r="O244" s="416"/>
      <c r="P244" s="416"/>
      <c r="Q244" s="417"/>
      <c r="R244" s="422"/>
      <c r="S244" s="399"/>
      <c r="T244" s="399"/>
    </row>
    <row r="245" spans="1:20" s="81" customFormat="1" ht="15" customHeight="1">
      <c r="A245" s="437">
        <v>305</v>
      </c>
      <c r="B245" s="438" t="s">
        <v>298</v>
      </c>
      <c r="C245" s="377" t="s">
        <v>73</v>
      </c>
      <c r="D245" s="378">
        <v>34</v>
      </c>
      <c r="E245" s="21">
        <v>41.244</v>
      </c>
      <c r="F245" s="21">
        <v>48.335999999999999</v>
      </c>
      <c r="G245" s="22">
        <f>+D245*(E245+F245)</f>
        <v>3045.72</v>
      </c>
      <c r="H245" s="303"/>
      <c r="I245" s="381"/>
      <c r="J245" s="381"/>
      <c r="K245" s="342"/>
      <c r="L245" s="263">
        <f>SUM(G245:G249,J245:J249)</f>
        <v>23498.68</v>
      </c>
      <c r="M245" s="26">
        <v>23498.68</v>
      </c>
      <c r="N245" s="421"/>
      <c r="O245" s="77"/>
      <c r="P245" s="77"/>
      <c r="Q245" s="384"/>
      <c r="R245" s="899"/>
      <c r="S245" s="399"/>
      <c r="T245" s="399"/>
    </row>
    <row r="246" spans="1:20" s="81" customFormat="1" ht="15" customHeight="1">
      <c r="A246" s="441"/>
      <c r="B246" s="442"/>
      <c r="C246" s="36" t="s">
        <v>26</v>
      </c>
      <c r="D246" s="37">
        <f>янв19!D242</f>
        <v>34</v>
      </c>
      <c r="E246" s="38">
        <f>41.244-40.5566</f>
        <v>0.68739999999999668</v>
      </c>
      <c r="F246" s="38">
        <f>48.336-47.5304</f>
        <v>0.80559999999999832</v>
      </c>
      <c r="G246" s="39">
        <f>ROUND(D246*(E246+F246),2)</f>
        <v>50.76</v>
      </c>
      <c r="H246" s="457"/>
      <c r="I246" s="392"/>
      <c r="J246" s="402"/>
      <c r="K246" s="393"/>
      <c r="L246" s="459"/>
      <c r="M246" s="44"/>
      <c r="N246" s="430"/>
      <c r="O246" s="435"/>
      <c r="P246" s="435"/>
      <c r="Q246" s="425"/>
      <c r="R246" s="422"/>
      <c r="S246" s="399"/>
      <c r="T246" s="399"/>
    </row>
    <row r="247" spans="1:20" s="81" customFormat="1" ht="15" customHeight="1">
      <c r="A247" s="441"/>
      <c r="B247" s="442"/>
      <c r="C247" s="48" t="s">
        <v>260</v>
      </c>
      <c r="D247" s="37">
        <f>янв19!D245+янв19!D246</f>
        <v>2445.89</v>
      </c>
      <c r="E247" s="41">
        <f>7.3681-6.9835</f>
        <v>0.38459999999999983</v>
      </c>
      <c r="F247" s="38"/>
      <c r="G247" s="39">
        <f>ROUND(D247*(E247),2)</f>
        <v>940.69</v>
      </c>
      <c r="H247" s="270"/>
      <c r="I247" s="41"/>
      <c r="J247" s="41"/>
      <c r="K247" s="271"/>
      <c r="L247" s="272"/>
      <c r="M247" s="102"/>
      <c r="N247" s="430"/>
      <c r="O247" s="435"/>
      <c r="P247" s="435"/>
      <c r="Q247" s="425"/>
      <c r="R247" s="422"/>
      <c r="S247" s="399"/>
      <c r="T247" s="399"/>
    </row>
    <row r="248" spans="1:20" s="81" customFormat="1" ht="15" customHeight="1">
      <c r="A248" s="441"/>
      <c r="B248" s="442"/>
      <c r="C248" s="48" t="s">
        <v>263</v>
      </c>
      <c r="D248" s="37">
        <f>5.22+0.9+0.2</f>
        <v>6.32</v>
      </c>
      <c r="E248" s="41">
        <v>7.3681000000000001</v>
      </c>
      <c r="F248" s="38"/>
      <c r="G248" s="39">
        <f>ROUND(D248*(E248),2)</f>
        <v>46.57</v>
      </c>
      <c r="H248" s="270"/>
      <c r="I248" s="41"/>
      <c r="J248" s="41"/>
      <c r="K248" s="271"/>
      <c r="L248" s="272"/>
      <c r="M248" s="102"/>
      <c r="N248" s="434"/>
      <c r="O248" s="435"/>
      <c r="P248" s="435"/>
      <c r="Q248" s="425"/>
      <c r="R248" s="422"/>
      <c r="S248" s="399"/>
      <c r="T248" s="399"/>
    </row>
    <row r="249" spans="1:20" s="81" customFormat="1" ht="15.75" customHeight="1" thickBot="1">
      <c r="A249" s="445"/>
      <c r="B249" s="446"/>
      <c r="C249" s="54" t="s">
        <v>29</v>
      </c>
      <c r="D249" s="413">
        <f>2177+374+84</f>
        <v>2635</v>
      </c>
      <c r="E249" s="56">
        <v>7.3681000000000001</v>
      </c>
      <c r="F249" s="281"/>
      <c r="G249" s="414">
        <f>ROUND(D249*(E249),2)</f>
        <v>19414.939999999999</v>
      </c>
      <c r="H249" s="280"/>
      <c r="I249" s="281"/>
      <c r="J249" s="281"/>
      <c r="K249" s="282"/>
      <c r="L249" s="204"/>
      <c r="M249" s="371"/>
      <c r="N249" s="426"/>
      <c r="O249" s="416"/>
      <c r="P249" s="416"/>
      <c r="Q249" s="417"/>
      <c r="R249" s="422"/>
      <c r="S249" s="399"/>
      <c r="T249" s="399"/>
    </row>
    <row r="250" spans="1:20" s="81" customFormat="1" ht="15" customHeight="1">
      <c r="A250" s="447">
        <v>400</v>
      </c>
      <c r="B250" s="903" t="s">
        <v>238</v>
      </c>
      <c r="C250" s="377" t="s">
        <v>73</v>
      </c>
      <c r="D250" s="378">
        <v>41</v>
      </c>
      <c r="E250" s="21">
        <v>41.244</v>
      </c>
      <c r="F250" s="21">
        <v>48.335999999999999</v>
      </c>
      <c r="G250" s="22">
        <f>+D250*(E250+F250)</f>
        <v>3672.7799999999997</v>
      </c>
      <c r="H250" s="303"/>
      <c r="I250" s="381"/>
      <c r="J250" s="381"/>
      <c r="K250" s="342"/>
      <c r="L250" s="263">
        <f>SUM(G250:G254,J250:J254)</f>
        <v>67582.179999999993</v>
      </c>
      <c r="M250" s="26">
        <v>67582.179999999993</v>
      </c>
      <c r="N250" s="421"/>
      <c r="O250" s="77"/>
      <c r="P250" s="77"/>
      <c r="Q250" s="384"/>
      <c r="R250" s="899"/>
      <c r="S250" s="399"/>
      <c r="T250" s="399"/>
    </row>
    <row r="251" spans="1:20" s="81" customFormat="1" ht="15" customHeight="1" thickBot="1">
      <c r="A251" s="450"/>
      <c r="B251" s="469"/>
      <c r="C251" s="36" t="s">
        <v>26</v>
      </c>
      <c r="D251" s="37">
        <f>янв19!D247</f>
        <v>10</v>
      </c>
      <c r="E251" s="38">
        <f>41.244-40.5566</f>
        <v>0.68739999999999668</v>
      </c>
      <c r="F251" s="38">
        <f>48.336-47.5304</f>
        <v>0.80559999999999832</v>
      </c>
      <c r="G251" s="39">
        <f>ROUND(D251*(E251+F251),2)</f>
        <v>14.93</v>
      </c>
      <c r="H251" s="457"/>
      <c r="I251" s="392"/>
      <c r="J251" s="402"/>
      <c r="K251" s="393"/>
      <c r="L251" s="459"/>
      <c r="M251" s="44"/>
      <c r="N251" s="430"/>
      <c r="O251" s="435"/>
      <c r="P251" s="435"/>
      <c r="Q251" s="425"/>
      <c r="R251" s="422"/>
      <c r="S251" s="399"/>
      <c r="T251" s="399"/>
    </row>
    <row r="252" spans="1:20" s="81" customFormat="1" ht="15.75" customHeight="1">
      <c r="A252" s="984"/>
      <c r="C252" s="439" t="s">
        <v>260</v>
      </c>
      <c r="D252" s="904">
        <f>янв19!D250+янв19!D251</f>
        <v>7662.35</v>
      </c>
      <c r="E252" s="23">
        <f>7.3681-6.9835</f>
        <v>0.38459999999999983</v>
      </c>
      <c r="F252" s="905"/>
      <c r="G252" s="22">
        <f>ROUND(D252*E252,2)+0.01</f>
        <v>2946.9500000000003</v>
      </c>
      <c r="H252" s="303"/>
      <c r="I252" s="23"/>
      <c r="J252" s="23"/>
      <c r="K252" s="304"/>
      <c r="L252" s="263"/>
      <c r="M252" s="26"/>
      <c r="N252" s="421"/>
      <c r="O252" s="77"/>
      <c r="P252" s="77"/>
      <c r="Q252" s="384"/>
      <c r="R252" s="422"/>
      <c r="S252" s="399"/>
      <c r="T252" s="399"/>
    </row>
    <row r="253" spans="1:20" s="81" customFormat="1" ht="15.75" customHeight="1">
      <c r="A253" s="450"/>
      <c r="B253" s="469"/>
      <c r="C253" s="48" t="s">
        <v>263</v>
      </c>
      <c r="D253" s="471">
        <f>13.91+3.4+2.5</f>
        <v>19.809999999999999</v>
      </c>
      <c r="E253" s="41">
        <v>7.3681000000000001</v>
      </c>
      <c r="F253" s="473"/>
      <c r="G253" s="449">
        <f>ROUND(D253*E253,2)</f>
        <v>145.96</v>
      </c>
      <c r="H253" s="260"/>
      <c r="I253" s="261"/>
      <c r="J253" s="261"/>
      <c r="K253" s="262"/>
      <c r="L253" s="286"/>
      <c r="M253" s="90"/>
      <c r="N253" s="423"/>
      <c r="O253" s="406"/>
      <c r="P253" s="406"/>
      <c r="Q253" s="407"/>
      <c r="R253" s="422"/>
      <c r="S253" s="399"/>
      <c r="T253" s="399"/>
    </row>
    <row r="254" spans="1:20" s="81" customFormat="1" ht="15.75" customHeight="1" thickBot="1">
      <c r="A254" s="451"/>
      <c r="B254" s="859"/>
      <c r="C254" s="54" t="s">
        <v>29</v>
      </c>
      <c r="D254" s="860">
        <f>5794+1417+1041</f>
        <v>8252</v>
      </c>
      <c r="E254" s="56">
        <v>7.3681000000000001</v>
      </c>
      <c r="F254" s="861"/>
      <c r="G254" s="414">
        <f t="shared" ref="G254" si="47">ROUND(D254*E254,2)</f>
        <v>60801.56</v>
      </c>
      <c r="H254" s="280"/>
      <c r="I254" s="281"/>
      <c r="J254" s="281"/>
      <c r="K254" s="282"/>
      <c r="L254" s="204"/>
      <c r="M254" s="371"/>
      <c r="N254" s="426"/>
      <c r="O254" s="416"/>
      <c r="P254" s="416"/>
      <c r="Q254" s="417"/>
      <c r="R254" s="422"/>
      <c r="S254" s="399"/>
      <c r="T254" s="399"/>
    </row>
    <row r="255" spans="1:20" s="81" customFormat="1" ht="15" customHeight="1">
      <c r="A255" s="437">
        <v>402</v>
      </c>
      <c r="B255" s="438" t="s">
        <v>122</v>
      </c>
      <c r="C255" s="439"/>
      <c r="D255" s="378"/>
      <c r="E255" s="23"/>
      <c r="F255" s="23"/>
      <c r="G255" s="22"/>
      <c r="H255" s="303"/>
      <c r="I255" s="23"/>
      <c r="J255" s="23"/>
      <c r="K255" s="304"/>
      <c r="L255" s="382">
        <f>+SUM(G255:G258,J255:J258)</f>
        <v>1464.56</v>
      </c>
      <c r="M255" s="26">
        <v>1464.56</v>
      </c>
      <c r="N255" s="421"/>
      <c r="O255" s="77"/>
      <c r="P255" s="77"/>
      <c r="Q255" s="384"/>
      <c r="R255" s="899"/>
      <c r="S255" s="399"/>
      <c r="T255" s="399"/>
    </row>
    <row r="256" spans="1:20" s="81" customFormat="1" ht="15" customHeight="1" thickBot="1">
      <c r="A256" s="441"/>
      <c r="B256" s="442"/>
      <c r="C256" s="48" t="s">
        <v>260</v>
      </c>
      <c r="D256" s="37">
        <f>янв19!D254+янв19!D255</f>
        <v>293.7</v>
      </c>
      <c r="E256" s="41">
        <f>7.3681-6.9835</f>
        <v>0.38459999999999983</v>
      </c>
      <c r="F256" s="41"/>
      <c r="G256" s="414">
        <f>ROUND(D256*E256,2)</f>
        <v>112.96</v>
      </c>
      <c r="H256" s="260"/>
      <c r="I256" s="261"/>
      <c r="J256" s="261"/>
      <c r="K256" s="262"/>
      <c r="L256" s="394"/>
      <c r="M256" s="90"/>
      <c r="N256" s="443"/>
      <c r="O256" s="94"/>
      <c r="P256" s="94"/>
      <c r="Q256" s="396"/>
      <c r="R256" s="899"/>
      <c r="S256" s="399"/>
      <c r="T256" s="399"/>
    </row>
    <row r="257" spans="1:20" s="81" customFormat="1" ht="15" customHeight="1" thickBot="1">
      <c r="A257" s="441"/>
      <c r="B257" s="444"/>
      <c r="C257" s="48" t="s">
        <v>263</v>
      </c>
      <c r="D257" s="37">
        <v>0.44</v>
      </c>
      <c r="E257" s="41">
        <v>7.3681000000000001</v>
      </c>
      <c r="F257" s="41"/>
      <c r="G257" s="414">
        <f>ROUND(D257*E257,2)</f>
        <v>3.24</v>
      </c>
      <c r="H257" s="432"/>
      <c r="I257" s="207"/>
      <c r="J257" s="207"/>
      <c r="K257" s="362"/>
      <c r="L257" s="433"/>
      <c r="M257" s="63"/>
      <c r="N257" s="423"/>
      <c r="O257" s="406"/>
      <c r="P257" s="406"/>
      <c r="Q257" s="407"/>
      <c r="R257" s="899"/>
      <c r="S257" s="399"/>
      <c r="T257" s="399"/>
    </row>
    <row r="258" spans="1:20" s="81" customFormat="1" ht="15" customHeight="1" thickBot="1">
      <c r="A258" s="445"/>
      <c r="B258" s="446"/>
      <c r="C258" s="99" t="s">
        <v>29</v>
      </c>
      <c r="D258" s="413">
        <v>183</v>
      </c>
      <c r="E258" s="56">
        <v>7.3681000000000001</v>
      </c>
      <c r="F258" s="281"/>
      <c r="G258" s="414">
        <f>ROUND(D258*E258,2)</f>
        <v>1348.36</v>
      </c>
      <c r="H258" s="280"/>
      <c r="I258" s="281"/>
      <c r="J258" s="281"/>
      <c r="K258" s="282"/>
      <c r="L258" s="204"/>
      <c r="M258" s="371"/>
      <c r="N258" s="434"/>
      <c r="O258" s="435"/>
      <c r="P258" s="435"/>
      <c r="Q258" s="425"/>
      <c r="R258" s="899"/>
      <c r="S258" s="399"/>
      <c r="T258" s="399"/>
    </row>
    <row r="259" spans="1:20" s="81" customFormat="1" ht="15.75" customHeight="1">
      <c r="A259" s="447">
        <v>403</v>
      </c>
      <c r="B259" s="438" t="s">
        <v>126</v>
      </c>
      <c r="C259" s="439" t="s">
        <v>260</v>
      </c>
      <c r="D259" s="900">
        <f>янв19!D257+янв19!D258</f>
        <v>119.29</v>
      </c>
      <c r="E259" s="23">
        <f>7.3681-6.9835</f>
        <v>0.38459999999999983</v>
      </c>
      <c r="F259" s="23"/>
      <c r="G259" s="22">
        <f>ROUND(D259*E259,2)-0.01</f>
        <v>45.870000000000005</v>
      </c>
      <c r="H259" s="303"/>
      <c r="I259" s="23"/>
      <c r="J259" s="23"/>
      <c r="K259" s="304"/>
      <c r="L259" s="263">
        <f>SUM(G259:G261)</f>
        <v>791.81999999999994</v>
      </c>
      <c r="M259" s="26">
        <v>791.82</v>
      </c>
      <c r="N259" s="421"/>
      <c r="O259" s="77"/>
      <c r="P259" s="77"/>
      <c r="Q259" s="384"/>
      <c r="R259" s="422"/>
      <c r="S259" s="399"/>
      <c r="T259" s="399"/>
    </row>
    <row r="260" spans="1:20" s="81" customFormat="1" ht="15.75" customHeight="1">
      <c r="A260" s="450"/>
      <c r="B260" s="442"/>
      <c r="C260" s="48" t="s">
        <v>263</v>
      </c>
      <c r="D260" s="448">
        <v>0.24</v>
      </c>
      <c r="E260" s="41">
        <v>7.3681000000000001</v>
      </c>
      <c r="F260" s="261"/>
      <c r="G260" s="449">
        <f t="shared" ref="G260:G261" si="48">ROUND(D260*E260,2)</f>
        <v>1.77</v>
      </c>
      <c r="H260" s="260"/>
      <c r="I260" s="261"/>
      <c r="J260" s="261"/>
      <c r="K260" s="262"/>
      <c r="L260" s="286"/>
      <c r="M260" s="90"/>
      <c r="N260" s="423"/>
      <c r="O260" s="406"/>
      <c r="P260" s="406"/>
      <c r="Q260" s="407"/>
      <c r="R260" s="422"/>
      <c r="S260" s="399"/>
      <c r="T260" s="399"/>
    </row>
    <row r="261" spans="1:20" s="81" customFormat="1" ht="15.75" customHeight="1" thickBot="1">
      <c r="A261" s="451"/>
      <c r="B261" s="446"/>
      <c r="C261" s="54" t="s">
        <v>29</v>
      </c>
      <c r="D261" s="901">
        <v>101</v>
      </c>
      <c r="E261" s="56">
        <v>7.3681000000000001</v>
      </c>
      <c r="F261" s="281"/>
      <c r="G261" s="414">
        <f t="shared" si="48"/>
        <v>744.18</v>
      </c>
      <c r="H261" s="280"/>
      <c r="I261" s="281"/>
      <c r="J261" s="281"/>
      <c r="K261" s="282"/>
      <c r="L261" s="204"/>
      <c r="M261" s="371"/>
      <c r="N261" s="426"/>
      <c r="O261" s="416"/>
      <c r="P261" s="416"/>
      <c r="Q261" s="417"/>
      <c r="R261" s="422"/>
      <c r="S261" s="399"/>
      <c r="T261" s="399"/>
    </row>
    <row r="262" spans="1:20" s="81" customFormat="1" ht="15.75" customHeight="1">
      <c r="A262" s="906">
        <v>404</v>
      </c>
      <c r="B262" s="903" t="s">
        <v>191</v>
      </c>
      <c r="C262" s="48" t="s">
        <v>260</v>
      </c>
      <c r="D262" s="471">
        <f>янв19!D260+янв19!D261</f>
        <v>386.93</v>
      </c>
      <c r="E262" s="41">
        <f>7.3681-6.9835</f>
        <v>0.38459999999999983</v>
      </c>
      <c r="F262" s="473"/>
      <c r="G262" s="862">
        <f>ROUND(D262*E262,2)-0.01</f>
        <v>148.80000000000001</v>
      </c>
      <c r="H262" s="270"/>
      <c r="I262" s="41"/>
      <c r="J262" s="41"/>
      <c r="K262" s="271"/>
      <c r="L262" s="263">
        <f>SUM(G262:G264)</f>
        <v>2224.1800000000003</v>
      </c>
      <c r="M262" s="878">
        <v>2224.1799999999998</v>
      </c>
      <c r="N262" s="421"/>
      <c r="O262" s="406"/>
      <c r="P262" s="406"/>
      <c r="Q262" s="407"/>
      <c r="R262" s="422"/>
      <c r="S262" s="399"/>
      <c r="T262" s="399"/>
    </row>
    <row r="263" spans="1:20" s="81" customFormat="1" ht="15.75" customHeight="1">
      <c r="A263" s="468"/>
      <c r="B263" s="469"/>
      <c r="C263" s="48" t="s">
        <v>263</v>
      </c>
      <c r="D263" s="471">
        <v>0.67</v>
      </c>
      <c r="E263" s="41">
        <v>7.3681000000000001</v>
      </c>
      <c r="F263" s="473"/>
      <c r="G263" s="862">
        <f>ROUND(D263*E263,2)</f>
        <v>4.9400000000000004</v>
      </c>
      <c r="H263" s="270"/>
      <c r="I263" s="41"/>
      <c r="J263" s="41"/>
      <c r="K263" s="271"/>
      <c r="L263" s="272"/>
      <c r="M263" s="878"/>
      <c r="N263" s="423"/>
      <c r="O263" s="406"/>
      <c r="P263" s="406"/>
      <c r="Q263" s="407"/>
      <c r="R263" s="422"/>
      <c r="S263" s="399"/>
      <c r="T263" s="399"/>
    </row>
    <row r="264" spans="1:20" s="81" customFormat="1" ht="15.75" customHeight="1" thickBot="1">
      <c r="A264" s="858"/>
      <c r="B264" s="859"/>
      <c r="C264" s="54" t="s">
        <v>29</v>
      </c>
      <c r="D264" s="860">
        <v>281</v>
      </c>
      <c r="E264" s="56">
        <v>7.3681000000000001</v>
      </c>
      <c r="F264" s="861"/>
      <c r="G264" s="866">
        <f t="shared" ref="G264" si="49">ROUND(D264*E264,2)</f>
        <v>2070.44</v>
      </c>
      <c r="H264" s="280"/>
      <c r="I264" s="281"/>
      <c r="J264" s="281"/>
      <c r="K264" s="282"/>
      <c r="L264" s="204"/>
      <c r="M264" s="880"/>
      <c r="N264" s="426"/>
      <c r="O264" s="416"/>
      <c r="P264" s="416"/>
      <c r="Q264" s="417"/>
      <c r="R264" s="422"/>
      <c r="S264" s="399"/>
      <c r="T264" s="399"/>
    </row>
    <row r="265" spans="1:20" s="81" customFormat="1" ht="15.75" customHeight="1">
      <c r="A265" s="902">
        <v>405</v>
      </c>
      <c r="B265" s="903" t="s">
        <v>147</v>
      </c>
      <c r="C265" s="439" t="s">
        <v>260</v>
      </c>
      <c r="D265" s="904">
        <f>янв19!D263+янв19!D264</f>
        <v>148.36000000000001</v>
      </c>
      <c r="E265" s="23">
        <f>7.3681-6.9835</f>
        <v>0.38459999999999983</v>
      </c>
      <c r="F265" s="905"/>
      <c r="G265" s="22">
        <f>ROUND(D265*E265,2)</f>
        <v>57.06</v>
      </c>
      <c r="H265" s="303"/>
      <c r="I265" s="261"/>
      <c r="J265" s="261"/>
      <c r="K265" s="262"/>
      <c r="L265" s="286">
        <f>SUM(G265:G267)</f>
        <v>1246.19</v>
      </c>
      <c r="M265" s="90">
        <v>1246.19</v>
      </c>
      <c r="N265" s="421"/>
      <c r="O265" s="77"/>
      <c r="P265" s="77"/>
      <c r="Q265" s="384"/>
      <c r="R265" s="422"/>
      <c r="S265" s="399"/>
      <c r="T265" s="399"/>
    </row>
    <row r="266" spans="1:20" s="81" customFormat="1" ht="15.75" customHeight="1">
      <c r="A266" s="468"/>
      <c r="B266" s="469"/>
      <c r="C266" s="48" t="s">
        <v>263</v>
      </c>
      <c r="D266" s="471">
        <v>0.39</v>
      </c>
      <c r="E266" s="41">
        <v>7.3681000000000001</v>
      </c>
      <c r="F266" s="473"/>
      <c r="G266" s="449">
        <f>ROUND(D266*E266,2)</f>
        <v>2.87</v>
      </c>
      <c r="H266" s="260"/>
      <c r="I266" s="261"/>
      <c r="J266" s="261"/>
      <c r="K266" s="262"/>
      <c r="L266" s="286"/>
      <c r="M266" s="90"/>
      <c r="N266" s="423"/>
      <c r="O266" s="406"/>
      <c r="P266" s="406"/>
      <c r="Q266" s="407"/>
      <c r="R266" s="422"/>
      <c r="S266" s="399"/>
      <c r="T266" s="399"/>
    </row>
    <row r="267" spans="1:20" s="81" customFormat="1" ht="15.75" customHeight="1" thickBot="1">
      <c r="A267" s="701"/>
      <c r="B267" s="702"/>
      <c r="C267" s="99" t="s">
        <v>29</v>
      </c>
      <c r="D267" s="703">
        <v>161</v>
      </c>
      <c r="E267" s="56">
        <v>7.3681000000000001</v>
      </c>
      <c r="F267" s="704"/>
      <c r="G267" s="39">
        <f t="shared" ref="G267" si="50">ROUND(D267*E267,2)</f>
        <v>1186.26</v>
      </c>
      <c r="H267" s="280"/>
      <c r="I267" s="281"/>
      <c r="J267" s="281"/>
      <c r="K267" s="282"/>
      <c r="L267" s="204"/>
      <c r="M267" s="371"/>
      <c r="N267" s="426"/>
      <c r="O267" s="416"/>
      <c r="P267" s="416"/>
      <c r="Q267" s="417"/>
      <c r="R267" s="422"/>
      <c r="S267" s="399"/>
      <c r="T267" s="399"/>
    </row>
    <row r="268" spans="1:20" s="81" customFormat="1" ht="15.75" hidden="1" customHeight="1" outlineLevel="1" thickBot="1">
      <c r="A268" s="910"/>
      <c r="B268" s="911" t="s">
        <v>155</v>
      </c>
      <c r="C268" s="573" t="s">
        <v>115</v>
      </c>
      <c r="D268" s="912"/>
      <c r="E268" s="579">
        <f>7.0379-7.0426</f>
        <v>-4.7000000000005926E-3</v>
      </c>
      <c r="F268" s="580"/>
      <c r="G268" s="913">
        <f>ROUND(D268*E268,2)</f>
        <v>0</v>
      </c>
      <c r="H268" s="914"/>
      <c r="I268" s="23"/>
      <c r="J268" s="23"/>
      <c r="K268" s="304"/>
      <c r="L268" s="263">
        <f>SUM(G268:G270)</f>
        <v>0</v>
      </c>
      <c r="M268" s="26"/>
      <c r="N268" s="421"/>
      <c r="O268" s="77"/>
      <c r="P268" s="77"/>
      <c r="Q268" s="384"/>
      <c r="R268" s="422"/>
      <c r="S268" s="399"/>
      <c r="T268" s="399"/>
    </row>
    <row r="269" spans="1:20" s="81" customFormat="1" ht="15.75" hidden="1" customHeight="1" outlineLevel="1" thickBot="1">
      <c r="A269" s="910"/>
      <c r="B269" s="915"/>
      <c r="C269" s="573" t="s">
        <v>114</v>
      </c>
      <c r="D269" s="912"/>
      <c r="E269" s="579">
        <v>7.0378999999999996</v>
      </c>
      <c r="F269" s="580"/>
      <c r="G269" s="913">
        <f>ROUND(D269*E269,2)</f>
        <v>0</v>
      </c>
      <c r="H269" s="914"/>
      <c r="I269" s="261"/>
      <c r="J269" s="261"/>
      <c r="K269" s="262"/>
      <c r="L269" s="286"/>
      <c r="M269" s="90"/>
      <c r="N269" s="423"/>
      <c r="O269" s="406"/>
      <c r="P269" s="406"/>
      <c r="Q269" s="407"/>
      <c r="R269" s="422"/>
      <c r="S269" s="399"/>
      <c r="T269" s="399"/>
    </row>
    <row r="270" spans="1:20" s="81" customFormat="1" ht="15.75" hidden="1" customHeight="1" outlineLevel="1" thickBot="1">
      <c r="A270" s="910"/>
      <c r="B270" s="915"/>
      <c r="C270" s="916" t="s">
        <v>29</v>
      </c>
      <c r="D270" s="912"/>
      <c r="E270" s="917">
        <v>7.0378999999999996</v>
      </c>
      <c r="F270" s="580"/>
      <c r="G270" s="913">
        <f t="shared" ref="G270" si="51">ROUND(D270*E270,2)</f>
        <v>0</v>
      </c>
      <c r="H270" s="914"/>
      <c r="I270" s="281"/>
      <c r="J270" s="281"/>
      <c r="K270" s="282"/>
      <c r="L270" s="204"/>
      <c r="M270" s="371"/>
      <c r="N270" s="426"/>
      <c r="O270" s="416"/>
      <c r="P270" s="416"/>
      <c r="Q270" s="417"/>
      <c r="R270" s="422"/>
      <c r="S270" s="399"/>
      <c r="T270" s="399"/>
    </row>
    <row r="271" spans="1:20" s="81" customFormat="1" ht="15.75" customHeight="1" collapsed="1">
      <c r="A271" s="902">
        <v>406</v>
      </c>
      <c r="B271" s="903" t="s">
        <v>317</v>
      </c>
      <c r="C271" s="439" t="s">
        <v>260</v>
      </c>
      <c r="D271" s="904"/>
      <c r="E271" s="23">
        <f>7.3681-6.9835</f>
        <v>0.38459999999999983</v>
      </c>
      <c r="F271" s="905"/>
      <c r="G271" s="22">
        <f>ROUND(D271*E271,2)</f>
        <v>0</v>
      </c>
      <c r="H271" s="303"/>
      <c r="I271" s="261"/>
      <c r="J271" s="261"/>
      <c r="K271" s="262"/>
      <c r="L271" s="286">
        <f>SUM(G271:G273)</f>
        <v>214.19</v>
      </c>
      <c r="M271" s="90">
        <v>214.19</v>
      </c>
      <c r="N271" s="421"/>
      <c r="O271" s="77"/>
      <c r="P271" s="77"/>
      <c r="Q271" s="384"/>
      <c r="R271" s="422"/>
      <c r="S271" s="399"/>
      <c r="T271" s="399"/>
    </row>
    <row r="272" spans="1:20" s="81" customFormat="1" ht="15.75" customHeight="1">
      <c r="A272" s="468"/>
      <c r="B272" s="469"/>
      <c r="C272" s="48" t="s">
        <v>263</v>
      </c>
      <c r="D272" s="471">
        <v>7.0000000000000007E-2</v>
      </c>
      <c r="E272" s="41">
        <v>7.3681000000000001</v>
      </c>
      <c r="F272" s="473"/>
      <c r="G272" s="449">
        <f>ROUND(D272*E272,2)</f>
        <v>0.52</v>
      </c>
      <c r="H272" s="260"/>
      <c r="I272" s="261"/>
      <c r="J272" s="261"/>
      <c r="K272" s="262"/>
      <c r="L272" s="286"/>
      <c r="M272" s="90"/>
      <c r="N272" s="423"/>
      <c r="O272" s="406"/>
      <c r="P272" s="406"/>
      <c r="Q272" s="407"/>
      <c r="R272" s="422"/>
      <c r="S272" s="399"/>
      <c r="T272" s="399"/>
    </row>
    <row r="273" spans="1:20" s="81" customFormat="1" ht="15.75" customHeight="1" thickBot="1">
      <c r="A273" s="701"/>
      <c r="B273" s="702"/>
      <c r="C273" s="99" t="s">
        <v>29</v>
      </c>
      <c r="D273" s="703">
        <v>29</v>
      </c>
      <c r="E273" s="56">
        <v>7.3681000000000001</v>
      </c>
      <c r="F273" s="704"/>
      <c r="G273" s="39">
        <f t="shared" ref="G273" si="52">ROUND(D273*E273,2)</f>
        <v>213.67</v>
      </c>
      <c r="H273" s="280"/>
      <c r="I273" s="281"/>
      <c r="J273" s="281"/>
      <c r="K273" s="282"/>
      <c r="L273" s="204"/>
      <c r="M273" s="371"/>
      <c r="N273" s="426"/>
      <c r="O273" s="416"/>
      <c r="P273" s="416"/>
      <c r="Q273" s="417"/>
      <c r="R273" s="422"/>
      <c r="S273" s="399"/>
      <c r="T273" s="399"/>
    </row>
    <row r="274" spans="1:20" s="81" customFormat="1" ht="15.75" customHeight="1" collapsed="1">
      <c r="A274" s="902">
        <v>407</v>
      </c>
      <c r="B274" s="903" t="s">
        <v>160</v>
      </c>
      <c r="C274" s="439" t="s">
        <v>260</v>
      </c>
      <c r="D274" s="904">
        <f>янв19!D269+янв19!D270</f>
        <v>9.02</v>
      </c>
      <c r="E274" s="23">
        <f>7.3681-6.9835</f>
        <v>0.38459999999999983</v>
      </c>
      <c r="F274" s="905"/>
      <c r="G274" s="22">
        <f>ROUND(D274*E274,2)-0.01</f>
        <v>3.4600000000000004</v>
      </c>
      <c r="H274" s="303"/>
      <c r="I274" s="23"/>
      <c r="J274" s="23"/>
      <c r="K274" s="304"/>
      <c r="L274" s="263">
        <f>SUM(G274:G276)</f>
        <v>173.37</v>
      </c>
      <c r="M274" s="26">
        <v>173.37</v>
      </c>
      <c r="N274" s="421"/>
      <c r="O274" s="77"/>
      <c r="P274" s="77"/>
      <c r="Q274" s="384"/>
      <c r="R274" s="422"/>
      <c r="S274" s="399"/>
      <c r="T274" s="399"/>
    </row>
    <row r="275" spans="1:20" s="81" customFormat="1" ht="15.75" customHeight="1">
      <c r="A275" s="468"/>
      <c r="B275" s="469"/>
      <c r="C275" s="48" t="s">
        <v>263</v>
      </c>
      <c r="D275" s="471">
        <v>0.06</v>
      </c>
      <c r="E275" s="41">
        <v>7.3681000000000001</v>
      </c>
      <c r="F275" s="473"/>
      <c r="G275" s="449">
        <f>ROUND(D275*E275,2)</f>
        <v>0.44</v>
      </c>
      <c r="H275" s="260"/>
      <c r="I275" s="261"/>
      <c r="J275" s="261"/>
      <c r="K275" s="262"/>
      <c r="L275" s="286"/>
      <c r="M275" s="90"/>
      <c r="N275" s="423"/>
      <c r="O275" s="406"/>
      <c r="P275" s="406"/>
      <c r="Q275" s="407"/>
      <c r="R275" s="422"/>
      <c r="S275" s="399"/>
      <c r="T275" s="399"/>
    </row>
    <row r="276" spans="1:20" s="81" customFormat="1" ht="15.75" customHeight="1" thickBot="1">
      <c r="A276" s="858"/>
      <c r="B276" s="859"/>
      <c r="C276" s="54" t="s">
        <v>29</v>
      </c>
      <c r="D276" s="860">
        <v>23</v>
      </c>
      <c r="E276" s="56">
        <v>7.3681000000000001</v>
      </c>
      <c r="F276" s="861"/>
      <c r="G276" s="414">
        <f t="shared" ref="G276" si="53">ROUND(D276*E276,2)</f>
        <v>169.47</v>
      </c>
      <c r="H276" s="280"/>
      <c r="I276" s="281"/>
      <c r="J276" s="281"/>
      <c r="K276" s="282"/>
      <c r="L276" s="204"/>
      <c r="M276" s="371"/>
      <c r="N276" s="426"/>
      <c r="O276" s="416"/>
      <c r="P276" s="416"/>
      <c r="Q276" s="417"/>
      <c r="R276" s="422"/>
      <c r="S276" s="399"/>
      <c r="T276" s="399"/>
    </row>
    <row r="277" spans="1:20" s="81" customFormat="1" ht="15.75" customHeight="1">
      <c r="A277" s="906">
        <v>408</v>
      </c>
      <c r="B277" s="903" t="s">
        <v>253</v>
      </c>
      <c r="C277" s="382" t="s">
        <v>73</v>
      </c>
      <c r="D277" s="904">
        <v>27</v>
      </c>
      <c r="E277" s="907">
        <v>41.244</v>
      </c>
      <c r="F277" s="905">
        <v>48.335999999999999</v>
      </c>
      <c r="G277" s="908">
        <f>ROUND(D277*E277+D277*F277,2)</f>
        <v>2418.66</v>
      </c>
      <c r="H277" s="303"/>
      <c r="I277" s="23"/>
      <c r="J277" s="23"/>
      <c r="K277" s="304"/>
      <c r="L277" s="263">
        <f>SUM(G277:G281)</f>
        <v>11752.39</v>
      </c>
      <c r="M277" s="877">
        <v>11752.39</v>
      </c>
      <c r="N277" s="430"/>
      <c r="O277" s="77"/>
      <c r="P277" s="77"/>
      <c r="Q277" s="384"/>
      <c r="R277" s="422"/>
      <c r="S277" s="399"/>
      <c r="T277" s="399"/>
    </row>
    <row r="278" spans="1:20" s="81" customFormat="1" ht="15.75" customHeight="1" thickBot="1">
      <c r="A278" s="909"/>
      <c r="B278" s="469"/>
      <c r="C278" s="429" t="s">
        <v>26</v>
      </c>
      <c r="D278" s="471">
        <f>янв19!D271</f>
        <v>21</v>
      </c>
      <c r="E278" s="876">
        <f>41.244-40.5566</f>
        <v>0.68739999999999668</v>
      </c>
      <c r="F278" s="473">
        <f>48.336-47.5304</f>
        <v>0.80559999999999832</v>
      </c>
      <c r="G278" s="862">
        <f>ROUND(D278*E278+D278*F278,2)</f>
        <v>31.35</v>
      </c>
      <c r="H278" s="270"/>
      <c r="I278" s="41"/>
      <c r="J278" s="41"/>
      <c r="K278" s="271"/>
      <c r="L278" s="272"/>
      <c r="M278" s="878"/>
      <c r="N278" s="430"/>
      <c r="O278" s="406"/>
      <c r="P278" s="406"/>
      <c r="Q278" s="407"/>
      <c r="R278" s="422"/>
      <c r="S278" s="399"/>
      <c r="T278" s="399"/>
    </row>
    <row r="279" spans="1:20" s="81" customFormat="1" ht="15.75" customHeight="1">
      <c r="A279" s="468"/>
      <c r="B279" s="699"/>
      <c r="C279" s="48" t="s">
        <v>260</v>
      </c>
      <c r="D279" s="471">
        <f>янв19!D274+янв19!D275</f>
        <v>1277.06</v>
      </c>
      <c r="E279" s="41">
        <f>7.3681-6.9835</f>
        <v>0.38459999999999983</v>
      </c>
      <c r="F279" s="473"/>
      <c r="G279" s="862">
        <f>ROUND(D279*E279,2)+0.01</f>
        <v>491.17</v>
      </c>
      <c r="H279" s="270"/>
      <c r="I279" s="41"/>
      <c r="J279" s="41"/>
      <c r="K279" s="271"/>
      <c r="L279" s="272"/>
      <c r="M279" s="878"/>
      <c r="N279" s="421"/>
      <c r="O279" s="406"/>
      <c r="P279" s="406"/>
      <c r="Q279" s="407"/>
      <c r="R279" s="422"/>
      <c r="S279" s="399"/>
      <c r="T279" s="399"/>
    </row>
    <row r="280" spans="1:20" s="81" customFormat="1" ht="15.75" customHeight="1">
      <c r="A280" s="468"/>
      <c r="B280" s="469"/>
      <c r="C280" s="48" t="s">
        <v>263</v>
      </c>
      <c r="D280" s="471">
        <f>2.71+0.15</f>
        <v>2.86</v>
      </c>
      <c r="E280" s="41">
        <v>7.3681000000000001</v>
      </c>
      <c r="F280" s="473"/>
      <c r="G280" s="862">
        <f>ROUND(D280*E280,2)</f>
        <v>21.07</v>
      </c>
      <c r="H280" s="270"/>
      <c r="I280" s="41"/>
      <c r="J280" s="41"/>
      <c r="K280" s="271"/>
      <c r="L280" s="272"/>
      <c r="M280" s="878"/>
      <c r="N280" s="423"/>
      <c r="O280" s="406"/>
      <c r="P280" s="406"/>
      <c r="Q280" s="407"/>
      <c r="R280" s="422"/>
      <c r="S280" s="399"/>
      <c r="T280" s="399"/>
    </row>
    <row r="281" spans="1:20" s="81" customFormat="1" ht="15.75" customHeight="1" thickBot="1">
      <c r="A281" s="858"/>
      <c r="B281" s="859"/>
      <c r="C281" s="54" t="s">
        <v>29</v>
      </c>
      <c r="D281" s="860">
        <f>1131+62</f>
        <v>1193</v>
      </c>
      <c r="E281" s="56">
        <v>7.3681000000000001</v>
      </c>
      <c r="F281" s="861"/>
      <c r="G281" s="866">
        <f t="shared" ref="G281" si="54">ROUND(D281*E281,2)</f>
        <v>8790.14</v>
      </c>
      <c r="H281" s="280"/>
      <c r="I281" s="281"/>
      <c r="J281" s="281"/>
      <c r="K281" s="282"/>
      <c r="L281" s="204"/>
      <c r="M281" s="880"/>
      <c r="N281" s="426"/>
      <c r="O281" s="416"/>
      <c r="P281" s="416"/>
      <c r="Q281" s="417"/>
      <c r="R281" s="422"/>
      <c r="S281" s="399"/>
      <c r="T281" s="399"/>
    </row>
    <row r="282" spans="1:20" s="81" customFormat="1" ht="15" hidden="1" customHeight="1">
      <c r="A282" s="437">
        <v>129</v>
      </c>
      <c r="B282" s="438" t="s">
        <v>38</v>
      </c>
      <c r="C282" s="439"/>
      <c r="D282" s="378"/>
      <c r="E282" s="23"/>
      <c r="F282" s="23"/>
      <c r="G282" s="22"/>
      <c r="H282" s="303"/>
      <c r="I282" s="23"/>
      <c r="J282" s="23"/>
      <c r="K282" s="304"/>
      <c r="L282" s="382">
        <f>+SUM(G282:G285,J282:J285)</f>
        <v>0</v>
      </c>
      <c r="M282" s="26"/>
      <c r="N282" s="421"/>
      <c r="O282" s="77"/>
      <c r="P282" s="77"/>
      <c r="Q282" s="384">
        <f>+L282-M282</f>
        <v>0</v>
      </c>
      <c r="R282" s="899"/>
      <c r="S282" s="399"/>
      <c r="T282" s="399"/>
    </row>
    <row r="283" spans="1:20" s="81" customFormat="1" ht="15" hidden="1" customHeight="1">
      <c r="A283" s="441"/>
      <c r="B283" s="442" t="s">
        <v>198</v>
      </c>
      <c r="C283" s="48" t="s">
        <v>118</v>
      </c>
      <c r="D283" s="37"/>
      <c r="E283" s="41">
        <f>6.8416-6.7432</f>
        <v>9.8399999999999821E-2</v>
      </c>
      <c r="F283" s="41"/>
      <c r="G283" s="39">
        <f>ROUND(D283*E283,2)</f>
        <v>0</v>
      </c>
      <c r="H283" s="260"/>
      <c r="I283" s="261"/>
      <c r="J283" s="261"/>
      <c r="K283" s="262"/>
      <c r="L283" s="394"/>
      <c r="M283" s="90"/>
      <c r="N283" s="443"/>
      <c r="O283" s="94"/>
      <c r="P283" s="94"/>
      <c r="Q283" s="396"/>
      <c r="R283" s="899"/>
      <c r="S283" s="399"/>
      <c r="T283" s="399"/>
    </row>
    <row r="284" spans="1:20" s="81" customFormat="1" ht="15.75" hidden="1" thickBot="1">
      <c r="A284" s="441"/>
      <c r="B284" s="444"/>
      <c r="C284" s="48" t="s">
        <v>119</v>
      </c>
      <c r="D284" s="37"/>
      <c r="E284" s="41">
        <v>6.8415999999999997</v>
      </c>
      <c r="F284" s="41"/>
      <c r="G284" s="39">
        <f t="shared" ref="G284:G285" si="55">ROUND(D284*E284,2)</f>
        <v>0</v>
      </c>
      <c r="H284" s="432"/>
      <c r="I284" s="207"/>
      <c r="J284" s="207"/>
      <c r="K284" s="362"/>
      <c r="L284" s="433"/>
      <c r="M284" s="63"/>
      <c r="N284" s="423"/>
      <c r="O284" s="406"/>
      <c r="P284" s="406"/>
      <c r="Q284" s="407"/>
      <c r="R284" s="899"/>
      <c r="S284" s="399"/>
      <c r="T284" s="399"/>
    </row>
    <row r="285" spans="1:20" s="81" customFormat="1" ht="15" hidden="1" customHeight="1" thickBot="1">
      <c r="A285" s="445"/>
      <c r="B285" s="446"/>
      <c r="C285" s="99" t="s">
        <v>29</v>
      </c>
      <c r="D285" s="413"/>
      <c r="E285" s="56">
        <v>6.8415999999999997</v>
      </c>
      <c r="F285" s="281"/>
      <c r="G285" s="414">
        <f t="shared" si="55"/>
        <v>0</v>
      </c>
      <c r="H285" s="280"/>
      <c r="I285" s="281"/>
      <c r="J285" s="281"/>
      <c r="K285" s="282"/>
      <c r="L285" s="204"/>
      <c r="M285" s="371"/>
      <c r="N285" s="434"/>
      <c r="O285" s="435"/>
      <c r="P285" s="435"/>
      <c r="Q285" s="425"/>
      <c r="R285" s="899"/>
      <c r="S285" s="399"/>
      <c r="T285" s="399"/>
    </row>
    <row r="286" spans="1:20" s="81" customFormat="1" ht="15.75" hidden="1" customHeight="1">
      <c r="A286" s="902">
        <v>118</v>
      </c>
      <c r="B286" s="924" t="s">
        <v>200</v>
      </c>
      <c r="C286" s="390" t="s">
        <v>73</v>
      </c>
      <c r="D286" s="869"/>
      <c r="E286" s="86">
        <v>36.214199999999998</v>
      </c>
      <c r="F286" s="86">
        <v>42.4328</v>
      </c>
      <c r="G286" s="449">
        <f>+D286*(E286+F286)</f>
        <v>0</v>
      </c>
      <c r="H286" s="260"/>
      <c r="I286" s="392"/>
      <c r="J286" s="41"/>
      <c r="K286" s="870"/>
      <c r="L286" s="286">
        <f>SUM(G286:G290,J286:J290)</f>
        <v>0</v>
      </c>
      <c r="M286" s="90"/>
      <c r="N286" s="443"/>
      <c r="O286" s="94"/>
      <c r="P286" s="94"/>
      <c r="Q286" s="396"/>
      <c r="R286" s="422"/>
      <c r="S286" s="399"/>
      <c r="T286" s="399"/>
    </row>
    <row r="287" spans="1:20" s="81" customFormat="1" ht="15.75" hidden="1" customHeight="1">
      <c r="A287" s="468"/>
      <c r="B287" s="920"/>
      <c r="C287" s="36" t="s">
        <v>26</v>
      </c>
      <c r="D287" s="37"/>
      <c r="E287" s="38"/>
      <c r="F287" s="38"/>
      <c r="G287" s="39">
        <f>ROUND(D287*(E287+F287),2)</f>
        <v>0</v>
      </c>
      <c r="H287" s="457"/>
      <c r="I287" s="392"/>
      <c r="J287" s="41"/>
      <c r="K287" s="393"/>
      <c r="L287" s="459"/>
      <c r="M287" s="44"/>
      <c r="N287" s="430"/>
      <c r="O287" s="406"/>
      <c r="P287" s="406"/>
      <c r="Q287" s="407"/>
      <c r="R287" s="422"/>
      <c r="S287" s="399"/>
      <c r="T287" s="399"/>
    </row>
    <row r="288" spans="1:20" s="81" customFormat="1" ht="15.75" hidden="1" customHeight="1">
      <c r="A288" s="468"/>
      <c r="B288" s="920"/>
      <c r="C288" s="48" t="s">
        <v>124</v>
      </c>
      <c r="D288" s="37"/>
      <c r="E288" s="41"/>
      <c r="F288" s="38"/>
      <c r="G288" s="39">
        <f>ROUND(D288*(E288),2)</f>
        <v>0</v>
      </c>
      <c r="H288" s="270"/>
      <c r="I288" s="41"/>
      <c r="J288" s="41"/>
      <c r="K288" s="271"/>
      <c r="L288" s="272"/>
      <c r="M288" s="102"/>
      <c r="N288" s="430"/>
      <c r="O288" s="406"/>
      <c r="P288" s="406"/>
      <c r="Q288" s="407"/>
      <c r="R288" s="422"/>
      <c r="S288" s="399"/>
      <c r="T288" s="399"/>
    </row>
    <row r="289" spans="1:20" s="81" customFormat="1" ht="15.75" hidden="1" customHeight="1">
      <c r="A289" s="468"/>
      <c r="B289" s="920"/>
      <c r="C289" s="48" t="s">
        <v>125</v>
      </c>
      <c r="D289" s="37"/>
      <c r="E289" s="41">
        <v>6.7431999999999999</v>
      </c>
      <c r="F289" s="38"/>
      <c r="G289" s="39">
        <f>ROUND(D289*(E289),2)</f>
        <v>0</v>
      </c>
      <c r="H289" s="270"/>
      <c r="I289" s="41"/>
      <c r="J289" s="41"/>
      <c r="K289" s="271"/>
      <c r="L289" s="272"/>
      <c r="M289" s="102"/>
      <c r="N289" s="434"/>
      <c r="O289" s="435"/>
      <c r="P289" s="435"/>
      <c r="Q289" s="425"/>
      <c r="R289" s="422"/>
      <c r="S289" s="399"/>
      <c r="T289" s="399"/>
    </row>
    <row r="290" spans="1:20" s="81" customFormat="1" ht="15.75" hidden="1" customHeight="1" thickBot="1">
      <c r="A290" s="858"/>
      <c r="B290" s="921"/>
      <c r="C290" s="54" t="s">
        <v>29</v>
      </c>
      <c r="D290" s="413"/>
      <c r="E290" s="56">
        <v>6.7431999999999999</v>
      </c>
      <c r="F290" s="281"/>
      <c r="G290" s="414">
        <f>ROUND(D290*(E290),2)</f>
        <v>0</v>
      </c>
      <c r="H290" s="280"/>
      <c r="I290" s="281"/>
      <c r="J290" s="281"/>
      <c r="K290" s="282"/>
      <c r="L290" s="204"/>
      <c r="M290" s="371"/>
      <c r="N290" s="426"/>
      <c r="O290" s="416"/>
      <c r="P290" s="416"/>
      <c r="Q290" s="417"/>
      <c r="R290" s="422"/>
      <c r="S290" s="399"/>
      <c r="T290" s="399"/>
    </row>
    <row r="291" spans="1:20" s="81" customFormat="1" ht="15.75" customHeight="1">
      <c r="A291" s="902" t="s">
        <v>258</v>
      </c>
      <c r="B291" s="903" t="s">
        <v>265</v>
      </c>
      <c r="C291" s="439" t="s">
        <v>260</v>
      </c>
      <c r="D291" s="904">
        <f>янв19!D286+янв19!D287</f>
        <v>748.79</v>
      </c>
      <c r="E291" s="23">
        <f>7.3681-6.9835</f>
        <v>0.38459999999999983</v>
      </c>
      <c r="F291" s="905"/>
      <c r="G291" s="22">
        <f>ROUND(D291*E291,2)+0.01</f>
        <v>287.99</v>
      </c>
      <c r="H291" s="303"/>
      <c r="I291" s="23"/>
      <c r="J291" s="23"/>
      <c r="K291" s="304"/>
      <c r="L291" s="263">
        <f>SUM(G291:G293)</f>
        <v>9424.2100000000009</v>
      </c>
      <c r="M291" s="26">
        <v>9424.2099999999991</v>
      </c>
      <c r="N291" s="421"/>
      <c r="O291" s="77"/>
      <c r="P291" s="77"/>
      <c r="Q291" s="384"/>
      <c r="R291" s="422"/>
      <c r="S291" s="399"/>
      <c r="T291" s="399"/>
    </row>
    <row r="292" spans="1:20" s="81" customFormat="1" ht="15.75" customHeight="1">
      <c r="A292" s="468"/>
      <c r="B292" s="469"/>
      <c r="C292" s="48" t="s">
        <v>263</v>
      </c>
      <c r="D292" s="471">
        <v>2.97</v>
      </c>
      <c r="E292" s="41">
        <v>7.3681000000000001</v>
      </c>
      <c r="F292" s="473"/>
      <c r="G292" s="449">
        <f>ROUND(D292*E292,2)</f>
        <v>21.88</v>
      </c>
      <c r="H292" s="260"/>
      <c r="I292" s="261"/>
      <c r="J292" s="261"/>
      <c r="K292" s="262"/>
      <c r="L292" s="286"/>
      <c r="M292" s="90"/>
      <c r="N292" s="423"/>
      <c r="O292" s="406"/>
      <c r="P292" s="406"/>
      <c r="Q292" s="407"/>
      <c r="R292" s="422"/>
      <c r="S292" s="399"/>
      <c r="T292" s="399"/>
    </row>
    <row r="293" spans="1:20" s="81" customFormat="1" ht="15.75" customHeight="1" thickBot="1">
      <c r="A293" s="858"/>
      <c r="B293" s="859"/>
      <c r="C293" s="54" t="s">
        <v>29</v>
      </c>
      <c r="D293" s="860">
        <v>1237</v>
      </c>
      <c r="E293" s="56">
        <v>7.3681000000000001</v>
      </c>
      <c r="F293" s="861"/>
      <c r="G293" s="414">
        <f t="shared" ref="G293" si="56">ROUND(D293*E293,2)</f>
        <v>9114.34</v>
      </c>
      <c r="H293" s="280"/>
      <c r="I293" s="281"/>
      <c r="J293" s="281"/>
      <c r="K293" s="282"/>
      <c r="L293" s="204"/>
      <c r="M293" s="371"/>
      <c r="N293" s="426"/>
      <c r="O293" s="416"/>
      <c r="P293" s="416"/>
      <c r="Q293" s="417"/>
      <c r="R293" s="422"/>
      <c r="S293" s="399"/>
      <c r="T293" s="399"/>
    </row>
    <row r="294" spans="1:20" s="81" customFormat="1" ht="15.75" customHeight="1">
      <c r="A294" s="902" t="s">
        <v>258</v>
      </c>
      <c r="B294" s="903" t="s">
        <v>267</v>
      </c>
      <c r="C294" s="439" t="s">
        <v>260</v>
      </c>
      <c r="D294" s="904">
        <f>янв19!D289+янв19!D290</f>
        <v>66.16</v>
      </c>
      <c r="E294" s="23">
        <f>7.3681-6.9835</f>
        <v>0.38459999999999983</v>
      </c>
      <c r="F294" s="905"/>
      <c r="G294" s="22">
        <f>ROUND(D294*E294,2)-0.01</f>
        <v>25.439999999999998</v>
      </c>
      <c r="H294" s="303"/>
      <c r="I294" s="23"/>
      <c r="J294" s="23"/>
      <c r="K294" s="304"/>
      <c r="L294" s="263">
        <f>SUM(G294:G296)</f>
        <v>3363.78</v>
      </c>
      <c r="M294" s="26">
        <v>3363.78</v>
      </c>
      <c r="N294" s="421"/>
      <c r="O294" s="1561"/>
      <c r="P294" s="1562"/>
      <c r="Q294" s="1563"/>
      <c r="R294" s="422"/>
      <c r="S294" s="399"/>
      <c r="T294" s="399"/>
    </row>
    <row r="295" spans="1:20" s="81" customFormat="1" ht="15.75" customHeight="1">
      <c r="A295" s="468"/>
      <c r="B295" s="469"/>
      <c r="C295" s="48" t="s">
        <v>263</v>
      </c>
      <c r="D295" s="471">
        <v>1.08</v>
      </c>
      <c r="E295" s="41">
        <v>7.3681000000000001</v>
      </c>
      <c r="F295" s="473"/>
      <c r="G295" s="449">
        <f>ROUND(D295*E295,2)</f>
        <v>7.96</v>
      </c>
      <c r="H295" s="260"/>
      <c r="I295" s="261"/>
      <c r="J295" s="261"/>
      <c r="K295" s="262"/>
      <c r="L295" s="286"/>
      <c r="M295" s="90"/>
      <c r="N295" s="423"/>
      <c r="O295" s="406"/>
      <c r="P295" s="406"/>
      <c r="Q295" s="407"/>
      <c r="R295" s="422"/>
      <c r="S295" s="399"/>
      <c r="T295" s="399"/>
    </row>
    <row r="296" spans="1:20" s="81" customFormat="1" ht="15.75" customHeight="1" thickBot="1">
      <c r="A296" s="858"/>
      <c r="B296" s="859"/>
      <c r="C296" s="54" t="s">
        <v>29</v>
      </c>
      <c r="D296" s="860">
        <v>452</v>
      </c>
      <c r="E296" s="56">
        <v>7.3681000000000001</v>
      </c>
      <c r="F296" s="861"/>
      <c r="G296" s="414">
        <f t="shared" ref="G296" si="57">ROUND(D296*E296,2)</f>
        <v>3330.38</v>
      </c>
      <c r="H296" s="280"/>
      <c r="I296" s="281"/>
      <c r="J296" s="281"/>
      <c r="K296" s="282"/>
      <c r="L296" s="204"/>
      <c r="M296" s="371"/>
      <c r="N296" s="426"/>
      <c r="O296" s="416"/>
      <c r="P296" s="416"/>
      <c r="Q296" s="417"/>
      <c r="R296" s="422"/>
      <c r="S296" s="399"/>
      <c r="T296" s="399"/>
    </row>
    <row r="297" spans="1:20" s="81" customFormat="1" ht="15.75" customHeight="1">
      <c r="A297" s="926"/>
      <c r="B297" s="927"/>
      <c r="C297" s="928"/>
      <c r="D297" s="904"/>
      <c r="E297" s="929"/>
      <c r="F297" s="905"/>
      <c r="G297" s="930"/>
      <c r="H297" s="905"/>
      <c r="I297" s="905"/>
      <c r="J297" s="905"/>
      <c r="K297" s="905"/>
      <c r="L297" s="905"/>
      <c r="M297" s="931"/>
      <c r="N297" s="387"/>
      <c r="O297" s="387"/>
      <c r="P297" s="387"/>
      <c r="Q297" s="387"/>
      <c r="R297" s="422"/>
      <c r="S297" s="399"/>
      <c r="T297" s="399"/>
    </row>
    <row r="298" spans="1:20" s="81" customFormat="1" ht="15" customHeight="1">
      <c r="A298" s="686"/>
      <c r="B298" s="469"/>
      <c r="C298" s="932"/>
      <c r="D298" s="471"/>
      <c r="E298" s="473"/>
      <c r="F298" s="473"/>
      <c r="G298" s="474"/>
      <c r="H298" s="473"/>
      <c r="I298" s="473"/>
      <c r="J298" s="473"/>
      <c r="K298" s="473"/>
      <c r="L298" s="473"/>
      <c r="M298" s="470"/>
      <c r="N298" s="399"/>
      <c r="O298" s="399"/>
      <c r="P298" s="399"/>
      <c r="Q298" s="399"/>
      <c r="R298" s="422"/>
      <c r="S298" s="399"/>
      <c r="T298" s="399"/>
    </row>
    <row r="299" spans="1:20" ht="21.75" thickBot="1">
      <c r="A299" s="171" t="s">
        <v>84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3"/>
      <c r="N299" s="2"/>
      <c r="O299" s="2"/>
      <c r="P299" s="2"/>
      <c r="Q299" s="2"/>
      <c r="R299" s="2"/>
      <c r="S299" s="2"/>
      <c r="T299" s="2"/>
    </row>
    <row r="300" spans="1:20" ht="15.75" customHeight="1" thickTop="1" thickBot="1">
      <c r="A300" s="1540" t="s">
        <v>1</v>
      </c>
      <c r="B300" s="1542" t="s">
        <v>2</v>
      </c>
      <c r="C300" s="1544" t="s">
        <v>3</v>
      </c>
      <c r="D300" s="1546" t="s">
        <v>4</v>
      </c>
      <c r="E300" s="1546"/>
      <c r="F300" s="1546"/>
      <c r="G300" s="1546"/>
      <c r="H300" s="1547" t="s">
        <v>5</v>
      </c>
      <c r="I300" s="1548"/>
      <c r="J300" s="1548"/>
      <c r="K300" s="1549"/>
      <c r="L300" s="1524" t="s">
        <v>6</v>
      </c>
      <c r="M300" s="1511" t="s">
        <v>7</v>
      </c>
      <c r="N300" s="1551" t="s">
        <v>8</v>
      </c>
      <c r="O300" s="1551"/>
      <c r="P300" s="1551"/>
      <c r="Q300" s="1552" t="s">
        <v>18</v>
      </c>
      <c r="R300" s="481" t="s">
        <v>85</v>
      </c>
      <c r="S300" s="482" t="s">
        <v>20</v>
      </c>
      <c r="T300" s="482" t="s">
        <v>21</v>
      </c>
    </row>
    <row r="301" spans="1:20" ht="40.5" customHeight="1" thickTop="1" thickBot="1">
      <c r="A301" s="1541"/>
      <c r="B301" s="1543"/>
      <c r="C301" s="1545" t="s">
        <v>10</v>
      </c>
      <c r="D301" s="483" t="s">
        <v>11</v>
      </c>
      <c r="E301" s="484" t="s">
        <v>12</v>
      </c>
      <c r="F301" s="484" t="s">
        <v>13</v>
      </c>
      <c r="G301" s="485" t="s">
        <v>14</v>
      </c>
      <c r="H301" s="483" t="s">
        <v>11</v>
      </c>
      <c r="I301" s="486" t="s">
        <v>15</v>
      </c>
      <c r="J301" s="485"/>
      <c r="K301" s="487" t="s">
        <v>16</v>
      </c>
      <c r="L301" s="1525"/>
      <c r="M301" s="1550"/>
      <c r="N301" s="488" t="s">
        <v>14</v>
      </c>
      <c r="O301" s="485"/>
      <c r="P301" s="489" t="s">
        <v>18</v>
      </c>
      <c r="Q301" s="490" t="s">
        <v>19</v>
      </c>
      <c r="R301" s="491"/>
      <c r="S301" s="492"/>
      <c r="T301" s="492"/>
    </row>
    <row r="302" spans="1:20">
      <c r="A302" s="961" t="s">
        <v>228</v>
      </c>
      <c r="B302" s="602" t="s">
        <v>186</v>
      </c>
      <c r="C302" s="439" t="s">
        <v>260</v>
      </c>
      <c r="D302" s="184">
        <f>янв19!D297+янв19!D298</f>
        <v>261.08</v>
      </c>
      <c r="E302" s="41">
        <f>7.2025-6.7838</f>
        <v>0.41869999999999941</v>
      </c>
      <c r="F302" s="23"/>
      <c r="G302" s="185">
        <f>ROUND(D302*(E302),2)+0.01</f>
        <v>109.32000000000001</v>
      </c>
      <c r="H302" s="620"/>
      <c r="I302" s="620"/>
      <c r="J302" s="620"/>
      <c r="K302" s="1022"/>
      <c r="L302" s="498">
        <f>SUM(G302:G304)</f>
        <v>1478.23</v>
      </c>
      <c r="M302" s="187">
        <v>1478.23</v>
      </c>
      <c r="N302" s="615"/>
      <c r="O302" s="615"/>
      <c r="P302" s="615"/>
      <c r="Q302" s="615"/>
    </row>
    <row r="303" spans="1:20">
      <c r="A303" s="934"/>
      <c r="B303" s="506"/>
      <c r="C303" s="48" t="s">
        <v>263</v>
      </c>
      <c r="D303" s="49">
        <v>8.06</v>
      </c>
      <c r="E303" s="41">
        <v>7.2024999999999997</v>
      </c>
      <c r="F303" s="41">
        <f>+E303</f>
        <v>7.2024999999999997</v>
      </c>
      <c r="G303" s="50">
        <f>ROUND(D303*(E303),2)</f>
        <v>58.05</v>
      </c>
      <c r="H303" s="296"/>
      <c r="I303" s="298"/>
      <c r="J303" s="298"/>
      <c r="K303" s="1021"/>
      <c r="L303" s="606"/>
      <c r="M303" s="935"/>
      <c r="N303" s="615"/>
      <c r="O303" s="615"/>
      <c r="P303" s="615"/>
      <c r="Q303" s="615"/>
    </row>
    <row r="304" spans="1:20" ht="15.75" thickBot="1">
      <c r="A304" s="934"/>
      <c r="B304" s="506"/>
      <c r="C304" s="54" t="s">
        <v>29</v>
      </c>
      <c r="D304" s="296">
        <v>182</v>
      </c>
      <c r="E304" s="56">
        <v>7.2024999999999997</v>
      </c>
      <c r="F304" s="41">
        <f>+E304</f>
        <v>7.2024999999999997</v>
      </c>
      <c r="G304" s="50">
        <f t="shared" ref="G304" si="58">ROUND(D304*(E304),2)</f>
        <v>1310.86</v>
      </c>
      <c r="H304" s="296"/>
      <c r="I304" s="298"/>
      <c r="J304" s="298"/>
      <c r="K304" s="1021"/>
      <c r="L304" s="614"/>
      <c r="M304" s="935"/>
      <c r="N304" s="615"/>
      <c r="O304" s="615"/>
      <c r="P304" s="615"/>
      <c r="Q304" s="615"/>
    </row>
    <row r="305" spans="1:21">
      <c r="A305" s="961" t="s">
        <v>207</v>
      </c>
      <c r="B305" s="602" t="s">
        <v>184</v>
      </c>
      <c r="C305" s="439" t="s">
        <v>260</v>
      </c>
      <c r="D305" s="184">
        <v>0</v>
      </c>
      <c r="E305" s="41">
        <f>7.2025-6.7838</f>
        <v>0.41869999999999941</v>
      </c>
      <c r="F305" s="23">
        <f>+E305</f>
        <v>0.41869999999999941</v>
      </c>
      <c r="G305" s="185">
        <f>ROUND(D305*(E305),2)</f>
        <v>0</v>
      </c>
      <c r="H305" s="620"/>
      <c r="I305" s="620"/>
      <c r="J305" s="620"/>
      <c r="K305" s="1022"/>
      <c r="L305" s="498">
        <f>SUM(G305:G307)</f>
        <v>0</v>
      </c>
      <c r="M305" s="187"/>
      <c r="N305" s="615"/>
      <c r="O305" s="962" t="s">
        <v>277</v>
      </c>
      <c r="P305" s="615"/>
      <c r="Q305" s="615"/>
    </row>
    <row r="306" spans="1:21">
      <c r="A306" s="934"/>
      <c r="B306" s="506"/>
      <c r="C306" s="48" t="s">
        <v>263</v>
      </c>
      <c r="D306" s="49">
        <v>0</v>
      </c>
      <c r="E306" s="41">
        <v>7.2024999999999997</v>
      </c>
      <c r="F306" s="41">
        <f>+E306</f>
        <v>7.2024999999999997</v>
      </c>
      <c r="G306" s="50">
        <f>ROUND(D306*(E306),2)</f>
        <v>0</v>
      </c>
      <c r="H306" s="296"/>
      <c r="I306" s="298"/>
      <c r="J306" s="298"/>
      <c r="K306" s="1021"/>
      <c r="L306" s="606"/>
      <c r="M306" s="935"/>
      <c r="N306" s="615"/>
      <c r="O306" s="615"/>
      <c r="P306" s="615"/>
      <c r="Q306" s="615"/>
    </row>
    <row r="307" spans="1:21" ht="15.75" thickBot="1">
      <c r="A307" s="934"/>
      <c r="B307" s="506"/>
      <c r="C307" s="54" t="s">
        <v>29</v>
      </c>
      <c r="D307" s="296">
        <v>0</v>
      </c>
      <c r="E307" s="56">
        <v>7.2024999999999997</v>
      </c>
      <c r="F307" s="41">
        <f>+E307</f>
        <v>7.2024999999999997</v>
      </c>
      <c r="G307" s="50">
        <f t="shared" ref="G307" si="59">ROUND(D307*(E307),2)</f>
        <v>0</v>
      </c>
      <c r="H307" s="296"/>
      <c r="I307" s="298"/>
      <c r="J307" s="298"/>
      <c r="K307" s="1021"/>
      <c r="L307" s="614"/>
      <c r="M307" s="935"/>
      <c r="N307" s="615"/>
      <c r="O307" s="615"/>
      <c r="P307" s="615"/>
      <c r="Q307" s="615"/>
    </row>
    <row r="308" spans="1:21" ht="16.5" hidden="1" thickTop="1" thickBot="1">
      <c r="A308" s="376">
        <v>100</v>
      </c>
      <c r="B308" s="494" t="s">
        <v>193</v>
      </c>
      <c r="C308" s="71" t="s">
        <v>243</v>
      </c>
      <c r="D308" s="495"/>
      <c r="E308" s="21">
        <v>40.556600000000003</v>
      </c>
      <c r="F308" s="21">
        <v>47.5304</v>
      </c>
      <c r="G308" s="185">
        <f>ROUND(D308*(E308+F308),2)</f>
        <v>0</v>
      </c>
      <c r="H308" s="496"/>
      <c r="I308" s="73"/>
      <c r="J308" s="73"/>
      <c r="K308" s="1022"/>
      <c r="L308" s="498">
        <f>SUM(G308:G315)+SUM(J308:J314)</f>
        <v>0</v>
      </c>
      <c r="M308" s="26"/>
      <c r="N308" s="499"/>
      <c r="O308" s="500"/>
      <c r="P308" s="501" t="s">
        <v>87</v>
      </c>
      <c r="Q308" s="595" t="e">
        <f t="shared" ref="Q308" si="60">C308+G308+J308-M308-N308-O308</f>
        <v>#VALUE!</v>
      </c>
    </row>
    <row r="309" spans="1:21" ht="15.75" hidden="1" thickBot="1">
      <c r="A309" s="389"/>
      <c r="B309" s="999" t="s">
        <v>302</v>
      </c>
      <c r="C309" s="507" t="s">
        <v>96</v>
      </c>
      <c r="D309" s="234"/>
      <c r="E309" s="38"/>
      <c r="F309" s="38"/>
      <c r="G309" s="235">
        <f>ROUND(D309*(E309+F309),2)</f>
        <v>0</v>
      </c>
      <c r="H309" s="448"/>
      <c r="I309" s="509"/>
      <c r="J309" s="199"/>
      <c r="K309" s="1023"/>
      <c r="L309" s="511"/>
      <c r="M309" s="512"/>
      <c r="N309" s="513"/>
      <c r="O309" s="514"/>
      <c r="P309" s="515"/>
      <c r="Q309" s="262"/>
      <c r="U309" s="33"/>
    </row>
    <row r="310" spans="1:21" ht="15.75" hidden="1" thickBot="1">
      <c r="A310" s="389"/>
      <c r="B310" s="516" t="s">
        <v>89</v>
      </c>
      <c r="C310" s="512" t="s">
        <v>90</v>
      </c>
      <c r="D310" s="508"/>
      <c r="E310" s="101"/>
      <c r="F310" s="38">
        <v>47.5304</v>
      </c>
      <c r="G310" s="50">
        <f>ROUND(D310*(E310+F310),2)</f>
        <v>0</v>
      </c>
      <c r="H310" s="270"/>
      <c r="I310" s="41"/>
      <c r="J310" s="207"/>
      <c r="K310" s="1023"/>
      <c r="L310" s="517"/>
      <c r="M310" s="99"/>
      <c r="N310" s="518"/>
      <c r="O310" s="519"/>
      <c r="P310" s="515" t="s">
        <v>87</v>
      </c>
      <c r="Q310" s="271">
        <f>+G310+J310-M310-N310-O310</f>
        <v>0</v>
      </c>
    </row>
    <row r="311" spans="1:21" ht="15.75" hidden="1" thickBot="1">
      <c r="A311" s="389"/>
      <c r="B311" s="541"/>
      <c r="C311" s="84" t="s">
        <v>97</v>
      </c>
      <c r="D311" s="508"/>
      <c r="E311" s="41"/>
      <c r="F311" s="38"/>
      <c r="G311" s="50">
        <f>ROUND(D311*(E311+F311),2)</f>
        <v>0</v>
      </c>
      <c r="H311" s="432"/>
      <c r="I311" s="362"/>
      <c r="J311" s="207"/>
      <c r="K311" s="1023"/>
      <c r="L311" s="517"/>
      <c r="M311" s="520"/>
      <c r="N311" s="521"/>
      <c r="O311" s="522"/>
      <c r="P311" s="523"/>
      <c r="Q311" s="362"/>
    </row>
    <row r="312" spans="1:21" ht="15.75" hidden="1" thickBot="1">
      <c r="A312" s="389"/>
      <c r="B312" s="1033" t="s">
        <v>194</v>
      </c>
      <c r="C312" s="84"/>
      <c r="D312" s="508"/>
      <c r="E312" s="41"/>
      <c r="F312" s="41"/>
      <c r="G312" s="50"/>
      <c r="H312" s="432"/>
      <c r="I312" s="362"/>
      <c r="J312" s="207"/>
      <c r="K312" s="1023"/>
      <c r="L312" s="517"/>
      <c r="M312" s="520"/>
      <c r="N312" s="521"/>
      <c r="O312" s="522"/>
      <c r="P312" s="523"/>
      <c r="Q312" s="362"/>
    </row>
    <row r="313" spans="1:21" ht="15.75" hidden="1" thickBot="1">
      <c r="A313" s="389"/>
      <c r="B313" s="506"/>
      <c r="C313" s="48" t="s">
        <v>260</v>
      </c>
      <c r="D313" s="37"/>
      <c r="E313" s="41"/>
      <c r="F313" s="41">
        <f>+E313</f>
        <v>0</v>
      </c>
      <c r="G313" s="39">
        <f>ROUND(D313*E313,2)</f>
        <v>0</v>
      </c>
      <c r="H313" s="432"/>
      <c r="I313" s="362"/>
      <c r="J313" s="207"/>
      <c r="K313" s="1023"/>
      <c r="L313" s="517"/>
      <c r="M313" s="520"/>
      <c r="N313" s="521"/>
      <c r="O313" s="522"/>
      <c r="P313" s="523"/>
      <c r="Q313" s="362"/>
    </row>
    <row r="314" spans="1:21" ht="15.75" hidden="1" thickBot="1">
      <c r="A314" s="389"/>
      <c r="B314" s="506"/>
      <c r="C314" s="48" t="s">
        <v>263</v>
      </c>
      <c r="D314" s="37"/>
      <c r="E314" s="41">
        <v>6.7838000000000003</v>
      </c>
      <c r="F314" s="41">
        <f>+E314</f>
        <v>6.7838000000000003</v>
      </c>
      <c r="G314" s="39">
        <f>ROUND(D314*E314,2)</f>
        <v>0</v>
      </c>
      <c r="H314" s="432"/>
      <c r="I314" s="362"/>
      <c r="J314" s="207"/>
      <c r="K314" s="1023"/>
      <c r="L314" s="517"/>
      <c r="M314" s="520"/>
      <c r="N314" s="521"/>
      <c r="O314" s="522"/>
      <c r="P314" s="523"/>
      <c r="Q314" s="362"/>
      <c r="U314" s="33"/>
    </row>
    <row r="315" spans="1:21" ht="15.75" hidden="1" thickBot="1">
      <c r="A315" s="411"/>
      <c r="B315" s="526"/>
      <c r="C315" s="99" t="s">
        <v>29</v>
      </c>
      <c r="D315" s="55"/>
      <c r="E315" s="1012">
        <v>6.7838000000000003</v>
      </c>
      <c r="F315" s="281">
        <f>+E315</f>
        <v>6.7838000000000003</v>
      </c>
      <c r="G315" s="58">
        <f>ROUND(D315*E315,2)</f>
        <v>0</v>
      </c>
      <c r="H315" s="248"/>
      <c r="I315" s="203"/>
      <c r="J315" s="60"/>
      <c r="K315" s="1024"/>
      <c r="L315" s="249"/>
      <c r="M315" s="54"/>
      <c r="N315" s="521"/>
      <c r="O315" s="528"/>
      <c r="P315" s="529" t="s">
        <v>87</v>
      </c>
      <c r="Q315" s="362">
        <f>+G315+J315-M315-N315-O315</f>
        <v>0</v>
      </c>
    </row>
    <row r="316" spans="1:21" ht="15.75" collapsed="1" thickTop="1">
      <c r="A316" s="389">
        <v>100</v>
      </c>
      <c r="B316" s="494" t="s">
        <v>303</v>
      </c>
      <c r="C316" s="71" t="s">
        <v>73</v>
      </c>
      <c r="D316" s="495">
        <v>1</v>
      </c>
      <c r="E316" s="21">
        <v>41.244</v>
      </c>
      <c r="F316" s="21">
        <v>48.335999999999999</v>
      </c>
      <c r="G316" s="185">
        <f>ROUND(D316*(E316+F316),2)</f>
        <v>89.58</v>
      </c>
      <c r="H316" s="496"/>
      <c r="I316" s="73"/>
      <c r="J316" s="73"/>
      <c r="K316" s="679"/>
      <c r="L316" s="498">
        <f>SUM(G316:G322)+SUM(J316:J321)</f>
        <v>2660.22</v>
      </c>
      <c r="M316" s="26">
        <v>2660.22</v>
      </c>
      <c r="N316" s="594"/>
      <c r="O316" s="535"/>
      <c r="P316" s="536" t="s">
        <v>87</v>
      </c>
      <c r="Q316" s="595" t="e">
        <f>C316+G316+J316-M316-N316-O316</f>
        <v>#VALUE!</v>
      </c>
      <c r="R316" s="502" t="s">
        <v>88</v>
      </c>
      <c r="S316" s="503"/>
      <c r="T316" s="504"/>
      <c r="U316" s="33">
        <f>+M316-L316</f>
        <v>0</v>
      </c>
    </row>
    <row r="317" spans="1:21">
      <c r="A317" s="389"/>
      <c r="B317" s="999"/>
      <c r="C317" s="542" t="s">
        <v>264</v>
      </c>
      <c r="D317" s="508">
        <f>янв19!D310</f>
        <v>1</v>
      </c>
      <c r="E317" s="38">
        <f>41.244-40.5566</f>
        <v>0.68739999999999668</v>
      </c>
      <c r="F317" s="38">
        <f>48.336-47.5304</f>
        <v>0.80559999999999832</v>
      </c>
      <c r="G317" s="50">
        <f>ROUND(D317*(E317+F317),2)</f>
        <v>1.49</v>
      </c>
      <c r="H317" s="596"/>
      <c r="I317" s="409"/>
      <c r="J317" s="509"/>
      <c r="K317" s="1025"/>
      <c r="L317" s="511"/>
      <c r="M317" s="99"/>
      <c r="N317" s="513"/>
      <c r="O317" s="514"/>
      <c r="P317" s="515"/>
      <c r="Q317" s="262"/>
      <c r="R317" s="502"/>
      <c r="S317" s="503"/>
      <c r="T317" s="504"/>
    </row>
    <row r="318" spans="1:21">
      <c r="A318" s="389"/>
      <c r="B318" s="516" t="s">
        <v>103</v>
      </c>
      <c r="C318" s="99" t="s">
        <v>90</v>
      </c>
      <c r="D318" s="508">
        <v>0</v>
      </c>
      <c r="E318" s="101">
        <v>357.98</v>
      </c>
      <c r="F318" s="38">
        <f>F316</f>
        <v>48.335999999999999</v>
      </c>
      <c r="G318" s="50">
        <f>ROUND(D318*(E318+F318),2)</f>
        <v>0</v>
      </c>
      <c r="H318" s="270"/>
      <c r="I318" s="41"/>
      <c r="J318" s="409"/>
      <c r="K318" s="1026"/>
      <c r="L318" s="597"/>
      <c r="M318" s="99"/>
      <c r="N318" s="518"/>
      <c r="O318" s="519"/>
      <c r="P318" s="515" t="s">
        <v>87</v>
      </c>
      <c r="Q318" s="271">
        <f>+G318+J318-M318-N318-O318</f>
        <v>0</v>
      </c>
      <c r="R318" s="502" t="s">
        <v>88</v>
      </c>
      <c r="S318" s="503"/>
      <c r="T318" s="504"/>
    </row>
    <row r="319" spans="1:21">
      <c r="A319" s="389"/>
      <c r="B319" s="506"/>
      <c r="C319" s="390" t="s">
        <v>97</v>
      </c>
      <c r="D319" s="508">
        <v>0</v>
      </c>
      <c r="E319" s="41">
        <f>357.98-347.06</f>
        <v>10.920000000000016</v>
      </c>
      <c r="F319" s="38">
        <f>F317</f>
        <v>0.80559999999999832</v>
      </c>
      <c r="G319" s="50">
        <f>D319*(E319+F319)</f>
        <v>0</v>
      </c>
      <c r="H319" s="432"/>
      <c r="I319" s="362"/>
      <c r="J319" s="41"/>
      <c r="K319" s="1026"/>
      <c r="L319" s="597"/>
      <c r="M319" s="99"/>
      <c r="N319" s="521"/>
      <c r="O319" s="522"/>
      <c r="P319" s="523"/>
      <c r="Q319" s="362"/>
      <c r="R319" s="502"/>
      <c r="S319" s="503"/>
      <c r="T319" s="504"/>
    </row>
    <row r="320" spans="1:21">
      <c r="A320" s="389"/>
      <c r="B320" s="506"/>
      <c r="C320" s="48" t="s">
        <v>260</v>
      </c>
      <c r="D320" s="37">
        <f>янв19!D315+янв19!D316</f>
        <v>297.63</v>
      </c>
      <c r="E320" s="41">
        <f>7.2025-6.7838</f>
        <v>0.41869999999999941</v>
      </c>
      <c r="F320" s="297">
        <f t="shared" ref="F320:F322" si="61">+E320</f>
        <v>0.41869999999999941</v>
      </c>
      <c r="G320" s="39">
        <f>ROUND(D320*(E320+F320)/2,2)</f>
        <v>124.62</v>
      </c>
      <c r="H320" s="432"/>
      <c r="I320" s="362"/>
      <c r="J320" s="41"/>
      <c r="K320" s="1026"/>
      <c r="L320" s="597"/>
      <c r="M320" s="99"/>
      <c r="N320" s="521"/>
      <c r="O320" s="522"/>
      <c r="P320" s="523"/>
      <c r="Q320" s="362"/>
      <c r="R320" s="502"/>
      <c r="S320" s="503"/>
      <c r="T320" s="504"/>
    </row>
    <row r="321" spans="1:21">
      <c r="A321" s="389"/>
      <c r="B321" s="506"/>
      <c r="C321" s="48" t="s">
        <v>263</v>
      </c>
      <c r="D321" s="37">
        <v>14.4</v>
      </c>
      <c r="E321" s="41">
        <v>7.2024999999999997</v>
      </c>
      <c r="F321" s="298">
        <f t="shared" si="61"/>
        <v>7.2024999999999997</v>
      </c>
      <c r="G321" s="39">
        <f>ROUND(D321*E321,2)</f>
        <v>103.72</v>
      </c>
      <c r="H321" s="432"/>
      <c r="I321" s="362"/>
      <c r="J321" s="41"/>
      <c r="K321" s="1026"/>
      <c r="L321" s="597"/>
      <c r="M321" s="99"/>
      <c r="N321" s="521"/>
      <c r="O321" s="522"/>
      <c r="P321" s="523"/>
      <c r="Q321" s="362"/>
      <c r="R321" s="502"/>
      <c r="S321" s="503"/>
      <c r="T321" s="504"/>
    </row>
    <row r="322" spans="1:21" ht="15.75" thickBot="1">
      <c r="A322" s="369"/>
      <c r="B322" s="526"/>
      <c r="C322" s="99" t="s">
        <v>29</v>
      </c>
      <c r="D322" s="55">
        <v>325</v>
      </c>
      <c r="E322" s="56">
        <v>7.2024999999999997</v>
      </c>
      <c r="F322" s="57">
        <f t="shared" si="61"/>
        <v>7.2024999999999997</v>
      </c>
      <c r="G322" s="414">
        <f>ROUND(D322*E322,2)</f>
        <v>2340.81</v>
      </c>
      <c r="H322" s="248"/>
      <c r="I322" s="203"/>
      <c r="J322" s="60"/>
      <c r="K322" s="1024"/>
      <c r="L322" s="249"/>
      <c r="M322" s="54"/>
      <c r="N322" s="527"/>
      <c r="O322" s="528"/>
      <c r="P322" s="529" t="s">
        <v>87</v>
      </c>
      <c r="Q322" s="58">
        <f>+G322+J322-M322-N322-O322</f>
        <v>2340.81</v>
      </c>
      <c r="R322" s="502" t="s">
        <v>88</v>
      </c>
      <c r="S322" s="598">
        <f>SUM(N316:N322)+O316:O322</f>
        <v>0</v>
      </c>
      <c r="T322" s="598" t="e">
        <f>SUM(Q316:Q322)</f>
        <v>#VALUE!</v>
      </c>
    </row>
    <row r="323" spans="1:21" ht="15.75" collapsed="1" thickTop="1">
      <c r="A323" s="389">
        <v>113</v>
      </c>
      <c r="B323" s="494" t="s">
        <v>250</v>
      </c>
      <c r="C323" s="71" t="s">
        <v>73</v>
      </c>
      <c r="D323" s="495">
        <v>13</v>
      </c>
      <c r="E323" s="21">
        <v>41.244</v>
      </c>
      <c r="F323" s="21">
        <v>48.335999999999999</v>
      </c>
      <c r="G323" s="185">
        <f>ROUND(D323*(E323+F323),2)</f>
        <v>1164.54</v>
      </c>
      <c r="H323" s="496"/>
      <c r="I323" s="73"/>
      <c r="J323" s="73"/>
      <c r="K323" s="679"/>
      <c r="L323" s="498">
        <f>SUM(G323:G329)+SUM(J323:J328)</f>
        <v>23591.350000000002</v>
      </c>
      <c r="M323" s="26">
        <v>23591.35</v>
      </c>
      <c r="N323" s="594"/>
      <c r="O323" s="535"/>
      <c r="P323" s="536" t="s">
        <v>87</v>
      </c>
      <c r="Q323" s="595" t="e">
        <f>C323+G323+J323-M323-N323-O323</f>
        <v>#VALUE!</v>
      </c>
      <c r="R323" s="502" t="s">
        <v>88</v>
      </c>
      <c r="S323" s="503"/>
      <c r="T323" s="504"/>
      <c r="U323" s="33">
        <f>+M323-L323</f>
        <v>0</v>
      </c>
    </row>
    <row r="324" spans="1:21">
      <c r="A324" s="389"/>
      <c r="B324" s="506"/>
      <c r="C324" s="542" t="s">
        <v>264</v>
      </c>
      <c r="D324" s="508">
        <f>янв19!D317</f>
        <v>14</v>
      </c>
      <c r="E324" s="38">
        <f>41.244-40.5566</f>
        <v>0.68739999999999668</v>
      </c>
      <c r="F324" s="38">
        <f>48.336-47.5304</f>
        <v>0.80559999999999832</v>
      </c>
      <c r="G324" s="50">
        <f>ROUND(D324*(E324+F324),2)</f>
        <v>20.9</v>
      </c>
      <c r="H324" s="596"/>
      <c r="I324" s="409"/>
      <c r="J324" s="509"/>
      <c r="K324" s="1025"/>
      <c r="L324" s="511"/>
      <c r="M324" s="99"/>
      <c r="N324" s="513"/>
      <c r="O324" s="514"/>
      <c r="P324" s="515"/>
      <c r="Q324" s="262"/>
      <c r="R324" s="502"/>
      <c r="S324" s="503"/>
      <c r="T324" s="504"/>
    </row>
    <row r="325" spans="1:21">
      <c r="A325" s="389"/>
      <c r="B325" s="516" t="s">
        <v>103</v>
      </c>
      <c r="C325" s="99" t="s">
        <v>90</v>
      </c>
      <c r="D325" s="508">
        <v>4</v>
      </c>
      <c r="E325" s="101">
        <v>357.98</v>
      </c>
      <c r="F325" s="38">
        <f>F323</f>
        <v>48.335999999999999</v>
      </c>
      <c r="G325" s="50">
        <f>ROUND(D325*(E325+F325),2)</f>
        <v>1625.26</v>
      </c>
      <c r="H325" s="270"/>
      <c r="I325" s="41"/>
      <c r="J325" s="409"/>
      <c r="K325" s="1026"/>
      <c r="L325" s="597"/>
      <c r="M325" s="99"/>
      <c r="N325" s="518"/>
      <c r="O325" s="519"/>
      <c r="P325" s="515" t="s">
        <v>87</v>
      </c>
      <c r="Q325" s="271">
        <f>+G325+J325-M325-N325-O325</f>
        <v>1625.26</v>
      </c>
      <c r="R325" s="502" t="s">
        <v>88</v>
      </c>
      <c r="S325" s="503"/>
      <c r="T325" s="504"/>
    </row>
    <row r="326" spans="1:21">
      <c r="A326" s="389"/>
      <c r="B326" s="506"/>
      <c r="C326" s="390" t="s">
        <v>97</v>
      </c>
      <c r="D326" s="508">
        <f>янв19!D319</f>
        <v>0</v>
      </c>
      <c r="E326" s="41">
        <f>357.98-347.06</f>
        <v>10.920000000000016</v>
      </c>
      <c r="F326" s="38">
        <f>F324</f>
        <v>0.80559999999999832</v>
      </c>
      <c r="G326" s="50">
        <f>D326*(E326+F326)</f>
        <v>0</v>
      </c>
      <c r="H326" s="432"/>
      <c r="I326" s="362"/>
      <c r="J326" s="41"/>
      <c r="K326" s="1026"/>
      <c r="L326" s="597"/>
      <c r="M326" s="99"/>
      <c r="N326" s="521"/>
      <c r="O326" s="522"/>
      <c r="P326" s="523"/>
      <c r="Q326" s="362"/>
      <c r="R326" s="502"/>
      <c r="S326" s="503"/>
      <c r="T326" s="504"/>
    </row>
    <row r="327" spans="1:21">
      <c r="A327" s="389"/>
      <c r="B327" s="506"/>
      <c r="C327" s="48" t="s">
        <v>260</v>
      </c>
      <c r="D327" s="37">
        <f>янв19!D322+янв19!D323</f>
        <v>3230.02</v>
      </c>
      <c r="E327" s="41">
        <f>7.2025-6.7838</f>
        <v>0.41869999999999941</v>
      </c>
      <c r="F327" s="297">
        <f t="shared" ref="F327:F329" si="62">+E327</f>
        <v>0.41869999999999941</v>
      </c>
      <c r="G327" s="39">
        <f>ROUND(D327*(E327+F327)/2,2)</f>
        <v>1352.41</v>
      </c>
      <c r="H327" s="432"/>
      <c r="I327" s="362"/>
      <c r="J327" s="41"/>
      <c r="K327" s="1026"/>
      <c r="L327" s="597"/>
      <c r="M327" s="99"/>
      <c r="N327" s="521"/>
      <c r="O327" s="522"/>
      <c r="P327" s="523"/>
      <c r="Q327" s="362"/>
      <c r="R327" s="502"/>
      <c r="S327" s="503"/>
      <c r="T327" s="504"/>
    </row>
    <row r="328" spans="1:21">
      <c r="A328" s="389"/>
      <c r="B328" s="506"/>
      <c r="C328" s="48" t="s">
        <v>263</v>
      </c>
      <c r="D328" s="37">
        <f>42.53+71.9</f>
        <v>114.43</v>
      </c>
      <c r="E328" s="41">
        <v>7.2024999999999997</v>
      </c>
      <c r="F328" s="298">
        <f t="shared" si="62"/>
        <v>7.2024999999999997</v>
      </c>
      <c r="G328" s="39">
        <f>ROUND(D328*E328,2)</f>
        <v>824.18</v>
      </c>
      <c r="H328" s="432"/>
      <c r="I328" s="362"/>
      <c r="J328" s="41"/>
      <c r="K328" s="1026"/>
      <c r="L328" s="597"/>
      <c r="M328" s="99"/>
      <c r="N328" s="521"/>
      <c r="O328" s="522"/>
      <c r="P328" s="523"/>
      <c r="Q328" s="362"/>
      <c r="R328" s="502"/>
      <c r="S328" s="503"/>
      <c r="T328" s="504"/>
    </row>
    <row r="329" spans="1:21" ht="15.75" thickBot="1">
      <c r="A329" s="369"/>
      <c r="B329" s="526"/>
      <c r="C329" s="99" t="s">
        <v>29</v>
      </c>
      <c r="D329" s="55">
        <f>960+1623</f>
        <v>2583</v>
      </c>
      <c r="E329" s="56">
        <v>7.2024999999999997</v>
      </c>
      <c r="F329" s="57">
        <f t="shared" si="62"/>
        <v>7.2024999999999997</v>
      </c>
      <c r="G329" s="414">
        <f>ROUND(D329*E329,2)</f>
        <v>18604.060000000001</v>
      </c>
      <c r="H329" s="248"/>
      <c r="I329" s="203"/>
      <c r="J329" s="60"/>
      <c r="K329" s="1024"/>
      <c r="L329" s="249"/>
      <c r="M329" s="54"/>
      <c r="N329" s="527"/>
      <c r="O329" s="528"/>
      <c r="P329" s="529" t="s">
        <v>87</v>
      </c>
      <c r="Q329" s="58">
        <f>+G329+J329-M329-N329-O329</f>
        <v>18604.060000000001</v>
      </c>
      <c r="R329" s="502" t="s">
        <v>88</v>
      </c>
      <c r="S329" s="598">
        <f>SUM(N323:N329)+O323:O329</f>
        <v>0</v>
      </c>
      <c r="T329" s="598" t="e">
        <f>SUM(Q323:Q329)</f>
        <v>#VALUE!</v>
      </c>
    </row>
    <row r="330" spans="1:21">
      <c r="A330" s="376" t="s">
        <v>208</v>
      </c>
      <c r="B330" s="602" t="s">
        <v>213</v>
      </c>
      <c r="C330" s="439" t="s">
        <v>260</v>
      </c>
      <c r="D330" s="184">
        <f>янв19!D325+янв19!D326</f>
        <v>189.02</v>
      </c>
      <c r="E330" s="41">
        <f>7.2025-6.7838</f>
        <v>0.41869999999999941</v>
      </c>
      <c r="F330" s="23">
        <f>+E330</f>
        <v>0.41869999999999941</v>
      </c>
      <c r="G330" s="185">
        <f>ROUND(D330*(E330),2)</f>
        <v>79.14</v>
      </c>
      <c r="H330" s="620"/>
      <c r="I330" s="620"/>
      <c r="J330" s="620"/>
      <c r="K330" s="1020"/>
      <c r="L330" s="603">
        <f>SUM(G330:G332)</f>
        <v>1154.69</v>
      </c>
      <c r="M330" s="187">
        <v>1154.69</v>
      </c>
      <c r="N330" s="615"/>
      <c r="O330" s="615"/>
      <c r="P330" s="615"/>
      <c r="Q330" s="615"/>
    </row>
    <row r="331" spans="1:21">
      <c r="A331" s="934"/>
      <c r="B331" s="506"/>
      <c r="C331" s="48" t="s">
        <v>263</v>
      </c>
      <c r="D331" s="49">
        <v>6.33</v>
      </c>
      <c r="E331" s="41">
        <v>7.2024999999999997</v>
      </c>
      <c r="F331" s="41">
        <f>+E331</f>
        <v>7.2024999999999997</v>
      </c>
      <c r="G331" s="50">
        <f>ROUND(D331*(E331),2)</f>
        <v>45.59</v>
      </c>
      <c r="H331" s="296"/>
      <c r="I331" s="298"/>
      <c r="J331" s="298"/>
      <c r="K331" s="1021"/>
      <c r="L331" s="606"/>
      <c r="M331" s="935"/>
      <c r="N331" s="615"/>
      <c r="O331" s="615"/>
      <c r="P331" s="615"/>
      <c r="Q331" s="615"/>
    </row>
    <row r="332" spans="1:21" ht="15.75" thickBot="1">
      <c r="A332" s="934"/>
      <c r="B332" s="506"/>
      <c r="C332" s="54" t="s">
        <v>29</v>
      </c>
      <c r="D332" s="296">
        <v>143</v>
      </c>
      <c r="E332" s="56">
        <v>7.2024999999999997</v>
      </c>
      <c r="F332" s="41">
        <f>+E332</f>
        <v>7.2024999999999997</v>
      </c>
      <c r="G332" s="50">
        <f t="shared" ref="G332" si="63">ROUND(D332*(E332),2)</f>
        <v>1029.96</v>
      </c>
      <c r="H332" s="296"/>
      <c r="I332" s="298"/>
      <c r="J332" s="298"/>
      <c r="K332" s="1021"/>
      <c r="L332" s="614"/>
      <c r="M332" s="935"/>
      <c r="N332" s="615"/>
      <c r="O332" s="615"/>
      <c r="P332" s="615"/>
      <c r="Q332" s="615"/>
    </row>
    <row r="333" spans="1:21" ht="15.75" hidden="1" thickBot="1">
      <c r="A333" s="376">
        <v>201</v>
      </c>
      <c r="B333" s="602" t="s">
        <v>107</v>
      </c>
      <c r="C333" s="618" t="s">
        <v>73</v>
      </c>
      <c r="D333" s="619"/>
      <c r="E333" s="21">
        <v>40.556600000000003</v>
      </c>
      <c r="F333" s="21">
        <v>47.5304</v>
      </c>
      <c r="G333" s="185">
        <f>ROUND(D333*(E333+F333),2)</f>
        <v>0</v>
      </c>
      <c r="H333" s="620"/>
      <c r="I333" s="620"/>
      <c r="J333" s="620"/>
      <c r="K333" s="454"/>
      <c r="L333" s="603">
        <f>SUM(G333:G337,J333:J337)</f>
        <v>0.01</v>
      </c>
      <c r="M333" s="187"/>
      <c r="N333" s="621"/>
      <c r="O333" s="621"/>
      <c r="P333" s="621"/>
      <c r="Q333" s="622"/>
    </row>
    <row r="334" spans="1:21" ht="15.75" hidden="1" thickBot="1">
      <c r="A334" s="936"/>
      <c r="B334" s="612"/>
      <c r="C334" s="542" t="s">
        <v>96</v>
      </c>
      <c r="D334" s="234"/>
      <c r="E334" s="38"/>
      <c r="F334" s="38"/>
      <c r="G334" s="235">
        <f>ROUND(D334*(E334+F334),2)</f>
        <v>0</v>
      </c>
      <c r="H334" s="298"/>
      <c r="I334" s="298"/>
      <c r="J334" s="298"/>
      <c r="K334" s="455"/>
      <c r="L334" s="606"/>
      <c r="M334" s="935"/>
      <c r="N334" s="615"/>
      <c r="O334" s="615"/>
      <c r="P334" s="615"/>
      <c r="Q334" s="616"/>
    </row>
    <row r="335" spans="1:21" ht="15.75" hidden="1" thickBot="1">
      <c r="A335" s="936"/>
      <c r="B335" s="612"/>
      <c r="C335" s="48" t="s">
        <v>260</v>
      </c>
      <c r="D335" s="623"/>
      <c r="E335" s="41">
        <f>7.332-6.6439</f>
        <v>0.68809999999999949</v>
      </c>
      <c r="F335" s="41">
        <f t="shared" ref="F335:F343" si="64">+E335</f>
        <v>0.68809999999999949</v>
      </c>
      <c r="G335" s="50">
        <f>ROUND(D335*(E335),2)+0.01</f>
        <v>0.01</v>
      </c>
      <c r="H335" s="298"/>
      <c r="I335" s="298"/>
      <c r="J335" s="298"/>
      <c r="K335" s="455"/>
      <c r="L335" s="614"/>
      <c r="M335" s="935"/>
      <c r="N335" s="615"/>
      <c r="O335" s="615"/>
      <c r="P335" s="615"/>
      <c r="Q335" s="616"/>
    </row>
    <row r="336" spans="1:21" ht="15.75" hidden="1" thickBot="1">
      <c r="A336" s="936"/>
      <c r="B336" s="612"/>
      <c r="C336" s="48" t="s">
        <v>263</v>
      </c>
      <c r="D336" s="623"/>
      <c r="E336" s="41">
        <v>7.3319999999999999</v>
      </c>
      <c r="F336" s="41">
        <f t="shared" si="64"/>
        <v>7.3319999999999999</v>
      </c>
      <c r="G336" s="39">
        <f t="shared" ref="G336:G346" si="65">ROUND(D336*(E336),2)</f>
        <v>0</v>
      </c>
      <c r="H336" s="298"/>
      <c r="I336" s="298"/>
      <c r="J336" s="298"/>
      <c r="K336" s="455"/>
      <c r="L336" s="614"/>
      <c r="M336" s="273"/>
      <c r="N336" s="615"/>
      <c r="O336" s="615"/>
      <c r="P336" s="615"/>
      <c r="Q336" s="616"/>
    </row>
    <row r="337" spans="1:17" ht="15.75" hidden="1" thickBot="1">
      <c r="A337" s="937"/>
      <c r="B337" s="526"/>
      <c r="C337" s="99" t="s">
        <v>29</v>
      </c>
      <c r="D337" s="625"/>
      <c r="E337" s="56">
        <v>7.3319999999999999</v>
      </c>
      <c r="F337" s="281">
        <f t="shared" si="64"/>
        <v>7.3319999999999999</v>
      </c>
      <c r="G337" s="414">
        <f t="shared" si="65"/>
        <v>0</v>
      </c>
      <c r="H337" s="41"/>
      <c r="I337" s="41"/>
      <c r="J337" s="281"/>
      <c r="K337" s="56"/>
      <c r="L337" s="784"/>
      <c r="M337" s="938"/>
      <c r="N337" s="626"/>
      <c r="O337" s="626"/>
      <c r="P337" s="626"/>
      <c r="Q337" s="627"/>
    </row>
    <row r="338" spans="1:17">
      <c r="A338" s="376">
        <v>203</v>
      </c>
      <c r="B338" s="602" t="s">
        <v>301</v>
      </c>
      <c r="C338" s="439" t="s">
        <v>260</v>
      </c>
      <c r="D338" s="184">
        <f>янв19!D333+янв19!D334</f>
        <v>167.09</v>
      </c>
      <c r="E338" s="41">
        <f>7.2025-6.7838</f>
        <v>0.41869999999999941</v>
      </c>
      <c r="F338" s="23">
        <f t="shared" si="64"/>
        <v>0.41869999999999941</v>
      </c>
      <c r="G338" s="185">
        <f>ROUND(D338*(E338),2)</f>
        <v>69.959999999999994</v>
      </c>
      <c r="H338" s="620"/>
      <c r="I338" s="620"/>
      <c r="J338" s="620"/>
      <c r="K338" s="1020"/>
      <c r="L338" s="603">
        <f>SUM(G338:G340)</f>
        <v>972.57999999999993</v>
      </c>
      <c r="M338" s="187">
        <v>972.58</v>
      </c>
      <c r="N338" s="615"/>
      <c r="O338" s="615"/>
      <c r="P338" s="615"/>
      <c r="Q338" s="615"/>
    </row>
    <row r="339" spans="1:17">
      <c r="A339" s="934"/>
      <c r="B339" s="506"/>
      <c r="C339" s="48" t="s">
        <v>263</v>
      </c>
      <c r="D339" s="49">
        <v>5.32</v>
      </c>
      <c r="E339" s="41">
        <v>7.2024999999999997</v>
      </c>
      <c r="F339" s="41">
        <f t="shared" si="64"/>
        <v>7.2024999999999997</v>
      </c>
      <c r="G339" s="50">
        <f>ROUND(D339*(E339),2)</f>
        <v>38.32</v>
      </c>
      <c r="H339" s="296"/>
      <c r="I339" s="298"/>
      <c r="J339" s="298"/>
      <c r="K339" s="1021"/>
      <c r="L339" s="606"/>
      <c r="M339" s="935"/>
      <c r="N339" s="615"/>
      <c r="O339" s="615"/>
      <c r="P339" s="615"/>
      <c r="Q339" s="615"/>
    </row>
    <row r="340" spans="1:17" ht="15.75" thickBot="1">
      <c r="A340" s="934"/>
      <c r="B340" s="506"/>
      <c r="C340" s="54" t="s">
        <v>29</v>
      </c>
      <c r="D340" s="296">
        <v>120</v>
      </c>
      <c r="E340" s="56">
        <v>7.2024999999999997</v>
      </c>
      <c r="F340" s="41">
        <f t="shared" si="64"/>
        <v>7.2024999999999997</v>
      </c>
      <c r="G340" s="50">
        <f t="shared" ref="G340" si="66">ROUND(D340*(E340),2)</f>
        <v>864.3</v>
      </c>
      <c r="H340" s="296"/>
      <c r="I340" s="298"/>
      <c r="J340" s="298"/>
      <c r="K340" s="1021"/>
      <c r="L340" s="614"/>
      <c r="M340" s="935"/>
      <c r="N340" s="615"/>
      <c r="O340" s="615"/>
      <c r="P340" s="615"/>
      <c r="Q340" s="615"/>
    </row>
    <row r="341" spans="1:17">
      <c r="A341" s="376">
        <v>301</v>
      </c>
      <c r="B341" s="602" t="s">
        <v>106</v>
      </c>
      <c r="C341" s="48" t="s">
        <v>260</v>
      </c>
      <c r="D341" s="184">
        <f>янв19!D336+янв19!D337</f>
        <v>830.22</v>
      </c>
      <c r="E341" s="41">
        <f>7.2025-6.7838</f>
        <v>0.41869999999999941</v>
      </c>
      <c r="F341" s="23">
        <f t="shared" si="64"/>
        <v>0.41869999999999941</v>
      </c>
      <c r="G341" s="185">
        <f>ROUND(D341*(E341),2)+0.01</f>
        <v>347.62</v>
      </c>
      <c r="H341" s="23"/>
      <c r="I341" s="23"/>
      <c r="J341" s="23"/>
      <c r="K341" s="341"/>
      <c r="L341" s="603">
        <f>SUM(G341:G343)</f>
        <v>6695.83</v>
      </c>
      <c r="M341" s="187">
        <v>6695.83</v>
      </c>
      <c r="N341" s="604"/>
      <c r="O341" s="500"/>
      <c r="P341" s="501"/>
      <c r="Q341" s="605"/>
    </row>
    <row r="342" spans="1:17">
      <c r="A342" s="389"/>
      <c r="B342" s="506"/>
      <c r="C342" s="48" t="s">
        <v>263</v>
      </c>
      <c r="D342" s="49">
        <v>37.39</v>
      </c>
      <c r="E342" s="41">
        <v>7.2024999999999997</v>
      </c>
      <c r="F342" s="41">
        <f t="shared" si="64"/>
        <v>7.2024999999999997</v>
      </c>
      <c r="G342" s="50">
        <f t="shared" si="65"/>
        <v>269.3</v>
      </c>
      <c r="H342" s="41"/>
      <c r="I342" s="41"/>
      <c r="J342" s="41"/>
      <c r="K342" s="101"/>
      <c r="L342" s="606"/>
      <c r="M342" s="935"/>
      <c r="N342" s="607"/>
      <c r="O342" s="608"/>
      <c r="P342" s="609"/>
      <c r="Q342" s="610"/>
    </row>
    <row r="343" spans="1:17" ht="15.75" thickBot="1">
      <c r="A343" s="936"/>
      <c r="B343" s="612"/>
      <c r="C343" s="99" t="s">
        <v>29</v>
      </c>
      <c r="D343" s="613">
        <v>844</v>
      </c>
      <c r="E343" s="56">
        <v>7.2024999999999997</v>
      </c>
      <c r="F343" s="281">
        <f t="shared" si="64"/>
        <v>7.2024999999999997</v>
      </c>
      <c r="G343" s="58">
        <f t="shared" si="65"/>
        <v>6078.91</v>
      </c>
      <c r="H343" s="57"/>
      <c r="I343" s="57"/>
      <c r="J343" s="57"/>
      <c r="K343" s="1018"/>
      <c r="L343" s="614"/>
      <c r="M343" s="935"/>
      <c r="N343" s="615"/>
      <c r="O343" s="615"/>
      <c r="P343" s="615"/>
      <c r="Q343" s="616"/>
    </row>
    <row r="344" spans="1:17" ht="15.75" hidden="1" thickBot="1">
      <c r="A344" s="447" t="s">
        <v>205</v>
      </c>
      <c r="B344" s="602" t="s">
        <v>183</v>
      </c>
      <c r="C344" s="439" t="s">
        <v>260</v>
      </c>
      <c r="D344" s="184"/>
      <c r="E344" s="41">
        <f>7.332-6.6439</f>
        <v>0.68809999999999949</v>
      </c>
      <c r="F344" s="23">
        <f>+E344</f>
        <v>0.68809999999999949</v>
      </c>
      <c r="G344" s="185">
        <f>ROUND(D344*(E344),2)-0.01</f>
        <v>-0.01</v>
      </c>
      <c r="H344" s="620"/>
      <c r="I344" s="620"/>
      <c r="J344" s="620"/>
      <c r="K344" s="1020"/>
      <c r="L344" s="603">
        <f>SUM(G344:G346)</f>
        <v>-0.01</v>
      </c>
      <c r="M344" s="187"/>
      <c r="N344" s="604"/>
      <c r="O344" s="635"/>
      <c r="P344" s="636"/>
      <c r="Q344" s="605"/>
    </row>
    <row r="345" spans="1:17" ht="15.75" hidden="1" thickBot="1">
      <c r="A345" s="450" t="s">
        <v>206</v>
      </c>
      <c r="B345" s="506"/>
      <c r="C345" s="48" t="s">
        <v>263</v>
      </c>
      <c r="D345" s="49"/>
      <c r="E345" s="41">
        <v>7.3319999999999999</v>
      </c>
      <c r="F345" s="41">
        <f>+E345</f>
        <v>7.3319999999999999</v>
      </c>
      <c r="G345" s="50">
        <f t="shared" si="65"/>
        <v>0</v>
      </c>
      <c r="H345" s="296"/>
      <c r="I345" s="298"/>
      <c r="J345" s="298"/>
      <c r="K345" s="1021"/>
      <c r="L345" s="606"/>
      <c r="M345" s="935"/>
      <c r="N345" s="607"/>
      <c r="O345" s="608"/>
      <c r="P345" s="609"/>
      <c r="Q345" s="610"/>
    </row>
    <row r="346" spans="1:17" ht="15.75" hidden="1" thickBot="1">
      <c r="A346" s="451">
        <v>305</v>
      </c>
      <c r="B346" s="506"/>
      <c r="C346" s="54" t="s">
        <v>29</v>
      </c>
      <c r="D346" s="296"/>
      <c r="E346" s="56">
        <v>7.3319999999999999</v>
      </c>
      <c r="F346" s="41">
        <f t="shared" ref="F346:F350" si="67">+E346</f>
        <v>7.3319999999999999</v>
      </c>
      <c r="G346" s="50">
        <f t="shared" si="65"/>
        <v>0</v>
      </c>
      <c r="H346" s="296"/>
      <c r="I346" s="298"/>
      <c r="J346" s="298"/>
      <c r="K346" s="1021"/>
      <c r="L346" s="614"/>
      <c r="M346" s="935"/>
      <c r="N346" s="615"/>
      <c r="O346" s="615"/>
      <c r="P346" s="615"/>
      <c r="Q346" s="616"/>
    </row>
    <row r="347" spans="1:17">
      <c r="A347" s="376">
        <v>304</v>
      </c>
      <c r="B347" s="602" t="s">
        <v>299</v>
      </c>
      <c r="C347" s="48" t="s">
        <v>260</v>
      </c>
      <c r="D347" s="184">
        <f>янв19!D342+янв19!D343</f>
        <v>18.8</v>
      </c>
      <c r="E347" s="41">
        <f>7.2025-6.7838</f>
        <v>0.41869999999999941</v>
      </c>
      <c r="F347" s="23">
        <f t="shared" si="67"/>
        <v>0.41869999999999941</v>
      </c>
      <c r="G347" s="185">
        <f>ROUND(D347*(E347),2)-0.01</f>
        <v>7.86</v>
      </c>
      <c r="H347" s="23"/>
      <c r="I347" s="23"/>
      <c r="J347" s="23"/>
      <c r="K347" s="341"/>
      <c r="L347" s="603">
        <f>SUM(G347:G349)</f>
        <v>241.01</v>
      </c>
      <c r="M347" s="187">
        <v>241.01</v>
      </c>
      <c r="N347" s="604"/>
      <c r="O347" s="500"/>
      <c r="P347" s="501"/>
      <c r="Q347" s="605"/>
    </row>
    <row r="348" spans="1:17">
      <c r="A348" s="389"/>
      <c r="B348" s="506"/>
      <c r="C348" s="48" t="s">
        <v>263</v>
      </c>
      <c r="D348" s="49">
        <v>1.37</v>
      </c>
      <c r="E348" s="41">
        <v>7.2024999999999997</v>
      </c>
      <c r="F348" s="41">
        <f t="shared" si="67"/>
        <v>7.2024999999999997</v>
      </c>
      <c r="G348" s="50">
        <f t="shared" ref="G348:G349" si="68">ROUND(D348*(E348),2)</f>
        <v>9.8699999999999992</v>
      </c>
      <c r="H348" s="41"/>
      <c r="I348" s="41"/>
      <c r="J348" s="41"/>
      <c r="K348" s="101"/>
      <c r="L348" s="606"/>
      <c r="M348" s="935"/>
      <c r="N348" s="607"/>
      <c r="O348" s="608"/>
      <c r="P348" s="609"/>
      <c r="Q348" s="610"/>
    </row>
    <row r="349" spans="1:17" ht="15.75" thickBot="1">
      <c r="A349" s="936"/>
      <c r="B349" s="612"/>
      <c r="C349" s="99" t="s">
        <v>29</v>
      </c>
      <c r="D349" s="613">
        <v>31</v>
      </c>
      <c r="E349" s="56">
        <v>7.2024999999999997</v>
      </c>
      <c r="F349" s="281">
        <f t="shared" si="67"/>
        <v>7.2024999999999997</v>
      </c>
      <c r="G349" s="58">
        <f t="shared" si="68"/>
        <v>223.28</v>
      </c>
      <c r="H349" s="57"/>
      <c r="I349" s="57"/>
      <c r="J349" s="57"/>
      <c r="K349" s="1018"/>
      <c r="L349" s="614"/>
      <c r="M349" s="935"/>
      <c r="N349" s="615"/>
      <c r="O349" s="615"/>
      <c r="P349" s="615"/>
      <c r="Q349" s="616"/>
    </row>
    <row r="350" spans="1:17" collapsed="1">
      <c r="A350" s="376">
        <v>307</v>
      </c>
      <c r="B350" s="602" t="s">
        <v>251</v>
      </c>
      <c r="C350" s="439" t="s">
        <v>260</v>
      </c>
      <c r="D350" s="184">
        <f>янв19!D345+янв19!D346</f>
        <v>403.1</v>
      </c>
      <c r="E350" s="23">
        <f>7.2025-6.7838</f>
        <v>0.41869999999999941</v>
      </c>
      <c r="F350" s="23">
        <f t="shared" si="67"/>
        <v>0.41869999999999941</v>
      </c>
      <c r="G350" s="185">
        <f>ROUND(D350*(E350),2)-0.01</f>
        <v>168.77</v>
      </c>
      <c r="H350" s="669"/>
      <c r="I350" s="620"/>
      <c r="J350" s="620"/>
      <c r="K350" s="1020"/>
      <c r="L350" s="603">
        <f>SUM(G350:G352)</f>
        <v>2816.34</v>
      </c>
      <c r="M350" s="187">
        <v>2816.34</v>
      </c>
      <c r="N350" s="604"/>
      <c r="O350" s="635"/>
      <c r="P350" s="636"/>
      <c r="Q350" s="605"/>
    </row>
    <row r="351" spans="1:17">
      <c r="A351" s="934"/>
      <c r="B351" s="506"/>
      <c r="C351" s="48" t="s">
        <v>263</v>
      </c>
      <c r="D351" s="49">
        <v>15.59</v>
      </c>
      <c r="E351" s="41">
        <v>7.2024999999999997</v>
      </c>
      <c r="F351" s="41">
        <f>+E351</f>
        <v>7.2024999999999997</v>
      </c>
      <c r="G351" s="50">
        <f>ROUND(D351*(E351),2)</f>
        <v>112.29</v>
      </c>
      <c r="H351" s="296"/>
      <c r="I351" s="298"/>
      <c r="J351" s="298"/>
      <c r="K351" s="1021"/>
      <c r="L351" s="606"/>
      <c r="M351" s="935"/>
      <c r="N351" s="607"/>
      <c r="O351" s="608"/>
      <c r="P351" s="609"/>
      <c r="Q351" s="610"/>
    </row>
    <row r="352" spans="1:17" ht="15.75" thickBot="1">
      <c r="A352" s="960"/>
      <c r="B352" s="506"/>
      <c r="C352" s="54" t="s">
        <v>29</v>
      </c>
      <c r="D352" s="296">
        <v>352</v>
      </c>
      <c r="E352" s="56">
        <v>7.2024999999999997</v>
      </c>
      <c r="F352" s="41">
        <f t="shared" ref="F352:F356" si="69">+E352</f>
        <v>7.2024999999999997</v>
      </c>
      <c r="G352" s="50">
        <f t="shared" ref="G352" si="70">ROUND(D352*(E352),2)</f>
        <v>2535.2800000000002</v>
      </c>
      <c r="H352" s="296"/>
      <c r="I352" s="298"/>
      <c r="J352" s="298"/>
      <c r="K352" s="1021"/>
      <c r="L352" s="614"/>
      <c r="M352" s="935"/>
      <c r="N352" s="615"/>
      <c r="O352" s="615"/>
      <c r="P352" s="615"/>
      <c r="Q352" s="616"/>
    </row>
    <row r="353" spans="1:17" collapsed="1">
      <c r="A353" s="376">
        <v>308</v>
      </c>
      <c r="B353" s="602" t="s">
        <v>247</v>
      </c>
      <c r="C353" s="439" t="s">
        <v>260</v>
      </c>
      <c r="D353" s="184">
        <f>янв19!D348+янв19!D349</f>
        <v>365.51</v>
      </c>
      <c r="E353" s="23">
        <f>7.2025-6.7838</f>
        <v>0.41869999999999941</v>
      </c>
      <c r="F353" s="23">
        <f t="shared" si="69"/>
        <v>0.41869999999999941</v>
      </c>
      <c r="G353" s="185">
        <f>ROUND(D353*(E353),2)+0.01</f>
        <v>153.04999999999998</v>
      </c>
      <c r="H353" s="669"/>
      <c r="I353" s="620"/>
      <c r="J353" s="620"/>
      <c r="K353" s="1020"/>
      <c r="L353" s="603">
        <f>SUM(G353:G355)</f>
        <v>2785.63</v>
      </c>
      <c r="M353" s="187">
        <v>2785.63</v>
      </c>
      <c r="N353" s="604"/>
      <c r="O353" s="635"/>
      <c r="P353" s="636"/>
      <c r="Q353" s="605"/>
    </row>
    <row r="354" spans="1:17">
      <c r="A354" s="934"/>
      <c r="B354" s="506"/>
      <c r="C354" s="48" t="s">
        <v>263</v>
      </c>
      <c r="D354" s="49">
        <v>15.51</v>
      </c>
      <c r="E354" s="41">
        <v>7.2024999999999997</v>
      </c>
      <c r="F354" s="41">
        <f>+E354</f>
        <v>7.2024999999999997</v>
      </c>
      <c r="G354" s="50">
        <f>ROUND(D354*(E354),2)-0.01</f>
        <v>111.69999999999999</v>
      </c>
      <c r="H354" s="296"/>
      <c r="I354" s="298"/>
      <c r="J354" s="298"/>
      <c r="K354" s="1021"/>
      <c r="L354" s="606"/>
      <c r="M354" s="935"/>
      <c r="N354" s="607"/>
      <c r="O354" s="608"/>
      <c r="P354" s="609"/>
      <c r="Q354" s="610"/>
    </row>
    <row r="355" spans="1:17" ht="15.75" thickBot="1">
      <c r="A355" s="960"/>
      <c r="B355" s="506"/>
      <c r="C355" s="54" t="s">
        <v>29</v>
      </c>
      <c r="D355" s="296">
        <v>350</v>
      </c>
      <c r="E355" s="56">
        <v>7.2024999999999997</v>
      </c>
      <c r="F355" s="41">
        <f t="shared" ref="F355" si="71">+E355</f>
        <v>7.2024999999999997</v>
      </c>
      <c r="G355" s="50">
        <f t="shared" ref="G355" si="72">ROUND(D355*(E355),2)</f>
        <v>2520.88</v>
      </c>
      <c r="H355" s="296"/>
      <c r="I355" s="298"/>
      <c r="J355" s="298"/>
      <c r="K355" s="1021"/>
      <c r="L355" s="614"/>
      <c r="M355" s="935"/>
      <c r="N355" s="615"/>
      <c r="O355" s="615"/>
      <c r="P355" s="615"/>
      <c r="Q355" s="616"/>
    </row>
    <row r="356" spans="1:17" ht="15.75" hidden="1" collapsed="1" thickBot="1">
      <c r="A356" s="376" t="s">
        <v>254</v>
      </c>
      <c r="B356" s="602" t="s">
        <v>235</v>
      </c>
      <c r="C356" s="439" t="s">
        <v>260</v>
      </c>
      <c r="D356" s="184"/>
      <c r="E356" s="41">
        <f>7.0643-7.1352</f>
        <v>-7.0899999999999963E-2</v>
      </c>
      <c r="F356" s="23">
        <f t="shared" si="69"/>
        <v>-7.0899999999999963E-2</v>
      </c>
      <c r="G356" s="185">
        <f>ROUND(D356*(E356),2)-0.01</f>
        <v>-0.01</v>
      </c>
      <c r="H356" s="620"/>
      <c r="I356" s="620"/>
      <c r="J356" s="620"/>
      <c r="K356" s="1020"/>
      <c r="L356" s="603">
        <f>SUM(G356:G358)</f>
        <v>-0.01</v>
      </c>
      <c r="M356" s="187"/>
      <c r="N356" s="615"/>
      <c r="O356" s="615"/>
      <c r="P356" s="615"/>
      <c r="Q356" s="615"/>
    </row>
    <row r="357" spans="1:17" ht="15.75" hidden="1" thickBot="1">
      <c r="A357" s="934">
        <v>314</v>
      </c>
      <c r="B357" s="506"/>
      <c r="C357" s="48" t="s">
        <v>263</v>
      </c>
      <c r="D357" s="49"/>
      <c r="E357" s="41">
        <v>7.0643000000000002</v>
      </c>
      <c r="F357" s="41">
        <f>+E357</f>
        <v>7.0643000000000002</v>
      </c>
      <c r="G357" s="50">
        <f>ROUND(D357*(E357),2)</f>
        <v>0</v>
      </c>
      <c r="H357" s="296"/>
      <c r="I357" s="298"/>
      <c r="J357" s="298"/>
      <c r="K357" s="1021"/>
      <c r="L357" s="606"/>
      <c r="M357" s="935"/>
      <c r="N357" s="615"/>
      <c r="O357" s="615"/>
      <c r="P357" s="615"/>
      <c r="Q357" s="615"/>
    </row>
    <row r="358" spans="1:17" ht="15.75" hidden="1" thickBot="1">
      <c r="A358" s="934"/>
      <c r="B358" s="506"/>
      <c r="C358" s="54" t="s">
        <v>29</v>
      </c>
      <c r="D358" s="296"/>
      <c r="E358" s="56">
        <v>7.0643000000000002</v>
      </c>
      <c r="F358" s="41">
        <f t="shared" ref="F358:F361" si="73">+E358</f>
        <v>7.0643000000000002</v>
      </c>
      <c r="G358" s="50">
        <f t="shared" ref="G358" si="74">ROUND(D358*(E358),2)</f>
        <v>0</v>
      </c>
      <c r="H358" s="296"/>
      <c r="I358" s="298"/>
      <c r="J358" s="298"/>
      <c r="K358" s="1021"/>
      <c r="L358" s="614"/>
      <c r="M358" s="935"/>
      <c r="N358" s="615"/>
      <c r="O358" s="615"/>
      <c r="P358" s="615"/>
      <c r="Q358" s="615"/>
    </row>
    <row r="359" spans="1:17" ht="15.75" hidden="1" thickBot="1">
      <c r="A359" s="376">
        <v>311</v>
      </c>
      <c r="B359" s="602" t="s">
        <v>204</v>
      </c>
      <c r="C359" s="439" t="s">
        <v>260</v>
      </c>
      <c r="D359" s="184"/>
      <c r="E359" s="41">
        <f>6.7023-6.509</f>
        <v>0.19329999999999981</v>
      </c>
      <c r="F359" s="23">
        <f t="shared" si="73"/>
        <v>0.19329999999999981</v>
      </c>
      <c r="G359" s="185">
        <f>ROUND(D359*(E359),2)-0.01</f>
        <v>-0.01</v>
      </c>
      <c r="H359" s="620"/>
      <c r="I359" s="620"/>
      <c r="J359" s="620"/>
      <c r="K359" s="1020"/>
      <c r="L359" s="603">
        <f>SUM(G359:G362)</f>
        <v>-0.01</v>
      </c>
      <c r="M359" s="187"/>
      <c r="N359" s="604"/>
      <c r="O359" s="635" t="s">
        <v>274</v>
      </c>
      <c r="P359" s="636"/>
      <c r="Q359" s="605"/>
    </row>
    <row r="360" spans="1:17" ht="15.75" hidden="1" thickBot="1">
      <c r="A360" s="389"/>
      <c r="B360" s="939" t="s">
        <v>273</v>
      </c>
      <c r="C360" s="48" t="s">
        <v>263</v>
      </c>
      <c r="D360" s="49"/>
      <c r="E360" s="41">
        <v>6.7023000000000001</v>
      </c>
      <c r="F360" s="41">
        <f t="shared" si="73"/>
        <v>6.7023000000000001</v>
      </c>
      <c r="G360" s="50">
        <f>ROUND(D360*(E360),2)</f>
        <v>0</v>
      </c>
      <c r="H360" s="296"/>
      <c r="I360" s="298"/>
      <c r="J360" s="298"/>
      <c r="K360" s="1021"/>
      <c r="L360" s="606"/>
      <c r="M360" s="935"/>
      <c r="N360" s="607"/>
      <c r="O360" s="608"/>
      <c r="P360" s="609"/>
      <c r="Q360" s="610"/>
    </row>
    <row r="361" spans="1:17" ht="15.75" hidden="1" thickBot="1">
      <c r="A361" s="936"/>
      <c r="B361" s="506"/>
      <c r="C361" s="99" t="s">
        <v>29</v>
      </c>
      <c r="D361" s="296"/>
      <c r="E361" s="101">
        <v>6.7023000000000001</v>
      </c>
      <c r="F361" s="41">
        <f t="shared" si="73"/>
        <v>6.7023000000000001</v>
      </c>
      <c r="G361" s="50">
        <f>ROUND(D361*(E361),2)</f>
        <v>0</v>
      </c>
      <c r="H361" s="296"/>
      <c r="I361" s="298"/>
      <c r="J361" s="298"/>
      <c r="K361" s="1027"/>
      <c r="L361" s="614"/>
      <c r="M361" s="935"/>
      <c r="N361" s="615"/>
      <c r="O361" s="615"/>
      <c r="P361" s="615"/>
      <c r="Q361" s="616"/>
    </row>
    <row r="362" spans="1:17" ht="15.75" hidden="1" thickBot="1">
      <c r="A362" s="937"/>
      <c r="B362" s="278"/>
      <c r="C362" s="784"/>
      <c r="D362" s="941"/>
      <c r="E362" s="281"/>
      <c r="F362" s="57"/>
      <c r="G362" s="58">
        <f>ROUND(D362*(E362),2)</f>
        <v>0</v>
      </c>
      <c r="H362" s="613"/>
      <c r="I362" s="57"/>
      <c r="J362" s="57"/>
      <c r="K362" s="1028"/>
      <c r="L362" s="784"/>
      <c r="M362" s="938"/>
      <c r="N362" s="626"/>
      <c r="O362" s="626"/>
      <c r="P362" s="626"/>
      <c r="Q362" s="626"/>
    </row>
    <row r="363" spans="1:17" collapsed="1">
      <c r="A363" s="376">
        <v>311</v>
      </c>
      <c r="B363" s="602" t="s">
        <v>278</v>
      </c>
      <c r="C363" s="439" t="s">
        <v>260</v>
      </c>
      <c r="D363" s="184">
        <f>янв19!D358+янв19!D359</f>
        <v>159.78</v>
      </c>
      <c r="E363" s="41">
        <f>7.2025-6.7838</f>
        <v>0.41869999999999941</v>
      </c>
      <c r="F363" s="23">
        <f t="shared" ref="F363" si="75">+E363</f>
        <v>0.41869999999999941</v>
      </c>
      <c r="G363" s="185">
        <f>ROUND(D363*(E363),2)</f>
        <v>66.900000000000006</v>
      </c>
      <c r="H363" s="620"/>
      <c r="I363" s="620"/>
      <c r="J363" s="620"/>
      <c r="K363" s="1020"/>
      <c r="L363" s="603">
        <f>SUM(G363:G365)</f>
        <v>631</v>
      </c>
      <c r="M363" s="187">
        <v>631</v>
      </c>
      <c r="N363" s="615"/>
      <c r="O363" s="615"/>
      <c r="P363" s="615"/>
      <c r="Q363" s="615"/>
    </row>
    <row r="364" spans="1:17">
      <c r="A364" s="934"/>
      <c r="B364" s="506"/>
      <c r="C364" s="48" t="s">
        <v>263</v>
      </c>
      <c r="D364" s="49">
        <v>3.32</v>
      </c>
      <c r="E364" s="41">
        <v>7.2024999999999997</v>
      </c>
      <c r="F364" s="41">
        <f>+E364</f>
        <v>7.2024999999999997</v>
      </c>
      <c r="G364" s="50">
        <f>ROUND(D364*(E364),2)</f>
        <v>23.91</v>
      </c>
      <c r="H364" s="296"/>
      <c r="I364" s="298"/>
      <c r="J364" s="298"/>
      <c r="K364" s="1021"/>
      <c r="L364" s="606"/>
      <c r="M364" s="935"/>
      <c r="N364" s="615"/>
      <c r="O364" s="615"/>
      <c r="P364" s="615"/>
      <c r="Q364" s="615"/>
    </row>
    <row r="365" spans="1:17" ht="15.75" thickBot="1">
      <c r="A365" s="934"/>
      <c r="B365" s="506"/>
      <c r="C365" s="54" t="s">
        <v>29</v>
      </c>
      <c r="D365" s="296">
        <v>75</v>
      </c>
      <c r="E365" s="56">
        <v>7.2024999999999997</v>
      </c>
      <c r="F365" s="41">
        <f t="shared" ref="F365" si="76">+E365</f>
        <v>7.2024999999999997</v>
      </c>
      <c r="G365" s="50">
        <f t="shared" ref="G365" si="77">ROUND(D365*(E365),2)</f>
        <v>540.19000000000005</v>
      </c>
      <c r="H365" s="296"/>
      <c r="I365" s="298"/>
      <c r="J365" s="298"/>
      <c r="K365" s="1021"/>
      <c r="L365" s="614"/>
      <c r="M365" s="935"/>
      <c r="N365" s="615"/>
      <c r="O365" s="615"/>
      <c r="P365" s="615"/>
      <c r="Q365" s="615"/>
    </row>
    <row r="366" spans="1:17">
      <c r="A366" s="376">
        <v>312</v>
      </c>
      <c r="B366" s="602" t="s">
        <v>112</v>
      </c>
      <c r="C366" s="439" t="s">
        <v>260</v>
      </c>
      <c r="D366" s="184">
        <f>янв19!D361+янв19!D362</f>
        <v>774.87</v>
      </c>
      <c r="E366" s="23">
        <f>7.2025-6.7838</f>
        <v>0.41869999999999941</v>
      </c>
      <c r="F366" s="23">
        <f>+E366</f>
        <v>0.41869999999999941</v>
      </c>
      <c r="G366" s="185">
        <f>ROUND(D366*(E366),2)-0.01</f>
        <v>324.43</v>
      </c>
      <c r="H366" s="620"/>
      <c r="I366" s="620"/>
      <c r="J366" s="620"/>
      <c r="K366" s="1020"/>
      <c r="L366" s="603">
        <f>SUM(G366:G369)</f>
        <v>5010.38</v>
      </c>
      <c r="M366" s="187">
        <v>5010.38</v>
      </c>
      <c r="N366" s="604"/>
      <c r="O366" s="635"/>
      <c r="P366" s="636"/>
      <c r="Q366" s="605"/>
    </row>
    <row r="367" spans="1:17">
      <c r="A367" s="934"/>
      <c r="B367" s="506"/>
      <c r="C367" s="48" t="s">
        <v>263</v>
      </c>
      <c r="D367" s="49">
        <v>27.6</v>
      </c>
      <c r="E367" s="41">
        <v>7.2024999999999997</v>
      </c>
      <c r="F367" s="41">
        <f>+E367</f>
        <v>7.2024999999999997</v>
      </c>
      <c r="G367" s="50">
        <f t="shared" ref="G367:G368" si="78">ROUND(D367*(E367),2)</f>
        <v>198.79</v>
      </c>
      <c r="H367" s="296"/>
      <c r="I367" s="298"/>
      <c r="J367" s="298"/>
      <c r="K367" s="1021"/>
      <c r="L367" s="606"/>
      <c r="M367" s="935"/>
      <c r="N367" s="607"/>
      <c r="O367" s="608"/>
      <c r="P367" s="609"/>
      <c r="Q367" s="610"/>
    </row>
    <row r="368" spans="1:17">
      <c r="A368" s="934"/>
      <c r="B368" s="506"/>
      <c r="C368" s="99" t="s">
        <v>29</v>
      </c>
      <c r="D368" s="296">
        <v>623</v>
      </c>
      <c r="E368" s="101">
        <v>7.2024999999999997</v>
      </c>
      <c r="F368" s="41">
        <f>+E368</f>
        <v>7.2024999999999997</v>
      </c>
      <c r="G368" s="50">
        <f t="shared" si="78"/>
        <v>4487.16</v>
      </c>
      <c r="H368" s="296"/>
      <c r="I368" s="298"/>
      <c r="J368" s="298"/>
      <c r="K368" s="1021"/>
      <c r="L368" s="614"/>
      <c r="M368" s="935"/>
      <c r="N368" s="615"/>
      <c r="O368" s="615"/>
      <c r="P368" s="615"/>
      <c r="Q368" s="616"/>
    </row>
    <row r="369" spans="1:20" ht="15.75" thickBot="1">
      <c r="A369" s="942"/>
      <c r="B369" s="278"/>
      <c r="C369" s="54"/>
      <c r="D369" s="941"/>
      <c r="E369" s="281"/>
      <c r="F369" s="57"/>
      <c r="G369" s="58"/>
      <c r="H369" s="613"/>
      <c r="I369" s="57"/>
      <c r="J369" s="57"/>
      <c r="K369" s="1029"/>
      <c r="L369" s="784"/>
      <c r="M369" s="938"/>
      <c r="N369" s="615"/>
      <c r="O369" s="615"/>
      <c r="P369" s="615"/>
      <c r="Q369" s="615"/>
    </row>
    <row r="370" spans="1:20" ht="15.75" hidden="1" collapsed="1" thickBot="1">
      <c r="A370" s="376">
        <v>314</v>
      </c>
      <c r="B370" s="602" t="s">
        <v>235</v>
      </c>
      <c r="C370" s="439" t="s">
        <v>149</v>
      </c>
      <c r="D370" s="184"/>
      <c r="E370" s="41">
        <f>6.509-6.4709</f>
        <v>3.8100000000000023E-2</v>
      </c>
      <c r="F370" s="23">
        <f t="shared" ref="F370" si="79">+E370</f>
        <v>3.8100000000000023E-2</v>
      </c>
      <c r="G370" s="185">
        <f>ROUND(D370*(E370),2)</f>
        <v>0</v>
      </c>
      <c r="H370" s="620"/>
      <c r="I370" s="620"/>
      <c r="J370" s="620"/>
      <c r="K370" s="1020"/>
      <c r="L370" s="603">
        <f>SUM(G370:G372)</f>
        <v>0</v>
      </c>
      <c r="M370" s="187"/>
      <c r="N370" s="615"/>
      <c r="O370" s="967" t="s">
        <v>249</v>
      </c>
      <c r="P370" s="615"/>
      <c r="Q370" s="615"/>
    </row>
    <row r="371" spans="1:20" ht="15.75" hidden="1" thickBot="1">
      <c r="A371" s="934"/>
      <c r="B371" s="516" t="s">
        <v>246</v>
      </c>
      <c r="C371" s="48" t="s">
        <v>150</v>
      </c>
      <c r="D371" s="49"/>
      <c r="E371" s="41">
        <v>6.5090000000000003</v>
      </c>
      <c r="F371" s="41">
        <f>+E371</f>
        <v>6.5090000000000003</v>
      </c>
      <c r="G371" s="50">
        <f>ROUND(D371*(E371),2)</f>
        <v>0</v>
      </c>
      <c r="H371" s="296"/>
      <c r="I371" s="298"/>
      <c r="J371" s="298"/>
      <c r="K371" s="1021"/>
      <c r="L371" s="606"/>
      <c r="M371" s="935"/>
      <c r="N371" s="615"/>
      <c r="O371" s="615"/>
      <c r="P371" s="615"/>
      <c r="Q371" s="615"/>
    </row>
    <row r="372" spans="1:20" ht="15.75" hidden="1" thickBot="1">
      <c r="A372" s="942"/>
      <c r="B372" s="982"/>
      <c r="C372" s="54" t="s">
        <v>29</v>
      </c>
      <c r="D372" s="613"/>
      <c r="E372" s="56">
        <v>6.5090000000000003</v>
      </c>
      <c r="F372" s="281">
        <f t="shared" ref="F372:F373" si="80">+E372</f>
        <v>6.5090000000000003</v>
      </c>
      <c r="G372" s="58">
        <f t="shared" ref="G372" si="81">ROUND(D372*(E372),2)</f>
        <v>0</v>
      </c>
      <c r="H372" s="613"/>
      <c r="I372" s="57"/>
      <c r="J372" s="57"/>
      <c r="K372" s="1029"/>
      <c r="L372" s="783"/>
      <c r="M372" s="938"/>
      <c r="N372" s="615"/>
      <c r="O372" s="615"/>
      <c r="P372" s="615"/>
      <c r="Q372" s="615"/>
    </row>
    <row r="373" spans="1:20" collapsed="1">
      <c r="A373" s="376">
        <v>316</v>
      </c>
      <c r="B373" s="602" t="s">
        <v>288</v>
      </c>
      <c r="C373" s="439" t="s">
        <v>260</v>
      </c>
      <c r="D373" s="184">
        <f>янв19!D368+янв19!D369</f>
        <v>118.01</v>
      </c>
      <c r="E373" s="41">
        <f>7.2025-6.7838</f>
        <v>0.41869999999999941</v>
      </c>
      <c r="F373" s="23">
        <f t="shared" si="80"/>
        <v>0.41869999999999941</v>
      </c>
      <c r="G373" s="185">
        <f>ROUND(D373*(E373),2)-0.01</f>
        <v>49.4</v>
      </c>
      <c r="H373" s="620"/>
      <c r="I373" s="620"/>
      <c r="J373" s="620"/>
      <c r="K373" s="1020"/>
      <c r="L373" s="603">
        <f>SUM(G373:G375)</f>
        <v>944.46</v>
      </c>
      <c r="M373" s="187">
        <v>944.46</v>
      </c>
      <c r="N373" s="615"/>
      <c r="O373" s="615"/>
      <c r="P373" s="615"/>
      <c r="Q373" s="615"/>
    </row>
    <row r="374" spans="1:20">
      <c r="A374" s="934"/>
      <c r="B374" s="506"/>
      <c r="C374" s="48" t="s">
        <v>263</v>
      </c>
      <c r="D374" s="49">
        <v>5.27</v>
      </c>
      <c r="E374" s="41">
        <v>7.2024999999999997</v>
      </c>
      <c r="F374" s="41">
        <f>+E374</f>
        <v>7.2024999999999997</v>
      </c>
      <c r="G374" s="50">
        <f>ROUND(D374*(E374),2)</f>
        <v>37.96</v>
      </c>
      <c r="H374" s="296"/>
      <c r="I374" s="298"/>
      <c r="J374" s="298"/>
      <c r="K374" s="1021"/>
      <c r="L374" s="606"/>
      <c r="M374" s="935"/>
      <c r="N374" s="615"/>
      <c r="O374" s="615"/>
      <c r="P374" s="615"/>
      <c r="Q374" s="615"/>
    </row>
    <row r="375" spans="1:20" ht="15.75" thickBot="1">
      <c r="A375" s="934"/>
      <c r="B375" s="506"/>
      <c r="C375" s="54" t="s">
        <v>29</v>
      </c>
      <c r="D375" s="296">
        <v>119</v>
      </c>
      <c r="E375" s="56">
        <v>7.2024999999999997</v>
      </c>
      <c r="F375" s="41">
        <f t="shared" ref="F375" si="82">+E375</f>
        <v>7.2024999999999997</v>
      </c>
      <c r="G375" s="50">
        <f t="shared" ref="G375" si="83">ROUND(D375*(E375),2)</f>
        <v>857.1</v>
      </c>
      <c r="H375" s="296"/>
      <c r="I375" s="298"/>
      <c r="J375" s="298"/>
      <c r="K375" s="1021"/>
      <c r="L375" s="614"/>
      <c r="M375" s="935"/>
      <c r="N375" s="615"/>
      <c r="O375" s="615"/>
      <c r="P375" s="615"/>
      <c r="Q375" s="615"/>
    </row>
    <row r="376" spans="1:20">
      <c r="A376" s="376">
        <v>403</v>
      </c>
      <c r="B376" s="602" t="s">
        <v>279</v>
      </c>
      <c r="C376" s="618" t="s">
        <v>73</v>
      </c>
      <c r="D376" s="619">
        <v>1</v>
      </c>
      <c r="E376" s="21">
        <v>41.244</v>
      </c>
      <c r="F376" s="21">
        <v>48.335999999999999</v>
      </c>
      <c r="G376" s="185">
        <f>ROUND(D376*(E376+F376),2)</f>
        <v>89.58</v>
      </c>
      <c r="H376" s="620"/>
      <c r="I376" s="620"/>
      <c r="J376" s="620"/>
      <c r="K376" s="454"/>
      <c r="L376" s="603">
        <f>SUM(G376:G382,J376:J382)</f>
        <v>1273.9868000000001</v>
      </c>
      <c r="M376" s="187">
        <v>1273.99</v>
      </c>
      <c r="N376" s="621"/>
      <c r="O376" s="621"/>
      <c r="P376" s="621"/>
      <c r="Q376" s="622"/>
    </row>
    <row r="377" spans="1:20">
      <c r="A377" s="936"/>
      <c r="B377" s="612"/>
      <c r="C377" s="542" t="s">
        <v>96</v>
      </c>
      <c r="D377" s="234">
        <f>янв19!D370</f>
        <v>2</v>
      </c>
      <c r="E377" s="38">
        <f>41.244-40.5566</f>
        <v>0.68739999999999668</v>
      </c>
      <c r="F377" s="38">
        <f>48.336-47.5304</f>
        <v>0.80559999999999832</v>
      </c>
      <c r="G377" s="235">
        <f>ROUND(D377*(E377+F377),2)</f>
        <v>2.99</v>
      </c>
      <c r="H377" s="298"/>
      <c r="I377" s="298"/>
      <c r="J377" s="298"/>
      <c r="K377" s="455"/>
      <c r="L377" s="606"/>
      <c r="M377" s="935"/>
      <c r="N377" s="615"/>
      <c r="O377" s="615"/>
      <c r="P377" s="615"/>
      <c r="Q377" s="616"/>
    </row>
    <row r="378" spans="1:20">
      <c r="A378" s="389"/>
      <c r="B378" s="516"/>
      <c r="C378" s="99" t="s">
        <v>90</v>
      </c>
      <c r="D378" s="508">
        <v>1</v>
      </c>
      <c r="E378" s="101">
        <v>357.98</v>
      </c>
      <c r="F378" s="38">
        <f>F376</f>
        <v>48.335999999999999</v>
      </c>
      <c r="G378" s="50">
        <f>ROUND(D378*(E378+F378),2)</f>
        <v>406.32</v>
      </c>
      <c r="H378" s="270"/>
      <c r="I378" s="41"/>
      <c r="J378" s="409"/>
      <c r="K378" s="1026"/>
      <c r="L378" s="597"/>
      <c r="M378" s="99"/>
      <c r="N378" s="518"/>
      <c r="O378" s="519"/>
      <c r="P378" s="515"/>
      <c r="Q378" s="271"/>
      <c r="R378" s="502"/>
      <c r="S378" s="503"/>
      <c r="T378" s="504"/>
    </row>
    <row r="379" spans="1:20">
      <c r="A379" s="389"/>
      <c r="B379" s="506"/>
      <c r="C379" s="390" t="s">
        <v>97</v>
      </c>
      <c r="D379" s="508">
        <f>янв19!D372</f>
        <v>3</v>
      </c>
      <c r="E379" s="41">
        <f>357.98-347.06</f>
        <v>10.920000000000016</v>
      </c>
      <c r="F379" s="38">
        <f>F377</f>
        <v>0.80559999999999832</v>
      </c>
      <c r="G379" s="50">
        <f>D379*(E379+F379)</f>
        <v>35.176800000000043</v>
      </c>
      <c r="H379" s="432"/>
      <c r="I379" s="362"/>
      <c r="J379" s="41"/>
      <c r="K379" s="1026"/>
      <c r="L379" s="597"/>
      <c r="M379" s="99"/>
      <c r="N379" s="521"/>
      <c r="O379" s="522"/>
      <c r="P379" s="523"/>
      <c r="Q379" s="362"/>
      <c r="R379" s="502"/>
      <c r="S379" s="503"/>
      <c r="T379" s="504"/>
    </row>
    <row r="380" spans="1:20">
      <c r="A380" s="936"/>
      <c r="B380" s="612"/>
      <c r="C380" s="48" t="s">
        <v>260</v>
      </c>
      <c r="D380" s="623">
        <f>янв19!D375+янв19!D376</f>
        <v>150.38</v>
      </c>
      <c r="E380" s="41">
        <f>7.2025-6.7838</f>
        <v>0.41869999999999941</v>
      </c>
      <c r="F380" s="41">
        <f t="shared" ref="F380:F382" si="84">+E380</f>
        <v>0.41869999999999941</v>
      </c>
      <c r="G380" s="50">
        <f>ROUND(D380*(E380),2)-0.01</f>
        <v>62.95</v>
      </c>
      <c r="H380" s="298"/>
      <c r="I380" s="298"/>
      <c r="J380" s="298"/>
      <c r="K380" s="455"/>
      <c r="L380" s="614"/>
      <c r="M380" s="935"/>
      <c r="N380" s="615"/>
      <c r="O380" s="615"/>
      <c r="P380" s="615"/>
      <c r="Q380" s="616"/>
    </row>
    <row r="381" spans="1:20">
      <c r="A381" s="936"/>
      <c r="B381" s="612"/>
      <c r="C381" s="48" t="s">
        <v>263</v>
      </c>
      <c r="D381" s="623">
        <v>3.99</v>
      </c>
      <c r="E381" s="41">
        <v>7.2024999999999997</v>
      </c>
      <c r="F381" s="41">
        <f t="shared" si="84"/>
        <v>7.2024999999999997</v>
      </c>
      <c r="G381" s="39">
        <f>ROUND(D381*(E381),2)</f>
        <v>28.74</v>
      </c>
      <c r="H381" s="298"/>
      <c r="I381" s="298"/>
      <c r="J381" s="298"/>
      <c r="K381" s="455"/>
      <c r="L381" s="614"/>
      <c r="M381" s="273"/>
      <c r="N381" s="615"/>
      <c r="O381" s="615"/>
      <c r="P381" s="615"/>
      <c r="Q381" s="616"/>
    </row>
    <row r="382" spans="1:20" ht="15.75" thickBot="1">
      <c r="A382" s="937"/>
      <c r="B382" s="526"/>
      <c r="C382" s="99" t="s">
        <v>29</v>
      </c>
      <c r="D382" s="995">
        <v>90</v>
      </c>
      <c r="E382" s="56">
        <v>7.2024999999999997</v>
      </c>
      <c r="F382" s="281">
        <f t="shared" si="84"/>
        <v>7.2024999999999997</v>
      </c>
      <c r="G382" s="414">
        <f>ROUND(D382*(E382),2)</f>
        <v>648.23</v>
      </c>
      <c r="H382" s="41"/>
      <c r="I382" s="41"/>
      <c r="J382" s="281"/>
      <c r="K382" s="56"/>
      <c r="L382" s="784"/>
      <c r="M382" s="938"/>
      <c r="N382" s="626"/>
      <c r="O382" s="626"/>
      <c r="P382" s="626"/>
      <c r="Q382" s="627"/>
    </row>
    <row r="383" spans="1:20" collapsed="1">
      <c r="A383" s="353" t="s">
        <v>203</v>
      </c>
      <c r="B383" s="494" t="s">
        <v>104</v>
      </c>
      <c r="C383" s="71" t="s">
        <v>243</v>
      </c>
      <c r="D383" s="495">
        <v>13</v>
      </c>
      <c r="E383" s="21">
        <v>41.244</v>
      </c>
      <c r="F383" s="21">
        <v>48.335999999999999</v>
      </c>
      <c r="G383" s="185">
        <f>ROUND(D383*(E383+F383),2)</f>
        <v>1164.54</v>
      </c>
      <c r="H383" s="496"/>
      <c r="I383" s="73"/>
      <c r="J383" s="73"/>
      <c r="K383" s="679"/>
      <c r="L383" s="439">
        <f>SUM(G383:G390)+SUM(J383:J389)</f>
        <v>17224.060000000001</v>
      </c>
      <c r="M383" s="26">
        <v>17224.060000000001</v>
      </c>
      <c r="N383" s="499"/>
      <c r="O383" s="500"/>
      <c r="P383" s="501" t="s">
        <v>87</v>
      </c>
      <c r="Q383" s="185" t="e">
        <f t="shared" ref="Q383" si="85">C383+G383+J383-M383-N383-O383</f>
        <v>#VALUE!</v>
      </c>
      <c r="R383" s="502" t="s">
        <v>88</v>
      </c>
      <c r="S383" s="503"/>
      <c r="T383" s="504"/>
    </row>
    <row r="384" spans="1:20">
      <c r="A384" s="934">
        <v>417</v>
      </c>
      <c r="B384" s="506"/>
      <c r="C384" s="599" t="s">
        <v>96</v>
      </c>
      <c r="D384" s="234">
        <f>янв19!D377</f>
        <v>16</v>
      </c>
      <c r="E384" s="38">
        <f>41.244-40.5566</f>
        <v>0.68739999999999668</v>
      </c>
      <c r="F384" s="38">
        <f>48.336-47.5304</f>
        <v>0.80559999999999832</v>
      </c>
      <c r="G384" s="235">
        <f>ROUND(D384*(E384+F384),2)</f>
        <v>23.89</v>
      </c>
      <c r="H384" s="448"/>
      <c r="I384" s="509"/>
      <c r="J384" s="409"/>
      <c r="K384" s="1026"/>
      <c r="L384" s="48"/>
      <c r="M384" s="512"/>
      <c r="N384" s="513"/>
      <c r="O384" s="514"/>
      <c r="P384" s="515"/>
      <c r="Q384" s="262"/>
      <c r="R384" s="502"/>
      <c r="S384" s="503"/>
      <c r="T384" s="504"/>
    </row>
    <row r="385" spans="1:21">
      <c r="A385" s="934"/>
      <c r="B385" s="516" t="s">
        <v>89</v>
      </c>
      <c r="C385" s="512" t="s">
        <v>90</v>
      </c>
      <c r="D385" s="508">
        <v>0</v>
      </c>
      <c r="E385" s="101">
        <v>357.98</v>
      </c>
      <c r="F385" s="38">
        <f>F33</f>
        <v>48.335999999999999</v>
      </c>
      <c r="G385" s="50">
        <f>ROUND(D385*(E385+F385),2)</f>
        <v>0</v>
      </c>
      <c r="H385" s="270"/>
      <c r="I385" s="41"/>
      <c r="J385" s="409"/>
      <c r="K385" s="1026"/>
      <c r="L385" s="600"/>
      <c r="M385" s="99"/>
      <c r="N385" s="518"/>
      <c r="O385" s="519"/>
      <c r="P385" s="515" t="s">
        <v>87</v>
      </c>
      <c r="Q385" s="271">
        <f>+G385+J385-M385-N385-O385</f>
        <v>0</v>
      </c>
      <c r="R385" s="502" t="s">
        <v>88</v>
      </c>
      <c r="S385" s="503"/>
      <c r="T385" s="504"/>
    </row>
    <row r="386" spans="1:21">
      <c r="A386" s="934"/>
      <c r="B386" s="541"/>
      <c r="C386" s="84" t="s">
        <v>97</v>
      </c>
      <c r="D386" s="508">
        <v>0</v>
      </c>
      <c r="E386" s="41">
        <f>357.98-347.06</f>
        <v>10.920000000000016</v>
      </c>
      <c r="F386" s="38">
        <f>F384</f>
        <v>0.80559999999999832</v>
      </c>
      <c r="G386" s="50">
        <f>ROUND(D386*(E386+F386),2)</f>
        <v>0</v>
      </c>
      <c r="H386" s="432"/>
      <c r="I386" s="362"/>
      <c r="J386" s="41"/>
      <c r="K386" s="1026"/>
      <c r="L386" s="600"/>
      <c r="M386" s="520"/>
      <c r="N386" s="521"/>
      <c r="O386" s="522"/>
      <c r="P386" s="523"/>
      <c r="Q386" s="362"/>
      <c r="R386" s="502"/>
      <c r="S386" s="503"/>
      <c r="T386" s="504"/>
    </row>
    <row r="387" spans="1:21">
      <c r="A387" s="934"/>
      <c r="B387" s="541"/>
      <c r="C387" s="84" t="s">
        <v>97</v>
      </c>
      <c r="D387" s="508"/>
      <c r="E387" s="41"/>
      <c r="F387" s="41"/>
      <c r="G387" s="50">
        <f>D387*(E387+F387)</f>
        <v>0</v>
      </c>
      <c r="H387" s="432"/>
      <c r="I387" s="362"/>
      <c r="J387" s="41"/>
      <c r="K387" s="1026"/>
      <c r="L387" s="600"/>
      <c r="M387" s="520"/>
      <c r="N387" s="521"/>
      <c r="O387" s="522"/>
      <c r="P387" s="523"/>
      <c r="Q387" s="362"/>
      <c r="R387" s="502"/>
      <c r="S387" s="503"/>
      <c r="T387" s="504"/>
    </row>
    <row r="388" spans="1:21">
      <c r="A388" s="934"/>
      <c r="B388" s="506"/>
      <c r="C388" s="48" t="s">
        <v>260</v>
      </c>
      <c r="D388" s="37">
        <f>янв19!D383+янв19!D384</f>
        <v>2208.69</v>
      </c>
      <c r="E388" s="41">
        <f>7.2025-6.7838</f>
        <v>0.41869999999999941</v>
      </c>
      <c r="F388" s="297">
        <f t="shared" ref="F388:F390" si="86">+E388</f>
        <v>0.41869999999999941</v>
      </c>
      <c r="G388" s="39">
        <f>ROUND(D388*(E388),2)+0.01</f>
        <v>924.79</v>
      </c>
      <c r="H388" s="432"/>
      <c r="I388" s="362"/>
      <c r="J388" s="41"/>
      <c r="K388" s="1026"/>
      <c r="L388" s="600"/>
      <c r="M388" s="520"/>
      <c r="N388" s="521"/>
      <c r="O388" s="522"/>
      <c r="P388" s="523"/>
      <c r="Q388" s="362"/>
      <c r="R388" s="502"/>
      <c r="S388" s="503"/>
      <c r="T388" s="504"/>
    </row>
    <row r="389" spans="1:21">
      <c r="A389" s="934"/>
      <c r="B389" s="506"/>
      <c r="C389" s="48" t="s">
        <v>263</v>
      </c>
      <c r="D389" s="37">
        <v>89</v>
      </c>
      <c r="E389" s="41">
        <v>7.2024999999999997</v>
      </c>
      <c r="F389" s="298">
        <f t="shared" si="86"/>
        <v>7.2024999999999997</v>
      </c>
      <c r="G389" s="39">
        <f>ROUND(D389*(E389),2)</f>
        <v>641.02</v>
      </c>
      <c r="H389" s="432"/>
      <c r="I389" s="362"/>
      <c r="J389" s="41"/>
      <c r="K389" s="1026"/>
      <c r="L389" s="600"/>
      <c r="M389" s="520"/>
      <c r="N389" s="521"/>
      <c r="O389" s="522"/>
      <c r="P389" s="523"/>
      <c r="Q389" s="362"/>
      <c r="R389" s="502"/>
      <c r="S389" s="503"/>
      <c r="T389" s="504"/>
      <c r="U389" s="33"/>
    </row>
    <row r="390" spans="1:21" ht="15.75" thickBot="1">
      <c r="A390" s="934"/>
      <c r="B390" s="526"/>
      <c r="C390" s="99" t="s">
        <v>29</v>
      </c>
      <c r="D390" s="55">
        <v>2009</v>
      </c>
      <c r="E390" s="56">
        <v>7.2024999999999997</v>
      </c>
      <c r="F390" s="57">
        <f t="shared" si="86"/>
        <v>7.2024999999999997</v>
      </c>
      <c r="G390" s="414">
        <f>ROUND(D390*(E390),2)</f>
        <v>14469.82</v>
      </c>
      <c r="H390" s="248"/>
      <c r="I390" s="203"/>
      <c r="J390" s="60"/>
      <c r="K390" s="1024"/>
      <c r="L390" s="204"/>
      <c r="M390" s="54"/>
      <c r="N390" s="527"/>
      <c r="O390" s="528"/>
      <c r="P390" s="529" t="s">
        <v>87</v>
      </c>
      <c r="Q390" s="362">
        <f>+G390+J390-M390-N390-O390</f>
        <v>14469.82</v>
      </c>
      <c r="R390" s="502" t="s">
        <v>88</v>
      </c>
      <c r="S390" s="598">
        <f>SUM(N383:N390)+O383:O390</f>
        <v>0</v>
      </c>
      <c r="T390" s="598" t="e">
        <f>SUM(Q383:Q390)</f>
        <v>#VALUE!</v>
      </c>
    </row>
    <row r="391" spans="1:21">
      <c r="A391" s="376">
        <v>407</v>
      </c>
      <c r="B391" s="494" t="s">
        <v>108</v>
      </c>
      <c r="C391" s="71">
        <f>+[1]дек!U87</f>
        <v>0</v>
      </c>
      <c r="D391" s="495">
        <v>2</v>
      </c>
      <c r="E391" s="21">
        <v>41.244</v>
      </c>
      <c r="F391" s="21">
        <v>48.335999999999999</v>
      </c>
      <c r="G391" s="185">
        <f>ROUND(D391*(E391+F391),2)</f>
        <v>179.16</v>
      </c>
      <c r="H391" s="496"/>
      <c r="I391" s="73"/>
      <c r="J391" s="73"/>
      <c r="K391" s="679"/>
      <c r="L391" s="498">
        <f>SUM(G391:G397)+SUM(J391:J396)</f>
        <v>3383.77</v>
      </c>
      <c r="M391" s="26">
        <v>3383.77</v>
      </c>
      <c r="N391" s="499"/>
      <c r="O391" s="500"/>
      <c r="P391" s="501" t="s">
        <v>87</v>
      </c>
      <c r="Q391" s="304">
        <f t="shared" ref="Q391:Q393" si="87">C391+G391+J391-M391-N391-O391</f>
        <v>-3204.61</v>
      </c>
    </row>
    <row r="392" spans="1:21">
      <c r="A392" s="389"/>
      <c r="B392" s="506"/>
      <c r="C392" s="542" t="s">
        <v>96</v>
      </c>
      <c r="D392" s="234">
        <f>янв19!D385</f>
        <v>4</v>
      </c>
      <c r="E392" s="38">
        <f>41.244-40.5566</f>
        <v>0.68739999999999668</v>
      </c>
      <c r="F392" s="38">
        <f>48.336-47.5304</f>
        <v>0.80559999999999832</v>
      </c>
      <c r="G392" s="235">
        <f>ROUND(D392*(E392+F392),2)</f>
        <v>5.97</v>
      </c>
      <c r="H392" s="448"/>
      <c r="I392" s="509"/>
      <c r="J392" s="409"/>
      <c r="K392" s="1026"/>
      <c r="L392" s="632"/>
      <c r="M392" s="512"/>
      <c r="N392" s="513"/>
      <c r="O392" s="514"/>
      <c r="P392" s="515"/>
      <c r="Q392" s="262"/>
    </row>
    <row r="393" spans="1:21">
      <c r="A393" s="389"/>
      <c r="B393" s="516" t="s">
        <v>109</v>
      </c>
      <c r="C393" s="633"/>
      <c r="D393" s="508">
        <v>0</v>
      </c>
      <c r="E393" s="101">
        <v>357.98</v>
      </c>
      <c r="F393" s="38">
        <f>F391</f>
        <v>48.335999999999999</v>
      </c>
      <c r="G393" s="50">
        <f>D393*(E393+F393)</f>
        <v>0</v>
      </c>
      <c r="H393" s="270"/>
      <c r="I393" s="41"/>
      <c r="J393" s="409"/>
      <c r="K393" s="1026"/>
      <c r="L393" s="597"/>
      <c r="M393" s="99"/>
      <c r="N393" s="518"/>
      <c r="O393" s="519"/>
      <c r="P393" s="515" t="s">
        <v>87</v>
      </c>
      <c r="Q393" s="271">
        <f t="shared" si="87"/>
        <v>0</v>
      </c>
    </row>
    <row r="394" spans="1:21">
      <c r="A394" s="389"/>
      <c r="B394" s="541"/>
      <c r="C394" s="84" t="s">
        <v>97</v>
      </c>
      <c r="D394" s="508">
        <v>0</v>
      </c>
      <c r="E394" s="41">
        <f>357.98-347.06</f>
        <v>10.920000000000016</v>
      </c>
      <c r="F394" s="41">
        <f>F392</f>
        <v>0.80559999999999832</v>
      </c>
      <c r="G394" s="50">
        <f>D394*(E394+F394)</f>
        <v>0</v>
      </c>
      <c r="H394" s="432"/>
      <c r="I394" s="362"/>
      <c r="J394" s="207"/>
      <c r="K394" s="1026"/>
      <c r="L394" s="597"/>
      <c r="M394" s="520"/>
      <c r="N394" s="521"/>
      <c r="O394" s="522"/>
      <c r="P394" s="523"/>
      <c r="Q394" s="362"/>
    </row>
    <row r="395" spans="1:21">
      <c r="A395" s="389"/>
      <c r="B395" s="506"/>
      <c r="C395" s="48" t="s">
        <v>260</v>
      </c>
      <c r="D395" s="37">
        <f>янв19!D390+янв19!D391</f>
        <v>310.16000000000003</v>
      </c>
      <c r="E395" s="41">
        <f>7.2025-6.7838</f>
        <v>0.41869999999999941</v>
      </c>
      <c r="F395" s="41">
        <f>+E395</f>
        <v>0.41869999999999941</v>
      </c>
      <c r="G395" s="39">
        <f>ROUND(D395*(E395),2)+0.01</f>
        <v>129.87</v>
      </c>
      <c r="H395" s="432"/>
      <c r="I395" s="362"/>
      <c r="J395" s="207"/>
      <c r="K395" s="1026"/>
      <c r="L395" s="597"/>
      <c r="M395" s="520"/>
      <c r="N395" s="521"/>
      <c r="O395" s="522"/>
      <c r="P395" s="523"/>
      <c r="Q395" s="362"/>
    </row>
    <row r="396" spans="1:21">
      <c r="A396" s="389"/>
      <c r="B396" s="506"/>
      <c r="C396" s="48" t="s">
        <v>263</v>
      </c>
      <c r="D396" s="37">
        <v>18.07</v>
      </c>
      <c r="E396" s="41">
        <v>7.2024999999999997</v>
      </c>
      <c r="F396" s="41">
        <f>+E396</f>
        <v>7.2024999999999997</v>
      </c>
      <c r="G396" s="39">
        <f t="shared" ref="G396:G397" si="88">ROUND(D396*(E396),2)</f>
        <v>130.15</v>
      </c>
      <c r="H396" s="432"/>
      <c r="I396" s="362"/>
      <c r="J396" s="207"/>
      <c r="K396" s="1026"/>
      <c r="L396" s="597"/>
      <c r="M396" s="520"/>
      <c r="N396" s="521"/>
      <c r="O396" s="522"/>
      <c r="P396" s="523"/>
      <c r="Q396" s="362"/>
    </row>
    <row r="397" spans="1:21" ht="15.75" thickBot="1">
      <c r="A397" s="411"/>
      <c r="B397" s="526"/>
      <c r="C397" s="54" t="s">
        <v>29</v>
      </c>
      <c r="D397" s="55">
        <v>408</v>
      </c>
      <c r="E397" s="56">
        <v>7.2024999999999997</v>
      </c>
      <c r="F397" s="281">
        <f>+E397</f>
        <v>7.2024999999999997</v>
      </c>
      <c r="G397" s="414">
        <f t="shared" si="88"/>
        <v>2938.62</v>
      </c>
      <c r="H397" s="248"/>
      <c r="I397" s="203"/>
      <c r="J397" s="60"/>
      <c r="K397" s="1024"/>
      <c r="L397" s="249"/>
      <c r="M397" s="54"/>
      <c r="N397" s="527"/>
      <c r="O397" s="528"/>
      <c r="P397" s="529" t="s">
        <v>87</v>
      </c>
      <c r="Q397" s="282">
        <f>+G397+J397-M397-N397-O397</f>
        <v>2938.62</v>
      </c>
    </row>
    <row r="398" spans="1:21" collapsed="1">
      <c r="A398" s="376">
        <v>411</v>
      </c>
      <c r="B398" s="602" t="s">
        <v>127</v>
      </c>
      <c r="C398" s="439" t="s">
        <v>260</v>
      </c>
      <c r="D398" s="184">
        <f>янв19!D393+янв19!D394</f>
        <v>526.33000000000004</v>
      </c>
      <c r="E398" s="23">
        <f>7.2025-6.7838</f>
        <v>0.41869999999999941</v>
      </c>
      <c r="F398" s="23">
        <f t="shared" ref="F398" si="89">+E398</f>
        <v>0.41869999999999941</v>
      </c>
      <c r="G398" s="185">
        <f>ROUND(D398*(E398),2)+0.01</f>
        <v>220.38</v>
      </c>
      <c r="H398" s="669"/>
      <c r="I398" s="620"/>
      <c r="J398" s="620"/>
      <c r="K398" s="1020"/>
      <c r="L398" s="603">
        <f>SUM(G398:G401)</f>
        <v>3951.06</v>
      </c>
      <c r="M398" s="187">
        <v>3951.06</v>
      </c>
      <c r="N398" s="604"/>
      <c r="O398" s="635"/>
      <c r="P398" s="636"/>
      <c r="Q398" s="605"/>
    </row>
    <row r="399" spans="1:21">
      <c r="A399" s="934"/>
      <c r="B399" s="506"/>
      <c r="C399" s="48" t="s">
        <v>263</v>
      </c>
      <c r="D399" s="49">
        <v>21.97</v>
      </c>
      <c r="E399" s="41">
        <v>7.2024999999999997</v>
      </c>
      <c r="F399" s="41">
        <f>+E399</f>
        <v>7.2024999999999997</v>
      </c>
      <c r="G399" s="50">
        <f>ROUND(D399*(E399),2)</f>
        <v>158.24</v>
      </c>
      <c r="H399" s="296"/>
      <c r="I399" s="298"/>
      <c r="J399" s="298"/>
      <c r="K399" s="1021"/>
      <c r="L399" s="606"/>
      <c r="M399" s="935"/>
      <c r="N399" s="607"/>
      <c r="O399" s="608"/>
      <c r="P399" s="609"/>
      <c r="Q399" s="610"/>
    </row>
    <row r="400" spans="1:21">
      <c r="A400" s="934"/>
      <c r="B400" s="506"/>
      <c r="C400" s="99" t="s">
        <v>29</v>
      </c>
      <c r="D400" s="296">
        <v>496</v>
      </c>
      <c r="E400" s="101">
        <v>7.2024999999999997</v>
      </c>
      <c r="F400" s="41">
        <f t="shared" ref="F400" si="90">+E400</f>
        <v>7.2024999999999997</v>
      </c>
      <c r="G400" s="50">
        <f t="shared" ref="G400" si="91">ROUND(D400*(E400),2)</f>
        <v>3572.44</v>
      </c>
      <c r="H400" s="296"/>
      <c r="I400" s="298"/>
      <c r="J400" s="298"/>
      <c r="K400" s="1021"/>
      <c r="L400" s="606"/>
      <c r="M400" s="935"/>
      <c r="N400" s="615"/>
      <c r="O400" s="615"/>
      <c r="P400" s="615"/>
      <c r="Q400" s="616"/>
    </row>
    <row r="401" spans="1:21" ht="15.75" thickBot="1">
      <c r="A401" s="942"/>
      <c r="B401" s="278"/>
      <c r="C401" s="784"/>
      <c r="D401" s="941"/>
      <c r="E401" s="281"/>
      <c r="F401" s="57"/>
      <c r="G401" s="58"/>
      <c r="H401" s="613"/>
      <c r="I401" s="57"/>
      <c r="J401" s="57"/>
      <c r="K401" s="1021"/>
      <c r="L401" s="606"/>
      <c r="M401" s="935"/>
      <c r="N401" s="615"/>
      <c r="O401" s="615"/>
      <c r="P401" s="615"/>
      <c r="Q401" s="615"/>
    </row>
    <row r="402" spans="1:21">
      <c r="A402" s="376">
        <v>501</v>
      </c>
      <c r="B402" s="494" t="s">
        <v>202</v>
      </c>
      <c r="C402" s="71"/>
      <c r="D402" s="495">
        <v>20</v>
      </c>
      <c r="E402" s="21">
        <v>41.244</v>
      </c>
      <c r="F402" s="21">
        <v>48.335999999999999</v>
      </c>
      <c r="G402" s="185">
        <f>ROUND(D402*(E402+F402),2)</f>
        <v>1791.6</v>
      </c>
      <c r="H402" s="496"/>
      <c r="I402" s="73"/>
      <c r="J402" s="73"/>
      <c r="K402" s="679"/>
      <c r="L402" s="498">
        <f>+SUM(G402:G409,C409)+SUM(J402:J409)</f>
        <v>66605.547999999995</v>
      </c>
      <c r="M402" s="26">
        <v>66605.55</v>
      </c>
      <c r="N402" s="499"/>
      <c r="O402" s="500"/>
      <c r="P402" s="501" t="s">
        <v>87</v>
      </c>
      <c r="Q402" s="304">
        <f t="shared" ref="Q402:Q419" si="92">C402+G402+J402-M402-N402-O402</f>
        <v>-64813.950000000004</v>
      </c>
      <c r="R402" s="502" t="s">
        <v>88</v>
      </c>
      <c r="S402" s="503"/>
      <c r="T402" s="504"/>
      <c r="U402" s="33"/>
    </row>
    <row r="403" spans="1:21">
      <c r="A403" s="389"/>
      <c r="B403" s="506"/>
      <c r="C403" s="507" t="s">
        <v>264</v>
      </c>
      <c r="D403" s="508">
        <f>янв19!D396</f>
        <v>12</v>
      </c>
      <c r="E403" s="38">
        <f>41.244-40.5566</f>
        <v>0.68739999999999668</v>
      </c>
      <c r="F403" s="38">
        <f>48.336-47.5304</f>
        <v>0.80559999999999832</v>
      </c>
      <c r="G403" s="50">
        <f>ROUND(D403*(E403+F403),2)</f>
        <v>17.920000000000002</v>
      </c>
      <c r="H403" s="448"/>
      <c r="I403" s="509"/>
      <c r="J403" s="409"/>
      <c r="K403" s="1026"/>
      <c r="L403" s="511"/>
      <c r="M403" s="512"/>
      <c r="N403" s="513"/>
      <c r="O403" s="514"/>
      <c r="P403" s="515"/>
      <c r="Q403" s="262"/>
      <c r="R403" s="502"/>
      <c r="S403" s="503"/>
      <c r="T403" s="504"/>
      <c r="U403" s="33"/>
    </row>
    <row r="404" spans="1:21">
      <c r="A404" s="389"/>
      <c r="B404" s="516" t="s">
        <v>89</v>
      </c>
      <c r="C404" s="512" t="s">
        <v>90</v>
      </c>
      <c r="D404" s="508">
        <v>13</v>
      </c>
      <c r="E404" s="101">
        <v>357.98</v>
      </c>
      <c r="F404" s="38">
        <f>F402</f>
        <v>48.335999999999999</v>
      </c>
      <c r="G404" s="50">
        <f>D404*(E404+F404)</f>
        <v>5282.1080000000002</v>
      </c>
      <c r="H404" s="270"/>
      <c r="I404" s="41"/>
      <c r="J404" s="409"/>
      <c r="K404" s="1026"/>
      <c r="L404" s="517"/>
      <c r="M404" s="99"/>
      <c r="N404" s="518"/>
      <c r="O404" s="519"/>
      <c r="P404" s="515" t="s">
        <v>87</v>
      </c>
      <c r="Q404" s="271">
        <f>+G404+J404-M404-N404-O404</f>
        <v>5282.1080000000002</v>
      </c>
      <c r="R404" s="502" t="s">
        <v>88</v>
      </c>
      <c r="S404" s="503"/>
      <c r="T404" s="504"/>
    </row>
    <row r="405" spans="1:21">
      <c r="A405" s="389"/>
      <c r="B405" s="506" t="s">
        <v>91</v>
      </c>
      <c r="C405" s="507"/>
      <c r="D405" s="508">
        <f>янв19!D398</f>
        <v>5</v>
      </c>
      <c r="E405" s="41">
        <f>357.98-347.06</f>
        <v>10.920000000000016</v>
      </c>
      <c r="F405" s="38">
        <f>F403</f>
        <v>0.80559999999999832</v>
      </c>
      <c r="G405" s="50">
        <f>ROUND(D405*(E405+F405),2)</f>
        <v>58.63</v>
      </c>
      <c r="H405" s="432"/>
      <c r="I405" s="362"/>
      <c r="J405" s="409"/>
      <c r="K405" s="1026"/>
      <c r="L405" s="517"/>
      <c r="M405" s="520"/>
      <c r="N405" s="521"/>
      <c r="O405" s="522"/>
      <c r="P405" s="523"/>
      <c r="Q405" s="362"/>
      <c r="R405" s="502"/>
      <c r="S405" s="503"/>
      <c r="T405" s="504"/>
    </row>
    <row r="406" spans="1:21">
      <c r="A406" s="389"/>
      <c r="B406" s="506" t="s">
        <v>91</v>
      </c>
      <c r="C406" s="507"/>
      <c r="D406" s="508"/>
      <c r="E406" s="38"/>
      <c r="F406" s="41"/>
      <c r="G406" s="50">
        <f>D406*(E406+F406)</f>
        <v>0</v>
      </c>
      <c r="H406" s="432"/>
      <c r="I406" s="362"/>
      <c r="J406" s="409"/>
      <c r="K406" s="1026"/>
      <c r="L406" s="517"/>
      <c r="M406" s="520"/>
      <c r="N406" s="521"/>
      <c r="O406" s="522"/>
      <c r="P406" s="523"/>
      <c r="Q406" s="362"/>
      <c r="R406" s="502"/>
      <c r="S406" s="503"/>
      <c r="T406" s="504"/>
    </row>
    <row r="407" spans="1:21">
      <c r="A407" s="389"/>
      <c r="B407" s="506" t="s">
        <v>92</v>
      </c>
      <c r="C407" s="48" t="s">
        <v>260</v>
      </c>
      <c r="D407" s="508">
        <f>янв19!D402+янв19!D403</f>
        <v>7304.88</v>
      </c>
      <c r="E407" s="41">
        <f>7.2025-6.7838</f>
        <v>0.41869999999999941</v>
      </c>
      <c r="F407" s="41">
        <f>+E407</f>
        <v>0.41869999999999941</v>
      </c>
      <c r="G407" s="39">
        <f>ROUNDDOWN(D407*E407,2)+0.01</f>
        <v>3058.5600000000004</v>
      </c>
      <c r="H407" s="432"/>
      <c r="I407" s="362"/>
      <c r="J407" s="41"/>
      <c r="K407" s="1026"/>
      <c r="L407" s="517"/>
      <c r="M407" s="520"/>
      <c r="N407" s="521"/>
      <c r="O407" s="522"/>
      <c r="P407" s="523"/>
      <c r="Q407" s="362"/>
      <c r="R407" s="502"/>
      <c r="S407" s="503"/>
      <c r="T407" s="504"/>
    </row>
    <row r="408" spans="1:21">
      <c r="A408" s="389"/>
      <c r="B408" s="506"/>
      <c r="C408" s="48" t="s">
        <v>263</v>
      </c>
      <c r="D408" s="508">
        <v>332.16</v>
      </c>
      <c r="E408" s="41">
        <v>7.2024999999999997</v>
      </c>
      <c r="F408" s="41">
        <f>+E408</f>
        <v>7.2024999999999997</v>
      </c>
      <c r="G408" s="39">
        <f>ROUND(D408*E408,2)</f>
        <v>2392.38</v>
      </c>
      <c r="H408" s="432"/>
      <c r="I408" s="362"/>
      <c r="J408" s="207"/>
      <c r="K408" s="1030"/>
      <c r="L408" s="517"/>
      <c r="M408" s="520"/>
      <c r="N408" s="521"/>
      <c r="O408" s="522"/>
      <c r="P408" s="523"/>
      <c r="Q408" s="362"/>
      <c r="R408" s="502"/>
      <c r="S408" s="503"/>
      <c r="T408" s="504"/>
    </row>
    <row r="409" spans="1:21" ht="15.75" thickBot="1">
      <c r="A409" s="411"/>
      <c r="B409" s="526"/>
      <c r="C409" s="99" t="s">
        <v>29</v>
      </c>
      <c r="D409" s="55">
        <v>7498</v>
      </c>
      <c r="E409" s="56">
        <v>7.2024999999999997</v>
      </c>
      <c r="F409" s="57">
        <f>+E409</f>
        <v>7.2024999999999997</v>
      </c>
      <c r="G409" s="58">
        <f>ROUND(D409*E409,2)</f>
        <v>54004.35</v>
      </c>
      <c r="H409" s="248"/>
      <c r="I409" s="203"/>
      <c r="J409" s="60"/>
      <c r="K409" s="1024"/>
      <c r="L409" s="249"/>
      <c r="M409" s="54"/>
      <c r="N409" s="527"/>
      <c r="O409" s="528"/>
      <c r="P409" s="529" t="s">
        <v>87</v>
      </c>
      <c r="Q409" s="282">
        <f>+G409+J409-M409-N409-O409</f>
        <v>54004.35</v>
      </c>
      <c r="R409" s="530" t="s">
        <v>88</v>
      </c>
      <c r="S409" s="531">
        <f>SUM(N402:N409)+O402:O409</f>
        <v>0</v>
      </c>
      <c r="T409" s="531">
        <f>SUM(Q402:Q409)</f>
        <v>-5527.4920000000056</v>
      </c>
      <c r="U409" s="33"/>
    </row>
    <row r="410" spans="1:21" ht="15.75" thickTop="1">
      <c r="A410" s="339">
        <v>502</v>
      </c>
      <c r="B410" s="532" t="s">
        <v>192</v>
      </c>
      <c r="C410" s="71">
        <f>+[1]дек!U51</f>
        <v>-6.0000000303261913E-4</v>
      </c>
      <c r="D410" s="213">
        <v>31</v>
      </c>
      <c r="E410" s="21">
        <v>41.244</v>
      </c>
      <c r="F410" s="21">
        <v>48.335999999999999</v>
      </c>
      <c r="G410" s="214">
        <f>ROUND(D410*(E410+F410),2)</f>
        <v>2776.98</v>
      </c>
      <c r="H410" s="496"/>
      <c r="I410" s="73"/>
      <c r="J410" s="73"/>
      <c r="K410" s="679"/>
      <c r="L410" s="533">
        <f>+SUM(G410:G417,)+SUM(J410:J417)</f>
        <v>49588.65</v>
      </c>
      <c r="M410" s="26">
        <v>49588.65</v>
      </c>
      <c r="N410" s="534"/>
      <c r="O410" s="535"/>
      <c r="P410" s="536" t="s">
        <v>87</v>
      </c>
      <c r="Q410" s="537">
        <f t="shared" si="92"/>
        <v>-46811.670600000005</v>
      </c>
      <c r="R410" s="538" t="s">
        <v>95</v>
      </c>
      <c r="S410" s="539"/>
      <c r="T410" s="540"/>
      <c r="U410" s="33"/>
    </row>
    <row r="411" spans="1:21">
      <c r="A411" s="353"/>
      <c r="B411" s="541"/>
      <c r="C411" s="542" t="s">
        <v>96</v>
      </c>
      <c r="D411" s="234">
        <f>янв19!D404</f>
        <v>42</v>
      </c>
      <c r="E411" s="38">
        <f>41.244-40.5566</f>
        <v>0.68739999999999668</v>
      </c>
      <c r="F411" s="38">
        <f>48.336-47.5304</f>
        <v>0.80559999999999832</v>
      </c>
      <c r="G411" s="235">
        <f>ROUND(D411*(E411+F411),2)</f>
        <v>62.71</v>
      </c>
      <c r="H411" s="448"/>
      <c r="I411" s="509"/>
      <c r="J411" s="509"/>
      <c r="K411" s="1025"/>
      <c r="L411" s="544"/>
      <c r="M411" s="545"/>
      <c r="N411" s="546"/>
      <c r="O411" s="547"/>
      <c r="P411" s="548"/>
      <c r="Q411" s="549"/>
      <c r="R411" s="550"/>
      <c r="S411" s="551"/>
      <c r="T411" s="552"/>
      <c r="U411" s="33"/>
    </row>
    <row r="412" spans="1:21">
      <c r="A412" s="353"/>
      <c r="B412" s="516" t="s">
        <v>32</v>
      </c>
      <c r="C412" s="99" t="s">
        <v>90</v>
      </c>
      <c r="D412" s="234">
        <v>25</v>
      </c>
      <c r="E412" s="101">
        <v>357.98</v>
      </c>
      <c r="F412" s="38">
        <f>F410</f>
        <v>48.335999999999999</v>
      </c>
      <c r="G412" s="235">
        <f>ROUND(D412*(E412+F412),2)</f>
        <v>10157.9</v>
      </c>
      <c r="H412" s="270"/>
      <c r="I412" s="41"/>
      <c r="J412" s="41"/>
      <c r="K412" s="1026"/>
      <c r="L412" s="553"/>
      <c r="M412" s="554"/>
      <c r="N412" s="555"/>
      <c r="O412" s="556"/>
      <c r="P412" s="557" t="s">
        <v>87</v>
      </c>
      <c r="Q412" s="558">
        <f>+G412+J412-M412-N412-O412</f>
        <v>10157.9</v>
      </c>
      <c r="R412" s="550" t="s">
        <v>95</v>
      </c>
      <c r="S412" s="551"/>
      <c r="T412" s="552"/>
    </row>
    <row r="413" spans="1:21">
      <c r="A413" s="353"/>
      <c r="B413" s="541"/>
      <c r="C413" s="84" t="s">
        <v>97</v>
      </c>
      <c r="D413" s="234">
        <f>янв19!D406</f>
        <v>31</v>
      </c>
      <c r="E413" s="41">
        <f>357.98-347.06</f>
        <v>10.920000000000016</v>
      </c>
      <c r="F413" s="38">
        <f>F411</f>
        <v>0.80559999999999832</v>
      </c>
      <c r="G413" s="50">
        <f>ROUND(D413*(E413+F413),2)</f>
        <v>363.49</v>
      </c>
      <c r="H413" s="432"/>
      <c r="I413" s="362"/>
      <c r="J413" s="41"/>
      <c r="K413" s="1026"/>
      <c r="L413" s="559"/>
      <c r="M413" s="560"/>
      <c r="N413" s="561"/>
      <c r="O413" s="562"/>
      <c r="P413" s="563"/>
      <c r="Q413" s="564"/>
      <c r="R413" s="550"/>
      <c r="S413" s="551"/>
      <c r="T413" s="552"/>
    </row>
    <row r="414" spans="1:21">
      <c r="A414" s="353"/>
      <c r="B414" s="541"/>
      <c r="C414" s="84" t="s">
        <v>97</v>
      </c>
      <c r="D414" s="234"/>
      <c r="E414" s="38"/>
      <c r="F414" s="240"/>
      <c r="G414" s="50">
        <f>D414*(E414+F414)</f>
        <v>0</v>
      </c>
      <c r="H414" s="432"/>
      <c r="I414" s="362"/>
      <c r="J414" s="41"/>
      <c r="K414" s="1026"/>
      <c r="L414" s="559"/>
      <c r="M414" s="560"/>
      <c r="N414" s="561"/>
      <c r="O414" s="562"/>
      <c r="P414" s="563"/>
      <c r="Q414" s="564"/>
      <c r="R414" s="550"/>
      <c r="S414" s="551"/>
      <c r="T414" s="552"/>
    </row>
    <row r="415" spans="1:21">
      <c r="A415" s="353"/>
      <c r="B415" s="541"/>
      <c r="C415" s="48" t="s">
        <v>260</v>
      </c>
      <c r="D415" s="37">
        <f>янв19!D410+янв19!D411</f>
        <v>5397.99</v>
      </c>
      <c r="E415" s="41">
        <f>7.2025-6.7838</f>
        <v>0.41869999999999941</v>
      </c>
      <c r="F415" s="41">
        <f>+E415</f>
        <v>0.41869999999999941</v>
      </c>
      <c r="G415" s="235">
        <f>ROUND(D415*E415,2)+0.01</f>
        <v>2260.15</v>
      </c>
      <c r="H415" s="565"/>
      <c r="I415" s="564"/>
      <c r="J415" s="566"/>
      <c r="K415" s="1031"/>
      <c r="L415" s="559"/>
      <c r="M415" s="560"/>
      <c r="N415" s="561"/>
      <c r="O415" s="562"/>
      <c r="P415" s="563"/>
      <c r="Q415" s="564"/>
      <c r="R415" s="550"/>
      <c r="S415" s="551"/>
      <c r="T415" s="552"/>
      <c r="U415" s="352"/>
    </row>
    <row r="416" spans="1:21">
      <c r="A416" s="353"/>
      <c r="B416" s="541"/>
      <c r="C416" s="48" t="s">
        <v>263</v>
      </c>
      <c r="D416" s="37">
        <v>200.06</v>
      </c>
      <c r="E416" s="41">
        <v>7.2024999999999997</v>
      </c>
      <c r="F416" s="41">
        <f>+E416</f>
        <v>7.2024999999999997</v>
      </c>
      <c r="G416" s="235">
        <f>ROUND(D416*E416,2)</f>
        <v>1440.93</v>
      </c>
      <c r="H416" s="565"/>
      <c r="I416" s="564"/>
      <c r="J416" s="566"/>
      <c r="K416" s="1031"/>
      <c r="L416" s="559"/>
      <c r="M416" s="560"/>
      <c r="N416" s="561"/>
      <c r="O416" s="562"/>
      <c r="P416" s="563"/>
      <c r="Q416" s="564"/>
      <c r="R416" s="550"/>
      <c r="S416" s="551"/>
      <c r="T416" s="552"/>
      <c r="U416" s="33"/>
    </row>
    <row r="417" spans="1:20" ht="15.75" thickBot="1">
      <c r="A417" s="369"/>
      <c r="B417" s="568"/>
      <c r="C417" s="99" t="s">
        <v>29</v>
      </c>
      <c r="D417" s="246">
        <v>4516</v>
      </c>
      <c r="E417" s="56">
        <v>7.2024999999999997</v>
      </c>
      <c r="F417" s="57">
        <f>+E417</f>
        <v>7.2024999999999997</v>
      </c>
      <c r="G417" s="247">
        <f>ROUND(D417*E417,2)</f>
        <v>32526.49</v>
      </c>
      <c r="H417" s="248"/>
      <c r="I417" s="203"/>
      <c r="J417" s="60"/>
      <c r="K417" s="61"/>
      <c r="L417" s="204"/>
      <c r="M417" s="560"/>
      <c r="N417" s="561"/>
      <c r="O417" s="528"/>
      <c r="P417" s="529" t="s">
        <v>87</v>
      </c>
      <c r="Q417" s="564">
        <f>+G417+J417-M417-N417-O417</f>
        <v>32526.49</v>
      </c>
      <c r="R417" s="550" t="s">
        <v>95</v>
      </c>
      <c r="S417" s="569">
        <f>SUM(N410:N417)+O410:O417</f>
        <v>0</v>
      </c>
      <c r="T417" s="570">
        <f>SUM(Q412:Q417)</f>
        <v>42684.39</v>
      </c>
    </row>
    <row r="418" spans="1:20" ht="15.75" hidden="1" outlineLevel="1" thickBot="1">
      <c r="A418" s="571"/>
      <c r="B418" s="572" t="s">
        <v>98</v>
      </c>
      <c r="C418" s="573" t="s">
        <v>99</v>
      </c>
      <c r="D418" s="574"/>
      <c r="E418" s="575">
        <f>3.193-2.9732</f>
        <v>0.21980000000000022</v>
      </c>
      <c r="F418" s="575">
        <f>3.193-2.9732</f>
        <v>0.21980000000000022</v>
      </c>
      <c r="G418" s="576">
        <f>D418*E418*70%+D418*F418*30%</f>
        <v>0</v>
      </c>
      <c r="H418" s="577"/>
      <c r="I418" s="578"/>
      <c r="J418" s="579"/>
      <c r="K418" s="579"/>
      <c r="L418" s="580"/>
      <c r="M418" s="581"/>
      <c r="N418" s="582"/>
      <c r="O418" s="535"/>
      <c r="P418" s="536"/>
      <c r="Q418" s="583"/>
      <c r="R418" s="584"/>
      <c r="S418" s="569"/>
      <c r="T418" s="585"/>
    </row>
    <row r="419" spans="1:20" s="81" customFormat="1" ht="16.5" hidden="1" customHeight="1" outlineLevel="1" thickBot="1">
      <c r="A419" s="933" t="s">
        <v>100</v>
      </c>
      <c r="B419" s="587" t="s">
        <v>98</v>
      </c>
      <c r="C419" s="588">
        <f>+[1]авг!C52</f>
        <v>0</v>
      </c>
      <c r="D419" s="589"/>
      <c r="E419" s="575">
        <v>3.1930000000000001</v>
      </c>
      <c r="F419" s="575">
        <f>+E419</f>
        <v>3.1930000000000001</v>
      </c>
      <c r="G419" s="576">
        <f>D419*E419*70%+D419*F419*30%</f>
        <v>0</v>
      </c>
      <c r="H419" s="579"/>
      <c r="I419" s="579"/>
      <c r="J419" s="579"/>
      <c r="K419" s="579"/>
      <c r="L419" s="579">
        <f>+C419+G419+G418</f>
        <v>0</v>
      </c>
      <c r="M419" s="590"/>
      <c r="N419" s="500"/>
      <c r="O419" s="528"/>
      <c r="P419" s="529" t="s">
        <v>87</v>
      </c>
      <c r="Q419" s="591">
        <f t="shared" si="92"/>
        <v>0</v>
      </c>
      <c r="R419" s="592" t="s">
        <v>101</v>
      </c>
      <c r="S419" s="77">
        <f>SUM(N419:N419)+SUM(O419:O419)</f>
        <v>0</v>
      </c>
      <c r="T419" s="593">
        <f>SUM(Q419:Q419)</f>
        <v>0</v>
      </c>
    </row>
    <row r="420" spans="1:20" ht="15.75" hidden="1" outlineLevel="1" thickBot="1">
      <c r="A420" s="944"/>
      <c r="B420" s="945" t="s">
        <v>128</v>
      </c>
      <c r="C420" s="573" t="s">
        <v>115</v>
      </c>
      <c r="D420" s="946"/>
      <c r="E420" s="579">
        <f>6.8021-6.8946</f>
        <v>-9.2499999999999361E-2</v>
      </c>
      <c r="F420" s="579">
        <f t="shared" ref="F420" si="93">+E420</f>
        <v>-9.2499999999999361E-2</v>
      </c>
      <c r="G420" s="947">
        <f>ROUND(D420*(E420),2)</f>
        <v>0</v>
      </c>
      <c r="H420" s="948"/>
      <c r="I420" s="949"/>
      <c r="J420" s="949"/>
      <c r="K420" s="950"/>
      <c r="L420" s="951"/>
      <c r="M420" s="952"/>
      <c r="N420" s="604"/>
      <c r="O420" s="635"/>
      <c r="P420" s="636"/>
      <c r="Q420" s="605"/>
    </row>
    <row r="421" spans="1:20" ht="15.75" hidden="1" outlineLevel="1" thickBot="1">
      <c r="A421" s="953"/>
      <c r="B421" s="954"/>
      <c r="C421" s="573" t="s">
        <v>114</v>
      </c>
      <c r="D421" s="946"/>
      <c r="E421" s="579">
        <v>6.8021000000000003</v>
      </c>
      <c r="F421" s="579">
        <f>+E421</f>
        <v>6.8021000000000003</v>
      </c>
      <c r="G421" s="947">
        <f>ROUND(D421*(E421),2)</f>
        <v>0</v>
      </c>
      <c r="H421" s="948"/>
      <c r="I421" s="949"/>
      <c r="J421" s="949"/>
      <c r="K421" s="950"/>
      <c r="L421" s="955"/>
      <c r="M421" s="956"/>
      <c r="N421" s="607"/>
      <c r="O421" s="608"/>
      <c r="P421" s="609"/>
      <c r="Q421" s="610"/>
    </row>
    <row r="422" spans="1:20" ht="15.75" hidden="1" outlineLevel="1" thickBot="1">
      <c r="A422" s="944"/>
      <c r="B422" s="954"/>
      <c r="C422" s="916" t="s">
        <v>29</v>
      </c>
      <c r="D422" s="948"/>
      <c r="E422" s="917">
        <v>6.8021000000000003</v>
      </c>
      <c r="F422" s="579">
        <f t="shared" ref="F422" si="94">+E422</f>
        <v>6.8021000000000003</v>
      </c>
      <c r="G422" s="947">
        <f t="shared" ref="G422" si="95">ROUND(D422*(E422),2)</f>
        <v>0</v>
      </c>
      <c r="H422" s="948"/>
      <c r="I422" s="949"/>
      <c r="J422" s="949"/>
      <c r="K422" s="950"/>
      <c r="L422" s="951"/>
      <c r="M422" s="956"/>
      <c r="N422" s="615"/>
      <c r="O422" s="615"/>
      <c r="P422" s="615"/>
      <c r="Q422" s="616"/>
    </row>
    <row r="423" spans="1:20" ht="15.75" hidden="1" outlineLevel="1" thickBot="1">
      <c r="A423" s="953"/>
      <c r="B423" s="955"/>
      <c r="C423" s="575"/>
      <c r="D423" s="957"/>
      <c r="E423" s="580"/>
      <c r="F423" s="575"/>
      <c r="G423" s="958"/>
      <c r="H423" s="959"/>
      <c r="I423" s="575"/>
      <c r="J423" s="575"/>
      <c r="K423" s="575"/>
      <c r="L423" s="955"/>
      <c r="M423" s="956"/>
      <c r="N423" s="615"/>
      <c r="O423" s="615"/>
      <c r="P423" s="615"/>
      <c r="Q423" s="615"/>
    </row>
    <row r="424" spans="1:20" collapsed="1">
      <c r="A424" s="963"/>
      <c r="B424" s="621"/>
      <c r="C424" s="621"/>
      <c r="D424" s="964"/>
      <c r="E424" s="905"/>
      <c r="F424" s="621"/>
      <c r="G424" s="905"/>
      <c r="H424" s="621"/>
      <c r="I424" s="621"/>
      <c r="J424" s="621"/>
      <c r="K424" s="621"/>
      <c r="L424" s="621"/>
      <c r="M424" s="965"/>
      <c r="N424" s="615"/>
      <c r="O424" s="615"/>
      <c r="P424" s="615"/>
      <c r="Q424" s="615"/>
    </row>
    <row r="425" spans="1:20" ht="15.75" thickBot="1">
      <c r="A425" s="966"/>
      <c r="B425" s="615"/>
      <c r="C425" s="615"/>
      <c r="D425" s="696"/>
      <c r="E425" s="473"/>
      <c r="F425" s="615"/>
      <c r="G425" s="473"/>
      <c r="H425" s="615"/>
      <c r="I425" s="615"/>
      <c r="J425" s="615"/>
      <c r="K425" s="615"/>
      <c r="L425" s="615"/>
      <c r="M425" s="967"/>
      <c r="N425" s="615"/>
      <c r="O425" s="615"/>
      <c r="P425" s="615"/>
      <c r="Q425" s="615"/>
    </row>
    <row r="426" spans="1:20" s="81" customFormat="1" ht="15" customHeight="1" thickTop="1">
      <c r="A426" s="476"/>
      <c r="B426" s="158"/>
      <c r="C426" s="322"/>
      <c r="D426" s="477"/>
      <c r="E426" s="163"/>
      <c r="F426" s="163"/>
      <c r="G426" s="478"/>
      <c r="H426" s="163"/>
      <c r="I426" s="163"/>
      <c r="J426" s="163"/>
      <c r="K426" s="163"/>
      <c r="L426" s="163"/>
      <c r="M426" s="164"/>
      <c r="N426" s="479"/>
      <c r="O426" s="479"/>
      <c r="P426" s="479"/>
      <c r="Q426" s="479"/>
      <c r="R426" s="422"/>
      <c r="S426"/>
      <c r="T426" s="399"/>
    </row>
    <row r="427" spans="1:20" ht="15.75" thickBot="1">
      <c r="A427" s="968" t="s">
        <v>113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  <c r="N427" s="2"/>
      <c r="O427" s="2"/>
      <c r="P427" s="2"/>
      <c r="Q427" s="2"/>
    </row>
    <row r="428" spans="1:20" ht="15.75" customHeight="1" thickTop="1" thickBot="1">
      <c r="A428" s="1559" t="s">
        <v>1</v>
      </c>
      <c r="B428" s="1543" t="s">
        <v>2</v>
      </c>
      <c r="C428" s="1545" t="s">
        <v>3</v>
      </c>
      <c r="D428" s="1546" t="s">
        <v>4</v>
      </c>
      <c r="E428" s="1546"/>
      <c r="F428" s="1546"/>
      <c r="G428" s="1546"/>
      <c r="H428" s="1547"/>
      <c r="I428" s="1548"/>
      <c r="J428" s="1548"/>
      <c r="K428" s="1549"/>
      <c r="L428" s="1524" t="s">
        <v>6</v>
      </c>
      <c r="M428" s="1511" t="s">
        <v>7</v>
      </c>
      <c r="N428" s="1551" t="s">
        <v>8</v>
      </c>
      <c r="O428" s="1551"/>
      <c r="P428" s="1551"/>
      <c r="Q428" s="1552"/>
      <c r="R428" s="481"/>
      <c r="S428" s="482" t="s">
        <v>20</v>
      </c>
      <c r="T428" s="482" t="s">
        <v>21</v>
      </c>
    </row>
    <row r="429" spans="1:20" ht="26.25" thickBot="1">
      <c r="A429" s="1560"/>
      <c r="B429" s="1557"/>
      <c r="C429" s="1558" t="s">
        <v>10</v>
      </c>
      <c r="D429" s="483" t="s">
        <v>11</v>
      </c>
      <c r="E429" s="649" t="s">
        <v>12</v>
      </c>
      <c r="F429" s="649" t="s">
        <v>13</v>
      </c>
      <c r="G429" s="650" t="s">
        <v>14</v>
      </c>
      <c r="H429" s="483" t="s">
        <v>11</v>
      </c>
      <c r="I429" s="486" t="s">
        <v>15</v>
      </c>
      <c r="J429" s="485"/>
      <c r="K429" s="1014" t="s">
        <v>16</v>
      </c>
      <c r="L429" s="1525"/>
      <c r="M429" s="1554"/>
      <c r="N429" s="655"/>
      <c r="O429" s="653"/>
      <c r="P429" s="656" t="s">
        <v>18</v>
      </c>
      <c r="Q429" s="657" t="s">
        <v>19</v>
      </c>
      <c r="R429" s="491"/>
      <c r="S429" s="492"/>
      <c r="T429" s="492"/>
    </row>
    <row r="430" spans="1:20">
      <c r="A430" s="961" t="s">
        <v>212</v>
      </c>
      <c r="B430" s="659" t="s">
        <v>116</v>
      </c>
      <c r="C430" s="668" t="s">
        <v>73</v>
      </c>
      <c r="D430" s="669">
        <v>6</v>
      </c>
      <c r="E430" s="21">
        <v>41.244</v>
      </c>
      <c r="F430" s="21">
        <v>48.335999999999999</v>
      </c>
      <c r="G430" s="214">
        <f>+D430*(E430+F430)</f>
        <v>537.48</v>
      </c>
      <c r="H430" s="1015">
        <f>дек18!D412</f>
        <v>30</v>
      </c>
      <c r="I430" s="1016">
        <v>7.7290000000000001</v>
      </c>
      <c r="J430" s="620">
        <f>ROUND(H430*I430,2)</f>
        <v>231.87</v>
      </c>
      <c r="K430" s="1017">
        <v>43435</v>
      </c>
      <c r="L430" s="603">
        <f>SUM(G430:G436)+SUM(J430:J434)</f>
        <v>12281.231000000002</v>
      </c>
      <c r="M430" s="187">
        <v>12281.23</v>
      </c>
      <c r="N430" s="670"/>
      <c r="O430" s="670"/>
      <c r="P430" s="670"/>
      <c r="Q430" s="670"/>
    </row>
    <row r="431" spans="1:20">
      <c r="A431" s="970"/>
      <c r="B431" s="672"/>
      <c r="C431" s="48" t="s">
        <v>264</v>
      </c>
      <c r="D431" s="673">
        <f>янв19!D424</f>
        <v>7</v>
      </c>
      <c r="E431" s="41">
        <f>41.244-40.5566</f>
        <v>0.68739999999999668</v>
      </c>
      <c r="F431" s="298">
        <f>48.336-47.5304</f>
        <v>0.80559999999999832</v>
      </c>
      <c r="G431" s="235">
        <f>+D431*(E431+F431)</f>
        <v>10.450999999999965</v>
      </c>
      <c r="H431" s="687"/>
      <c r="I431" s="688"/>
      <c r="J431" s="670"/>
      <c r="K431" s="689"/>
      <c r="L431" s="606"/>
      <c r="M431" s="935"/>
      <c r="N431" s="298"/>
      <c r="O431" s="298"/>
      <c r="P431" s="298"/>
      <c r="Q431" s="298"/>
    </row>
    <row r="432" spans="1:20">
      <c r="A432" s="970"/>
      <c r="B432" s="442"/>
      <c r="C432" s="48"/>
      <c r="D432" s="673"/>
      <c r="E432" s="41"/>
      <c r="F432" s="298"/>
      <c r="G432" s="235">
        <f t="shared" ref="G432:G448" si="96">ROUND(D432*E432,2)</f>
        <v>0</v>
      </c>
      <c r="H432" s="687"/>
      <c r="I432" s="688"/>
      <c r="J432" s="670"/>
      <c r="K432" s="689"/>
      <c r="L432" s="614"/>
      <c r="M432" s="935"/>
      <c r="N432" s="298"/>
      <c r="O432" s="298"/>
      <c r="P432" s="298"/>
      <c r="Q432" s="298"/>
    </row>
    <row r="433" spans="1:18">
      <c r="A433" s="970"/>
      <c r="B433" s="35"/>
      <c r="C433" s="606"/>
      <c r="D433" s="673"/>
      <c r="E433" s="41"/>
      <c r="F433" s="298"/>
      <c r="G433" s="235">
        <f t="shared" si="96"/>
        <v>0</v>
      </c>
      <c r="H433" s="270"/>
      <c r="I433" s="688"/>
      <c r="J433" s="670"/>
      <c r="K433" s="689"/>
      <c r="L433" s="614"/>
      <c r="M433" s="273"/>
      <c r="N433" s="298"/>
      <c r="O433" s="298"/>
      <c r="P433" s="298"/>
      <c r="Q433" s="298"/>
    </row>
    <row r="434" spans="1:18" ht="15.75">
      <c r="A434" s="971"/>
      <c r="B434" s="672"/>
      <c r="C434" s="48" t="s">
        <v>260</v>
      </c>
      <c r="D434" s="269">
        <f>янв19!D429+янв19!D430</f>
        <v>1916.08</v>
      </c>
      <c r="E434" s="41">
        <f>7.2025-6.7838</f>
        <v>0.41869999999999941</v>
      </c>
      <c r="F434" s="298">
        <f t="shared" ref="F434:F435" si="97">+E434</f>
        <v>0.41869999999999941</v>
      </c>
      <c r="G434" s="235">
        <f>ROUND(D434*E434,2)</f>
        <v>802.26</v>
      </c>
      <c r="H434" s="270"/>
      <c r="I434" s="41"/>
      <c r="J434" s="670"/>
      <c r="K434" s="689"/>
      <c r="L434" s="606"/>
      <c r="M434" s="935"/>
      <c r="N434" s="663"/>
      <c r="O434" s="237"/>
      <c r="P434" s="275"/>
      <c r="Q434" s="237"/>
    </row>
    <row r="435" spans="1:18" ht="15.75">
      <c r="A435" s="972"/>
      <c r="B435" s="35"/>
      <c r="C435" s="48" t="s">
        <v>263</v>
      </c>
      <c r="D435" s="269">
        <v>49.68</v>
      </c>
      <c r="E435" s="41">
        <v>7.2024999999999997</v>
      </c>
      <c r="F435" s="298">
        <f t="shared" si="97"/>
        <v>7.2024999999999997</v>
      </c>
      <c r="G435" s="235">
        <f t="shared" si="96"/>
        <v>357.82</v>
      </c>
      <c r="H435" s="270"/>
      <c r="I435" s="41"/>
      <c r="J435" s="41"/>
      <c r="K435" s="101"/>
      <c r="L435" s="614"/>
      <c r="M435" s="935"/>
      <c r="N435" s="663"/>
      <c r="O435" s="237"/>
      <c r="P435" s="275"/>
      <c r="Q435" s="237"/>
    </row>
    <row r="436" spans="1:18" ht="15.75" thickBot="1">
      <c r="A436" s="973"/>
      <c r="B436" s="665"/>
      <c r="C436" s="54" t="s">
        <v>29</v>
      </c>
      <c r="D436" s="613">
        <v>1435.8</v>
      </c>
      <c r="E436" s="56">
        <v>7.2024999999999997</v>
      </c>
      <c r="F436" s="57"/>
      <c r="G436" s="247">
        <f t="shared" si="96"/>
        <v>10341.35</v>
      </c>
      <c r="H436" s="613"/>
      <c r="I436" s="57"/>
      <c r="J436" s="57"/>
      <c r="K436" s="1018"/>
      <c r="L436" s="783"/>
      <c r="M436" s="250"/>
      <c r="N436" s="57"/>
      <c r="O436" s="57"/>
      <c r="P436" s="57"/>
      <c r="Q436" s="57"/>
      <c r="R436" s="615"/>
    </row>
    <row r="437" spans="1:18" ht="15.75">
      <c r="A437" s="658">
        <v>212</v>
      </c>
      <c r="B437" s="659" t="s">
        <v>148</v>
      </c>
      <c r="C437" s="786" t="s">
        <v>260</v>
      </c>
      <c r="D437" s="259">
        <f>янв19!D432+янв19!D433</f>
        <v>222.23000000000002</v>
      </c>
      <c r="E437" s="41">
        <f>7.2025-6.7838</f>
        <v>0.41869999999999941</v>
      </c>
      <c r="F437" s="691">
        <f>+E437</f>
        <v>0.41869999999999941</v>
      </c>
      <c r="G437" s="214">
        <f>ROUND(D437*E437,2)</f>
        <v>93.05</v>
      </c>
      <c r="H437" s="303"/>
      <c r="I437" s="23"/>
      <c r="J437" s="23"/>
      <c r="K437" s="341"/>
      <c r="L437" s="603">
        <f>SUM(G437:G439)</f>
        <v>1490.98</v>
      </c>
      <c r="M437" s="187">
        <v>1490.98</v>
      </c>
      <c r="N437" s="660"/>
      <c r="O437" s="217"/>
      <c r="P437" s="661"/>
      <c r="Q437" s="219"/>
    </row>
    <row r="438" spans="1:18" ht="15.75">
      <c r="A438" s="662"/>
      <c r="B438" s="35"/>
      <c r="C438" s="48" t="s">
        <v>263</v>
      </c>
      <c r="D438" s="269">
        <v>6.49</v>
      </c>
      <c r="E438" s="41">
        <v>7.2024999999999997</v>
      </c>
      <c r="F438" s="298">
        <f t="shared" ref="F438" si="98">+E438</f>
        <v>7.2024999999999997</v>
      </c>
      <c r="G438" s="235">
        <f t="shared" si="96"/>
        <v>46.74</v>
      </c>
      <c r="H438" s="270"/>
      <c r="I438" s="41"/>
      <c r="J438" s="41"/>
      <c r="K438" s="101"/>
      <c r="L438" s="606"/>
      <c r="M438" s="935"/>
      <c r="N438" s="663"/>
      <c r="O438" s="237"/>
      <c r="P438" s="275"/>
      <c r="Q438" s="238"/>
    </row>
    <row r="439" spans="1:18" ht="15.75" thickBot="1">
      <c r="A439" s="975"/>
      <c r="B439" s="665"/>
      <c r="C439" s="99" t="s">
        <v>29</v>
      </c>
      <c r="D439" s="613">
        <v>187.6</v>
      </c>
      <c r="E439" s="56">
        <v>7.2024999999999997</v>
      </c>
      <c r="F439" s="57"/>
      <c r="G439" s="247">
        <f t="shared" si="96"/>
        <v>1351.19</v>
      </c>
      <c r="H439" s="613"/>
      <c r="I439" s="57"/>
      <c r="J439" s="57"/>
      <c r="K439" s="1018"/>
      <c r="L439" s="614"/>
      <c r="M439" s="606"/>
      <c r="N439" s="57"/>
      <c r="O439" s="57"/>
      <c r="P439" s="57"/>
      <c r="Q439" s="666"/>
    </row>
    <row r="440" spans="1:18" ht="15.75" hidden="1">
      <c r="A440" s="658">
        <v>215</v>
      </c>
      <c r="B440" s="659" t="s">
        <v>292</v>
      </c>
      <c r="C440" s="786" t="s">
        <v>260</v>
      </c>
      <c r="D440" s="259"/>
      <c r="E440" s="41">
        <f>7.2025-6.7838</f>
        <v>0.41869999999999941</v>
      </c>
      <c r="F440" s="691">
        <f>+E440</f>
        <v>0.41869999999999941</v>
      </c>
      <c r="G440" s="214">
        <f>ROUND(D440*E440,2)</f>
        <v>0</v>
      </c>
      <c r="H440" s="303"/>
      <c r="I440" s="23"/>
      <c r="J440" s="23"/>
      <c r="K440" s="341"/>
      <c r="L440" s="603">
        <f>SUM(G440:G442)</f>
        <v>0</v>
      </c>
      <c r="M440" s="187"/>
      <c r="N440" s="660"/>
      <c r="O440" s="217"/>
      <c r="P440" s="661"/>
      <c r="Q440" s="219"/>
    </row>
    <row r="441" spans="1:18" ht="15.75" hidden="1">
      <c r="A441" s="662"/>
      <c r="B441" s="35"/>
      <c r="C441" s="48" t="s">
        <v>263</v>
      </c>
      <c r="D441" s="269"/>
      <c r="E441" s="41">
        <v>7.2024999999999997</v>
      </c>
      <c r="F441" s="298">
        <f t="shared" ref="F441" si="99">+E441</f>
        <v>7.2024999999999997</v>
      </c>
      <c r="G441" s="235">
        <f>ROUND(D441*E441,2)</f>
        <v>0</v>
      </c>
      <c r="H441" s="270"/>
      <c r="I441" s="41"/>
      <c r="J441" s="41"/>
      <c r="K441" s="101"/>
      <c r="L441" s="606"/>
      <c r="M441" s="935"/>
      <c r="N441" s="663"/>
      <c r="O441" s="237"/>
      <c r="P441" s="275"/>
      <c r="Q441" s="238"/>
    </row>
    <row r="442" spans="1:18" ht="15.75" hidden="1" thickBot="1">
      <c r="A442" s="975"/>
      <c r="B442" s="665"/>
      <c r="C442" s="99" t="s">
        <v>29</v>
      </c>
      <c r="D442" s="613"/>
      <c r="E442" s="56">
        <v>7.2024999999999997</v>
      </c>
      <c r="F442" s="57"/>
      <c r="G442" s="247">
        <f t="shared" ref="G442" si="100">ROUND(D442*E442,2)</f>
        <v>0</v>
      </c>
      <c r="H442" s="613"/>
      <c r="I442" s="57"/>
      <c r="J442" s="57"/>
      <c r="K442" s="1018"/>
      <c r="L442" s="614"/>
      <c r="M442" s="606"/>
      <c r="N442" s="57"/>
      <c r="O442" s="57"/>
      <c r="P442" s="57"/>
      <c r="Q442" s="666"/>
    </row>
    <row r="443" spans="1:18" ht="15.75">
      <c r="A443" s="658">
        <v>216</v>
      </c>
      <c r="B443" s="659" t="s">
        <v>240</v>
      </c>
      <c r="C443" s="786" t="s">
        <v>260</v>
      </c>
      <c r="D443" s="259">
        <f>янв19!D438+янв19!D439</f>
        <v>165.54</v>
      </c>
      <c r="E443" s="41">
        <f>7.2025-6.7838</f>
        <v>0.41869999999999941</v>
      </c>
      <c r="F443" s="691">
        <f>+E443</f>
        <v>0.41869999999999941</v>
      </c>
      <c r="G443" s="214">
        <f>ROUND(D443*E443,2)-0.01</f>
        <v>69.3</v>
      </c>
      <c r="H443" s="303"/>
      <c r="I443" s="23"/>
      <c r="J443" s="23"/>
      <c r="K443" s="341"/>
      <c r="L443" s="603">
        <f>SUM(G443:G445)</f>
        <v>1608.05</v>
      </c>
      <c r="M443" s="187">
        <v>1608.05</v>
      </c>
      <c r="N443" s="660"/>
      <c r="O443" s="1036" t="s">
        <v>320</v>
      </c>
      <c r="P443" s="661"/>
      <c r="Q443" s="219"/>
    </row>
    <row r="444" spans="1:18" ht="15.75">
      <c r="A444" s="662"/>
      <c r="B444" s="35"/>
      <c r="C444" s="48" t="s">
        <v>263</v>
      </c>
      <c r="D444" s="269">
        <v>7.14</v>
      </c>
      <c r="E444" s="41">
        <v>7.2024999999999997</v>
      </c>
      <c r="F444" s="298">
        <f t="shared" ref="F444" si="101">+E444</f>
        <v>7.2024999999999997</v>
      </c>
      <c r="G444" s="235">
        <f t="shared" ref="G444:G445" si="102">ROUND(D444*E444,2)</f>
        <v>51.43</v>
      </c>
      <c r="H444" s="270"/>
      <c r="I444" s="41"/>
      <c r="J444" s="41"/>
      <c r="K444" s="101"/>
      <c r="L444" s="606"/>
      <c r="M444" s="935"/>
      <c r="N444" s="663"/>
      <c r="O444" s="237"/>
      <c r="P444" s="275"/>
      <c r="Q444" s="238"/>
    </row>
    <row r="445" spans="1:18" ht="15.75" thickBot="1">
      <c r="A445" s="975"/>
      <c r="B445" s="665"/>
      <c r="C445" s="99" t="s">
        <v>29</v>
      </c>
      <c r="D445" s="1035">
        <v>206.5</v>
      </c>
      <c r="E445" s="56">
        <v>7.2024999999999997</v>
      </c>
      <c r="F445" s="57"/>
      <c r="G445" s="247">
        <f t="shared" si="102"/>
        <v>1487.32</v>
      </c>
      <c r="H445" s="613"/>
      <c r="I445" s="57"/>
      <c r="J445" s="57"/>
      <c r="K445" s="1018"/>
      <c r="L445" s="614"/>
      <c r="M445" s="606"/>
      <c r="N445" s="57"/>
      <c r="O445" s="57"/>
      <c r="P445" s="57"/>
      <c r="Q445" s="666"/>
    </row>
    <row r="446" spans="1:18" ht="15.75">
      <c r="A446" s="658">
        <v>218</v>
      </c>
      <c r="B446" s="659" t="s">
        <v>117</v>
      </c>
      <c r="C446" s="439" t="s">
        <v>260</v>
      </c>
      <c r="D446" s="259">
        <f>янв19!D441+янв19!D442</f>
        <v>363.87</v>
      </c>
      <c r="E446" s="23">
        <f>7.2025-6.7838</f>
        <v>0.41869999999999941</v>
      </c>
      <c r="F446" s="691">
        <f>+E446</f>
        <v>0.41869999999999941</v>
      </c>
      <c r="G446" s="214">
        <f>ROUND(D446*E446,2)</f>
        <v>152.35</v>
      </c>
      <c r="H446" s="303"/>
      <c r="I446" s="23"/>
      <c r="J446" s="23"/>
      <c r="K446" s="341"/>
      <c r="L446" s="603">
        <f>SUM(G446:G448)</f>
        <v>2598.0300000000002</v>
      </c>
      <c r="M446" s="187">
        <v>2598.0300000000002</v>
      </c>
      <c r="N446" s="660"/>
      <c r="O446" s="217"/>
      <c r="P446" s="661"/>
      <c r="Q446" s="219"/>
      <c r="R446" s="615"/>
    </row>
    <row r="447" spans="1:18" ht="15.75">
      <c r="A447" s="662"/>
      <c r="B447" s="506"/>
      <c r="C447" s="48" t="s">
        <v>263</v>
      </c>
      <c r="D447" s="773">
        <v>11.36</v>
      </c>
      <c r="E447" s="41">
        <v>7.2024999999999997</v>
      </c>
      <c r="F447" s="774">
        <f t="shared" ref="F447" si="103">+E447</f>
        <v>7.2024999999999997</v>
      </c>
      <c r="G447" s="775">
        <f t="shared" si="96"/>
        <v>81.819999999999993</v>
      </c>
      <c r="H447" s="432"/>
      <c r="I447" s="207"/>
      <c r="J447" s="207"/>
      <c r="K447" s="876"/>
      <c r="L447" s="776"/>
      <c r="M447" s="974"/>
      <c r="N447" s="777"/>
      <c r="O447" s="778"/>
      <c r="P447" s="779"/>
      <c r="Q447" s="780"/>
    </row>
    <row r="448" spans="1:18" ht="15.75" thickBot="1">
      <c r="A448" s="975"/>
      <c r="B448" s="278"/>
      <c r="C448" s="54" t="s">
        <v>29</v>
      </c>
      <c r="D448" s="613">
        <v>328.2</v>
      </c>
      <c r="E448" s="56">
        <v>7.2024999999999997</v>
      </c>
      <c r="F448" s="57"/>
      <c r="G448" s="247">
        <f t="shared" si="96"/>
        <v>2363.86</v>
      </c>
      <c r="H448" s="613"/>
      <c r="I448" s="57"/>
      <c r="J448" s="57"/>
      <c r="K448" s="1018"/>
      <c r="L448" s="783"/>
      <c r="M448" s="938"/>
      <c r="N448" s="57"/>
      <c r="O448" s="57"/>
      <c r="P448" s="57"/>
      <c r="Q448" s="666"/>
    </row>
    <row r="449" spans="1:17" ht="15.75">
      <c r="A449" s="658">
        <v>221</v>
      </c>
      <c r="B449" s="659" t="s">
        <v>284</v>
      </c>
      <c r="C449" s="786" t="s">
        <v>260</v>
      </c>
      <c r="D449" s="259">
        <f>янв19!D444+янв19!D445</f>
        <v>51.73</v>
      </c>
      <c r="E449" s="41">
        <f>7.2025-6.7838</f>
        <v>0.41869999999999941</v>
      </c>
      <c r="F449" s="691">
        <f>+E449</f>
        <v>0.41869999999999941</v>
      </c>
      <c r="G449" s="214">
        <f>ROUND(D449*E449,2)</f>
        <v>21.66</v>
      </c>
      <c r="H449" s="303"/>
      <c r="I449" s="23"/>
      <c r="J449" s="23"/>
      <c r="K449" s="341"/>
      <c r="L449" s="603">
        <f>SUM(G449:G451)</f>
        <v>394.25</v>
      </c>
      <c r="M449" s="187">
        <v>394.25</v>
      </c>
      <c r="N449" s="660"/>
      <c r="O449" s="217"/>
      <c r="P449" s="661"/>
      <c r="Q449" s="219"/>
    </row>
    <row r="450" spans="1:17" ht="15.75">
      <c r="A450" s="662"/>
      <c r="B450" s="35"/>
      <c r="C450" s="48" t="s">
        <v>263</v>
      </c>
      <c r="D450" s="269">
        <v>1.73</v>
      </c>
      <c r="E450" s="41">
        <v>7.2024999999999997</v>
      </c>
      <c r="F450" s="298">
        <f t="shared" ref="F450" si="104">+E450</f>
        <v>7.2024999999999997</v>
      </c>
      <c r="G450" s="235">
        <f>ROUND(D450*E450,2)</f>
        <v>12.46</v>
      </c>
      <c r="H450" s="270"/>
      <c r="I450" s="41"/>
      <c r="J450" s="41"/>
      <c r="K450" s="101"/>
      <c r="L450" s="606"/>
      <c r="M450" s="935"/>
      <c r="N450" s="663"/>
      <c r="O450" s="237"/>
      <c r="P450" s="275"/>
      <c r="Q450" s="238"/>
    </row>
    <row r="451" spans="1:17" ht="15.75" thickBot="1">
      <c r="A451" s="975"/>
      <c r="B451" s="665"/>
      <c r="C451" s="99" t="s">
        <v>29</v>
      </c>
      <c r="D451" s="613">
        <v>50</v>
      </c>
      <c r="E451" s="56">
        <v>7.2024999999999997</v>
      </c>
      <c r="F451" s="57"/>
      <c r="G451" s="247">
        <f t="shared" ref="G451" si="105">ROUND(D451*E451,2)</f>
        <v>360.13</v>
      </c>
      <c r="H451" s="613"/>
      <c r="I451" s="57"/>
      <c r="J451" s="57"/>
      <c r="K451" s="1018"/>
      <c r="L451" s="614"/>
      <c r="M451" s="606"/>
      <c r="N451" s="57"/>
      <c r="O451" s="57"/>
      <c r="P451" s="57"/>
      <c r="Q451" s="666"/>
    </row>
    <row r="452" spans="1:17" ht="16.5" thickBot="1">
      <c r="A452" s="658">
        <v>311</v>
      </c>
      <c r="B452" s="602" t="s">
        <v>142</v>
      </c>
      <c r="C452" s="786" t="s">
        <v>73</v>
      </c>
      <c r="D452" s="787">
        <v>3</v>
      </c>
      <c r="E452" s="21">
        <v>41.244</v>
      </c>
      <c r="F452" s="21">
        <v>48.335999999999999</v>
      </c>
      <c r="G452" s="214">
        <f>+D452*(E452+F452)</f>
        <v>268.74</v>
      </c>
      <c r="H452" s="687">
        <f>дек18!D434</f>
        <v>6</v>
      </c>
      <c r="I452" s="688">
        <v>7.7290000000000001</v>
      </c>
      <c r="J452" s="670">
        <f>ROUND(H452*I452,2)</f>
        <v>46.37</v>
      </c>
      <c r="K452" s="689">
        <v>43435</v>
      </c>
      <c r="L452" s="603">
        <f>SUM(G452:G456,J452:J456)</f>
        <v>11605.582</v>
      </c>
      <c r="M452" s="187">
        <v>11605.58</v>
      </c>
      <c r="N452" s="788"/>
      <c r="O452" s="789"/>
      <c r="P452" s="790"/>
      <c r="Q452" s="791"/>
    </row>
    <row r="453" spans="1:17" ht="15.75">
      <c r="A453" s="658"/>
      <c r="B453" s="602"/>
      <c r="C453" s="786" t="s">
        <v>264</v>
      </c>
      <c r="D453" s="787">
        <f>янв19!D446</f>
        <v>4</v>
      </c>
      <c r="E453" s="21">
        <f>41.244-40.5566</f>
        <v>0.68739999999999668</v>
      </c>
      <c r="F453" s="21">
        <f>48.336-47.5304</f>
        <v>0.80559999999999832</v>
      </c>
      <c r="G453" s="214">
        <f>+D453*(E453+F453)</f>
        <v>5.97199999999998</v>
      </c>
      <c r="H453" s="687"/>
      <c r="I453" s="688"/>
      <c r="J453" s="670"/>
      <c r="K453" s="689"/>
      <c r="L453" s="603"/>
      <c r="M453" s="187"/>
      <c r="N453" s="788"/>
      <c r="O453" s="789"/>
      <c r="P453" s="790"/>
      <c r="Q453" s="791"/>
    </row>
    <row r="454" spans="1:17" ht="15.75">
      <c r="A454" s="662"/>
      <c r="B454" s="939"/>
      <c r="C454" s="48" t="s">
        <v>260</v>
      </c>
      <c r="D454" s="269">
        <f>янв19!D449+янв19!D450</f>
        <v>1877.8899999999999</v>
      </c>
      <c r="E454" s="41">
        <f>7.2025-6.7838</f>
        <v>0.41869999999999941</v>
      </c>
      <c r="F454" s="297">
        <f>+E454</f>
        <v>0.41869999999999941</v>
      </c>
      <c r="G454" s="235">
        <f>ROUND(D454*E454,2)+0.01</f>
        <v>786.28</v>
      </c>
      <c r="H454" s="270"/>
      <c r="I454" s="688"/>
      <c r="J454" s="670"/>
      <c r="K454" s="689"/>
      <c r="L454" s="614"/>
      <c r="M454" s="273"/>
      <c r="N454" s="663"/>
      <c r="O454" s="237"/>
      <c r="P454" s="275"/>
      <c r="Q454" s="238"/>
    </row>
    <row r="455" spans="1:17" ht="15.75">
      <c r="A455" s="662"/>
      <c r="B455" s="506"/>
      <c r="C455" s="48" t="s">
        <v>263</v>
      </c>
      <c r="D455" s="269">
        <v>48.75</v>
      </c>
      <c r="E455" s="41">
        <v>7.2024999999999997</v>
      </c>
      <c r="F455" s="298">
        <f t="shared" ref="F455" si="106">+E455</f>
        <v>7.2024999999999997</v>
      </c>
      <c r="G455" s="235">
        <f t="shared" ref="G455:G462" si="107">ROUND(D455*E455,2)</f>
        <v>351.12</v>
      </c>
      <c r="H455" s="270"/>
      <c r="I455" s="41"/>
      <c r="J455" s="670"/>
      <c r="K455" s="689"/>
      <c r="L455" s="606"/>
      <c r="M455" s="935"/>
      <c r="N455" s="663"/>
      <c r="O455" s="237"/>
      <c r="P455" s="275"/>
      <c r="Q455" s="238"/>
    </row>
    <row r="456" spans="1:17" ht="15.75" thickBot="1">
      <c r="A456" s="975"/>
      <c r="B456" s="278"/>
      <c r="C456" s="54" t="s">
        <v>29</v>
      </c>
      <c r="D456" s="795">
        <v>1408.83</v>
      </c>
      <c r="E456" s="56">
        <v>7.2024999999999997</v>
      </c>
      <c r="F456" s="797"/>
      <c r="G456" s="798">
        <f t="shared" si="107"/>
        <v>10147.1</v>
      </c>
      <c r="H456" s="795"/>
      <c r="I456" s="797"/>
      <c r="J456" s="797"/>
      <c r="K456" s="1019"/>
      <c r="L456" s="799"/>
      <c r="M456" s="976"/>
      <c r="N456" s="797"/>
      <c r="O456" s="797"/>
      <c r="P456" s="797"/>
      <c r="Q456" s="800"/>
    </row>
    <row r="457" spans="1:17" ht="15.75">
      <c r="A457" s="658">
        <v>500</v>
      </c>
      <c r="B457" s="659" t="s">
        <v>55</v>
      </c>
      <c r="C457" s="48" t="s">
        <v>260</v>
      </c>
      <c r="D457" s="259">
        <f>янв19!D452+янв19!D453</f>
        <v>2699.94</v>
      </c>
      <c r="E457" s="41">
        <f>7.2025-6.7838</f>
        <v>0.41869999999999941</v>
      </c>
      <c r="F457" s="691">
        <f>+E457</f>
        <v>0.41869999999999941</v>
      </c>
      <c r="G457" s="214">
        <f>ROUND(D457*E457,2)+0.01</f>
        <v>1130.47</v>
      </c>
      <c r="H457" s="303"/>
      <c r="I457" s="23"/>
      <c r="J457" s="23"/>
      <c r="K457" s="341"/>
      <c r="L457" s="603">
        <f>SUM(G457:G459)</f>
        <v>16915.97</v>
      </c>
      <c r="M457" s="187">
        <v>16915.97</v>
      </c>
      <c r="N457" s="660"/>
      <c r="O457" s="217"/>
      <c r="P457" s="661"/>
      <c r="Q457" s="219"/>
    </row>
    <row r="458" spans="1:17" ht="15.75">
      <c r="A458" s="662" t="s">
        <v>211</v>
      </c>
      <c r="B458" s="35"/>
      <c r="C458" s="48" t="s">
        <v>263</v>
      </c>
      <c r="D458" s="269">
        <v>73.3</v>
      </c>
      <c r="E458" s="41">
        <v>7.2024999999999997</v>
      </c>
      <c r="F458" s="298">
        <f t="shared" ref="F458" si="108">+E458</f>
        <v>7.2024999999999997</v>
      </c>
      <c r="G458" s="235">
        <f t="shared" si="107"/>
        <v>527.94000000000005</v>
      </c>
      <c r="H458" s="270"/>
      <c r="I458" s="41"/>
      <c r="J458" s="41"/>
      <c r="K458" s="101"/>
      <c r="L458" s="606"/>
      <c r="M458" s="935"/>
      <c r="N458" s="663"/>
      <c r="O458" s="237"/>
      <c r="P458" s="275"/>
      <c r="Q458" s="238"/>
    </row>
    <row r="459" spans="1:17" ht="15.75" thickBot="1">
      <c r="A459" s="969"/>
      <c r="B459" s="665"/>
      <c r="C459" s="99" t="s">
        <v>29</v>
      </c>
      <c r="D459" s="613">
        <v>2118.37</v>
      </c>
      <c r="E459" s="56">
        <v>7.2024999999999997</v>
      </c>
      <c r="F459" s="57"/>
      <c r="G459" s="247">
        <f t="shared" si="107"/>
        <v>15257.56</v>
      </c>
      <c r="H459" s="613"/>
      <c r="I459" s="57"/>
      <c r="J459" s="57"/>
      <c r="K459" s="1018"/>
      <c r="L459" s="614"/>
      <c r="M459" s="935"/>
      <c r="N459" s="57"/>
      <c r="O459" s="57"/>
      <c r="P459" s="57"/>
      <c r="Q459" s="666"/>
    </row>
    <row r="460" spans="1:17" ht="15.75">
      <c r="A460" s="658">
        <v>501</v>
      </c>
      <c r="B460" s="659" t="s">
        <v>300</v>
      </c>
      <c r="C460" s="48" t="s">
        <v>260</v>
      </c>
      <c r="D460" s="259">
        <f>янв19!D455+янв19!D456</f>
        <v>2385.3200000000002</v>
      </c>
      <c r="E460" s="41">
        <f>7.2025-6.7838</f>
        <v>0.41869999999999941</v>
      </c>
      <c r="F460" s="691">
        <f>+E460</f>
        <v>0.41869999999999941</v>
      </c>
      <c r="G460" s="214">
        <f>ROUND(D460*E460,2)+0.01</f>
        <v>998.74</v>
      </c>
      <c r="H460" s="303"/>
      <c r="I460" s="23"/>
      <c r="J460" s="23"/>
      <c r="K460" s="341"/>
      <c r="L460" s="603">
        <f>SUM(G460:G462)</f>
        <v>14797</v>
      </c>
      <c r="M460" s="187">
        <v>14797</v>
      </c>
      <c r="N460" s="660"/>
      <c r="O460" s="217"/>
      <c r="P460" s="661"/>
      <c r="Q460" s="219"/>
    </row>
    <row r="461" spans="1:17" ht="15.75">
      <c r="A461" s="662"/>
      <c r="B461" s="35"/>
      <c r="C461" s="48" t="s">
        <v>263</v>
      </c>
      <c r="D461" s="269">
        <v>64.069999999999993</v>
      </c>
      <c r="E461" s="41">
        <v>7.2024999999999997</v>
      </c>
      <c r="F461" s="298">
        <f t="shared" ref="F461" si="109">+E461</f>
        <v>7.2024999999999997</v>
      </c>
      <c r="G461" s="235">
        <f t="shared" si="107"/>
        <v>461.46</v>
      </c>
      <c r="H461" s="270"/>
      <c r="I461" s="41"/>
      <c r="J461" s="41"/>
      <c r="K461" s="101"/>
      <c r="L461" s="606"/>
      <c r="M461" s="935"/>
      <c r="N461" s="663"/>
      <c r="O461" s="237"/>
      <c r="P461" s="275"/>
      <c r="Q461" s="238"/>
    </row>
    <row r="462" spans="1:17" ht="15.75" thickBot="1">
      <c r="A462" s="969"/>
      <c r="B462" s="665"/>
      <c r="C462" s="99" t="s">
        <v>29</v>
      </c>
      <c r="D462" s="613">
        <v>1851.69</v>
      </c>
      <c r="E462" s="56">
        <v>7.2024999999999997</v>
      </c>
      <c r="F462" s="57"/>
      <c r="G462" s="247">
        <f t="shared" si="107"/>
        <v>13336.8</v>
      </c>
      <c r="H462" s="613"/>
      <c r="I462" s="57"/>
      <c r="J462" s="57"/>
      <c r="K462" s="1018"/>
      <c r="L462" s="614"/>
      <c r="M462" s="935"/>
      <c r="N462" s="57"/>
      <c r="O462" s="57"/>
      <c r="P462" s="57"/>
      <c r="Q462" s="666"/>
    </row>
    <row r="463" spans="1:17">
      <c r="A463" s="977"/>
    </row>
    <row r="464" spans="1:17">
      <c r="A464" s="977"/>
    </row>
    <row r="465" spans="1:1">
      <c r="A465" s="977"/>
    </row>
  </sheetData>
  <mergeCells count="41">
    <mergeCell ref="N300:Q300"/>
    <mergeCell ref="A428:A429"/>
    <mergeCell ref="B428:B429"/>
    <mergeCell ref="C428:C429"/>
    <mergeCell ref="D428:G428"/>
    <mergeCell ref="H428:K428"/>
    <mergeCell ref="L428:L429"/>
    <mergeCell ref="M428:M429"/>
    <mergeCell ref="N428:Q428"/>
    <mergeCell ref="M149:M150"/>
    <mergeCell ref="N149:Q149"/>
    <mergeCell ref="O294:Q294"/>
    <mergeCell ref="A300:A301"/>
    <mergeCell ref="B300:B301"/>
    <mergeCell ref="C300:C301"/>
    <mergeCell ref="D300:G300"/>
    <mergeCell ref="H300:K300"/>
    <mergeCell ref="L300:L301"/>
    <mergeCell ref="M300:M301"/>
    <mergeCell ref="A149:A150"/>
    <mergeCell ref="B149:B150"/>
    <mergeCell ref="C149:C150"/>
    <mergeCell ref="D149:G149"/>
    <mergeCell ref="H149:K149"/>
    <mergeCell ref="L149:L150"/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474"/>
  <sheetViews>
    <sheetView topLeftCell="A423" workbookViewId="0">
      <pane xSplit="3" topLeftCell="D1" activePane="topRight" state="frozen"/>
      <selection pane="topRight" activeCell="D229" sqref="D229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0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143" t="s">
        <v>23</v>
      </c>
      <c r="C4" s="1144"/>
      <c r="D4" s="1145">
        <v>148</v>
      </c>
      <c r="E4" s="1146">
        <v>41.244</v>
      </c>
      <c r="F4" s="1146">
        <v>48.335999999999999</v>
      </c>
      <c r="G4" s="379">
        <f>ROUND(D4*(E4+F4),2)</f>
        <v>13257.84</v>
      </c>
      <c r="H4" s="1145"/>
      <c r="I4" s="1147"/>
      <c r="J4" s="1147"/>
      <c r="K4" s="1148"/>
      <c r="L4" s="1149">
        <f>SUM(G4:G8,J4:J7)</f>
        <v>118860.29000000001</v>
      </c>
      <c r="M4" s="1150">
        <v>118860.29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151" t="s">
        <v>221</v>
      </c>
      <c r="C5" s="1152" t="s">
        <v>26</v>
      </c>
      <c r="D5" s="401"/>
      <c r="E5" s="1153"/>
      <c r="F5" s="1153"/>
      <c r="G5" s="400">
        <f>ROUND(D5*(E5+F5),2)</f>
        <v>0</v>
      </c>
      <c r="H5" s="1154"/>
      <c r="I5" s="1155"/>
      <c r="J5" s="1155"/>
      <c r="K5" s="1156"/>
      <c r="L5" s="1157"/>
      <c r="M5" s="1158"/>
      <c r="N5" s="45"/>
      <c r="O5" s="46"/>
      <c r="P5" s="47"/>
      <c r="Q5" s="46"/>
      <c r="R5" s="30"/>
      <c r="S5" s="31"/>
      <c r="T5" s="32"/>
    </row>
    <row r="6" spans="1:22">
      <c r="A6" s="34"/>
      <c r="B6" s="1159"/>
      <c r="C6" s="1160" t="s">
        <v>260</v>
      </c>
      <c r="D6" s="623"/>
      <c r="E6" s="1155"/>
      <c r="F6" s="1155">
        <f>+E6</f>
        <v>0</v>
      </c>
      <c r="G6" s="1161">
        <f>ROUND(D6*E6,2)</f>
        <v>0</v>
      </c>
      <c r="H6" s="1162"/>
      <c r="I6" s="1155"/>
      <c r="J6" s="1155"/>
      <c r="K6" s="1156"/>
      <c r="L6" s="1157"/>
      <c r="M6" s="1158"/>
      <c r="N6" s="45"/>
      <c r="O6" s="46"/>
      <c r="P6" s="47"/>
      <c r="Q6" s="46"/>
      <c r="R6" s="30">
        <f>+G7+G8</f>
        <v>105602.45</v>
      </c>
      <c r="S6" s="31"/>
      <c r="T6" s="32"/>
    </row>
    <row r="7" spans="1:22">
      <c r="A7" s="34"/>
      <c r="B7" s="1159"/>
      <c r="C7" s="1160" t="s">
        <v>263</v>
      </c>
      <c r="D7" s="623">
        <f>335.79+91.44</f>
        <v>427.23</v>
      </c>
      <c r="E7" s="1155">
        <v>7.1993999999999998</v>
      </c>
      <c r="F7" s="1155">
        <f>+E7</f>
        <v>7.1993999999999998</v>
      </c>
      <c r="G7" s="1161">
        <f>ROUND(D7*E7,2)-0.01</f>
        <v>3075.79</v>
      </c>
      <c r="H7" s="1154"/>
      <c r="I7" s="1155"/>
      <c r="J7" s="1155"/>
      <c r="K7" s="1156"/>
      <c r="L7" s="1157"/>
      <c r="M7" s="1158"/>
      <c r="N7" s="45"/>
      <c r="O7" s="46"/>
      <c r="P7" s="47"/>
      <c r="Q7" s="46"/>
      <c r="R7" s="30"/>
      <c r="S7" s="31"/>
      <c r="T7" s="32"/>
      <c r="V7" s="33">
        <f>+G7+G8</f>
        <v>105602.45</v>
      </c>
    </row>
    <row r="8" spans="1:22" ht="15.75" thickBot="1">
      <c r="A8" s="52"/>
      <c r="B8" s="1163"/>
      <c r="C8" s="1164" t="s">
        <v>29</v>
      </c>
      <c r="D8" s="941">
        <f>11193+3048</f>
        <v>14241</v>
      </c>
      <c r="E8" s="1165">
        <v>7.1993999999999998</v>
      </c>
      <c r="F8" s="1166">
        <f>+E8</f>
        <v>7.1993999999999998</v>
      </c>
      <c r="G8" s="1167">
        <f>ROUND(D8*E8,2)</f>
        <v>102526.66</v>
      </c>
      <c r="H8" s="1168"/>
      <c r="I8" s="1169"/>
      <c r="J8" s="1169"/>
      <c r="K8" s="1170"/>
      <c r="L8" s="1171"/>
      <c r="M8" s="1172"/>
      <c r="N8" s="64"/>
      <c r="O8" s="65"/>
      <c r="P8" s="47" t="s">
        <v>24</v>
      </c>
      <c r="Q8" s="65">
        <f>+G8+J8-M8-N8-O8</f>
        <v>102526.66</v>
      </c>
      <c r="R8" s="66" t="s">
        <v>25</v>
      </c>
      <c r="S8" s="67">
        <f>SUM(O4:O8)</f>
        <v>0</v>
      </c>
      <c r="T8" s="68">
        <f>SUM(Q4:Q8)</f>
        <v>102526.66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117</v>
      </c>
      <c r="E13" s="21">
        <v>41.244</v>
      </c>
      <c r="F13" s="21">
        <v>48.335999999999999</v>
      </c>
      <c r="G13" s="22">
        <f>ROUND(D13*(E13+F13),2)</f>
        <v>10480.86</v>
      </c>
      <c r="H13" s="72"/>
      <c r="I13" s="21"/>
      <c r="J13" s="73"/>
      <c r="K13" s="24"/>
      <c r="L13" s="74">
        <f>SUM(G13:G20,J13:J19)</f>
        <v>54848.99</v>
      </c>
      <c r="M13" s="26">
        <v>54848.99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42</v>
      </c>
      <c r="E15" s="101">
        <v>330.21</v>
      </c>
      <c r="F15" s="38">
        <f>F13</f>
        <v>48.335999999999999</v>
      </c>
      <c r="G15" s="39">
        <f>ROUND(D15*(E15+F15),2)</f>
        <v>15898.93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фев19!D15</f>
        <v>44</v>
      </c>
      <c r="E16" s="41">
        <f>330.21-357.98</f>
        <v>-27.770000000000039</v>
      </c>
      <c r="F16" s="38">
        <f>F14</f>
        <v>0</v>
      </c>
      <c r="G16" s="50">
        <f>+D16*(E16+F16)</f>
        <v>-1221.8800000000017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фев19!D19+фев19!D20</f>
        <v>4416.8499999999995</v>
      </c>
      <c r="E18" s="881">
        <f>7.4969-7.2025</f>
        <v>0.29440000000000044</v>
      </c>
      <c r="F18" s="41">
        <f>+E18</f>
        <v>0.29440000000000044</v>
      </c>
      <c r="G18" s="50">
        <f>ROUND(D18*E18*70%+D18*F18*30%,2)</f>
        <v>1300.32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13.79+92.16+4.35</f>
        <v>110.29999999999998</v>
      </c>
      <c r="E19" s="41">
        <v>7.4969000000000001</v>
      </c>
      <c r="F19" s="41">
        <f>E19</f>
        <v>7.4969000000000001</v>
      </c>
      <c r="G19" s="50">
        <f>ROUND(D19*E19*70%+D19*F19*30%,2)</f>
        <v>826.91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459.7+3072+145</f>
        <v>3676.7</v>
      </c>
      <c r="E20" s="56">
        <v>7.4969000000000001</v>
      </c>
      <c r="F20" s="109">
        <f>+E20</f>
        <v>7.4969000000000001</v>
      </c>
      <c r="G20" s="110">
        <f>ROUND(D20*E20*70%+D20*F20*30%,2)</f>
        <v>27563.85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фев19!D28+фев19!D29</f>
        <v>2657.52</v>
      </c>
      <c r="E27" s="41">
        <f>7.4969-7.2025</f>
        <v>0.29440000000000044</v>
      </c>
      <c r="F27" s="691">
        <f>+E27</f>
        <v>0.29440000000000044</v>
      </c>
      <c r="G27" s="214">
        <f>ROUND(D27*E27,2)</f>
        <v>782.37</v>
      </c>
      <c r="H27" s="303"/>
      <c r="I27" s="23"/>
      <c r="J27" s="23"/>
      <c r="K27" s="23"/>
      <c r="L27" s="603">
        <f>SUM(G27:G29)</f>
        <v>19065.129999999997</v>
      </c>
      <c r="M27" s="187">
        <v>19065.13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71.03</v>
      </c>
      <c r="E28" s="41">
        <v>7.4969000000000001</v>
      </c>
      <c r="F28" s="298">
        <f t="shared" ref="F28" si="0">+E28</f>
        <v>7.4969000000000001</v>
      </c>
      <c r="G28" s="235">
        <f>ROUND(D28*E28,2)</f>
        <v>532.5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2367.6799999999998</v>
      </c>
      <c r="E29" s="56">
        <v>7.4969000000000001</v>
      </c>
      <c r="F29" s="57"/>
      <c r="G29" s="247">
        <f>ROUND(D29*E29,2)</f>
        <v>17750.259999999998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>
      <c r="A33" s="888" t="s">
        <v>241</v>
      </c>
      <c r="B33" s="183" t="s">
        <v>242</v>
      </c>
      <c r="C33" s="439" t="s">
        <v>243</v>
      </c>
      <c r="D33" s="1008">
        <v>0.8</v>
      </c>
      <c r="E33" s="23">
        <v>41.244</v>
      </c>
      <c r="F33" s="23">
        <v>48.335999999999999</v>
      </c>
      <c r="G33" s="214">
        <f>ROUND(D33*(E33+F33),2)</f>
        <v>71.66</v>
      </c>
      <c r="H33" s="1001"/>
      <c r="I33" s="23"/>
      <c r="J33" s="23"/>
      <c r="K33" s="304"/>
      <c r="L33" s="343">
        <f>SUM(G33:G37)+J33:J34</f>
        <v>9912.25</v>
      </c>
      <c r="M33" s="187">
        <v>9912.25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002"/>
      <c r="I34" s="281"/>
      <c r="J34" s="281"/>
      <c r="K34" s="28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фев19!D36+фев19!D37</f>
        <v>1132.99</v>
      </c>
      <c r="E35" s="41">
        <f>7.4969-7.2025</f>
        <v>0.29440000000000044</v>
      </c>
      <c r="F35" s="41">
        <f t="shared" ref="F35:F67" si="1">+E35</f>
        <v>0.29440000000000044</v>
      </c>
      <c r="G35" s="50">
        <f>ROUND(D35*E35,2)</f>
        <v>333.55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13.43</v>
      </c>
      <c r="E36" s="41">
        <v>7.4969000000000001</v>
      </c>
      <c r="F36" s="41">
        <f t="shared" si="1"/>
        <v>7.4969000000000001</v>
      </c>
      <c r="G36" s="50">
        <f>ROUND(D36*E36,2)</f>
        <v>100.68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1254.7</v>
      </c>
      <c r="E37" s="56">
        <v>7.4969000000000001</v>
      </c>
      <c r="F37" s="57">
        <f t="shared" si="1"/>
        <v>7.4969000000000001</v>
      </c>
      <c r="G37" s="247">
        <f>ROUND(D37*E37*70%+D37*F37*30%,2)</f>
        <v>9406.36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31.9+44.64</f>
        <v>76.539999999999992</v>
      </c>
      <c r="E38" s="21">
        <v>41.244</v>
      </c>
      <c r="F38" s="21">
        <v>48.335999999999999</v>
      </c>
      <c r="G38" s="214">
        <f>ROUND(D38*(E38+F38),2)</f>
        <v>6856.45</v>
      </c>
      <c r="H38" s="213"/>
      <c r="I38" s="41"/>
      <c r="J38" s="215"/>
      <c r="K38" s="679"/>
      <c r="L38" s="294">
        <f>SUM(G38:G42)</f>
        <v>50600.119999999995</v>
      </c>
      <c r="M38" s="227">
        <v>50600.12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225"/>
      <c r="I39" s="41"/>
      <c r="J39" s="194"/>
      <c r="K39" s="295"/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фев19!D41+фев19!D42</f>
        <v>4919.08</v>
      </c>
      <c r="E40" s="41">
        <f>7.4969-7.2025</f>
        <v>0.29440000000000044</v>
      </c>
      <c r="F40" s="41">
        <f t="shared" ref="F40:F42" si="2">+E40</f>
        <v>0.29440000000000044</v>
      </c>
      <c r="G40" s="235">
        <f>ROUND(D40*E40,2)</f>
        <v>1448.18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59.73</v>
      </c>
      <c r="E41" s="41">
        <v>7.4969000000000001</v>
      </c>
      <c r="F41" s="41">
        <f t="shared" si="2"/>
        <v>7.4969000000000001</v>
      </c>
      <c r="G41" s="235">
        <f t="shared" ref="G41:G42" si="3">ROUND(D41*E41,2)</f>
        <v>447.79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5582</v>
      </c>
      <c r="E42" s="56">
        <v>7.4969000000000001</v>
      </c>
      <c r="F42" s="57">
        <f t="shared" si="2"/>
        <v>7.4969000000000001</v>
      </c>
      <c r="G42" s="247">
        <f t="shared" si="3"/>
        <v>41847.699999999997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1173" t="s">
        <v>312</v>
      </c>
      <c r="C43" s="1174" t="s">
        <v>59</v>
      </c>
      <c r="D43" s="1175">
        <v>12.8</v>
      </c>
      <c r="E43" s="1146">
        <v>41.244</v>
      </c>
      <c r="F43" s="1146">
        <v>48.335999999999999</v>
      </c>
      <c r="G43" s="1176">
        <f>ROUND(D43*(E43+F43),2)</f>
        <v>1146.6199999999999</v>
      </c>
      <c r="H43" s="1177">
        <f>фев19!D43</f>
        <v>6.3009999999999993</v>
      </c>
      <c r="I43" s="1155">
        <v>0.34799999999999998</v>
      </c>
      <c r="J43" s="1178">
        <f>ROUND(H43*I43,2)</f>
        <v>2.19</v>
      </c>
      <c r="K43" s="1179">
        <v>43497</v>
      </c>
      <c r="L43" s="1180">
        <f>SUM(G43:G47)+SUM(J43:J47)</f>
        <v>41919.370000000003</v>
      </c>
      <c r="M43" s="996">
        <v>41919.370000000003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1199" t="s">
        <v>313</v>
      </c>
      <c r="C44" s="1182" t="s">
        <v>264</v>
      </c>
      <c r="D44" s="1183"/>
      <c r="E44" s="1153"/>
      <c r="F44" s="1153"/>
      <c r="G44" s="1184">
        <f>ROUND(D44*(E44+F44),2)</f>
        <v>0</v>
      </c>
      <c r="H44" s="1185"/>
      <c r="I44" s="1155"/>
      <c r="J44" s="1186"/>
      <c r="K44" s="1187"/>
      <c r="L44" s="1180"/>
      <c r="M44" s="996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1181"/>
      <c r="C45" s="1160" t="s">
        <v>260</v>
      </c>
      <c r="D45" s="673"/>
      <c r="E45" s="1155"/>
      <c r="F45" s="1155">
        <f t="shared" ref="F45:F47" si="4">+E45</f>
        <v>0</v>
      </c>
      <c r="G45" s="1184">
        <f>ROUND(D45*E45,2)</f>
        <v>0</v>
      </c>
      <c r="H45" s="1188"/>
      <c r="I45" s="1155"/>
      <c r="J45" s="1155"/>
      <c r="K45" s="1189"/>
      <c r="L45" s="1190"/>
      <c r="M45" s="1191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1181"/>
      <c r="C46" s="1160" t="s">
        <v>263</v>
      </c>
      <c r="D46" s="1183">
        <f>58.21+0.3+1.44</f>
        <v>59.949999999999996</v>
      </c>
      <c r="E46" s="1155">
        <v>7.1993999999999998</v>
      </c>
      <c r="F46" s="1155">
        <f t="shared" si="4"/>
        <v>7.1993999999999998</v>
      </c>
      <c r="G46" s="1184">
        <f>ROUND(D46*E46,2)</f>
        <v>431.6</v>
      </c>
      <c r="H46" s="1188"/>
      <c r="I46" s="1155"/>
      <c r="J46" s="1155"/>
      <c r="K46" s="1189"/>
      <c r="L46" s="1190"/>
      <c r="M46" s="1191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1173"/>
      <c r="C47" s="1174" t="s">
        <v>29</v>
      </c>
      <c r="D47" s="1192">
        <f>5440+28.4+134.7</f>
        <v>5603.0999999999995</v>
      </c>
      <c r="E47" s="1165">
        <v>7.1993999999999998</v>
      </c>
      <c r="F47" s="1166">
        <f t="shared" si="4"/>
        <v>7.1993999999999998</v>
      </c>
      <c r="G47" s="1193">
        <f t="shared" ref="G47" si="5">ROUND(D47*E47,2)</f>
        <v>40338.959999999999</v>
      </c>
      <c r="H47" s="1194"/>
      <c r="I47" s="1195"/>
      <c r="J47" s="1195"/>
      <c r="K47" s="1196"/>
      <c r="L47" s="1197"/>
      <c r="M47" s="1198"/>
      <c r="N47" s="283"/>
      <c r="O47" s="252"/>
      <c r="P47" s="284"/>
      <c r="Q47" s="252"/>
      <c r="R47" s="242"/>
      <c r="S47" s="266"/>
      <c r="T47" s="266"/>
    </row>
    <row r="48" spans="1:21">
      <c r="A48" s="892">
        <v>112</v>
      </c>
      <c r="B48" s="183" t="s">
        <v>307</v>
      </c>
      <c r="C48" s="439" t="s">
        <v>243</v>
      </c>
      <c r="D48" s="1008">
        <v>0.3</v>
      </c>
      <c r="E48" s="23">
        <v>41.244</v>
      </c>
      <c r="F48" s="23">
        <v>48.335999999999999</v>
      </c>
      <c r="G48" s="214">
        <f>ROUND(D48*(E48+F48),2)</f>
        <v>26.87</v>
      </c>
      <c r="H48" s="1001"/>
      <c r="I48" s="23"/>
      <c r="J48" s="23"/>
      <c r="K48" s="304"/>
      <c r="L48" s="343">
        <f>SUM(G48:G52)+J48:J52</f>
        <v>990.05</v>
      </c>
      <c r="M48" s="187">
        <v>990.05</v>
      </c>
      <c r="N48" s="274"/>
      <c r="O48" s="237"/>
      <c r="P48" s="275"/>
      <c r="Q48" s="237"/>
      <c r="R48" s="242"/>
      <c r="S48" s="266"/>
      <c r="T48" s="266"/>
    </row>
    <row r="49" spans="1:20" ht="15.75" thickBot="1">
      <c r="A49" s="896"/>
      <c r="B49" s="192"/>
      <c r="C49" s="48" t="s">
        <v>260</v>
      </c>
      <c r="D49" s="1009"/>
      <c r="E49" s="41"/>
      <c r="F49" s="41"/>
      <c r="G49" s="235">
        <f>ROUND(D49*(E49+F49),2)</f>
        <v>0</v>
      </c>
      <c r="H49" s="1002"/>
      <c r="I49" s="281"/>
      <c r="J49" s="281"/>
      <c r="K49" s="282"/>
      <c r="L49" s="988"/>
      <c r="M49" s="989"/>
      <c r="N49" s="274"/>
      <c r="O49" s="237"/>
      <c r="P49" s="275"/>
      <c r="Q49" s="237"/>
      <c r="R49" s="242"/>
      <c r="S49" s="266"/>
      <c r="T49" s="266"/>
    </row>
    <row r="50" spans="1:20">
      <c r="A50" s="1034"/>
      <c r="C50" s="439" t="s">
        <v>260</v>
      </c>
      <c r="D50" s="296">
        <f>фев19!D51+фев19!D52</f>
        <v>131.58999999999997</v>
      </c>
      <c r="E50" s="41">
        <f>7.4969-7.2025</f>
        <v>0.29440000000000044</v>
      </c>
      <c r="F50" s="41">
        <f t="shared" si="1"/>
        <v>0.29440000000000044</v>
      </c>
      <c r="G50" s="235">
        <f>ROUND(D50*E50,2)</f>
        <v>38.74</v>
      </c>
      <c r="H50" s="270"/>
      <c r="I50" s="41"/>
      <c r="J50" s="41"/>
      <c r="K50" s="271"/>
      <c r="L50" s="294"/>
      <c r="M50" s="227"/>
      <c r="N50" s="274"/>
      <c r="O50" s="237"/>
      <c r="P50" s="275"/>
      <c r="Q50" s="237"/>
      <c r="R50" s="242"/>
      <c r="S50" s="266"/>
      <c r="T50" s="266"/>
    </row>
    <row r="51" spans="1:20" ht="15.75">
      <c r="A51" s="896"/>
      <c r="B51" s="192"/>
      <c r="C51" s="48" t="s">
        <v>263</v>
      </c>
      <c r="D51" s="269">
        <v>1.31</v>
      </c>
      <c r="E51" s="41">
        <v>7.4969000000000001</v>
      </c>
      <c r="F51" s="41">
        <f t="shared" si="1"/>
        <v>7.4969000000000001</v>
      </c>
      <c r="G51" s="235">
        <f>ROUND(D51*E51,2)</f>
        <v>9.82</v>
      </c>
      <c r="H51" s="270"/>
      <c r="I51" s="41"/>
      <c r="J51" s="41"/>
      <c r="K51" s="271"/>
      <c r="L51" s="272"/>
      <c r="M51" s="273"/>
      <c r="N51" s="274"/>
      <c r="O51" s="237"/>
      <c r="P51" s="275"/>
      <c r="Q51" s="237"/>
      <c r="R51" s="242"/>
      <c r="S51" s="266"/>
      <c r="T51" s="266"/>
    </row>
    <row r="52" spans="1:20" ht="16.5" thickBot="1">
      <c r="A52" s="891"/>
      <c r="B52" s="202"/>
      <c r="C52" s="54" t="s">
        <v>29</v>
      </c>
      <c r="D52" s="279">
        <v>122</v>
      </c>
      <c r="E52" s="56">
        <v>7.4969000000000001</v>
      </c>
      <c r="F52" s="57">
        <f t="shared" si="1"/>
        <v>7.4969000000000001</v>
      </c>
      <c r="G52" s="247">
        <f t="shared" ref="G52" si="6">ROUND(D52*E52,2)</f>
        <v>914.62</v>
      </c>
      <c r="H52" s="280"/>
      <c r="I52" s="281"/>
      <c r="J52" s="281"/>
      <c r="K52" s="282"/>
      <c r="L52" s="204"/>
      <c r="M52" s="250"/>
      <c r="N52" s="283"/>
      <c r="O52" s="252"/>
      <c r="P52" s="284"/>
      <c r="Q52" s="252"/>
      <c r="R52" s="242"/>
      <c r="S52" s="266"/>
      <c r="T52" s="266"/>
    </row>
    <row r="53" spans="1:20">
      <c r="A53" s="896">
        <v>202</v>
      </c>
      <c r="B53" s="192" t="s">
        <v>159</v>
      </c>
      <c r="C53" s="700" t="s">
        <v>260</v>
      </c>
      <c r="D53" s="985">
        <f>фев19!D54+фев19!D55</f>
        <v>116.43</v>
      </c>
      <c r="E53" s="261">
        <f>7.4969-7.2025</f>
        <v>0.29440000000000044</v>
      </c>
      <c r="F53" s="261">
        <f t="shared" si="1"/>
        <v>0.29440000000000044</v>
      </c>
      <c r="G53" s="195">
        <f>ROUND(D53*E53,2)</f>
        <v>34.28</v>
      </c>
      <c r="H53" s="260"/>
      <c r="I53" s="261"/>
      <c r="J53" s="261"/>
      <c r="K53" s="262"/>
      <c r="L53" s="294">
        <f>SUM(G53:G55)</f>
        <v>1010.23</v>
      </c>
      <c r="M53" s="227">
        <v>1010.23</v>
      </c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1.38</v>
      </c>
      <c r="E54" s="41">
        <v>7.4969000000000001</v>
      </c>
      <c r="F54" s="41">
        <f t="shared" si="1"/>
        <v>7.4969000000000001</v>
      </c>
      <c r="G54" s="235">
        <f t="shared" ref="G54:G55" si="7">ROUND(D54*E54,2)</f>
        <v>10.35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887"/>
      <c r="C55" s="54" t="s">
        <v>29</v>
      </c>
      <c r="D55" s="279">
        <v>128.80000000000001</v>
      </c>
      <c r="E55" s="56">
        <v>7.4969000000000001</v>
      </c>
      <c r="F55" s="57">
        <f t="shared" si="1"/>
        <v>7.4969000000000001</v>
      </c>
      <c r="G55" s="247">
        <f t="shared" si="7"/>
        <v>965.6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 ht="15.75" hidden="1" thickBot="1">
      <c r="A56" s="892">
        <v>204</v>
      </c>
      <c r="B56" s="183" t="s">
        <v>137</v>
      </c>
      <c r="C56" s="439" t="s">
        <v>260</v>
      </c>
      <c r="D56" s="296"/>
      <c r="E56" s="41">
        <f>6.6439-6.7023</f>
        <v>-5.8399999999999785E-2</v>
      </c>
      <c r="F56" s="41">
        <f t="shared" si="1"/>
        <v>-5.8399999999999785E-2</v>
      </c>
      <c r="G56" s="235">
        <f>ROUND(D56*E56,2)</f>
        <v>0</v>
      </c>
      <c r="H56" s="270"/>
      <c r="I56" s="41"/>
      <c r="J56" s="41"/>
      <c r="K56" s="271"/>
      <c r="L56" s="294">
        <f>SUM(G56:G58)</f>
        <v>0</v>
      </c>
      <c r="M56" s="227"/>
      <c r="N56" s="274"/>
      <c r="O56" s="237"/>
      <c r="P56" s="275"/>
      <c r="Q56" s="237"/>
      <c r="R56" s="242"/>
      <c r="S56" s="266"/>
      <c r="T56" s="266"/>
    </row>
    <row r="57" spans="1:20" ht="16.5" hidden="1" thickBot="1">
      <c r="A57" s="896"/>
      <c r="B57" s="991" t="s">
        <v>275</v>
      </c>
      <c r="C57" s="48" t="s">
        <v>263</v>
      </c>
      <c r="D57" s="269"/>
      <c r="E57" s="41">
        <v>6.6439000000000004</v>
      </c>
      <c r="F57" s="41">
        <f t="shared" si="1"/>
        <v>6.6439000000000004</v>
      </c>
      <c r="G57" s="235">
        <f>ROUND(D57*E57,2)</f>
        <v>0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hidden="1" thickBot="1">
      <c r="A58" s="891"/>
      <c r="B58" s="887"/>
      <c r="C58" s="54" t="s">
        <v>29</v>
      </c>
      <c r="D58" s="279"/>
      <c r="E58" s="56">
        <v>6.6439000000000004</v>
      </c>
      <c r="F58" s="57">
        <f t="shared" si="1"/>
        <v>6.6439000000000004</v>
      </c>
      <c r="G58" s="247">
        <f>ROUND(D58*E58,2)</f>
        <v>0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>
      <c r="A59" s="892">
        <v>204</v>
      </c>
      <c r="B59" s="183" t="s">
        <v>289</v>
      </c>
      <c r="C59" s="439" t="s">
        <v>260</v>
      </c>
      <c r="D59" s="296">
        <f>фев19!D60+фев19!D61</f>
        <v>128.76000000000002</v>
      </c>
      <c r="E59" s="41">
        <f>7.4969-7.2025</f>
        <v>0.29440000000000044</v>
      </c>
      <c r="F59" s="41">
        <f t="shared" si="1"/>
        <v>0.29440000000000044</v>
      </c>
      <c r="G59" s="235">
        <f>ROUND(D59*E59,2)</f>
        <v>37.909999999999997</v>
      </c>
      <c r="H59" s="270"/>
      <c r="I59" s="41"/>
      <c r="J59" s="41"/>
      <c r="K59" s="271"/>
      <c r="L59" s="294">
        <f>SUM(G59:G61)</f>
        <v>1066.8600000000001</v>
      </c>
      <c r="M59" s="227">
        <v>1066.8599999999999</v>
      </c>
      <c r="N59" s="274"/>
      <c r="O59" s="237"/>
      <c r="P59" s="275"/>
      <c r="Q59" s="237"/>
      <c r="R59" s="242"/>
      <c r="S59" s="266"/>
      <c r="T59" s="266"/>
    </row>
    <row r="60" spans="1:20" ht="15.75">
      <c r="A60" s="896"/>
      <c r="B60" s="192"/>
      <c r="C60" s="48" t="s">
        <v>263</v>
      </c>
      <c r="D60" s="269">
        <v>1.45</v>
      </c>
      <c r="E60" s="41">
        <v>7.4969000000000001</v>
      </c>
      <c r="F60" s="41">
        <f t="shared" si="1"/>
        <v>7.4969000000000001</v>
      </c>
      <c r="G60" s="235">
        <f>ROUND(D60*E60,2)</f>
        <v>10.87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thickBot="1">
      <c r="A61" s="891"/>
      <c r="B61" s="887"/>
      <c r="C61" s="54" t="s">
        <v>29</v>
      </c>
      <c r="D61" s="279">
        <v>135.80000000000001</v>
      </c>
      <c r="E61" s="56">
        <v>7.4969000000000001</v>
      </c>
      <c r="F61" s="57">
        <f t="shared" si="1"/>
        <v>7.4969000000000001</v>
      </c>
      <c r="G61" s="247">
        <f t="shared" ref="G61" si="8">ROUND(D61*E61,2)</f>
        <v>1018.08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210</v>
      </c>
      <c r="B62" s="183" t="s">
        <v>245</v>
      </c>
      <c r="C62" s="439" t="s">
        <v>260</v>
      </c>
      <c r="D62" s="296">
        <f>фев19!D63+фев19!D64</f>
        <v>244.39000000000001</v>
      </c>
      <c r="E62" s="41">
        <f>7.4969-7.2025</f>
        <v>0.29440000000000044</v>
      </c>
      <c r="F62" s="41">
        <f t="shared" si="1"/>
        <v>0.29440000000000044</v>
      </c>
      <c r="G62" s="235">
        <f>ROUND(D62*E62,2)-0.01</f>
        <v>71.94</v>
      </c>
      <c r="H62" s="270"/>
      <c r="I62" s="41"/>
      <c r="J62" s="41"/>
      <c r="K62" s="271"/>
      <c r="L62" s="294">
        <f>SUM(G62:G64)</f>
        <v>2063.1999999999998</v>
      </c>
      <c r="M62" s="227">
        <v>2063.1999999999998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2.81</v>
      </c>
      <c r="E63" s="41">
        <v>7.4969000000000001</v>
      </c>
      <c r="F63" s="41">
        <f t="shared" si="1"/>
        <v>7.4969000000000001</v>
      </c>
      <c r="G63" s="235">
        <f>ROUND(D63*E63,2)</f>
        <v>21.07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262.8</v>
      </c>
      <c r="E64" s="56">
        <v>7.4969000000000001</v>
      </c>
      <c r="F64" s="57">
        <f t="shared" si="1"/>
        <v>7.4969000000000001</v>
      </c>
      <c r="G64" s="247">
        <f t="shared" ref="G64" si="9">ROUND(D64*E64,2)</f>
        <v>1970.19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213</v>
      </c>
      <c r="B65" s="183" t="s">
        <v>262</v>
      </c>
      <c r="C65" s="439" t="s">
        <v>260</v>
      </c>
      <c r="D65" s="296">
        <f>фев19!D66+фев19!D67</f>
        <v>143.52000000000001</v>
      </c>
      <c r="E65" s="41">
        <f>7.4969-7.2025</f>
        <v>0.29440000000000044</v>
      </c>
      <c r="F65" s="41">
        <f t="shared" si="1"/>
        <v>0.29440000000000044</v>
      </c>
      <c r="G65" s="235">
        <f>ROUND(D65*E65,2)</f>
        <v>42.25</v>
      </c>
      <c r="H65" s="270"/>
      <c r="I65" s="41"/>
      <c r="J65" s="41"/>
      <c r="K65" s="271"/>
      <c r="L65" s="294">
        <f>SUM(G65:G67)</f>
        <v>1185.5999999999999</v>
      </c>
      <c r="M65" s="227">
        <v>1185.5999999999999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1.61</v>
      </c>
      <c r="E66" s="41">
        <v>7.4969000000000001</v>
      </c>
      <c r="F66" s="41">
        <f t="shared" si="1"/>
        <v>7.4969000000000001</v>
      </c>
      <c r="G66" s="235">
        <f>ROUND(D66*E66,2)</f>
        <v>12.07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150.9</v>
      </c>
      <c r="E67" s="56">
        <v>7.4969000000000001</v>
      </c>
      <c r="F67" s="57">
        <f t="shared" si="1"/>
        <v>7.4969000000000001</v>
      </c>
      <c r="G67" s="247">
        <f t="shared" ref="G67" si="10">ROUND(D67*E67,2)</f>
        <v>1131.28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215</v>
      </c>
      <c r="B68" s="183" t="s">
        <v>189</v>
      </c>
      <c r="C68" s="71" t="s">
        <v>243</v>
      </c>
      <c r="D68" s="213">
        <v>3.6240000000000001</v>
      </c>
      <c r="E68" s="21">
        <v>41.244</v>
      </c>
      <c r="F68" s="21">
        <v>48.335999999999999</v>
      </c>
      <c r="G68" s="214">
        <f>ROUND(D68*(E68+F68),2)</f>
        <v>324.64</v>
      </c>
      <c r="H68" s="213"/>
      <c r="I68" s="194"/>
      <c r="J68" s="215"/>
      <c r="K68" s="679"/>
      <c r="L68" s="216">
        <f>SUM(G68:G75)+SUM(J68:J75)</f>
        <v>3490.52</v>
      </c>
      <c r="M68" s="187">
        <v>3490.52</v>
      </c>
      <c r="N68" s="188"/>
      <c r="O68" s="217"/>
      <c r="P68" s="218"/>
      <c r="Q68" s="219"/>
      <c r="R68" s="220"/>
      <c r="S68" s="221"/>
      <c r="T68" s="222"/>
      <c r="U68" s="33"/>
    </row>
    <row r="69" spans="1:21">
      <c r="A69" s="890"/>
      <c r="B69" s="872"/>
      <c r="C69" s="84" t="s">
        <v>26</v>
      </c>
      <c r="D69" s="37"/>
      <c r="E69" s="38"/>
      <c r="F69" s="38"/>
      <c r="G69" s="39">
        <f>ROUND(D69*(E69+F69),2)</f>
        <v>0</v>
      </c>
      <c r="H69" s="225"/>
      <c r="I69" s="194"/>
      <c r="J69" s="194"/>
      <c r="K69" s="226"/>
      <c r="L69" s="196"/>
      <c r="M69" s="227"/>
      <c r="N69" s="228"/>
      <c r="O69" s="229"/>
      <c r="P69" s="230"/>
      <c r="Q69" s="231"/>
      <c r="R69" s="232"/>
      <c r="S69" s="233"/>
      <c r="T69" s="224"/>
      <c r="U69" s="33"/>
    </row>
    <row r="70" spans="1:21">
      <c r="A70" s="890"/>
      <c r="B70" s="873" t="s">
        <v>32</v>
      </c>
      <c r="C70" s="99" t="s">
        <v>33</v>
      </c>
      <c r="D70" s="234">
        <v>0</v>
      </c>
      <c r="E70" s="101">
        <v>106.5</v>
      </c>
      <c r="F70" s="38">
        <f>F68</f>
        <v>48.335999999999999</v>
      </c>
      <c r="G70" s="235">
        <f>ROUND(D70*(E70+F70),2)</f>
        <v>0</v>
      </c>
      <c r="H70" s="234"/>
      <c r="I70" s="194"/>
      <c r="J70" s="194"/>
      <c r="K70" s="195"/>
      <c r="L70" s="196"/>
      <c r="M70" s="227"/>
      <c r="N70" s="236"/>
      <c r="O70" s="237"/>
      <c r="P70" s="230"/>
      <c r="Q70" s="238"/>
      <c r="R70" s="232"/>
      <c r="S70" s="233"/>
      <c r="T70" s="224"/>
    </row>
    <row r="71" spans="1:21">
      <c r="A71" s="890"/>
      <c r="B71" s="872" t="s">
        <v>33</v>
      </c>
      <c r="C71" s="239" t="s">
        <v>26</v>
      </c>
      <c r="D71" s="234"/>
      <c r="E71" s="240"/>
      <c r="F71" s="240"/>
      <c r="G71" s="235">
        <f>+ROUND(D71*E71,2)</f>
        <v>0</v>
      </c>
      <c r="H71" s="241"/>
      <c r="I71" s="194"/>
      <c r="J71" s="194"/>
      <c r="K71" s="195"/>
      <c r="L71" s="196"/>
      <c r="M71" s="227"/>
      <c r="N71" s="236"/>
      <c r="O71" s="237"/>
      <c r="P71" s="230"/>
      <c r="Q71" s="238"/>
      <c r="R71" s="242"/>
      <c r="S71" s="233"/>
      <c r="T71" s="224"/>
    </row>
    <row r="72" spans="1:21">
      <c r="A72" s="890"/>
      <c r="B72" s="872"/>
      <c r="C72" s="239" t="s">
        <v>26</v>
      </c>
      <c r="D72" s="234"/>
      <c r="E72" s="240"/>
      <c r="F72" s="41"/>
      <c r="G72" s="235">
        <f>+ROUND(D72*F72,2)</f>
        <v>0</v>
      </c>
      <c r="H72" s="241"/>
      <c r="I72" s="194"/>
      <c r="J72" s="194"/>
      <c r="K72" s="195"/>
      <c r="L72" s="196"/>
      <c r="M72" s="227"/>
      <c r="N72" s="236"/>
      <c r="O72" s="237"/>
      <c r="P72" s="230"/>
      <c r="Q72" s="238"/>
      <c r="R72" s="242"/>
      <c r="S72" s="233"/>
      <c r="T72" s="224"/>
    </row>
    <row r="73" spans="1:21">
      <c r="A73" s="890"/>
      <c r="B73" s="872"/>
      <c r="C73" s="48" t="s">
        <v>260</v>
      </c>
      <c r="D73" s="49">
        <f>фев19!D74+фев19!D75</f>
        <v>414.89</v>
      </c>
      <c r="E73" s="41">
        <f>7.4969-7.2025</f>
        <v>0.29440000000000044</v>
      </c>
      <c r="F73" s="41">
        <f t="shared" ref="F73:F78" si="11">+E73</f>
        <v>0.29440000000000044</v>
      </c>
      <c r="G73" s="50">
        <f>ROUND(D73*E73,2)</f>
        <v>122.14</v>
      </c>
      <c r="H73" s="241"/>
      <c r="I73" s="194"/>
      <c r="J73" s="194"/>
      <c r="K73" s="195"/>
      <c r="L73" s="196"/>
      <c r="M73" s="227"/>
      <c r="N73" s="236"/>
      <c r="O73" s="237"/>
      <c r="P73" s="230"/>
      <c r="Q73" s="238"/>
      <c r="R73" s="242"/>
      <c r="S73" s="233"/>
      <c r="T73" s="224"/>
    </row>
    <row r="74" spans="1:21">
      <c r="A74" s="890"/>
      <c r="B74" s="872"/>
      <c r="C74" s="48" t="s">
        <v>263</v>
      </c>
      <c r="D74" s="49">
        <v>4.3</v>
      </c>
      <c r="E74" s="41">
        <v>7.4969000000000001</v>
      </c>
      <c r="F74" s="41">
        <f t="shared" si="11"/>
        <v>7.4969000000000001</v>
      </c>
      <c r="G74" s="50">
        <f>ROUND(D74*E74,2)</f>
        <v>32.24</v>
      </c>
      <c r="H74" s="241"/>
      <c r="I74" s="194"/>
      <c r="J74" s="243"/>
      <c r="K74" s="195"/>
      <c r="L74" s="196"/>
      <c r="M74" s="227"/>
      <c r="N74" s="236"/>
      <c r="O74" s="237"/>
      <c r="P74" s="230"/>
      <c r="Q74" s="238"/>
      <c r="R74" s="242"/>
      <c r="S74" s="233"/>
      <c r="T74" s="224"/>
      <c r="U74" s="33"/>
    </row>
    <row r="75" spans="1:21" ht="15.75" thickBot="1">
      <c r="A75" s="897"/>
      <c r="B75" s="875"/>
      <c r="C75" s="99" t="s">
        <v>29</v>
      </c>
      <c r="D75" s="246">
        <v>401.7</v>
      </c>
      <c r="E75" s="56">
        <v>7.4969000000000001</v>
      </c>
      <c r="F75" s="57">
        <f t="shared" si="11"/>
        <v>7.4969000000000001</v>
      </c>
      <c r="G75" s="247">
        <f>ROUND(D75*E75*70%+D75*F75*30%,2)</f>
        <v>3011.5</v>
      </c>
      <c r="H75" s="248"/>
      <c r="I75" s="203"/>
      <c r="J75" s="60"/>
      <c r="K75" s="61"/>
      <c r="L75" s="249"/>
      <c r="M75" s="250"/>
      <c r="N75" s="251"/>
      <c r="O75" s="252"/>
      <c r="P75" s="253"/>
      <c r="Q75" s="254"/>
      <c r="R75" s="255"/>
      <c r="S75" s="256"/>
      <c r="T75" s="256"/>
    </row>
    <row r="76" spans="1:21" ht="15.75" thickTop="1">
      <c r="A76" s="892">
        <v>217</v>
      </c>
      <c r="B76" s="183" t="s">
        <v>269</v>
      </c>
      <c r="C76" s="439" t="s">
        <v>260</v>
      </c>
      <c r="D76" s="296">
        <f>фев19!D77+фев19!D78</f>
        <v>42.35</v>
      </c>
      <c r="E76" s="41">
        <f>7.4969-7.2025</f>
        <v>0.29440000000000044</v>
      </c>
      <c r="F76" s="41">
        <f t="shared" si="11"/>
        <v>0.29440000000000044</v>
      </c>
      <c r="G76" s="235">
        <f>ROUND(D76*E76,2)-0.01</f>
        <v>12.46</v>
      </c>
      <c r="H76" s="270"/>
      <c r="I76" s="41"/>
      <c r="J76" s="41"/>
      <c r="K76" s="271"/>
      <c r="L76" s="294">
        <f>SUM(G76:G78)</f>
        <v>348.92</v>
      </c>
      <c r="M76" s="227">
        <v>348.92</v>
      </c>
      <c r="N76" s="274"/>
      <c r="O76" s="237"/>
      <c r="P76" s="275"/>
      <c r="Q76" s="237"/>
      <c r="R76" s="242"/>
      <c r="S76" s="266"/>
      <c r="T76" s="266"/>
    </row>
    <row r="77" spans="1:21" ht="15.75">
      <c r="A77" s="896"/>
      <c r="B77" s="192"/>
      <c r="C77" s="48" t="s">
        <v>263</v>
      </c>
      <c r="D77" s="269">
        <v>0.48</v>
      </c>
      <c r="E77" s="41">
        <v>7.4969000000000001</v>
      </c>
      <c r="F77" s="41">
        <f t="shared" si="11"/>
        <v>7.4969000000000001</v>
      </c>
      <c r="G77" s="235">
        <f>ROUND(D77*E77,2)</f>
        <v>3.6</v>
      </c>
      <c r="H77" s="270"/>
      <c r="I77" s="41"/>
      <c r="J77" s="41"/>
      <c r="K77" s="271"/>
      <c r="L77" s="272"/>
      <c r="M77" s="273"/>
      <c r="N77" s="274"/>
      <c r="O77" s="237"/>
      <c r="P77" s="275"/>
      <c r="Q77" s="237"/>
      <c r="R77" s="242"/>
      <c r="S77" s="266"/>
      <c r="T77" s="266"/>
    </row>
    <row r="78" spans="1:21" ht="16.5" thickBot="1">
      <c r="A78" s="891"/>
      <c r="B78" s="887"/>
      <c r="C78" s="54" t="s">
        <v>29</v>
      </c>
      <c r="D78" s="279">
        <v>44.4</v>
      </c>
      <c r="E78" s="56">
        <v>7.4969000000000001</v>
      </c>
      <c r="F78" s="57">
        <f t="shared" si="11"/>
        <v>7.4969000000000001</v>
      </c>
      <c r="G78" s="247">
        <f t="shared" ref="G78" si="12">ROUND(D78*E78,2)</f>
        <v>332.86</v>
      </c>
      <c r="H78" s="280"/>
      <c r="I78" s="281"/>
      <c r="J78" s="281"/>
      <c r="K78" s="282"/>
      <c r="L78" s="204"/>
      <c r="M78" s="250"/>
      <c r="N78" s="283"/>
      <c r="O78" s="252"/>
      <c r="P78" s="284"/>
      <c r="Q78" s="252"/>
      <c r="R78" s="242"/>
      <c r="S78" s="266"/>
      <c r="T78" s="266"/>
    </row>
    <row r="79" spans="1:21" ht="15.75" collapsed="1" thickBot="1">
      <c r="A79" s="891">
        <v>309</v>
      </c>
      <c r="B79" s="887" t="s">
        <v>251</v>
      </c>
      <c r="C79" s="54" t="s">
        <v>260</v>
      </c>
      <c r="D79" s="296">
        <f>фев19!D80+фев19!D81</f>
        <v>341.52</v>
      </c>
      <c r="E79" s="41">
        <f>7.4969-7.2025</f>
        <v>0.29440000000000044</v>
      </c>
      <c r="F79" s="41">
        <f>+E79</f>
        <v>0.29440000000000044</v>
      </c>
      <c r="G79" s="235">
        <f>ROUND(D79*E79,2)+0.01</f>
        <v>100.55000000000001</v>
      </c>
      <c r="H79" s="270"/>
      <c r="I79" s="41"/>
      <c r="J79" s="41"/>
      <c r="K79" s="271"/>
      <c r="L79" s="294">
        <f>SUM(G79:G81)</f>
        <v>2740.4300000000003</v>
      </c>
      <c r="M79" s="227">
        <v>2740.43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885"/>
      <c r="C80" s="48" t="s">
        <v>263</v>
      </c>
      <c r="D80" s="269">
        <v>3.73</v>
      </c>
      <c r="E80" s="41">
        <v>7.4969000000000001</v>
      </c>
      <c r="F80" s="41">
        <f>+E80</f>
        <v>7.4969000000000001</v>
      </c>
      <c r="G80" s="235">
        <f t="shared" ref="G80:G81" si="13">ROUND(D80*E80,2)</f>
        <v>27.96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348.4</v>
      </c>
      <c r="E81" s="56">
        <v>7.4969000000000001</v>
      </c>
      <c r="F81" s="57">
        <f>+E81</f>
        <v>7.4969000000000001</v>
      </c>
      <c r="G81" s="247">
        <f t="shared" si="13"/>
        <v>2611.92</v>
      </c>
      <c r="H81" s="280"/>
      <c r="I81" s="281"/>
      <c r="J81" s="281"/>
      <c r="K81" s="282"/>
      <c r="L81" s="204"/>
      <c r="M81" s="250"/>
      <c r="N81" s="283"/>
      <c r="O81" s="252"/>
      <c r="P81" s="284"/>
      <c r="Q81" s="252"/>
      <c r="R81" s="242"/>
      <c r="S81" s="266"/>
      <c r="T81" s="266"/>
    </row>
    <row r="82" spans="1:21">
      <c r="A82" s="888">
        <v>314</v>
      </c>
      <c r="B82" s="889" t="s">
        <v>52</v>
      </c>
      <c r="C82" s="71">
        <v>0</v>
      </c>
      <c r="D82" s="213">
        <v>195</v>
      </c>
      <c r="E82" s="21">
        <v>41.244</v>
      </c>
      <c r="F82" s="21">
        <v>48.335999999999999</v>
      </c>
      <c r="G82" s="214">
        <f>ROUND(D82*(E82+F82),2)</f>
        <v>17468.099999999999</v>
      </c>
      <c r="H82" s="213"/>
      <c r="I82" s="194"/>
      <c r="J82" s="215"/>
      <c r="K82" s="679"/>
      <c r="L82" s="216">
        <f>SUM(G82:G89)+SUM(J82:J89)</f>
        <v>85301.9</v>
      </c>
      <c r="M82" s="187">
        <v>85301.9</v>
      </c>
      <c r="N82" s="188"/>
      <c r="O82" s="217">
        <v>4253.6899999999996</v>
      </c>
      <c r="P82" s="218" t="s">
        <v>47</v>
      </c>
      <c r="Q82" s="219">
        <f t="shared" ref="Q82" si="14">C82+G82+J82-M82-N82-O82</f>
        <v>-72087.489999999991</v>
      </c>
      <c r="R82" s="220" t="s">
        <v>53</v>
      </c>
      <c r="S82" s="221"/>
      <c r="T82" s="222"/>
      <c r="U82" s="33">
        <f>+C82+L82-M82</f>
        <v>0</v>
      </c>
    </row>
    <row r="83" spans="1:21" ht="15.75" thickBot="1">
      <c r="A83" s="890"/>
      <c r="B83" s="872"/>
      <c r="C83" s="84" t="s">
        <v>26</v>
      </c>
      <c r="D83" s="37"/>
      <c r="E83" s="38"/>
      <c r="F83" s="38"/>
      <c r="G83" s="39">
        <f>ROUND(D83*(E83+F83),2)</f>
        <v>0</v>
      </c>
      <c r="H83" s="225"/>
      <c r="I83" s="194"/>
      <c r="J83" s="194"/>
      <c r="K83" s="226"/>
      <c r="L83" s="196"/>
      <c r="M83" s="227"/>
      <c r="N83" s="228"/>
      <c r="O83" s="229"/>
      <c r="P83" s="230"/>
      <c r="Q83" s="231"/>
      <c r="R83" s="232"/>
      <c r="S83" s="233"/>
      <c r="T83" s="224"/>
      <c r="U83" s="33"/>
    </row>
    <row r="84" spans="1:21">
      <c r="A84" s="890"/>
      <c r="B84" s="873" t="s">
        <v>32</v>
      </c>
      <c r="C84" s="99" t="s">
        <v>33</v>
      </c>
      <c r="D84" s="234">
        <v>0</v>
      </c>
      <c r="E84" s="101">
        <v>106.5</v>
      </c>
      <c r="F84" s="21">
        <f>F82</f>
        <v>48.335999999999999</v>
      </c>
      <c r="G84" s="235">
        <f>ROUND(D84*(E84+F84),2)</f>
        <v>0</v>
      </c>
      <c r="H84" s="234"/>
      <c r="I84" s="194"/>
      <c r="J84" s="194"/>
      <c r="K84" s="195"/>
      <c r="L84" s="196"/>
      <c r="M84" s="227"/>
      <c r="N84" s="236"/>
      <c r="O84" s="237">
        <v>5456.6</v>
      </c>
      <c r="P84" s="230" t="s">
        <v>47</v>
      </c>
      <c r="Q84" s="238">
        <f>+G84+J84-M84-N84-O84</f>
        <v>-5456.6</v>
      </c>
      <c r="R84" s="232"/>
      <c r="S84" s="233"/>
      <c r="T84" s="224"/>
    </row>
    <row r="85" spans="1:21">
      <c r="A85" s="890"/>
      <c r="B85" s="872" t="s">
        <v>33</v>
      </c>
      <c r="C85" s="239" t="s">
        <v>26</v>
      </c>
      <c r="D85" s="234"/>
      <c r="E85" s="240"/>
      <c r="F85" s="240">
        <f>F83</f>
        <v>0</v>
      </c>
      <c r="G85" s="235">
        <f>+ROUND(D85*E85,2)</f>
        <v>0</v>
      </c>
      <c r="H85" s="241"/>
      <c r="I85" s="194"/>
      <c r="J85" s="194"/>
      <c r="K85" s="195"/>
      <c r="L85" s="196"/>
      <c r="M85" s="227"/>
      <c r="N85" s="236"/>
      <c r="O85" s="237"/>
      <c r="P85" s="230"/>
      <c r="Q85" s="238"/>
      <c r="R85" s="242"/>
      <c r="S85" s="233"/>
      <c r="T85" s="224"/>
    </row>
    <row r="86" spans="1:21">
      <c r="A86" s="890"/>
      <c r="B86" s="872"/>
      <c r="C86" s="239" t="s">
        <v>26</v>
      </c>
      <c r="D86" s="234"/>
      <c r="E86" s="240"/>
      <c r="F86" s="41"/>
      <c r="G86" s="235">
        <f>+ROUND(D86*F86,2)</f>
        <v>0</v>
      </c>
      <c r="H86" s="241"/>
      <c r="I86" s="194"/>
      <c r="J86" s="194"/>
      <c r="K86" s="195"/>
      <c r="L86" s="196"/>
      <c r="M86" s="227"/>
      <c r="N86" s="236"/>
      <c r="O86" s="237"/>
      <c r="P86" s="230"/>
      <c r="Q86" s="238"/>
      <c r="R86" s="242"/>
      <c r="S86" s="233"/>
      <c r="T86" s="224"/>
    </row>
    <row r="87" spans="1:21">
      <c r="A87" s="890"/>
      <c r="B87" s="872"/>
      <c r="C87" s="48" t="s">
        <v>260</v>
      </c>
      <c r="D87" s="49">
        <f>фев19!D88+фев19!D89</f>
        <v>8059.83</v>
      </c>
      <c r="E87" s="41">
        <f>7.4969-7.2025</f>
        <v>0.29440000000000044</v>
      </c>
      <c r="F87" s="41">
        <f t="shared" ref="F87:F138" si="15">+E87</f>
        <v>0.29440000000000044</v>
      </c>
      <c r="G87" s="50">
        <f>ROUND(D87*E87,2)+0.01</f>
        <v>2372.8200000000002</v>
      </c>
      <c r="H87" s="241"/>
      <c r="I87" s="194"/>
      <c r="J87" s="194"/>
      <c r="K87" s="195"/>
      <c r="L87" s="196"/>
      <c r="M87" s="227"/>
      <c r="N87" s="236"/>
      <c r="O87" s="237"/>
      <c r="P87" s="230"/>
      <c r="Q87" s="238"/>
      <c r="R87" s="242"/>
      <c r="S87" s="233"/>
      <c r="T87" s="224"/>
    </row>
    <row r="88" spans="1:21">
      <c r="A88" s="890"/>
      <c r="B88" s="872"/>
      <c r="C88" s="48" t="s">
        <v>263</v>
      </c>
      <c r="D88" s="49">
        <v>92.44</v>
      </c>
      <c r="E88" s="41">
        <v>7.4969000000000001</v>
      </c>
      <c r="F88" s="41">
        <f t="shared" si="15"/>
        <v>7.4969000000000001</v>
      </c>
      <c r="G88" s="50">
        <f>ROUND(D88*E88,2)</f>
        <v>693.01</v>
      </c>
      <c r="H88" s="241"/>
      <c r="I88" s="194"/>
      <c r="J88" s="243"/>
      <c r="K88" s="195"/>
      <c r="L88" s="196"/>
      <c r="M88" s="227"/>
      <c r="N88" s="236"/>
      <c r="O88" s="237"/>
      <c r="P88" s="230"/>
      <c r="Q88" s="238"/>
      <c r="R88" s="242"/>
      <c r="S88" s="233"/>
      <c r="T88" s="224"/>
      <c r="U88" s="33"/>
    </row>
    <row r="89" spans="1:21" ht="15.75" thickBot="1">
      <c r="A89" s="891"/>
      <c r="B89" s="887"/>
      <c r="C89" s="54" t="s">
        <v>29</v>
      </c>
      <c r="D89" s="246">
        <v>8639.2999999999993</v>
      </c>
      <c r="E89" s="56">
        <v>7.4969000000000001</v>
      </c>
      <c r="F89" s="57">
        <f t="shared" si="15"/>
        <v>7.4969000000000001</v>
      </c>
      <c r="G89" s="247">
        <f>ROUND(D89*E89*70%+D89*F89*30%,2)</f>
        <v>64767.97</v>
      </c>
      <c r="H89" s="248"/>
      <c r="I89" s="203"/>
      <c r="J89" s="60"/>
      <c r="K89" s="61"/>
      <c r="L89" s="249"/>
      <c r="M89" s="250"/>
      <c r="N89" s="251"/>
      <c r="O89" s="252">
        <v>15777.9</v>
      </c>
      <c r="P89" s="253" t="s">
        <v>47</v>
      </c>
      <c r="Q89" s="254">
        <f>+G89+J89-M89-N89-O89</f>
        <v>48990.07</v>
      </c>
      <c r="R89" s="255" t="s">
        <v>54</v>
      </c>
      <c r="S89" s="256">
        <f>SUM(O82:O89)</f>
        <v>25488.190000000002</v>
      </c>
      <c r="T89" s="256">
        <f>SUM(Q82:Q89)</f>
        <v>-28554.019999999997</v>
      </c>
    </row>
    <row r="90" spans="1:21">
      <c r="A90" s="892">
        <v>315</v>
      </c>
      <c r="B90" s="183" t="s">
        <v>318</v>
      </c>
      <c r="C90" s="439" t="s">
        <v>260</v>
      </c>
      <c r="D90" s="296">
        <f>фев19!D91+фев19!D92</f>
        <v>23.85</v>
      </c>
      <c r="E90" s="41">
        <f>7.4969-7.2025</f>
        <v>0.29440000000000044</v>
      </c>
      <c r="F90" s="41">
        <f t="shared" si="15"/>
        <v>0.29440000000000044</v>
      </c>
      <c r="G90" s="235">
        <f>ROUND(D90*E90,2)-0.01</f>
        <v>7.01</v>
      </c>
      <c r="H90" s="270"/>
      <c r="I90" s="41"/>
      <c r="J90" s="41"/>
      <c r="K90" s="271"/>
      <c r="L90" s="294">
        <f>SUM(G90:G92)</f>
        <v>1870.97</v>
      </c>
      <c r="M90" s="227">
        <v>1870.97</v>
      </c>
      <c r="N90" s="274"/>
      <c r="O90" s="237"/>
      <c r="P90" s="275"/>
      <c r="Q90" s="237"/>
      <c r="R90" s="242"/>
      <c r="S90" s="266"/>
      <c r="T90" s="266"/>
    </row>
    <row r="91" spans="1:21" ht="15.75">
      <c r="A91" s="896"/>
      <c r="B91" s="192"/>
      <c r="C91" s="48" t="s">
        <v>263</v>
      </c>
      <c r="D91" s="269">
        <v>2.63</v>
      </c>
      <c r="E91" s="41">
        <v>7.4969000000000001</v>
      </c>
      <c r="F91" s="41">
        <f t="shared" si="15"/>
        <v>7.4969000000000001</v>
      </c>
      <c r="G91" s="235">
        <f t="shared" ref="G91:G92" si="16">ROUND(D91*E91,2)</f>
        <v>19.72</v>
      </c>
      <c r="H91" s="270"/>
      <c r="I91" s="41"/>
      <c r="J91" s="41"/>
      <c r="K91" s="271"/>
      <c r="L91" s="272"/>
      <c r="M91" s="273"/>
      <c r="N91" s="274"/>
      <c r="O91" s="237"/>
      <c r="P91" s="275"/>
      <c r="Q91" s="237"/>
      <c r="R91" s="242"/>
      <c r="S91" s="266"/>
      <c r="T91" s="266"/>
    </row>
    <row r="92" spans="1:21" ht="16.5" thickBot="1">
      <c r="A92" s="891"/>
      <c r="B92" s="202"/>
      <c r="C92" s="54" t="s">
        <v>29</v>
      </c>
      <c r="D92" s="279">
        <v>246</v>
      </c>
      <c r="E92" s="56">
        <v>7.4969000000000001</v>
      </c>
      <c r="F92" s="57">
        <f t="shared" si="15"/>
        <v>7.4969000000000001</v>
      </c>
      <c r="G92" s="247">
        <f t="shared" si="16"/>
        <v>1844.24</v>
      </c>
      <c r="H92" s="280"/>
      <c r="I92" s="281"/>
      <c r="J92" s="281"/>
      <c r="K92" s="282"/>
      <c r="L92" s="204"/>
      <c r="M92" s="250"/>
      <c r="N92" s="283"/>
      <c r="O92" s="252"/>
      <c r="P92" s="284"/>
      <c r="Q92" s="252"/>
      <c r="R92" s="242"/>
      <c r="S92" s="266"/>
      <c r="T92" s="266"/>
    </row>
    <row r="93" spans="1:21">
      <c r="A93" s="892">
        <v>402</v>
      </c>
      <c r="B93" s="183" t="s">
        <v>178</v>
      </c>
      <c r="C93" s="439" t="s">
        <v>260</v>
      </c>
      <c r="D93" s="296">
        <f>фев19!D94+фев19!D95</f>
        <v>160.69999999999999</v>
      </c>
      <c r="E93" s="41">
        <f>7.4969-7.2025</f>
        <v>0.29440000000000044</v>
      </c>
      <c r="F93" s="41">
        <f t="shared" si="15"/>
        <v>0.29440000000000044</v>
      </c>
      <c r="G93" s="235">
        <f>ROUND(D93*E93,2)-0.01</f>
        <v>47.300000000000004</v>
      </c>
      <c r="H93" s="270"/>
      <c r="I93" s="41"/>
      <c r="J93" s="41"/>
      <c r="K93" s="271"/>
      <c r="L93" s="294">
        <f>SUM(G93:G95)</f>
        <v>1180.0899999999999</v>
      </c>
      <c r="M93" s="227">
        <v>1180.0899999999999</v>
      </c>
      <c r="N93" s="274"/>
      <c r="O93" s="237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1.6</v>
      </c>
      <c r="E94" s="41">
        <v>7.4969000000000001</v>
      </c>
      <c r="F94" s="41">
        <f t="shared" si="15"/>
        <v>7.4969000000000001</v>
      </c>
      <c r="G94" s="235">
        <f t="shared" ref="G94:G107" si="17">ROUND(D94*E94,2)</f>
        <v>12</v>
      </c>
      <c r="H94" s="270"/>
      <c r="I94" s="41"/>
      <c r="J94" s="41"/>
      <c r="K94" s="271"/>
      <c r="L94" s="272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149.5</v>
      </c>
      <c r="E95" s="56">
        <v>7.4969000000000001</v>
      </c>
      <c r="F95" s="57">
        <f t="shared" si="15"/>
        <v>7.4969000000000001</v>
      </c>
      <c r="G95" s="247">
        <f t="shared" si="17"/>
        <v>1120.79</v>
      </c>
      <c r="H95" s="280"/>
      <c r="I95" s="281"/>
      <c r="J95" s="281"/>
      <c r="K95" s="282"/>
      <c r="L95" s="204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403</v>
      </c>
      <c r="B96" s="183" t="s">
        <v>290</v>
      </c>
      <c r="C96" s="439" t="s">
        <v>260</v>
      </c>
      <c r="D96" s="296">
        <v>38.71</v>
      </c>
      <c r="E96" s="41">
        <f>7.4969-7.2025</f>
        <v>0.29440000000000044</v>
      </c>
      <c r="F96" s="41">
        <f t="shared" si="15"/>
        <v>0.29440000000000044</v>
      </c>
      <c r="G96" s="235">
        <f>ROUND(D96*E96,2)</f>
        <v>11.4</v>
      </c>
      <c r="H96" s="270"/>
      <c r="I96" s="41"/>
      <c r="J96" s="41"/>
      <c r="K96" s="271"/>
      <c r="L96" s="294">
        <f>SUM(G96:G98)</f>
        <v>268.24</v>
      </c>
      <c r="M96" s="996">
        <v>268.24</v>
      </c>
      <c r="N96" s="997"/>
      <c r="O96" s="998"/>
      <c r="P96" s="275"/>
      <c r="Q96" s="237"/>
      <c r="R96" s="242"/>
      <c r="S96" s="266"/>
      <c r="T96" s="266"/>
    </row>
    <row r="97" spans="1:20" ht="15.75">
      <c r="A97" s="896"/>
      <c r="B97" s="192" t="s">
        <v>291</v>
      </c>
      <c r="C97" s="48" t="s">
        <v>263</v>
      </c>
      <c r="D97" s="269">
        <v>0.36</v>
      </c>
      <c r="E97" s="41">
        <v>7.4969000000000001</v>
      </c>
      <c r="F97" s="41">
        <f t="shared" si="15"/>
        <v>7.4969000000000001</v>
      </c>
      <c r="G97" s="235">
        <f>ROUND(D97*E97,2)</f>
        <v>2.7</v>
      </c>
      <c r="H97" s="270"/>
      <c r="I97" s="41"/>
      <c r="J97" s="41"/>
      <c r="K97" s="271"/>
      <c r="L97" s="272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202"/>
      <c r="C98" s="54" t="s">
        <v>29</v>
      </c>
      <c r="D98" s="279">
        <v>33.9</v>
      </c>
      <c r="E98" s="56">
        <v>7.4969000000000001</v>
      </c>
      <c r="F98" s="57">
        <f t="shared" si="15"/>
        <v>7.4969000000000001</v>
      </c>
      <c r="G98" s="247">
        <f t="shared" ref="G98" si="18">ROUND(D98*E98,2)</f>
        <v>254.14</v>
      </c>
      <c r="H98" s="280"/>
      <c r="I98" s="281"/>
      <c r="J98" s="281"/>
      <c r="K98" s="282"/>
      <c r="L98" s="204"/>
      <c r="M98" s="250"/>
      <c r="N98" s="283"/>
      <c r="O98" s="252"/>
      <c r="P98" s="284"/>
      <c r="Q98" s="252"/>
      <c r="R98" s="242"/>
      <c r="S98" s="266"/>
      <c r="T98" s="266"/>
    </row>
    <row r="99" spans="1:20">
      <c r="A99" s="892">
        <v>409</v>
      </c>
      <c r="B99" s="183" t="s">
        <v>218</v>
      </c>
      <c r="C99" s="439" t="s">
        <v>260</v>
      </c>
      <c r="D99" s="296">
        <f>фев19!D100+фев19!D101</f>
        <v>171.62</v>
      </c>
      <c r="E99" s="41">
        <f>7.4969-7.2025</f>
        <v>0.29440000000000044</v>
      </c>
      <c r="F99" s="41">
        <f t="shared" si="15"/>
        <v>0.29440000000000044</v>
      </c>
      <c r="G99" s="235">
        <f>ROUND(D99*E99,2)+0.01</f>
        <v>50.53</v>
      </c>
      <c r="H99" s="270"/>
      <c r="I99" s="41"/>
      <c r="J99" s="41"/>
      <c r="K99" s="271"/>
      <c r="L99" s="294">
        <f>SUM(G99:G101)</f>
        <v>1383.3200000000002</v>
      </c>
      <c r="M99" s="227">
        <v>1383.32</v>
      </c>
      <c r="N99" s="274"/>
      <c r="O99" s="237"/>
      <c r="P99" s="275"/>
      <c r="Q99" s="237"/>
      <c r="R99" s="242"/>
      <c r="S99" s="266"/>
      <c r="T99" s="266"/>
    </row>
    <row r="100" spans="1:20" ht="15.75">
      <c r="A100" s="896"/>
      <c r="B100" s="192"/>
      <c r="C100" s="48" t="s">
        <v>263</v>
      </c>
      <c r="D100" s="269">
        <v>1.88</v>
      </c>
      <c r="E100" s="41">
        <v>7.4969000000000001</v>
      </c>
      <c r="F100" s="41">
        <f t="shared" si="15"/>
        <v>7.4969000000000001</v>
      </c>
      <c r="G100" s="235">
        <f t="shared" si="17"/>
        <v>14.09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6.5" thickBot="1">
      <c r="A101" s="891"/>
      <c r="B101" s="887"/>
      <c r="C101" s="54" t="s">
        <v>29</v>
      </c>
      <c r="D101" s="279">
        <v>175.9</v>
      </c>
      <c r="E101" s="56">
        <v>7.4969000000000001</v>
      </c>
      <c r="F101" s="57">
        <f t="shared" si="15"/>
        <v>7.4969000000000001</v>
      </c>
      <c r="G101" s="247">
        <f t="shared" si="17"/>
        <v>1318.7</v>
      </c>
      <c r="H101" s="280"/>
      <c r="I101" s="281"/>
      <c r="J101" s="281"/>
      <c r="K101" s="2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0">
      <c r="A102" s="892">
        <v>410</v>
      </c>
      <c r="B102" s="183" t="s">
        <v>138</v>
      </c>
      <c r="C102" s="439" t="s">
        <v>260</v>
      </c>
      <c r="D102" s="296">
        <f>фев19!D103+фев19!D104</f>
        <v>239.43</v>
      </c>
      <c r="E102" s="41">
        <f>7.4969-7.2025</f>
        <v>0.29440000000000044</v>
      </c>
      <c r="F102" s="41">
        <f t="shared" si="15"/>
        <v>0.29440000000000044</v>
      </c>
      <c r="G102" s="235">
        <f>ROUND(D102*E102,2)-0.01</f>
        <v>70.47999999999999</v>
      </c>
      <c r="H102" s="270"/>
      <c r="I102" s="41"/>
      <c r="J102" s="41"/>
      <c r="K102" s="271"/>
      <c r="L102" s="294">
        <f>SUM(G102:G104)</f>
        <v>1939.76</v>
      </c>
      <c r="M102" s="227">
        <v>1939.76</v>
      </c>
      <c r="N102" s="274"/>
      <c r="O102" s="237"/>
      <c r="P102" s="275"/>
      <c r="Q102" s="237"/>
      <c r="R102" s="242"/>
      <c r="S102" s="266"/>
      <c r="T102" s="266"/>
    </row>
    <row r="103" spans="1:20" ht="15.75">
      <c r="A103" s="896"/>
      <c r="B103" s="192"/>
      <c r="C103" s="48" t="s">
        <v>263</v>
      </c>
      <c r="D103" s="269">
        <v>2.64</v>
      </c>
      <c r="E103" s="41">
        <v>7.4969000000000001</v>
      </c>
      <c r="F103" s="41">
        <f t="shared" si="15"/>
        <v>7.4969000000000001</v>
      </c>
      <c r="G103" s="235">
        <f t="shared" si="17"/>
        <v>19.79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0" ht="16.5" thickBot="1">
      <c r="A104" s="891"/>
      <c r="B104" s="887"/>
      <c r="C104" s="54" t="s">
        <v>29</v>
      </c>
      <c r="D104" s="279">
        <v>246.7</v>
      </c>
      <c r="E104" s="56">
        <v>7.4969000000000001</v>
      </c>
      <c r="F104" s="57">
        <f t="shared" si="15"/>
        <v>7.4969000000000001</v>
      </c>
      <c r="G104" s="247">
        <f t="shared" si="17"/>
        <v>1849.49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0" ht="15.75" hidden="1" thickBot="1">
      <c r="A105" s="892">
        <v>411</v>
      </c>
      <c r="B105" s="183" t="s">
        <v>229</v>
      </c>
      <c r="C105" s="439" t="s">
        <v>260</v>
      </c>
      <c r="D105" s="296"/>
      <c r="E105" s="41">
        <f>6.6439-6.7023</f>
        <v>-5.8399999999999785E-2</v>
      </c>
      <c r="F105" s="41">
        <f t="shared" si="15"/>
        <v>-5.8399999999999785E-2</v>
      </c>
      <c r="G105" s="235">
        <f t="shared" si="17"/>
        <v>0</v>
      </c>
      <c r="H105" s="270"/>
      <c r="I105" s="41"/>
      <c r="J105" s="41"/>
      <c r="K105" s="271"/>
      <c r="L105" s="294">
        <f>SUM(G105:G107)</f>
        <v>0</v>
      </c>
      <c r="M105" s="227"/>
      <c r="N105" s="274"/>
      <c r="O105" s="983" t="s">
        <v>271</v>
      </c>
      <c r="P105" s="275"/>
      <c r="Q105" s="237"/>
      <c r="R105" s="242"/>
      <c r="S105" s="266"/>
      <c r="T105" s="266"/>
    </row>
    <row r="106" spans="1:20" ht="16.5" hidden="1" thickBot="1">
      <c r="A106" s="896"/>
      <c r="B106" s="192"/>
      <c r="C106" s="48" t="s">
        <v>263</v>
      </c>
      <c r="D106" s="269"/>
      <c r="E106" s="41">
        <v>6.6439000000000004</v>
      </c>
      <c r="F106" s="41">
        <f t="shared" si="15"/>
        <v>6.6439000000000004</v>
      </c>
      <c r="G106" s="235">
        <f>ROUND(D106*E106,2)</f>
        <v>0</v>
      </c>
      <c r="H106" s="270"/>
      <c r="I106" s="41"/>
      <c r="J106" s="41"/>
      <c r="K106" s="271"/>
      <c r="L106" s="272"/>
      <c r="M106" s="273"/>
      <c r="N106" s="274"/>
      <c r="O106" s="237"/>
      <c r="P106" s="275"/>
      <c r="Q106" s="237"/>
      <c r="R106" s="242"/>
      <c r="S106" s="266"/>
      <c r="T106" s="266"/>
    </row>
    <row r="107" spans="1:20" ht="16.5" hidden="1" thickBot="1">
      <c r="A107" s="891"/>
      <c r="B107" s="887"/>
      <c r="C107" s="54" t="s">
        <v>29</v>
      </c>
      <c r="D107" s="279"/>
      <c r="E107" s="56">
        <v>6.6439000000000004</v>
      </c>
      <c r="F107" s="57">
        <f t="shared" si="15"/>
        <v>6.6439000000000004</v>
      </c>
      <c r="G107" s="247">
        <f t="shared" si="17"/>
        <v>0</v>
      </c>
      <c r="H107" s="280"/>
      <c r="I107" s="281"/>
      <c r="J107" s="281"/>
      <c r="K107" s="282"/>
      <c r="L107" s="204"/>
      <c r="M107" s="250"/>
      <c r="N107" s="283"/>
      <c r="O107" s="252"/>
      <c r="P107" s="284"/>
      <c r="Q107" s="252"/>
      <c r="R107" s="242"/>
      <c r="S107" s="266"/>
      <c r="T107" s="266"/>
    </row>
    <row r="108" spans="1:20" ht="16.5" collapsed="1" thickBot="1">
      <c r="A108" s="891">
        <v>412</v>
      </c>
      <c r="B108" s="887" t="s">
        <v>58</v>
      </c>
      <c r="C108" s="54" t="s">
        <v>59</v>
      </c>
      <c r="D108" s="822">
        <v>0.71299999999999997</v>
      </c>
      <c r="E108" s="21">
        <v>41.244</v>
      </c>
      <c r="F108" s="21">
        <v>48.335999999999999</v>
      </c>
      <c r="G108" s="214">
        <f>ROUND(D108*(E108+F108),2)</f>
        <v>63.87</v>
      </c>
      <c r="H108" s="213"/>
      <c r="I108" s="41"/>
      <c r="J108" s="215"/>
      <c r="K108" s="679"/>
      <c r="L108" s="294">
        <f>SUM(G108:G112)</f>
        <v>1754.06</v>
      </c>
      <c r="M108" s="227">
        <v>1754.06</v>
      </c>
      <c r="N108" s="264"/>
      <c r="O108" s="229"/>
      <c r="P108" s="265"/>
      <c r="Q108" s="229"/>
      <c r="R108" s="242"/>
      <c r="S108" s="266"/>
      <c r="T108" s="266"/>
    </row>
    <row r="109" spans="1:20" ht="15.75">
      <c r="A109" s="896"/>
      <c r="B109" s="885"/>
      <c r="C109" s="292" t="s">
        <v>264</v>
      </c>
      <c r="D109" s="269"/>
      <c r="E109" s="38"/>
      <c r="F109" s="38"/>
      <c r="G109" s="235">
        <f>ROUND(D109*(E109+F109),2)</f>
        <v>0</v>
      </c>
      <c r="H109" s="225"/>
      <c r="I109" s="41"/>
      <c r="J109" s="194"/>
      <c r="K109" s="295"/>
      <c r="L109" s="294"/>
      <c r="M109" s="227"/>
      <c r="N109" s="264"/>
      <c r="O109" s="229"/>
      <c r="P109" s="265"/>
      <c r="Q109" s="229"/>
      <c r="R109" s="242"/>
      <c r="S109" s="266"/>
      <c r="T109" s="266"/>
    </row>
    <row r="110" spans="1:20">
      <c r="A110" s="896"/>
      <c r="B110" s="885"/>
      <c r="C110" s="48" t="s">
        <v>260</v>
      </c>
      <c r="D110" s="296">
        <f>фев19!D111+фев19!D112</f>
        <v>210.12</v>
      </c>
      <c r="E110" s="41">
        <f>7.4969-7.2025</f>
        <v>0.29440000000000044</v>
      </c>
      <c r="F110" s="41">
        <f t="shared" ref="F110:F135" si="19">+E110</f>
        <v>0.29440000000000044</v>
      </c>
      <c r="G110" s="235">
        <f>ROUND(D110*E110,2)+0.01</f>
        <v>61.87</v>
      </c>
      <c r="H110" s="270"/>
      <c r="I110" s="41"/>
      <c r="J110" s="41"/>
      <c r="K110" s="271"/>
      <c r="L110" s="272"/>
      <c r="M110" s="273"/>
      <c r="N110" s="274"/>
      <c r="O110" s="237"/>
      <c r="P110" s="275"/>
      <c r="Q110" s="237"/>
      <c r="R110" s="242"/>
      <c r="S110" s="266"/>
      <c r="T110" s="266"/>
    </row>
    <row r="111" spans="1:20" ht="15.75">
      <c r="A111" s="896"/>
      <c r="B111" s="885"/>
      <c r="C111" s="48" t="s">
        <v>263</v>
      </c>
      <c r="D111" s="269">
        <v>2.2999999999999998</v>
      </c>
      <c r="E111" s="41">
        <v>7.4969000000000001</v>
      </c>
      <c r="F111" s="41">
        <f t="shared" si="19"/>
        <v>7.4969000000000001</v>
      </c>
      <c r="G111" s="235">
        <f t="shared" ref="G111:G112" si="20">ROUND(D111*E111,2)</f>
        <v>17.239999999999998</v>
      </c>
      <c r="H111" s="270"/>
      <c r="I111" s="41"/>
      <c r="J111" s="41"/>
      <c r="K111" s="271"/>
      <c r="L111" s="272"/>
      <c r="M111" s="273"/>
      <c r="N111" s="274"/>
      <c r="O111" s="237"/>
      <c r="P111" s="275"/>
      <c r="Q111" s="237"/>
      <c r="R111" s="242"/>
      <c r="S111" s="266"/>
      <c r="T111" s="266"/>
    </row>
    <row r="112" spans="1:20" ht="16.5" thickBot="1">
      <c r="A112" s="891"/>
      <c r="B112" s="887"/>
      <c r="C112" s="54" t="s">
        <v>29</v>
      </c>
      <c r="D112" s="279">
        <v>214.9</v>
      </c>
      <c r="E112" s="56">
        <v>7.4969000000000001</v>
      </c>
      <c r="F112" s="57">
        <f t="shared" si="19"/>
        <v>7.4969000000000001</v>
      </c>
      <c r="G112" s="247">
        <f t="shared" si="20"/>
        <v>1611.08</v>
      </c>
      <c r="H112" s="280"/>
      <c r="I112" s="281"/>
      <c r="J112" s="281"/>
      <c r="K112" s="282"/>
      <c r="L112" s="204"/>
      <c r="M112" s="250"/>
      <c r="N112" s="283"/>
      <c r="O112" s="252"/>
      <c r="P112" s="284"/>
      <c r="Q112" s="252"/>
      <c r="R112" s="242"/>
      <c r="S112" s="266"/>
      <c r="T112" s="266"/>
    </row>
    <row r="113" spans="1:20" ht="15" customHeight="1">
      <c r="A113" s="892">
        <v>413</v>
      </c>
      <c r="B113" s="883" t="s">
        <v>56</v>
      </c>
      <c r="C113" s="439" t="s">
        <v>260</v>
      </c>
      <c r="D113" s="894">
        <f>фев19!D114+фев19!D115</f>
        <v>301.69</v>
      </c>
      <c r="E113" s="41">
        <f>7.4969-7.2025</f>
        <v>0.29440000000000044</v>
      </c>
      <c r="F113" s="41">
        <f t="shared" si="19"/>
        <v>0.29440000000000044</v>
      </c>
      <c r="G113" s="214">
        <f>ROUND(D113*E113,2)</f>
        <v>88.82</v>
      </c>
      <c r="H113" s="260"/>
      <c r="I113" s="261"/>
      <c r="J113" s="261"/>
      <c r="K113" s="262"/>
      <c r="L113" s="286">
        <f>SUM(G113:G115)</f>
        <v>2224.09</v>
      </c>
      <c r="M113" s="227">
        <v>2224.09</v>
      </c>
      <c r="N113" s="264"/>
      <c r="O113" s="229"/>
      <c r="P113" s="265"/>
      <c r="Q113" s="229"/>
      <c r="R113" s="287"/>
      <c r="S113" s="288"/>
      <c r="T113" s="288"/>
    </row>
    <row r="114" spans="1:20" ht="15.75">
      <c r="A114" s="893"/>
      <c r="B114" s="885"/>
      <c r="C114" s="48" t="s">
        <v>263</v>
      </c>
      <c r="D114" s="895">
        <v>3.02</v>
      </c>
      <c r="E114" s="41">
        <v>7.4969000000000001</v>
      </c>
      <c r="F114" s="41">
        <f t="shared" si="19"/>
        <v>7.4969000000000001</v>
      </c>
      <c r="G114" s="235">
        <f t="shared" ref="G114:G118" si="21">ROUND(D114*E114,2)</f>
        <v>22.64</v>
      </c>
      <c r="H114" s="270"/>
      <c r="I114" s="41"/>
      <c r="J114" s="41"/>
      <c r="K114" s="271"/>
      <c r="L114" s="272"/>
      <c r="M114" s="273"/>
      <c r="N114" s="274"/>
      <c r="O114" s="237"/>
      <c r="P114" s="275"/>
      <c r="Q114" s="237"/>
      <c r="R114" s="287"/>
      <c r="S114" s="288"/>
      <c r="T114" s="288"/>
    </row>
    <row r="115" spans="1:20" ht="16.5" thickBot="1">
      <c r="A115" s="891"/>
      <c r="B115" s="887"/>
      <c r="C115" s="54" t="s">
        <v>29</v>
      </c>
      <c r="D115" s="279">
        <v>281.8</v>
      </c>
      <c r="E115" s="56">
        <v>7.4969000000000001</v>
      </c>
      <c r="F115" s="57">
        <f t="shared" si="19"/>
        <v>7.4969000000000001</v>
      </c>
      <c r="G115" s="247">
        <f t="shared" si="21"/>
        <v>2112.63</v>
      </c>
      <c r="H115" s="280"/>
      <c r="I115" s="281"/>
      <c r="J115" s="281"/>
      <c r="K115" s="682"/>
      <c r="L115" s="204"/>
      <c r="M115" s="250"/>
      <c r="N115" s="283"/>
      <c r="O115" s="252"/>
      <c r="P115" s="284"/>
      <c r="Q115" s="252"/>
      <c r="R115" s="287"/>
      <c r="S115" s="288"/>
      <c r="T115" s="288"/>
    </row>
    <row r="116" spans="1:20">
      <c r="A116" s="892">
        <v>414</v>
      </c>
      <c r="B116" s="183" t="s">
        <v>179</v>
      </c>
      <c r="C116" s="439" t="s">
        <v>260</v>
      </c>
      <c r="D116" s="296">
        <f>фев19!D117+фев19!D118</f>
        <v>56.300000000000004</v>
      </c>
      <c r="E116" s="41">
        <f>7.4969-7.2025</f>
        <v>0.29440000000000044</v>
      </c>
      <c r="F116" s="41">
        <f t="shared" si="19"/>
        <v>0.29440000000000044</v>
      </c>
      <c r="G116" s="235">
        <f>ROUND(D116*E116,2)+0.01</f>
        <v>16.580000000000002</v>
      </c>
      <c r="H116" s="270"/>
      <c r="I116" s="41"/>
      <c r="J116" s="41"/>
      <c r="K116" s="271"/>
      <c r="L116" s="294">
        <f>SUM(G116:G118)</f>
        <v>422.68</v>
      </c>
      <c r="M116" s="227">
        <v>422.68</v>
      </c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192"/>
      <c r="C117" s="48" t="s">
        <v>263</v>
      </c>
      <c r="D117" s="269">
        <v>0.56999999999999995</v>
      </c>
      <c r="E117" s="41">
        <v>7.4969000000000001</v>
      </c>
      <c r="F117" s="41">
        <f t="shared" si="19"/>
        <v>7.4969000000000001</v>
      </c>
      <c r="G117" s="235">
        <f t="shared" si="21"/>
        <v>4.2699999999999996</v>
      </c>
      <c r="H117" s="270"/>
      <c r="I117" s="41"/>
      <c r="J117" s="41"/>
      <c r="K117" s="271"/>
      <c r="L117" s="272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99" t="s">
        <v>29</v>
      </c>
      <c r="D118" s="279">
        <v>53.6</v>
      </c>
      <c r="E118" s="56">
        <v>7.4969000000000001</v>
      </c>
      <c r="F118" s="57">
        <f t="shared" si="19"/>
        <v>7.4969000000000001</v>
      </c>
      <c r="G118" s="247">
        <f t="shared" si="21"/>
        <v>401.83</v>
      </c>
      <c r="H118" s="280"/>
      <c r="I118" s="281"/>
      <c r="J118" s="281"/>
      <c r="K118" s="282"/>
      <c r="L118" s="204"/>
      <c r="M118" s="250"/>
      <c r="N118" s="283"/>
      <c r="O118" s="252"/>
      <c r="P118" s="284"/>
      <c r="Q118" s="252"/>
      <c r="R118" s="242"/>
      <c r="S118" s="266"/>
      <c r="T118" s="266"/>
    </row>
    <row r="119" spans="1:20" collapsed="1">
      <c r="A119" s="892">
        <v>415</v>
      </c>
      <c r="B119" s="183" t="s">
        <v>166</v>
      </c>
      <c r="C119" s="439" t="s">
        <v>260</v>
      </c>
      <c r="D119" s="296">
        <f>фев19!D120+фев19!D121</f>
        <v>218.41</v>
      </c>
      <c r="E119" s="41">
        <f>7.4969-7.2025</f>
        <v>0.29440000000000044</v>
      </c>
      <c r="F119" s="41">
        <f t="shared" si="19"/>
        <v>0.29440000000000044</v>
      </c>
      <c r="G119" s="235">
        <f>ROUND(D119*E119,2)-0.01</f>
        <v>64.289999999999992</v>
      </c>
      <c r="H119" s="270"/>
      <c r="I119" s="41"/>
      <c r="J119" s="41"/>
      <c r="K119" s="271"/>
      <c r="L119" s="294">
        <f>SUM(G119:G121)</f>
        <v>1616.08</v>
      </c>
      <c r="M119" s="227">
        <v>1616.08</v>
      </c>
      <c r="N119" s="274"/>
      <c r="O119" s="237"/>
      <c r="P119" s="275"/>
      <c r="Q119" s="237"/>
      <c r="R119" s="242"/>
      <c r="S119" s="266"/>
      <c r="T119" s="266"/>
    </row>
    <row r="120" spans="1:20" ht="15.75">
      <c r="A120" s="896"/>
      <c r="B120" s="192"/>
      <c r="C120" s="48" t="s">
        <v>263</v>
      </c>
      <c r="D120" s="269">
        <v>2.19</v>
      </c>
      <c r="E120" s="41">
        <v>7.4969000000000001</v>
      </c>
      <c r="F120" s="41">
        <f t="shared" si="19"/>
        <v>7.4969000000000001</v>
      </c>
      <c r="G120" s="235">
        <f t="shared" ref="G120:G121" si="22">ROUND(D120*E120,2)</f>
        <v>16.420000000000002</v>
      </c>
      <c r="H120" s="270"/>
      <c r="I120" s="41"/>
      <c r="J120" s="41"/>
      <c r="K120" s="271"/>
      <c r="L120" s="272"/>
      <c r="M120" s="273"/>
      <c r="N120" s="274"/>
      <c r="O120" s="237"/>
      <c r="P120" s="275"/>
      <c r="Q120" s="237"/>
      <c r="R120" s="242"/>
      <c r="S120" s="266"/>
      <c r="T120" s="266"/>
    </row>
    <row r="121" spans="1:20" ht="16.5" thickBot="1">
      <c r="A121" s="891"/>
      <c r="B121" s="887"/>
      <c r="C121" s="54" t="s">
        <v>29</v>
      </c>
      <c r="D121" s="279">
        <v>204.8</v>
      </c>
      <c r="E121" s="56">
        <v>7.4969000000000001</v>
      </c>
      <c r="F121" s="57">
        <f t="shared" si="19"/>
        <v>7.4969000000000001</v>
      </c>
      <c r="G121" s="247">
        <f t="shared" si="22"/>
        <v>1535.37</v>
      </c>
      <c r="H121" s="280"/>
      <c r="I121" s="281"/>
      <c r="J121" s="281"/>
      <c r="K121" s="282"/>
      <c r="L121" s="204"/>
      <c r="M121" s="250"/>
      <c r="N121" s="283"/>
      <c r="O121" s="252"/>
      <c r="P121" s="284"/>
      <c r="Q121" s="252"/>
      <c r="R121" s="242"/>
      <c r="S121" s="266"/>
      <c r="T121" s="266"/>
    </row>
    <row r="122" spans="1:20" ht="15.75" hidden="1" thickBot="1">
      <c r="A122" s="892">
        <v>416</v>
      </c>
      <c r="B122" s="183" t="s">
        <v>173</v>
      </c>
      <c r="C122" s="439" t="s">
        <v>260</v>
      </c>
      <c r="D122" s="296"/>
      <c r="E122" s="41">
        <f>6.7023-6.509</f>
        <v>0.19329999999999981</v>
      </c>
      <c r="F122" s="41">
        <f t="shared" si="19"/>
        <v>0.19329999999999981</v>
      </c>
      <c r="G122" s="235">
        <f>ROUND(D122*E122,2)+0.01</f>
        <v>0.01</v>
      </c>
      <c r="H122" s="270"/>
      <c r="I122" s="41"/>
      <c r="J122" s="41"/>
      <c r="K122" s="271"/>
      <c r="L122" s="294">
        <f>SUM(G122:G124)</f>
        <v>0.01</v>
      </c>
      <c r="M122" s="227"/>
      <c r="N122" s="274"/>
      <c r="O122" s="237"/>
      <c r="P122" s="275"/>
      <c r="Q122" s="237"/>
      <c r="R122" s="242"/>
      <c r="S122" s="266"/>
      <c r="T122" s="266"/>
    </row>
    <row r="123" spans="1:20" ht="16.5" hidden="1" thickBot="1">
      <c r="A123" s="896"/>
      <c r="B123" s="192"/>
      <c r="C123" s="48" t="s">
        <v>263</v>
      </c>
      <c r="D123" s="269"/>
      <c r="E123" s="41">
        <v>6.7023000000000001</v>
      </c>
      <c r="F123" s="41">
        <f t="shared" si="19"/>
        <v>6.7023000000000001</v>
      </c>
      <c r="G123" s="235">
        <f>ROUND(D123*E123,2)</f>
        <v>0</v>
      </c>
      <c r="H123" s="270"/>
      <c r="I123" s="41"/>
      <c r="J123" s="41"/>
      <c r="K123" s="271"/>
      <c r="L123" s="272"/>
      <c r="M123" s="273"/>
      <c r="N123" s="274"/>
      <c r="O123" s="237"/>
      <c r="P123" s="275"/>
      <c r="Q123" s="237"/>
      <c r="R123" s="242"/>
      <c r="S123" s="266"/>
      <c r="T123" s="266"/>
    </row>
    <row r="124" spans="1:20" ht="16.5" hidden="1" thickBot="1">
      <c r="A124" s="891"/>
      <c r="B124" s="887"/>
      <c r="C124" s="54" t="s">
        <v>29</v>
      </c>
      <c r="D124" s="279"/>
      <c r="E124" s="56">
        <v>6.7023000000000001</v>
      </c>
      <c r="F124" s="57">
        <f t="shared" si="19"/>
        <v>6.7023000000000001</v>
      </c>
      <c r="G124" s="247">
        <f>ROUND(D124*E124,2)</f>
        <v>0</v>
      </c>
      <c r="H124" s="280"/>
      <c r="I124" s="281"/>
      <c r="J124" s="281"/>
      <c r="K124" s="282"/>
      <c r="L124" s="204"/>
      <c r="M124" s="250"/>
      <c r="N124" s="283"/>
      <c r="O124" s="252"/>
      <c r="P124" s="284"/>
      <c r="Q124" s="252"/>
      <c r="R124" s="242"/>
      <c r="S124" s="266"/>
      <c r="T124" s="266"/>
    </row>
    <row r="125" spans="1:20">
      <c r="A125" s="892">
        <v>416</v>
      </c>
      <c r="B125" s="183" t="s">
        <v>295</v>
      </c>
      <c r="C125" s="439" t="s">
        <v>260</v>
      </c>
      <c r="D125" s="296">
        <f>фев19!D126+фев19!D127</f>
        <v>103.6</v>
      </c>
      <c r="E125" s="41">
        <f>7.4969-7.2025</f>
        <v>0.29440000000000044</v>
      </c>
      <c r="F125" s="41">
        <f t="shared" si="19"/>
        <v>0.29440000000000044</v>
      </c>
      <c r="G125" s="235">
        <f>ROUND(D125*E125,2)+0.01</f>
        <v>30.51</v>
      </c>
      <c r="H125" s="270"/>
      <c r="I125" s="41"/>
      <c r="J125" s="41"/>
      <c r="K125" s="271"/>
      <c r="L125" s="294">
        <f>SUM(G125:G127)</f>
        <v>827.65</v>
      </c>
      <c r="M125" s="227">
        <v>827.65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1.1299999999999999</v>
      </c>
      <c r="E126" s="41">
        <v>7.4969000000000001</v>
      </c>
      <c r="F126" s="41">
        <f t="shared" si="19"/>
        <v>7.4969000000000001</v>
      </c>
      <c r="G126" s="235">
        <f t="shared" ref="G126:G127" si="23">ROUND(D126*E126,2)</f>
        <v>8.4700000000000006</v>
      </c>
      <c r="H126" s="270"/>
      <c r="I126" s="41"/>
      <c r="J126" s="41"/>
      <c r="K126" s="271"/>
      <c r="L126" s="272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202"/>
      <c r="C127" s="54" t="s">
        <v>29</v>
      </c>
      <c r="D127" s="279">
        <v>105.2</v>
      </c>
      <c r="E127" s="56">
        <v>7.4969000000000001</v>
      </c>
      <c r="F127" s="57">
        <f t="shared" si="19"/>
        <v>7.4969000000000001</v>
      </c>
      <c r="G127" s="247">
        <f t="shared" si="23"/>
        <v>788.67</v>
      </c>
      <c r="H127" s="280"/>
      <c r="I127" s="281"/>
      <c r="J127" s="281"/>
      <c r="K127" s="282"/>
      <c r="L127" s="204"/>
      <c r="M127" s="250"/>
      <c r="N127" s="283"/>
      <c r="O127" s="252"/>
      <c r="P127" s="284"/>
      <c r="Q127" s="252"/>
      <c r="R127" s="242"/>
      <c r="S127" s="266"/>
      <c r="T127" s="266"/>
    </row>
    <row r="128" spans="1:20">
      <c r="A128" s="892">
        <v>417</v>
      </c>
      <c r="B128" s="183" t="s">
        <v>174</v>
      </c>
      <c r="C128" s="439" t="s">
        <v>260</v>
      </c>
      <c r="D128" s="296">
        <f>фев19!D129+фев19!D130</f>
        <v>215.28</v>
      </c>
      <c r="E128" s="41">
        <f>7.4969-7.2025</f>
        <v>0.29440000000000044</v>
      </c>
      <c r="F128" s="41">
        <f t="shared" si="19"/>
        <v>0.29440000000000044</v>
      </c>
      <c r="G128" s="235">
        <f>ROUND(D128*E128,2)</f>
        <v>63.38</v>
      </c>
      <c r="H128" s="270"/>
      <c r="I128" s="41"/>
      <c r="J128" s="41"/>
      <c r="K128" s="271"/>
      <c r="L128" s="294">
        <f>SUM(G128:G130)</f>
        <v>1121.1199999999999</v>
      </c>
      <c r="M128" s="227">
        <v>1121.1199999999999</v>
      </c>
      <c r="N128" s="274"/>
      <c r="O128" s="237"/>
      <c r="P128" s="275"/>
      <c r="Q128" s="237"/>
      <c r="R128" s="242"/>
      <c r="S128" s="266"/>
      <c r="T128" s="266"/>
    </row>
    <row r="129" spans="1:20" ht="15.75">
      <c r="A129" s="896"/>
      <c r="B129" s="192"/>
      <c r="C129" s="48" t="s">
        <v>263</v>
      </c>
      <c r="D129" s="269">
        <v>1.49</v>
      </c>
      <c r="E129" s="41">
        <v>7.4969000000000001</v>
      </c>
      <c r="F129" s="41">
        <f t="shared" si="19"/>
        <v>7.4969000000000001</v>
      </c>
      <c r="G129" s="235">
        <f t="shared" ref="G129:G130" si="24">ROUND(D129*E129,2)</f>
        <v>11.17</v>
      </c>
      <c r="H129" s="270"/>
      <c r="I129" s="41"/>
      <c r="J129" s="41"/>
      <c r="K129" s="271"/>
      <c r="L129" s="272"/>
      <c r="M129" s="273"/>
      <c r="N129" s="274"/>
      <c r="O129" s="237"/>
      <c r="P129" s="275"/>
      <c r="Q129" s="237"/>
      <c r="R129" s="242"/>
      <c r="S129" s="266"/>
      <c r="T129" s="266"/>
    </row>
    <row r="130" spans="1:20" ht="16.5" thickBot="1">
      <c r="A130" s="891"/>
      <c r="B130" s="202"/>
      <c r="C130" s="54" t="s">
        <v>29</v>
      </c>
      <c r="D130" s="279">
        <v>139.6</v>
      </c>
      <c r="E130" s="56">
        <v>7.4969000000000001</v>
      </c>
      <c r="F130" s="57">
        <f t="shared" si="19"/>
        <v>7.4969000000000001</v>
      </c>
      <c r="G130" s="247">
        <f t="shared" si="24"/>
        <v>1046.57</v>
      </c>
      <c r="H130" s="280"/>
      <c r="I130" s="281"/>
      <c r="J130" s="281"/>
      <c r="K130" s="282"/>
      <c r="L130" s="204"/>
      <c r="M130" s="250"/>
      <c r="N130" s="283"/>
      <c r="O130" s="252"/>
      <c r="P130" s="284"/>
      <c r="Q130" s="252"/>
      <c r="R130" s="242"/>
      <c r="S130" s="266"/>
      <c r="T130" s="266"/>
    </row>
    <row r="131" spans="1:20" ht="15.75" thickBot="1">
      <c r="A131" s="892">
        <v>420</v>
      </c>
      <c r="B131" s="183" t="s">
        <v>306</v>
      </c>
      <c r="C131" s="439" t="s">
        <v>243</v>
      </c>
      <c r="D131" s="1008">
        <v>0.33600000000000002</v>
      </c>
      <c r="E131" s="23">
        <v>41.244</v>
      </c>
      <c r="F131" s="23">
        <v>48.335999999999999</v>
      </c>
      <c r="G131" s="214">
        <f>ROUND(D131*(E131+F131),2)</f>
        <v>30.1</v>
      </c>
      <c r="H131" s="1001"/>
      <c r="I131" s="23"/>
      <c r="J131" s="23"/>
      <c r="K131" s="304"/>
      <c r="L131" s="343">
        <f>SUM(G131:G135)+J131:J135</f>
        <v>2118.0300000000002</v>
      </c>
      <c r="M131" s="187">
        <v>2118.0300000000002</v>
      </c>
      <c r="N131" s="274"/>
      <c r="O131" s="237"/>
      <c r="P131" s="275"/>
      <c r="Q131" s="237"/>
      <c r="R131" s="242"/>
      <c r="S131" s="266"/>
      <c r="T131" s="266"/>
    </row>
    <row r="132" spans="1:20" ht="15.75" thickBot="1">
      <c r="A132" s="892"/>
      <c r="B132" s="183"/>
      <c r="C132" s="48" t="s">
        <v>260</v>
      </c>
      <c r="D132" s="1009"/>
      <c r="E132" s="41"/>
      <c r="F132" s="41"/>
      <c r="G132" s="235">
        <f>ROUND(D132*(E132+F132),2)</f>
        <v>0</v>
      </c>
      <c r="H132" s="1002"/>
      <c r="I132" s="281"/>
      <c r="J132" s="281"/>
      <c r="K132" s="282"/>
      <c r="L132" s="988"/>
      <c r="M132" s="989"/>
      <c r="N132" s="274"/>
      <c r="O132" s="237"/>
      <c r="P132" s="275"/>
      <c r="Q132" s="237"/>
      <c r="R132" s="242"/>
      <c r="S132" s="266"/>
      <c r="T132" s="266"/>
    </row>
    <row r="133" spans="1:20">
      <c r="A133" s="896"/>
      <c r="B133" s="192"/>
      <c r="C133" s="439" t="s">
        <v>260</v>
      </c>
      <c r="D133" s="296">
        <f>фев19!D134+фев19!D135</f>
        <v>215.08</v>
      </c>
      <c r="E133" s="41">
        <f>7.4969-7.2025</f>
        <v>0.29440000000000044</v>
      </c>
      <c r="F133" s="41">
        <f t="shared" si="19"/>
        <v>0.29440000000000044</v>
      </c>
      <c r="G133" s="235">
        <f>ROUND(D133*E133,2)</f>
        <v>63.32</v>
      </c>
      <c r="H133" s="270"/>
      <c r="I133" s="41"/>
      <c r="J133" s="41"/>
      <c r="K133" s="271"/>
      <c r="L133" s="294"/>
      <c r="M133" s="227"/>
      <c r="N133" s="274"/>
      <c r="O133" s="237"/>
      <c r="P133" s="275"/>
      <c r="Q133" s="237"/>
      <c r="R133" s="242"/>
      <c r="S133" s="266"/>
      <c r="T133" s="266"/>
    </row>
    <row r="134" spans="1:20" ht="15.75">
      <c r="A134" s="896"/>
      <c r="B134" s="192"/>
      <c r="C134" s="48" t="s">
        <v>263</v>
      </c>
      <c r="D134" s="269">
        <v>2.86</v>
      </c>
      <c r="E134" s="41">
        <v>7.4969000000000001</v>
      </c>
      <c r="F134" s="41">
        <f t="shared" si="19"/>
        <v>7.4969000000000001</v>
      </c>
      <c r="G134" s="235">
        <f>ROUND(D134*E134,2)</f>
        <v>21.44</v>
      </c>
      <c r="H134" s="270"/>
      <c r="I134" s="41"/>
      <c r="J134" s="41"/>
      <c r="K134" s="271"/>
      <c r="L134" s="272"/>
      <c r="M134" s="273"/>
      <c r="N134" s="274"/>
      <c r="O134" s="237"/>
      <c r="P134" s="275"/>
      <c r="Q134" s="237"/>
      <c r="R134" s="242"/>
      <c r="S134" s="266"/>
      <c r="T134" s="266"/>
    </row>
    <row r="135" spans="1:20" ht="16.5" thickBot="1">
      <c r="A135" s="891"/>
      <c r="B135" s="202"/>
      <c r="C135" s="54" t="s">
        <v>29</v>
      </c>
      <c r="D135" s="279">
        <v>267.2</v>
      </c>
      <c r="E135" s="56">
        <v>7.4969000000000001</v>
      </c>
      <c r="F135" s="57">
        <f t="shared" si="19"/>
        <v>7.4969000000000001</v>
      </c>
      <c r="G135" s="247">
        <f t="shared" ref="G135" si="25">ROUND(D135*E135,2)</f>
        <v>2003.17</v>
      </c>
      <c r="H135" s="280"/>
      <c r="I135" s="281"/>
      <c r="J135" s="281"/>
      <c r="K135" s="282"/>
      <c r="L135" s="204"/>
      <c r="M135" s="250"/>
      <c r="N135" s="283"/>
      <c r="O135" s="252"/>
      <c r="P135" s="284"/>
      <c r="Q135" s="252"/>
      <c r="R135" s="242"/>
      <c r="S135" s="266"/>
      <c r="T135" s="266"/>
    </row>
    <row r="136" spans="1:20" ht="15.75">
      <c r="A136" s="892">
        <v>500</v>
      </c>
      <c r="B136" s="883" t="s">
        <v>55</v>
      </c>
      <c r="C136" s="439" t="s">
        <v>260</v>
      </c>
      <c r="D136" s="259">
        <f>фев19!D137+фев19!D138</f>
        <v>2485.31</v>
      </c>
      <c r="E136" s="41">
        <f>7.4969-7.2025</f>
        <v>0.29440000000000044</v>
      </c>
      <c r="F136" s="41">
        <f t="shared" si="15"/>
        <v>0.29440000000000044</v>
      </c>
      <c r="G136" s="214">
        <f>ROUND(D136*E136,2)-0.01</f>
        <v>731.67</v>
      </c>
      <c r="H136" s="260"/>
      <c r="I136" s="261"/>
      <c r="J136" s="261"/>
      <c r="K136" s="262"/>
      <c r="L136" s="263">
        <f>SUM(G136:G138)</f>
        <v>21849.09</v>
      </c>
      <c r="M136" s="187">
        <v>21849.09</v>
      </c>
      <c r="N136" s="264"/>
      <c r="O136" s="229"/>
      <c r="P136" s="265"/>
      <c r="Q136" s="229"/>
      <c r="R136" s="242"/>
      <c r="S136" s="266"/>
      <c r="T136" s="266"/>
    </row>
    <row r="137" spans="1:20" ht="15.75">
      <c r="A137" s="893" t="s">
        <v>197</v>
      </c>
      <c r="B137" s="885"/>
      <c r="C137" s="48" t="s">
        <v>263</v>
      </c>
      <c r="D137" s="269">
        <v>29.82</v>
      </c>
      <c r="E137" s="41">
        <v>7.4969000000000001</v>
      </c>
      <c r="F137" s="41">
        <f t="shared" si="15"/>
        <v>7.4969000000000001</v>
      </c>
      <c r="G137" s="235">
        <f>ROUND(D137*E137,2)</f>
        <v>223.56</v>
      </c>
      <c r="H137" s="270"/>
      <c r="I137" s="41"/>
      <c r="J137" s="41"/>
      <c r="K137" s="271"/>
      <c r="L137" s="272"/>
      <c r="M137" s="273"/>
      <c r="N137" s="274"/>
      <c r="O137" s="237"/>
      <c r="P137" s="275"/>
      <c r="Q137" s="237"/>
      <c r="R137" s="242"/>
      <c r="S137" s="266"/>
      <c r="T137" s="266"/>
    </row>
    <row r="138" spans="1:20" ht="16.5" thickBot="1">
      <c r="A138" s="891"/>
      <c r="B138" s="887"/>
      <c r="C138" s="54" t="s">
        <v>29</v>
      </c>
      <c r="D138" s="279">
        <v>2787</v>
      </c>
      <c r="E138" s="56">
        <v>7.4969000000000001</v>
      </c>
      <c r="F138" s="57">
        <f t="shared" si="15"/>
        <v>7.4969000000000001</v>
      </c>
      <c r="G138" s="247">
        <f t="shared" ref="G138" si="26">ROUND(D138*E138,2)</f>
        <v>20893.86</v>
      </c>
      <c r="H138" s="280"/>
      <c r="I138" s="281"/>
      <c r="J138" s="281"/>
      <c r="K138" s="282"/>
      <c r="L138" s="204"/>
      <c r="M138" s="250"/>
      <c r="N138" s="283"/>
      <c r="O138" s="252"/>
      <c r="P138" s="284"/>
      <c r="Q138" s="252"/>
      <c r="R138" s="242"/>
      <c r="S138" s="266"/>
      <c r="T138" s="266"/>
    </row>
    <row r="139" spans="1:20" ht="16.5" hidden="1" outlineLevel="1" thickBot="1">
      <c r="A139" s="892"/>
      <c r="B139" s="883" t="s">
        <v>57</v>
      </c>
      <c r="C139" s="439"/>
      <c r="D139" s="259"/>
      <c r="E139" s="21">
        <v>36.214199999999998</v>
      </c>
      <c r="F139" s="21">
        <v>42.4328</v>
      </c>
      <c r="G139" s="214">
        <f>ROUND(D139*(E139+F139),2)</f>
        <v>0</v>
      </c>
      <c r="H139" s="213">
        <v>0</v>
      </c>
      <c r="I139">
        <v>22.478999999999999</v>
      </c>
      <c r="J139" s="215">
        <f t="shared" ref="J139" si="27">H139*I139</f>
        <v>0</v>
      </c>
      <c r="K139" s="679">
        <v>42705</v>
      </c>
      <c r="L139" s="294">
        <f>SUM(G139:G143)+J139+J141</f>
        <v>0</v>
      </c>
      <c r="M139" s="227"/>
      <c r="N139" s="264"/>
      <c r="O139" s="229"/>
      <c r="P139" s="265"/>
      <c r="Q139" s="229"/>
      <c r="R139" s="242"/>
      <c r="S139" s="266"/>
      <c r="T139" s="266"/>
    </row>
    <row r="140" spans="1:20" ht="16.5" hidden="1" outlineLevel="1" thickBot="1">
      <c r="A140" s="891"/>
      <c r="B140" s="887"/>
      <c r="C140" s="54"/>
      <c r="D140" s="269"/>
      <c r="E140" s="38">
        <f>32.332-28.8628</f>
        <v>3.4692000000000007</v>
      </c>
      <c r="F140" s="38">
        <f>37.8898-33.8306</f>
        <v>4.0592000000000041</v>
      </c>
      <c r="G140" s="235">
        <f>ROUND(D140*(E140+F140),2)</f>
        <v>0</v>
      </c>
      <c r="H140" s="225"/>
      <c r="J140" s="194"/>
      <c r="K140" s="683"/>
      <c r="L140" s="294"/>
      <c r="M140" s="227"/>
      <c r="N140" s="264"/>
      <c r="O140" s="229"/>
      <c r="P140" s="265"/>
      <c r="Q140" s="229"/>
      <c r="R140" s="242"/>
      <c r="S140" s="266"/>
      <c r="T140" s="266"/>
    </row>
    <row r="141" spans="1:20" ht="15.75" hidden="1" outlineLevel="1" thickBot="1">
      <c r="A141" s="892"/>
      <c r="B141" s="883"/>
      <c r="C141" s="439" t="s">
        <v>170</v>
      </c>
      <c r="D141" s="296"/>
      <c r="E141" s="41">
        <f>7.0207-6.6426</f>
        <v>0.37809999999999988</v>
      </c>
      <c r="F141" s="41">
        <f>+E141</f>
        <v>0.37809999999999988</v>
      </c>
      <c r="G141" s="235">
        <f>ROUND(D141*E141,2)</f>
        <v>0</v>
      </c>
      <c r="H141" s="270"/>
      <c r="I141" s="41"/>
      <c r="J141" s="41"/>
      <c r="K141" s="684"/>
      <c r="L141" s="272"/>
      <c r="M141" s="273"/>
      <c r="N141" s="274"/>
      <c r="O141" s="237"/>
      <c r="P141" s="275"/>
      <c r="Q141" s="237"/>
      <c r="R141" s="242"/>
      <c r="S141" s="266"/>
      <c r="T141" s="266"/>
    </row>
    <row r="142" spans="1:20" ht="16.5" hidden="1" outlineLevel="1" thickBot="1">
      <c r="A142" s="891"/>
      <c r="B142" s="887"/>
      <c r="C142" s="54" t="s">
        <v>171</v>
      </c>
      <c r="D142" s="269"/>
      <c r="E142" s="41">
        <v>7.0206999999999997</v>
      </c>
      <c r="F142" s="41">
        <f>+E142</f>
        <v>7.0206999999999997</v>
      </c>
      <c r="G142" s="235">
        <f>ROUND(D142*E142,2)</f>
        <v>0</v>
      </c>
      <c r="H142" s="270"/>
      <c r="I142" s="41"/>
      <c r="J142" s="41"/>
      <c r="K142" s="684"/>
      <c r="L142" s="272"/>
      <c r="M142" s="273"/>
      <c r="N142" s="274"/>
      <c r="O142" s="237"/>
      <c r="P142" s="275"/>
      <c r="Q142" s="237"/>
      <c r="R142" s="242"/>
      <c r="S142" s="266"/>
      <c r="T142" s="266"/>
    </row>
    <row r="143" spans="1:20" ht="16.5" hidden="1" outlineLevel="1" thickBot="1">
      <c r="A143" s="892"/>
      <c r="B143" s="883"/>
      <c r="C143" s="439" t="s">
        <v>29</v>
      </c>
      <c r="D143" s="279"/>
      <c r="E143" s="56">
        <v>7.0206999999999997</v>
      </c>
      <c r="F143" s="57">
        <f>+E143</f>
        <v>7.0206999999999997</v>
      </c>
      <c r="G143" s="247">
        <f>ROUND(D143*E143,2)</f>
        <v>0</v>
      </c>
      <c r="H143" s="280"/>
      <c r="I143" s="281"/>
      <c r="J143" s="281"/>
      <c r="K143" s="682"/>
      <c r="L143" s="204"/>
      <c r="M143" s="250"/>
      <c r="N143" s="283"/>
      <c r="O143" s="252"/>
      <c r="P143" s="284"/>
      <c r="Q143" s="252"/>
      <c r="R143" s="242"/>
      <c r="S143" s="266"/>
      <c r="T143" s="266"/>
    </row>
    <row r="144" spans="1:20" ht="15.75" hidden="1" outlineLevel="1" thickBot="1">
      <c r="A144" s="892"/>
      <c r="B144" s="183" t="s">
        <v>145</v>
      </c>
      <c r="C144" s="439" t="s">
        <v>170</v>
      </c>
      <c r="D144" s="296"/>
      <c r="E144" s="41">
        <f>7.0207-6.6426</f>
        <v>0.37809999999999988</v>
      </c>
      <c r="F144" s="41">
        <f t="shared" ref="F144:F146" si="28">+E144</f>
        <v>0.37809999999999988</v>
      </c>
      <c r="G144" s="235">
        <f>ROUND(D144*E144,2)</f>
        <v>0</v>
      </c>
      <c r="H144" s="270"/>
      <c r="I144" s="41"/>
      <c r="J144" s="41"/>
      <c r="K144" s="271"/>
      <c r="L144" s="294">
        <f>SUM(G144:G146)</f>
        <v>0</v>
      </c>
      <c r="M144" s="227"/>
      <c r="N144" s="274"/>
      <c r="O144" s="237"/>
      <c r="P144" s="275"/>
      <c r="Q144" s="237"/>
      <c r="R144" s="242"/>
      <c r="S144" s="266"/>
      <c r="T144" s="266"/>
    </row>
    <row r="145" spans="1:21" ht="16.5" hidden="1" outlineLevel="1" thickBot="1">
      <c r="A145" s="891"/>
      <c r="B145" s="887"/>
      <c r="C145" s="54" t="s">
        <v>171</v>
      </c>
      <c r="D145" s="269"/>
      <c r="E145" s="41">
        <v>7.0206999999999997</v>
      </c>
      <c r="F145" s="41">
        <f t="shared" si="28"/>
        <v>7.0206999999999997</v>
      </c>
      <c r="G145" s="235">
        <f t="shared" ref="G145:G146" si="29">ROUND(D145*E145,2)</f>
        <v>0</v>
      </c>
      <c r="H145" s="270"/>
      <c r="I145" s="41"/>
      <c r="J145" s="41"/>
      <c r="K145" s="271"/>
      <c r="L145" s="272"/>
      <c r="M145" s="273"/>
      <c r="N145" s="274"/>
      <c r="O145" s="237"/>
      <c r="P145" s="275"/>
      <c r="Q145" s="237"/>
      <c r="R145" s="242"/>
      <c r="S145" s="266"/>
      <c r="T145" s="266"/>
    </row>
    <row r="146" spans="1:21" ht="16.5" hidden="1" outlineLevel="1" thickBot="1">
      <c r="A146" s="892"/>
      <c r="B146" s="183"/>
      <c r="C146" s="439" t="s">
        <v>29</v>
      </c>
      <c r="D146" s="279"/>
      <c r="E146" s="56">
        <v>7.0206999999999997</v>
      </c>
      <c r="F146" s="57">
        <f t="shared" si="28"/>
        <v>7.0206999999999997</v>
      </c>
      <c r="G146" s="247">
        <f t="shared" si="29"/>
        <v>0</v>
      </c>
      <c r="H146" s="280"/>
      <c r="I146" s="281"/>
      <c r="J146" s="281"/>
      <c r="K146" s="282"/>
      <c r="L146" s="204"/>
      <c r="M146" s="250"/>
      <c r="N146" s="283"/>
      <c r="O146" s="252"/>
      <c r="P146" s="284"/>
      <c r="Q146" s="252"/>
      <c r="R146" s="242"/>
      <c r="S146" s="266"/>
      <c r="T146" s="266"/>
    </row>
    <row r="147" spans="1:21" ht="16.5" collapsed="1" thickTop="1">
      <c r="A147" s="898"/>
      <c r="B147" s="321"/>
      <c r="C147" s="322"/>
      <c r="D147" s="323"/>
      <c r="E147" s="163"/>
      <c r="F147" s="324"/>
      <c r="G147" s="325"/>
      <c r="H147" s="163"/>
      <c r="I147" s="163"/>
      <c r="J147" s="163"/>
      <c r="K147" s="163"/>
      <c r="L147" s="163"/>
      <c r="M147" s="326"/>
      <c r="N147" s="327"/>
      <c r="O147" s="328"/>
      <c r="P147" s="329"/>
      <c r="Q147" s="328"/>
      <c r="R147" s="330"/>
      <c r="S147" s="331"/>
      <c r="T147" s="266"/>
    </row>
    <row r="148" spans="1:21" ht="21.75" thickBot="1">
      <c r="A148" s="171" t="s">
        <v>60</v>
      </c>
      <c r="B148" s="2"/>
      <c r="C148" s="3"/>
      <c r="D148" s="2"/>
      <c r="E148" s="2"/>
      <c r="F148" s="2"/>
      <c r="G148" s="332"/>
      <c r="H148" s="332"/>
      <c r="I148" s="332"/>
      <c r="J148" s="2"/>
      <c r="K148" s="2"/>
      <c r="L148" s="2"/>
      <c r="M148" s="3"/>
      <c r="N148" s="2"/>
      <c r="O148" s="2"/>
      <c r="P148" s="2"/>
      <c r="Q148" s="2"/>
      <c r="R148" s="2"/>
      <c r="S148" s="2"/>
    </row>
    <row r="149" spans="1:21" ht="15" customHeight="1" thickTop="1">
      <c r="A149" s="1553" t="s">
        <v>1</v>
      </c>
      <c r="B149" s="1516" t="s">
        <v>2</v>
      </c>
      <c r="C149" s="1518" t="s">
        <v>3</v>
      </c>
      <c r="D149" s="1532" t="s">
        <v>4</v>
      </c>
      <c r="E149" s="1532"/>
      <c r="F149" s="1532"/>
      <c r="G149" s="1532"/>
      <c r="H149" s="1533" t="s">
        <v>5</v>
      </c>
      <c r="I149" s="1534"/>
      <c r="J149" s="1534"/>
      <c r="K149" s="1534"/>
      <c r="L149" s="1524" t="s">
        <v>6</v>
      </c>
      <c r="M149" s="1537" t="s">
        <v>7</v>
      </c>
      <c r="N149" s="1538" t="s">
        <v>8</v>
      </c>
      <c r="O149" s="1538"/>
      <c r="P149" s="1538"/>
      <c r="Q149" s="1539"/>
      <c r="R149" s="5"/>
      <c r="S149" s="5"/>
      <c r="T149" s="5" t="s">
        <v>61</v>
      </c>
      <c r="U149" t="s">
        <v>21</v>
      </c>
    </row>
    <row r="150" spans="1:21" ht="27" customHeight="1" thickBot="1">
      <c r="A150" s="1531"/>
      <c r="B150" s="1517"/>
      <c r="C150" s="1519" t="s">
        <v>10</v>
      </c>
      <c r="D150" s="333" t="s">
        <v>11</v>
      </c>
      <c r="E150" s="7" t="s">
        <v>12</v>
      </c>
      <c r="F150" s="7" t="s">
        <v>13</v>
      </c>
      <c r="G150" s="334" t="s">
        <v>14</v>
      </c>
      <c r="H150" s="335" t="s">
        <v>11</v>
      </c>
      <c r="I150" s="333" t="s">
        <v>15</v>
      </c>
      <c r="J150" s="336" t="s">
        <v>14</v>
      </c>
      <c r="K150" s="11" t="s">
        <v>16</v>
      </c>
      <c r="L150" s="1525"/>
      <c r="M150" s="1511"/>
      <c r="N150" s="337" t="s">
        <v>62</v>
      </c>
      <c r="O150" s="338" t="s">
        <v>44</v>
      </c>
      <c r="P150" s="13" t="s">
        <v>18</v>
      </c>
      <c r="Q150" s="14" t="s">
        <v>19</v>
      </c>
    </row>
    <row r="151" spans="1:21" ht="14.25" customHeight="1">
      <c r="A151" s="339" t="s">
        <v>63</v>
      </c>
      <c r="B151" s="1143" t="s">
        <v>64</v>
      </c>
      <c r="C151" s="1200" t="s">
        <v>243</v>
      </c>
      <c r="D151" s="1201">
        <v>50</v>
      </c>
      <c r="E151" s="1146">
        <v>41.244</v>
      </c>
      <c r="F151" s="1146">
        <v>48.335999999999999</v>
      </c>
      <c r="G151" s="1202">
        <f>ROUND(D151*(E151+F151),2)</f>
        <v>4479</v>
      </c>
      <c r="H151" s="619"/>
      <c r="I151" s="1147"/>
      <c r="J151" s="1203"/>
      <c r="K151" s="1204"/>
      <c r="L151" s="1205">
        <f>SUM(G151:G156,J151:J155)</f>
        <v>330663.82</v>
      </c>
      <c r="M151" s="1206">
        <v>330663.82</v>
      </c>
      <c r="N151" s="345"/>
      <c r="O151" s="346">
        <v>7157.88</v>
      </c>
      <c r="P151" s="347" t="s">
        <v>24</v>
      </c>
      <c r="Q151" s="348" t="e">
        <f t="shared" ref="Q151:Q230" si="30">C151+G151+J151-M151-N151-O151</f>
        <v>#VALUE!</v>
      </c>
      <c r="R151" s="349" t="s">
        <v>65</v>
      </c>
      <c r="S151" s="350" t="s">
        <v>20</v>
      </c>
      <c r="T151" s="351" t="s">
        <v>21</v>
      </c>
      <c r="U151" s="352" t="e">
        <f>+L151-M151+C151</f>
        <v>#VALUE!</v>
      </c>
    </row>
    <row r="152" spans="1:21" ht="14.25" customHeight="1">
      <c r="A152" s="353"/>
      <c r="B152" s="1151" t="s">
        <v>221</v>
      </c>
      <c r="C152" s="1207" t="s">
        <v>26</v>
      </c>
      <c r="D152" s="401"/>
      <c r="E152" s="1153"/>
      <c r="F152" s="1153"/>
      <c r="G152" s="400">
        <f>ROUND(D152*(E152+F152),2)</f>
        <v>0</v>
      </c>
      <c r="H152" s="623"/>
      <c r="I152" s="1189"/>
      <c r="J152" s="1208"/>
      <c r="K152" s="1209"/>
      <c r="L152" s="1210"/>
      <c r="M152" s="1211"/>
      <c r="N152" s="357"/>
      <c r="O152" s="358"/>
      <c r="P152" s="359"/>
      <c r="Q152" s="358"/>
      <c r="R152" s="349"/>
      <c r="S152" s="350"/>
      <c r="T152" s="351"/>
      <c r="U152" s="352"/>
    </row>
    <row r="153" spans="1:21">
      <c r="A153" s="353"/>
      <c r="B153" s="1159"/>
      <c r="C153" s="1160"/>
      <c r="D153" s="623"/>
      <c r="E153" s="1155"/>
      <c r="F153" s="1155"/>
      <c r="G153" s="1161">
        <f>ROUND(D153*E153*70%+D153*F153*30%,2)</f>
        <v>0</v>
      </c>
      <c r="H153" s="623"/>
      <c r="I153" s="1189"/>
      <c r="J153" s="1155"/>
      <c r="K153" s="1209"/>
      <c r="L153" s="1210"/>
      <c r="M153" s="1211"/>
      <c r="N153" s="357"/>
      <c r="O153" s="358"/>
      <c r="P153" s="359"/>
      <c r="Q153" s="358"/>
      <c r="R153" s="349"/>
      <c r="S153" s="350"/>
      <c r="T153" s="351"/>
      <c r="U153" s="352"/>
    </row>
    <row r="154" spans="1:21">
      <c r="A154" s="353"/>
      <c r="B154" s="1159"/>
      <c r="C154" s="1160" t="s">
        <v>260</v>
      </c>
      <c r="D154" s="623"/>
      <c r="E154" s="1155"/>
      <c r="F154" s="1153"/>
      <c r="G154" s="1161">
        <f>ROUND(+D154*E154,2)</f>
        <v>0</v>
      </c>
      <c r="H154" s="623"/>
      <c r="I154" s="1189"/>
      <c r="J154" s="1155"/>
      <c r="K154" s="1209"/>
      <c r="L154" s="1210"/>
      <c r="M154" s="1211"/>
      <c r="N154" s="357"/>
      <c r="O154" s="358"/>
      <c r="P154" s="359"/>
      <c r="Q154" s="358"/>
      <c r="R154" s="349"/>
      <c r="S154" s="350"/>
      <c r="T154" s="351"/>
      <c r="U154" s="352"/>
    </row>
    <row r="155" spans="1:21">
      <c r="A155" s="353"/>
      <c r="B155" s="1159"/>
      <c r="C155" s="1160" t="s">
        <v>263</v>
      </c>
      <c r="D155" s="623">
        <f>75.19+21.31+9.36</f>
        <v>105.86</v>
      </c>
      <c r="E155" s="1155">
        <v>7.3771000000000004</v>
      </c>
      <c r="F155" s="1155">
        <f>+E155</f>
        <v>7.3771000000000004</v>
      </c>
      <c r="G155" s="1161">
        <f>ROUND(D155*E155,2)</f>
        <v>780.94</v>
      </c>
      <c r="H155" s="1212"/>
      <c r="I155" s="1213"/>
      <c r="J155" s="1214"/>
      <c r="K155" s="1215"/>
      <c r="L155" s="1216"/>
      <c r="M155" s="1217"/>
      <c r="N155" s="366"/>
      <c r="O155" s="367"/>
      <c r="P155" s="368"/>
      <c r="Q155" s="358"/>
      <c r="R155" s="349"/>
      <c r="S155" s="350"/>
      <c r="T155" s="351"/>
      <c r="U155" s="352"/>
    </row>
    <row r="156" spans="1:21" ht="15.75" thickBot="1">
      <c r="A156" s="369"/>
      <c r="B156" s="1163" t="s">
        <v>66</v>
      </c>
      <c r="C156" s="1164" t="s">
        <v>29</v>
      </c>
      <c r="D156" s="941">
        <f>31330+8880+3900</f>
        <v>44110</v>
      </c>
      <c r="E156" s="1165">
        <v>7.3771000000000004</v>
      </c>
      <c r="F156" s="1218">
        <f>+E156</f>
        <v>7.3771000000000004</v>
      </c>
      <c r="G156" s="1167">
        <f>ROUND(D156*E156,2)</f>
        <v>325403.88</v>
      </c>
      <c r="H156" s="1219"/>
      <c r="I156" s="1220"/>
      <c r="J156" s="1169"/>
      <c r="K156" s="1220"/>
      <c r="L156" s="1197"/>
      <c r="M156" s="1221"/>
      <c r="N156" s="372"/>
      <c r="O156" s="373">
        <v>165882.5</v>
      </c>
      <c r="P156" s="374" t="s">
        <v>24</v>
      </c>
      <c r="Q156" s="373">
        <f>G156+J156-M156-N156-O156</f>
        <v>159521.38</v>
      </c>
      <c r="R156" s="349" t="s">
        <v>65</v>
      </c>
      <c r="S156" s="375">
        <f>SUM(O151:O156)</f>
        <v>173040.38</v>
      </c>
      <c r="T156" s="375" t="e">
        <f>SUM(Q151:Q156)</f>
        <v>#VALUE!</v>
      </c>
    </row>
    <row r="157" spans="1:21" s="81" customFormat="1" ht="15" customHeight="1">
      <c r="A157" s="437">
        <v>101</v>
      </c>
      <c r="B157" s="438" t="s">
        <v>82</v>
      </c>
      <c r="C157" s="377" t="s">
        <v>73</v>
      </c>
      <c r="D157" s="378">
        <v>34</v>
      </c>
      <c r="E157" s="21">
        <v>41.244</v>
      </c>
      <c r="F157" s="21">
        <v>48.335999999999999</v>
      </c>
      <c r="G157" s="22">
        <f>+D157*(E157+F157)</f>
        <v>3045.72</v>
      </c>
      <c r="H157" s="303"/>
      <c r="I157" s="381"/>
      <c r="J157" s="381"/>
      <c r="K157" s="342"/>
      <c r="L157" s="263">
        <f>SUM(G157:G161,J157:J161)</f>
        <v>113453.91</v>
      </c>
      <c r="M157" s="26">
        <v>113453.91</v>
      </c>
      <c r="N157" s="421"/>
      <c r="O157" s="77"/>
      <c r="P157" s="77"/>
      <c r="Q157" s="384"/>
      <c r="R157" s="422"/>
      <c r="S157" s="399"/>
      <c r="T157" s="399"/>
    </row>
    <row r="158" spans="1:21" s="81" customFormat="1" ht="15" customHeight="1">
      <c r="A158" s="441"/>
      <c r="B158" s="442"/>
      <c r="C158" s="36" t="s">
        <v>26</v>
      </c>
      <c r="D158" s="37"/>
      <c r="E158" s="38"/>
      <c r="F158" s="38"/>
      <c r="G158" s="39">
        <f>ROUND(D158*(E158+F158),2)</f>
        <v>0</v>
      </c>
      <c r="H158" s="457"/>
      <c r="I158" s="392"/>
      <c r="J158" s="402"/>
      <c r="K158" s="393"/>
      <c r="L158" s="459"/>
      <c r="M158" s="44"/>
      <c r="N158" s="430"/>
      <c r="O158" s="435"/>
      <c r="P158" s="435"/>
      <c r="Q158" s="425"/>
      <c r="R158" s="422"/>
      <c r="S158" s="399"/>
      <c r="T158" s="399"/>
    </row>
    <row r="159" spans="1:21" s="81" customFormat="1" ht="15" customHeight="1">
      <c r="A159" s="441"/>
      <c r="B159" s="442"/>
      <c r="C159" s="48" t="s">
        <v>260</v>
      </c>
      <c r="D159" s="37">
        <f>фев19!D160+фев19!D161</f>
        <v>14080.71</v>
      </c>
      <c r="E159" s="41">
        <f>7.5269-7.3681</f>
        <v>0.15880000000000027</v>
      </c>
      <c r="F159" s="38"/>
      <c r="G159" s="39">
        <f>ROUND(D159*(E159),2)</f>
        <v>2236.02</v>
      </c>
      <c r="H159" s="270"/>
      <c r="I159" s="41"/>
      <c r="J159" s="41"/>
      <c r="K159" s="271"/>
      <c r="L159" s="272"/>
      <c r="M159" s="102"/>
      <c r="N159" s="430"/>
      <c r="O159" s="435"/>
      <c r="P159" s="435"/>
      <c r="Q159" s="425"/>
      <c r="R159" s="422"/>
      <c r="S159" s="399"/>
      <c r="T159" s="399"/>
    </row>
    <row r="160" spans="1:21" s="81" customFormat="1" ht="15" customHeight="1">
      <c r="A160" s="441"/>
      <c r="B160" s="442"/>
      <c r="C160" s="48" t="s">
        <v>263</v>
      </c>
      <c r="D160" s="37">
        <v>34.409999999999997</v>
      </c>
      <c r="E160" s="41">
        <v>7.5269000000000004</v>
      </c>
      <c r="F160" s="38"/>
      <c r="G160" s="39">
        <f>ROUND(D160*(E160),2)</f>
        <v>259</v>
      </c>
      <c r="H160" s="270"/>
      <c r="I160" s="41"/>
      <c r="J160" s="41"/>
      <c r="K160" s="271"/>
      <c r="L160" s="272"/>
      <c r="M160" s="102"/>
      <c r="N160" s="434"/>
      <c r="O160" s="435"/>
      <c r="P160" s="435"/>
      <c r="Q160" s="425"/>
      <c r="R160" s="422"/>
      <c r="S160" s="399"/>
      <c r="T160" s="399"/>
    </row>
    <row r="161" spans="1:20" s="81" customFormat="1" ht="15" customHeight="1" thickBot="1">
      <c r="A161" s="445"/>
      <c r="B161" s="446"/>
      <c r="C161" s="54" t="s">
        <v>29</v>
      </c>
      <c r="D161" s="413">
        <v>14337</v>
      </c>
      <c r="E161" s="56">
        <v>7.5269000000000004</v>
      </c>
      <c r="F161" s="281"/>
      <c r="G161" s="414">
        <f>ROUND(D161*(E161),2)</f>
        <v>107913.17</v>
      </c>
      <c r="H161" s="280"/>
      <c r="I161" s="281"/>
      <c r="J161" s="281"/>
      <c r="K161" s="282"/>
      <c r="L161" s="204"/>
      <c r="M161" s="371"/>
      <c r="N161" s="426"/>
      <c r="O161" s="416"/>
      <c r="P161" s="416"/>
      <c r="Q161" s="417"/>
      <c r="R161" s="899"/>
      <c r="S161" s="399"/>
      <c r="T161" s="399"/>
    </row>
    <row r="162" spans="1:20" s="81" customFormat="1" ht="15.75" customHeight="1">
      <c r="A162" s="902">
        <v>105</v>
      </c>
      <c r="B162" s="903" t="s">
        <v>256</v>
      </c>
      <c r="C162" s="439" t="s">
        <v>260</v>
      </c>
      <c r="D162" s="904">
        <f>фев19!D163+фев19!D164</f>
        <v>1391.33</v>
      </c>
      <c r="E162" s="23">
        <f>7.5269-7.3681</f>
        <v>0.15880000000000027</v>
      </c>
      <c r="F162" s="905"/>
      <c r="G162" s="22">
        <f>ROUND(D162*E162,2)</f>
        <v>220.94</v>
      </c>
      <c r="H162" s="303"/>
      <c r="I162" s="23"/>
      <c r="J162" s="23"/>
      <c r="K162" s="304"/>
      <c r="L162" s="263">
        <f>SUM(G162:G164)</f>
        <v>12157.1</v>
      </c>
      <c r="M162" s="26">
        <v>12157.1</v>
      </c>
      <c r="N162" s="421"/>
      <c r="O162" s="77"/>
      <c r="P162" s="77"/>
      <c r="Q162" s="384"/>
      <c r="R162" s="422"/>
      <c r="S162" s="399"/>
      <c r="T162" s="399"/>
    </row>
    <row r="163" spans="1:20" s="81" customFormat="1" ht="15.75" customHeight="1">
      <c r="A163" s="468"/>
      <c r="B163" s="469"/>
      <c r="C163" s="48" t="s">
        <v>263</v>
      </c>
      <c r="D163" s="471">
        <v>3.8</v>
      </c>
      <c r="E163" s="41">
        <v>7.5269000000000004</v>
      </c>
      <c r="F163" s="473"/>
      <c r="G163" s="449">
        <f>ROUND(D163*E163,2)</f>
        <v>28.6</v>
      </c>
      <c r="H163" s="260"/>
      <c r="I163" s="261"/>
      <c r="J163" s="261"/>
      <c r="K163" s="262"/>
      <c r="L163" s="286"/>
      <c r="M163" s="90"/>
      <c r="N163" s="423"/>
      <c r="O163" s="406"/>
      <c r="P163" s="406"/>
      <c r="Q163" s="407"/>
      <c r="R163" s="422"/>
      <c r="S163" s="399"/>
      <c r="T163" s="399"/>
    </row>
    <row r="164" spans="1:20" s="81" customFormat="1" ht="15.75" customHeight="1" thickBot="1">
      <c r="A164" s="858"/>
      <c r="B164" s="859"/>
      <c r="C164" s="54" t="s">
        <v>29</v>
      </c>
      <c r="D164" s="860">
        <v>1582</v>
      </c>
      <c r="E164" s="56">
        <v>7.5269000000000004</v>
      </c>
      <c r="F164" s="861"/>
      <c r="G164" s="414">
        <f t="shared" ref="G164" si="31">ROUND(D164*E164,2)</f>
        <v>11907.56</v>
      </c>
      <c r="H164" s="280"/>
      <c r="I164" s="281"/>
      <c r="J164" s="281"/>
      <c r="K164" s="282"/>
      <c r="L164" s="204"/>
      <c r="M164" s="371"/>
      <c r="N164" s="426"/>
      <c r="O164" s="416"/>
      <c r="P164" s="416"/>
      <c r="Q164" s="417"/>
      <c r="R164" s="422"/>
      <c r="S164" s="399"/>
      <c r="T164" s="399"/>
    </row>
    <row r="165" spans="1:20" s="81" customFormat="1" ht="15.75" hidden="1" customHeight="1">
      <c r="A165" s="902">
        <v>107</v>
      </c>
      <c r="B165" s="903" t="s">
        <v>239</v>
      </c>
      <c r="C165" s="439" t="s">
        <v>260</v>
      </c>
      <c r="D165" s="904"/>
      <c r="E165" s="23">
        <f>6.9835-7.2015</f>
        <v>-0.21799999999999997</v>
      </c>
      <c r="F165" s="905"/>
      <c r="G165" s="22">
        <f>ROUND(D165*E165,2)</f>
        <v>0</v>
      </c>
      <c r="H165" s="303"/>
      <c r="I165" s="23"/>
      <c r="J165" s="23"/>
      <c r="K165" s="304"/>
      <c r="L165" s="263">
        <f>SUM(G165:G167)</f>
        <v>0</v>
      </c>
      <c r="M165" s="26"/>
      <c r="N165" s="421"/>
      <c r="O165" s="77"/>
      <c r="P165" s="77"/>
      <c r="Q165" s="384"/>
      <c r="R165" s="422"/>
      <c r="S165" s="399"/>
      <c r="T165" s="399"/>
    </row>
    <row r="166" spans="1:20" s="81" customFormat="1" ht="15.75" hidden="1" customHeight="1">
      <c r="A166" s="468"/>
      <c r="B166" s="469"/>
      <c r="C166" s="48" t="s">
        <v>263</v>
      </c>
      <c r="D166" s="471"/>
      <c r="E166" s="41">
        <v>6.9835000000000003</v>
      </c>
      <c r="F166" s="473"/>
      <c r="G166" s="449">
        <f>ROUND(D166*E166,2)</f>
        <v>0</v>
      </c>
      <c r="H166" s="260"/>
      <c r="I166" s="261"/>
      <c r="J166" s="261"/>
      <c r="K166" s="262"/>
      <c r="L166" s="286"/>
      <c r="M166" s="90"/>
      <c r="N166" s="423"/>
      <c r="O166" s="406"/>
      <c r="P166" s="406"/>
      <c r="Q166" s="407"/>
      <c r="R166" s="422"/>
      <c r="S166" s="399"/>
      <c r="T166" s="399"/>
    </row>
    <row r="167" spans="1:20" s="81" customFormat="1" ht="15.75" hidden="1" customHeight="1" thickBot="1">
      <c r="A167" s="858"/>
      <c r="B167" s="859"/>
      <c r="C167" s="54" t="s">
        <v>29</v>
      </c>
      <c r="D167" s="860"/>
      <c r="E167" s="56">
        <v>6.9835000000000003</v>
      </c>
      <c r="F167" s="861"/>
      <c r="G167" s="414">
        <f t="shared" ref="G167" si="32">ROUND(D167*E167,2)</f>
        <v>0</v>
      </c>
      <c r="H167" s="280"/>
      <c r="I167" s="281"/>
      <c r="J167" s="281"/>
      <c r="K167" s="282"/>
      <c r="L167" s="204"/>
      <c r="M167" s="371"/>
      <c r="N167" s="426"/>
      <c r="O167" s="416"/>
      <c r="P167" s="416"/>
      <c r="Q167" s="417"/>
      <c r="R167" s="422"/>
      <c r="S167" s="399"/>
      <c r="T167" s="399"/>
    </row>
    <row r="168" spans="1:20" s="81" customFormat="1" ht="15.75" customHeight="1">
      <c r="A168" s="447">
        <v>107</v>
      </c>
      <c r="B168" s="438" t="s">
        <v>325</v>
      </c>
      <c r="C168" s="439" t="s">
        <v>260</v>
      </c>
      <c r="D168" s="900"/>
      <c r="E168" s="23">
        <f>7.5269-7.3681</f>
        <v>0.15880000000000027</v>
      </c>
      <c r="F168" s="23"/>
      <c r="G168" s="22">
        <f>ROUND(D168*E168,2)</f>
        <v>0</v>
      </c>
      <c r="H168" s="303"/>
      <c r="I168" s="23"/>
      <c r="J168" s="23"/>
      <c r="K168" s="304"/>
      <c r="L168" s="263">
        <f>SUM(G168:G170)</f>
        <v>2376.6899999999996</v>
      </c>
      <c r="M168" s="26">
        <v>2376.69</v>
      </c>
      <c r="N168" s="421"/>
      <c r="O168" s="77"/>
      <c r="P168" s="77"/>
      <c r="Q168" s="384"/>
      <c r="R168" s="422"/>
      <c r="S168" s="399"/>
      <c r="T168" s="399"/>
    </row>
    <row r="169" spans="1:20" s="81" customFormat="1" ht="15.75" customHeight="1">
      <c r="A169" s="450"/>
      <c r="B169" s="442"/>
      <c r="C169" s="48" t="s">
        <v>263</v>
      </c>
      <c r="D169" s="448">
        <v>0.76</v>
      </c>
      <c r="E169" s="41">
        <v>7.5269000000000004</v>
      </c>
      <c r="F169" s="261"/>
      <c r="G169" s="449">
        <f t="shared" ref="G169:G170" si="33">ROUND(D169*E169,2)</f>
        <v>5.72</v>
      </c>
      <c r="H169" s="260"/>
      <c r="I169" s="261"/>
      <c r="J169" s="261"/>
      <c r="K169" s="262"/>
      <c r="L169" s="286"/>
      <c r="M169" s="90"/>
      <c r="N169" s="423"/>
      <c r="O169" s="406"/>
      <c r="P169" s="406"/>
      <c r="Q169" s="407"/>
      <c r="R169" s="422"/>
      <c r="S169" s="399"/>
      <c r="T169" s="399"/>
    </row>
    <row r="170" spans="1:20" s="81" customFormat="1" ht="15.75" customHeight="1" thickBot="1">
      <c r="A170" s="451"/>
      <c r="B170" s="446"/>
      <c r="C170" s="54" t="s">
        <v>29</v>
      </c>
      <c r="D170" s="901">
        <v>315</v>
      </c>
      <c r="E170" s="56">
        <v>7.5269000000000004</v>
      </c>
      <c r="F170" s="281"/>
      <c r="G170" s="414">
        <f t="shared" si="33"/>
        <v>2370.9699999999998</v>
      </c>
      <c r="H170" s="280"/>
      <c r="I170" s="281"/>
      <c r="J170" s="281"/>
      <c r="K170" s="282"/>
      <c r="L170" s="204"/>
      <c r="M170" s="371"/>
      <c r="N170" s="426"/>
      <c r="O170" s="416"/>
      <c r="P170" s="416"/>
      <c r="Q170" s="417"/>
      <c r="R170" s="422"/>
      <c r="S170" s="399"/>
      <c r="T170" s="399"/>
    </row>
    <row r="171" spans="1:20" s="81" customFormat="1" ht="15.75" customHeight="1">
      <c r="A171" s="902">
        <v>108</v>
      </c>
      <c r="B171" s="903" t="s">
        <v>168</v>
      </c>
      <c r="C171" s="439" t="s">
        <v>260</v>
      </c>
      <c r="D171" s="904">
        <f>фев19!D169+фев19!D170</f>
        <v>289.69</v>
      </c>
      <c r="E171" s="23">
        <f>7.5269-7.3681</f>
        <v>0.15880000000000027</v>
      </c>
      <c r="F171" s="905"/>
      <c r="G171" s="22">
        <f>ROUND(D171*E171,2)</f>
        <v>46</v>
      </c>
      <c r="H171" s="303"/>
      <c r="I171" s="23"/>
      <c r="J171" s="23"/>
      <c r="K171" s="304"/>
      <c r="L171" s="263">
        <f>SUM(G171:G173)</f>
        <v>2430.2199999999998</v>
      </c>
      <c r="M171" s="26">
        <v>2430.2199999999998</v>
      </c>
      <c r="N171" s="421"/>
      <c r="O171" s="77"/>
      <c r="P171" s="77"/>
      <c r="Q171" s="384"/>
      <c r="R171" s="422"/>
      <c r="S171" s="399"/>
      <c r="T171" s="399"/>
    </row>
    <row r="172" spans="1:20" s="81" customFormat="1" ht="15.75" customHeight="1">
      <c r="A172" s="468"/>
      <c r="B172" s="469"/>
      <c r="C172" s="48" t="s">
        <v>263</v>
      </c>
      <c r="D172" s="471">
        <v>0.76</v>
      </c>
      <c r="E172" s="41">
        <v>7.5269000000000004</v>
      </c>
      <c r="F172" s="473"/>
      <c r="G172" s="449">
        <f>ROUND(D172*E172,2)</f>
        <v>5.72</v>
      </c>
      <c r="H172" s="260"/>
      <c r="I172" s="261"/>
      <c r="J172" s="261"/>
      <c r="K172" s="262"/>
      <c r="L172" s="286"/>
      <c r="M172" s="90"/>
      <c r="N172" s="423"/>
      <c r="O172" s="406"/>
      <c r="P172" s="406"/>
      <c r="Q172" s="407"/>
      <c r="R172" s="422"/>
      <c r="S172" s="399"/>
      <c r="T172" s="399"/>
    </row>
    <row r="173" spans="1:20" s="81" customFormat="1" ht="15.75" customHeight="1" thickBot="1">
      <c r="A173" s="858"/>
      <c r="B173" s="859"/>
      <c r="C173" s="520" t="s">
        <v>29</v>
      </c>
      <c r="D173" s="471">
        <v>316</v>
      </c>
      <c r="E173" s="876">
        <v>7.5269000000000004</v>
      </c>
      <c r="F173" s="473"/>
      <c r="G173" s="453">
        <f t="shared" ref="G173" si="34">ROUND(D173*E173,2)</f>
        <v>2378.5</v>
      </c>
      <c r="H173" s="432"/>
      <c r="I173" s="207"/>
      <c r="J173" s="207"/>
      <c r="K173" s="362"/>
      <c r="L173" s="433"/>
      <c r="M173" s="371"/>
      <c r="N173" s="426"/>
      <c r="O173" s="416"/>
      <c r="P173" s="416"/>
      <c r="Q173" s="417"/>
      <c r="R173" s="422"/>
      <c r="S173" s="399"/>
      <c r="T173" s="399"/>
    </row>
    <row r="174" spans="1:20" s="81" customFormat="1" ht="15.75" customHeight="1">
      <c r="A174" s="376">
        <v>109</v>
      </c>
      <c r="B174" s="924" t="s">
        <v>175</v>
      </c>
      <c r="C174" s="439" t="s">
        <v>260</v>
      </c>
      <c r="D174" s="378">
        <f>фев19!D172+фев19!D173</f>
        <v>1246.99</v>
      </c>
      <c r="E174" s="23">
        <f>7.5269-7.3681</f>
        <v>0.15880000000000027</v>
      </c>
      <c r="F174" s="23"/>
      <c r="G174" s="22">
        <f>ROUND(D174*E174,2)</f>
        <v>198.02</v>
      </c>
      <c r="H174" s="303"/>
      <c r="I174" s="23"/>
      <c r="J174" s="23"/>
      <c r="K174" s="185"/>
      <c r="L174" s="263">
        <f>SUM(G174:G178)+SUM(J174:J178)</f>
        <v>9227.4599999999991</v>
      </c>
      <c r="M174" s="877">
        <v>9227.4599999999991</v>
      </c>
      <c r="N174" s="443"/>
      <c r="O174" s="94"/>
      <c r="P174" s="94"/>
      <c r="Q174" s="396"/>
      <c r="R174" s="422"/>
      <c r="S174" s="399"/>
      <c r="T174" s="399"/>
    </row>
    <row r="175" spans="1:20" s="81" customFormat="1" ht="15.75" customHeight="1">
      <c r="A175" s="389"/>
      <c r="B175" s="920"/>
      <c r="C175" s="48" t="s">
        <v>263</v>
      </c>
      <c r="D175" s="37">
        <v>2.82</v>
      </c>
      <c r="E175" s="41">
        <v>7.5269000000000004</v>
      </c>
      <c r="F175" s="41"/>
      <c r="G175" s="39">
        <f>ROUND(D175*E175,2)</f>
        <v>21.23</v>
      </c>
      <c r="H175" s="270"/>
      <c r="I175" s="41"/>
      <c r="J175" s="41"/>
      <c r="K175" s="50"/>
      <c r="L175" s="272"/>
      <c r="M175" s="990"/>
      <c r="N175" s="423"/>
      <c r="O175" s="406"/>
      <c r="P175" s="406"/>
      <c r="Q175" s="407"/>
      <c r="R175" s="422"/>
      <c r="S175" s="399"/>
      <c r="T175" s="399"/>
    </row>
    <row r="176" spans="1:20" s="81" customFormat="1" ht="15.75" customHeight="1">
      <c r="A176" s="389"/>
      <c r="B176" s="920"/>
      <c r="C176" s="99" t="s">
        <v>29</v>
      </c>
      <c r="D176" s="37">
        <v>1173</v>
      </c>
      <c r="E176" s="101">
        <v>7.5269000000000004</v>
      </c>
      <c r="F176" s="41"/>
      <c r="G176" s="39">
        <f t="shared" ref="G176" si="35">ROUND(D176*E176,2)</f>
        <v>8829.0499999999993</v>
      </c>
      <c r="H176" s="270"/>
      <c r="I176" s="41"/>
      <c r="J176" s="41"/>
      <c r="K176" s="50"/>
      <c r="L176" s="272"/>
      <c r="M176" s="990"/>
      <c r="N176" s="423"/>
      <c r="O176" s="406"/>
      <c r="P176" s="406"/>
      <c r="Q176" s="407"/>
      <c r="R176" s="422"/>
      <c r="S176" s="399"/>
      <c r="T176" s="399"/>
    </row>
    <row r="177" spans="1:20" s="81" customFormat="1" ht="15.75" customHeight="1" thickBot="1">
      <c r="A177" s="389"/>
      <c r="B177" s="920"/>
      <c r="C177" s="99" t="s">
        <v>73</v>
      </c>
      <c r="D177" s="37">
        <v>2</v>
      </c>
      <c r="E177" s="101">
        <v>41.244</v>
      </c>
      <c r="F177" s="41">
        <v>48.335999999999999</v>
      </c>
      <c r="G177" s="39">
        <f>+D177*(E177+F177)</f>
        <v>179.16</v>
      </c>
      <c r="H177" s="270"/>
      <c r="I177" s="41"/>
      <c r="J177" s="41"/>
      <c r="K177" s="50"/>
      <c r="L177" s="272"/>
      <c r="M177" s="880"/>
      <c r="N177" s="426"/>
      <c r="O177" s="416"/>
      <c r="P177" s="416"/>
      <c r="Q177" s="417"/>
      <c r="R177" s="422"/>
      <c r="S177" s="399"/>
      <c r="T177" s="399"/>
    </row>
    <row r="178" spans="1:20" s="81" customFormat="1" ht="15.75" customHeight="1" thickBot="1">
      <c r="A178" s="411"/>
      <c r="B178" s="921"/>
      <c r="C178" s="54" t="s">
        <v>264</v>
      </c>
      <c r="D178" s="413"/>
      <c r="E178" s="56"/>
      <c r="F178" s="281"/>
      <c r="G178" s="414">
        <f>+D178*(E178+F178)</f>
        <v>0</v>
      </c>
      <c r="H178" s="280"/>
      <c r="I178" s="281"/>
      <c r="J178" s="281"/>
      <c r="K178" s="58"/>
      <c r="L178" s="204"/>
      <c r="M178" s="880"/>
      <c r="N178" s="426"/>
      <c r="O178" s="416"/>
      <c r="P178" s="416"/>
      <c r="Q178" s="417"/>
      <c r="R178" s="422"/>
      <c r="S178" s="399"/>
      <c r="T178" s="399"/>
    </row>
    <row r="179" spans="1:20" s="81" customFormat="1" ht="15.75" customHeight="1">
      <c r="A179" s="376">
        <v>117</v>
      </c>
      <c r="B179" s="420" t="s">
        <v>72</v>
      </c>
      <c r="C179" s="390" t="s">
        <v>73</v>
      </c>
      <c r="D179" s="869">
        <v>120</v>
      </c>
      <c r="E179" s="86">
        <v>41.244</v>
      </c>
      <c r="F179" s="86">
        <v>48.335999999999999</v>
      </c>
      <c r="G179" s="449">
        <f>+D179*(E179+F179)</f>
        <v>10749.6</v>
      </c>
      <c r="H179" s="260"/>
      <c r="I179" s="392"/>
      <c r="J179" s="392"/>
      <c r="K179" s="870"/>
      <c r="L179" s="286">
        <f>SUM(G179:G183,J179:J183)</f>
        <v>260816.59000000003</v>
      </c>
      <c r="M179" s="26">
        <v>260816.59</v>
      </c>
      <c r="N179" s="421"/>
      <c r="O179" s="77"/>
      <c r="P179" s="77"/>
      <c r="Q179" s="384"/>
      <c r="R179" s="422"/>
      <c r="S179" s="399"/>
      <c r="T179" s="399"/>
    </row>
    <row r="180" spans="1:20" s="81" customFormat="1" ht="15.75" customHeight="1">
      <c r="A180" s="389"/>
      <c r="B180" s="83"/>
      <c r="C180" s="84" t="s">
        <v>26</v>
      </c>
      <c r="D180" s="37"/>
      <c r="E180" s="38"/>
      <c r="F180" s="38"/>
      <c r="G180" s="39">
        <f>ROUND(D180*(E180+F180),2)</f>
        <v>0</v>
      </c>
      <c r="H180" s="270"/>
      <c r="I180" s="392"/>
      <c r="J180" s="402"/>
      <c r="K180" s="393"/>
      <c r="L180" s="272"/>
      <c r="M180" s="102"/>
      <c r="N180" s="423"/>
      <c r="O180" s="406"/>
      <c r="P180" s="406"/>
      <c r="Q180" s="407"/>
      <c r="R180" s="422"/>
      <c r="S180" s="399"/>
      <c r="T180" s="399"/>
    </row>
    <row r="181" spans="1:20" s="81" customFormat="1" ht="15.75" customHeight="1">
      <c r="A181" s="389"/>
      <c r="B181" s="83"/>
      <c r="C181" s="48" t="s">
        <v>260</v>
      </c>
      <c r="D181" s="37">
        <f>фев19!D179+фев19!D180</f>
        <v>32477.759999999998</v>
      </c>
      <c r="E181" s="41">
        <f>7.5269-7.3681</f>
        <v>0.15880000000000027</v>
      </c>
      <c r="F181" s="38"/>
      <c r="G181" s="39">
        <f>ROUND(D181*(E181),2)</f>
        <v>5157.47</v>
      </c>
      <c r="H181" s="270"/>
      <c r="I181" s="41"/>
      <c r="J181" s="41"/>
      <c r="K181" s="271"/>
      <c r="L181" s="272"/>
      <c r="M181" s="102"/>
      <c r="N181" s="423"/>
      <c r="O181" s="406"/>
      <c r="P181" s="406"/>
      <c r="Q181" s="407"/>
      <c r="R181" s="422"/>
      <c r="S181" s="399"/>
      <c r="T181" s="399"/>
    </row>
    <row r="182" spans="1:20" s="81" customFormat="1" ht="15.75" customHeight="1">
      <c r="A182" s="389"/>
      <c r="B182" s="83"/>
      <c r="C182" s="48" t="s">
        <v>263</v>
      </c>
      <c r="D182" s="37">
        <v>77.900000000000006</v>
      </c>
      <c r="E182" s="41">
        <v>7.5269000000000004</v>
      </c>
      <c r="F182" s="38"/>
      <c r="G182" s="39">
        <f>ROUND(D182*(E182),2)</f>
        <v>586.35</v>
      </c>
      <c r="H182" s="270"/>
      <c r="I182" s="41"/>
      <c r="J182" s="41"/>
      <c r="K182" s="271"/>
      <c r="L182" s="272"/>
      <c r="M182" s="102"/>
      <c r="N182" s="423"/>
      <c r="O182" s="406"/>
      <c r="P182" s="406"/>
      <c r="Q182" s="425"/>
      <c r="R182" s="422"/>
      <c r="S182" s="399"/>
      <c r="T182" s="399"/>
    </row>
    <row r="183" spans="1:20" s="81" customFormat="1" ht="15.75" customHeight="1" thickBot="1">
      <c r="A183" s="411"/>
      <c r="B183" s="412"/>
      <c r="C183" s="99" t="s">
        <v>29</v>
      </c>
      <c r="D183" s="413">
        <v>32460</v>
      </c>
      <c r="E183" s="56">
        <v>7.5269000000000004</v>
      </c>
      <c r="F183" s="281"/>
      <c r="G183" s="414">
        <f>ROUND(D183*(E183),2)</f>
        <v>244323.17</v>
      </c>
      <c r="H183" s="280"/>
      <c r="I183" s="281"/>
      <c r="J183" s="281"/>
      <c r="K183" s="282"/>
      <c r="L183" s="204"/>
      <c r="M183" s="371"/>
      <c r="N183" s="426"/>
      <c r="O183" s="416"/>
      <c r="P183" s="416"/>
      <c r="Q183" s="417"/>
      <c r="R183" s="422"/>
      <c r="S183" s="399"/>
      <c r="T183" s="399"/>
    </row>
    <row r="184" spans="1:20" s="81" customFormat="1" ht="15.75" customHeight="1">
      <c r="A184" s="376">
        <v>118</v>
      </c>
      <c r="B184" s="924" t="s">
        <v>321</v>
      </c>
      <c r="C184" s="377" t="s">
        <v>73</v>
      </c>
      <c r="D184" s="378">
        <v>65</v>
      </c>
      <c r="E184" s="21">
        <v>41.244</v>
      </c>
      <c r="F184" s="21">
        <v>48.335999999999999</v>
      </c>
      <c r="G184" s="22">
        <f>+D184*(E184+F184)</f>
        <v>5822.7</v>
      </c>
      <c r="H184" s="303"/>
      <c r="I184" s="381"/>
      <c r="J184" s="41"/>
      <c r="K184" s="342"/>
      <c r="L184" s="263">
        <f>SUM(G184:G188,J184:J188)</f>
        <v>58584.61</v>
      </c>
      <c r="M184" s="26">
        <v>58584.61</v>
      </c>
      <c r="N184" s="421"/>
      <c r="O184" s="77"/>
      <c r="P184" s="77"/>
      <c r="Q184" s="384"/>
      <c r="R184" s="422"/>
      <c r="S184" s="399"/>
      <c r="T184" s="399"/>
    </row>
    <row r="185" spans="1:20" s="81" customFormat="1" ht="15.75" customHeight="1">
      <c r="A185" s="389"/>
      <c r="B185" s="920" t="s">
        <v>322</v>
      </c>
      <c r="C185" s="36" t="s">
        <v>26</v>
      </c>
      <c r="D185" s="37"/>
      <c r="E185" s="38"/>
      <c r="F185" s="38"/>
      <c r="G185" s="39">
        <f>ROUND(D185*(E185+F185),2)</f>
        <v>0</v>
      </c>
      <c r="H185" s="457"/>
      <c r="I185" s="392"/>
      <c r="J185" s="41"/>
      <c r="K185" s="393"/>
      <c r="L185" s="459"/>
      <c r="M185" s="44"/>
      <c r="N185" s="430"/>
      <c r="O185" s="406"/>
      <c r="P185" s="406"/>
      <c r="Q185" s="407"/>
      <c r="R185" s="422"/>
      <c r="S185" s="399"/>
      <c r="T185" s="399"/>
    </row>
    <row r="186" spans="1:20" s="81" customFormat="1" ht="15.75" customHeight="1">
      <c r="A186" s="389"/>
      <c r="B186" s="920"/>
      <c r="C186" s="48" t="s">
        <v>260</v>
      </c>
      <c r="D186" s="37">
        <v>0</v>
      </c>
      <c r="E186" s="41">
        <f>7.5269-7.3681</f>
        <v>0.15880000000000027</v>
      </c>
      <c r="F186" s="38"/>
      <c r="G186" s="39">
        <f>ROUND(D186*(E186),2)</f>
        <v>0</v>
      </c>
      <c r="H186" s="270"/>
      <c r="I186" s="41"/>
      <c r="J186" s="41"/>
      <c r="K186" s="271"/>
      <c r="L186" s="272"/>
      <c r="M186" s="102"/>
      <c r="N186" s="430"/>
      <c r="O186" s="406"/>
      <c r="P186" s="406"/>
      <c r="Q186" s="407"/>
      <c r="R186" s="422"/>
      <c r="S186" s="399"/>
      <c r="T186" s="399"/>
    </row>
    <row r="187" spans="1:20" s="81" customFormat="1" ht="15.75" customHeight="1">
      <c r="A187" s="389"/>
      <c r="B187" s="920"/>
      <c r="C187" s="48" t="s">
        <v>263</v>
      </c>
      <c r="D187" s="37">
        <v>16.78</v>
      </c>
      <c r="E187" s="41">
        <v>7.5269000000000004</v>
      </c>
      <c r="F187" s="38"/>
      <c r="G187" s="39">
        <f>ROUND(D187*(E187),2)</f>
        <v>126.3</v>
      </c>
      <c r="H187" s="270"/>
      <c r="I187" s="41"/>
      <c r="J187" s="41"/>
      <c r="K187" s="271"/>
      <c r="L187" s="272"/>
      <c r="M187" s="102"/>
      <c r="N187" s="434"/>
      <c r="O187" s="435"/>
      <c r="P187" s="435"/>
      <c r="Q187" s="425"/>
      <c r="R187" s="422"/>
      <c r="S187" s="399"/>
      <c r="T187" s="399"/>
    </row>
    <row r="188" spans="1:20" s="81" customFormat="1" ht="15.75" customHeight="1" thickBot="1">
      <c r="A188" s="411"/>
      <c r="B188" s="921"/>
      <c r="C188" s="54" t="s">
        <v>29</v>
      </c>
      <c r="D188" s="413">
        <v>6993</v>
      </c>
      <c r="E188" s="56">
        <v>7.5269000000000004</v>
      </c>
      <c r="F188" s="281"/>
      <c r="G188" s="414">
        <f>ROUND(D188*(E188),2)</f>
        <v>52635.61</v>
      </c>
      <c r="H188" s="432"/>
      <c r="I188" s="207"/>
      <c r="J188" s="207"/>
      <c r="K188" s="362"/>
      <c r="L188" s="433"/>
      <c r="M188" s="63"/>
      <c r="N188" s="434"/>
      <c r="O188" s="435"/>
      <c r="P188" s="435"/>
      <c r="Q188" s="425"/>
      <c r="R188" s="422"/>
      <c r="S188" s="399"/>
      <c r="T188" s="399"/>
    </row>
    <row r="189" spans="1:20" s="81" customFormat="1" ht="15.75" customHeight="1">
      <c r="A189" s="468">
        <v>121</v>
      </c>
      <c r="B189" s="699" t="s">
        <v>154</v>
      </c>
      <c r="C189" s="700" t="s">
        <v>260</v>
      </c>
      <c r="D189" s="471">
        <f>фев19!D187+фев19!D188</f>
        <v>285.68</v>
      </c>
      <c r="E189" s="261">
        <f>7.5269-7.3681</f>
        <v>0.15880000000000027</v>
      </c>
      <c r="F189" s="473"/>
      <c r="G189" s="449">
        <f>ROUND(D189*E189,2)-0.01</f>
        <v>45.36</v>
      </c>
      <c r="H189" s="303"/>
      <c r="I189" s="23"/>
      <c r="J189" s="23"/>
      <c r="K189" s="304"/>
      <c r="L189" s="263">
        <f>SUM(G189:G191)</f>
        <v>2588.0300000000002</v>
      </c>
      <c r="M189" s="26">
        <v>2588.0300000000002</v>
      </c>
      <c r="N189" s="421"/>
      <c r="O189" s="77"/>
      <c r="P189" s="77"/>
      <c r="Q189" s="384"/>
      <c r="R189" s="422"/>
      <c r="S189" s="399"/>
      <c r="T189" s="399"/>
    </row>
    <row r="190" spans="1:20" s="81" customFormat="1" ht="15.75" customHeight="1">
      <c r="A190" s="468"/>
      <c r="B190" s="469"/>
      <c r="C190" s="48" t="s">
        <v>263</v>
      </c>
      <c r="D190" s="471">
        <v>0.81</v>
      </c>
      <c r="E190" s="41">
        <v>7.5269000000000004</v>
      </c>
      <c r="F190" s="473"/>
      <c r="G190" s="449">
        <f>ROUND(D190*E190,2)</f>
        <v>6.1</v>
      </c>
      <c r="H190" s="260"/>
      <c r="I190" s="261"/>
      <c r="J190" s="261"/>
      <c r="K190" s="262"/>
      <c r="L190" s="286"/>
      <c r="M190" s="90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 thickBot="1">
      <c r="A191" s="858"/>
      <c r="B191" s="859"/>
      <c r="C191" s="54" t="s">
        <v>29</v>
      </c>
      <c r="D191" s="860">
        <v>337</v>
      </c>
      <c r="E191" s="56">
        <v>7.5269000000000004</v>
      </c>
      <c r="F191" s="861"/>
      <c r="G191" s="414">
        <f t="shared" ref="G191" si="36">ROUND(D191*E191,2)</f>
        <v>2536.5700000000002</v>
      </c>
      <c r="H191" s="280"/>
      <c r="I191" s="281"/>
      <c r="J191" s="281"/>
      <c r="K191" s="282"/>
      <c r="L191" s="204"/>
      <c r="M191" s="371"/>
      <c r="N191" s="426"/>
      <c r="O191" s="416"/>
      <c r="P191" s="416"/>
      <c r="Q191" s="417"/>
      <c r="R191" s="422"/>
      <c r="S191" s="399"/>
      <c r="T191" s="399"/>
    </row>
    <row r="192" spans="1:20" s="81" customFormat="1" ht="15.75" customHeight="1">
      <c r="A192" s="376">
        <v>202</v>
      </c>
      <c r="B192" s="420" t="s">
        <v>74</v>
      </c>
      <c r="C192" s="377" t="s">
        <v>73</v>
      </c>
      <c r="D192" s="378">
        <v>14</v>
      </c>
      <c r="E192" s="21">
        <v>41.244</v>
      </c>
      <c r="F192" s="21">
        <v>48.335999999999999</v>
      </c>
      <c r="G192" s="22">
        <f>ROUND(D192*(E192+F192),2)</f>
        <v>1254.1199999999999</v>
      </c>
      <c r="H192" s="303"/>
      <c r="I192" s="381"/>
      <c r="J192" s="381"/>
      <c r="K192" s="342"/>
      <c r="L192" s="263">
        <f>SUM(G192:G198,J192:J198)</f>
        <v>24290.67</v>
      </c>
      <c r="M192" s="26">
        <v>24290.67</v>
      </c>
      <c r="N192" s="421"/>
      <c r="O192" s="77"/>
      <c r="P192" s="77"/>
      <c r="Q192" s="384"/>
      <c r="R192" s="422"/>
      <c r="S192" s="399"/>
      <c r="T192" s="399"/>
    </row>
    <row r="193" spans="1:20" s="81" customFormat="1" ht="15.75" customHeight="1">
      <c r="A193" s="389"/>
      <c r="B193" s="98"/>
      <c r="C193" s="84" t="s">
        <v>26</v>
      </c>
      <c r="D193" s="37"/>
      <c r="E193" s="38"/>
      <c r="F193" s="38"/>
      <c r="G193" s="39">
        <f>ROUND(D193*(E193+F193),2)</f>
        <v>0</v>
      </c>
      <c r="H193" s="270"/>
      <c r="I193" s="392"/>
      <c r="J193" s="402"/>
      <c r="K193" s="393"/>
      <c r="L193" s="272"/>
      <c r="M193" s="102"/>
      <c r="N193" s="423"/>
      <c r="O193" s="406"/>
      <c r="P193" s="406"/>
      <c r="Q193" s="407"/>
      <c r="R193" s="422"/>
      <c r="S193" s="399"/>
      <c r="T193" s="399"/>
    </row>
    <row r="194" spans="1:20" s="81" customFormat="1" ht="15.75" customHeight="1">
      <c r="A194" s="389"/>
      <c r="B194" s="98" t="s">
        <v>32</v>
      </c>
      <c r="C194" s="99" t="s">
        <v>33</v>
      </c>
      <c r="D194" s="428">
        <v>7</v>
      </c>
      <c r="E194" s="101">
        <v>330.21</v>
      </c>
      <c r="F194" s="38">
        <f>F192</f>
        <v>48.335999999999999</v>
      </c>
      <c r="G194" s="39">
        <f>ROUND(D194*(E194+F194),2)</f>
        <v>2649.82</v>
      </c>
      <c r="H194" s="270"/>
      <c r="I194" s="41"/>
      <c r="J194" s="41"/>
      <c r="K194" s="271"/>
      <c r="L194" s="272"/>
      <c r="M194" s="102"/>
      <c r="N194" s="423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389"/>
      <c r="B195" s="83"/>
      <c r="C195" s="48" t="s">
        <v>76</v>
      </c>
      <c r="D195" s="37">
        <f>фев19!D191</f>
        <v>8</v>
      </c>
      <c r="E195" s="41">
        <f>330.21-357.98</f>
        <v>-27.770000000000039</v>
      </c>
      <c r="F195" s="38">
        <f>F193</f>
        <v>0</v>
      </c>
      <c r="G195" s="39">
        <f>ROUND(D195*(E195+F195),2)</f>
        <v>-222.16</v>
      </c>
      <c r="H195" s="270"/>
      <c r="I195" s="41"/>
      <c r="J195" s="41"/>
      <c r="K195" s="271"/>
      <c r="L195" s="272"/>
      <c r="M195" s="102"/>
      <c r="N195" s="423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389"/>
      <c r="B196" s="83"/>
      <c r="C196" s="48" t="s">
        <v>260</v>
      </c>
      <c r="D196" s="37">
        <f>фев19!D194+фев19!D195</f>
        <v>2445.86</v>
      </c>
      <c r="E196" s="41">
        <f>7.5269-7.3681</f>
        <v>0.15880000000000027</v>
      </c>
      <c r="F196" s="38"/>
      <c r="G196" s="39">
        <f>ROUND(D196*(E196+F196),2)</f>
        <v>388.4</v>
      </c>
      <c r="H196" s="270"/>
      <c r="I196" s="41"/>
      <c r="J196" s="41"/>
      <c r="K196" s="271"/>
      <c r="L196" s="272"/>
      <c r="M196" s="102"/>
      <c r="N196" s="423"/>
      <c r="O196" s="406"/>
      <c r="P196" s="406"/>
      <c r="Q196" s="407"/>
      <c r="R196" s="422"/>
      <c r="S196" s="399"/>
      <c r="T196" s="399"/>
    </row>
    <row r="197" spans="1:20" s="81" customFormat="1" ht="15.75" customHeight="1">
      <c r="A197" s="389"/>
      <c r="B197" s="83"/>
      <c r="C197" s="48" t="s">
        <v>263</v>
      </c>
      <c r="D197" s="37">
        <v>6.43</v>
      </c>
      <c r="E197" s="41">
        <v>7.5269000000000004</v>
      </c>
      <c r="F197" s="38"/>
      <c r="G197" s="39">
        <f>ROUND(D197*E197,2)</f>
        <v>48.4</v>
      </c>
      <c r="H197" s="270"/>
      <c r="I197" s="41"/>
      <c r="J197" s="41"/>
      <c r="K197" s="271"/>
      <c r="L197" s="272"/>
      <c r="M197" s="102"/>
      <c r="N197" s="423"/>
      <c r="O197" s="406"/>
      <c r="P197" s="406"/>
      <c r="Q197" s="425"/>
      <c r="R197" s="422"/>
      <c r="S197" s="399"/>
      <c r="T197" s="399"/>
    </row>
    <row r="198" spans="1:20" s="81" customFormat="1" ht="15" customHeight="1" thickBot="1">
      <c r="A198" s="411"/>
      <c r="B198" s="412"/>
      <c r="C198" s="99" t="s">
        <v>29</v>
      </c>
      <c r="D198" s="413">
        <v>2680</v>
      </c>
      <c r="E198" s="56">
        <v>7.5269000000000004</v>
      </c>
      <c r="F198" s="281"/>
      <c r="G198" s="414">
        <f>ROUND(D198*(E198+F198),2)</f>
        <v>20172.09</v>
      </c>
      <c r="H198" s="280"/>
      <c r="I198" s="281"/>
      <c r="J198" s="281"/>
      <c r="K198" s="282"/>
      <c r="L198" s="204"/>
      <c r="M198" s="371"/>
      <c r="N198" s="426"/>
      <c r="O198" s="416"/>
      <c r="P198" s="416"/>
      <c r="Q198" s="417"/>
      <c r="R198" s="422"/>
      <c r="S198" s="399"/>
      <c r="T198" s="399"/>
    </row>
    <row r="199" spans="1:20" s="81" customFormat="1" ht="15.75" customHeight="1">
      <c r="A199" s="902">
        <v>203</v>
      </c>
      <c r="B199" s="903" t="s">
        <v>230</v>
      </c>
      <c r="C199" s="439" t="s">
        <v>260</v>
      </c>
      <c r="D199" s="904">
        <f>фев19!D197+фев19!D198</f>
        <v>0</v>
      </c>
      <c r="E199" s="23">
        <f>7.5269-7.3681</f>
        <v>0.15880000000000027</v>
      </c>
      <c r="F199" s="905"/>
      <c r="G199" s="22">
        <f>ROUND(D199*E199,2)</f>
        <v>0</v>
      </c>
      <c r="H199" s="303"/>
      <c r="I199" s="23"/>
      <c r="J199" s="23"/>
      <c r="K199" s="304"/>
      <c r="L199" s="263">
        <f>SUM(G199:G201)</f>
        <v>0</v>
      </c>
      <c r="M199" s="26"/>
      <c r="N199" s="421"/>
      <c r="O199" s="1013" t="s">
        <v>319</v>
      </c>
      <c r="P199" s="77"/>
      <c r="Q199" s="384"/>
      <c r="R199" s="422"/>
      <c r="S199" s="399"/>
      <c r="T199" s="399"/>
    </row>
    <row r="200" spans="1:20" s="81" customFormat="1" ht="15.75" customHeight="1">
      <c r="A200" s="468"/>
      <c r="B200" s="469" t="s">
        <v>291</v>
      </c>
      <c r="C200" s="48" t="s">
        <v>263</v>
      </c>
      <c r="D200" s="471">
        <v>0</v>
      </c>
      <c r="E200" s="41">
        <v>7.5269000000000004</v>
      </c>
      <c r="F200" s="473"/>
      <c r="G200" s="449">
        <f>ROUND(D200*E200,2)</f>
        <v>0</v>
      </c>
      <c r="H200" s="260"/>
      <c r="I200" s="261"/>
      <c r="J200" s="261"/>
      <c r="K200" s="262"/>
      <c r="L200" s="286"/>
      <c r="M200" s="90"/>
      <c r="N200" s="423"/>
      <c r="O200" s="406"/>
      <c r="P200" s="406"/>
      <c r="Q200" s="407"/>
      <c r="R200" s="422"/>
      <c r="S200" s="399"/>
      <c r="T200" s="399"/>
    </row>
    <row r="201" spans="1:20" s="81" customFormat="1" ht="15.75" customHeight="1" thickBot="1">
      <c r="A201" s="858"/>
      <c r="B201" s="859"/>
      <c r="C201" s="54" t="s">
        <v>29</v>
      </c>
      <c r="D201" s="860">
        <v>0</v>
      </c>
      <c r="E201" s="56">
        <v>7.5269000000000004</v>
      </c>
      <c r="F201" s="861"/>
      <c r="G201" s="414">
        <f t="shared" ref="G201" si="37">ROUND(D201*E201,2)</f>
        <v>0</v>
      </c>
      <c r="H201" s="280"/>
      <c r="I201" s="281"/>
      <c r="J201" s="207"/>
      <c r="K201" s="362"/>
      <c r="L201" s="433"/>
      <c r="M201" s="63"/>
      <c r="N201" s="426"/>
      <c r="O201" s="416"/>
      <c r="P201" s="416"/>
      <c r="Q201" s="417"/>
      <c r="R201" s="422"/>
      <c r="S201" s="399"/>
      <c r="T201" s="399"/>
    </row>
    <row r="202" spans="1:20" s="81" customFormat="1" ht="15.75" customHeight="1">
      <c r="A202" s="902">
        <v>204</v>
      </c>
      <c r="B202" s="903" t="s">
        <v>257</v>
      </c>
      <c r="C202" s="439" t="s">
        <v>260</v>
      </c>
      <c r="D202" s="904">
        <f>фев19!D200+фев19!D201</f>
        <v>60.14</v>
      </c>
      <c r="E202" s="23">
        <f>7.5269-7.3681</f>
        <v>0.15880000000000027</v>
      </c>
      <c r="F202" s="905"/>
      <c r="G202" s="22">
        <f>ROUND(D202*E202,2)</f>
        <v>9.5500000000000007</v>
      </c>
      <c r="H202" s="303"/>
      <c r="I202" s="23"/>
      <c r="J202" s="23"/>
      <c r="K202" s="304"/>
      <c r="L202" s="263">
        <f>SUM(G202:G204)</f>
        <v>507.53</v>
      </c>
      <c r="M202" s="26">
        <v>507.53</v>
      </c>
      <c r="N202" s="421"/>
      <c r="O202" s="77"/>
      <c r="P202" s="77"/>
      <c r="Q202" s="384"/>
      <c r="R202" s="422"/>
      <c r="S202" s="399"/>
      <c r="T202" s="399"/>
    </row>
    <row r="203" spans="1:20" s="81" customFormat="1" ht="15.75" customHeight="1">
      <c r="A203" s="468"/>
      <c r="B203" s="469"/>
      <c r="C203" s="48" t="s">
        <v>263</v>
      </c>
      <c r="D203" s="471">
        <v>0.16</v>
      </c>
      <c r="E203" s="41">
        <v>7.5269000000000004</v>
      </c>
      <c r="F203" s="473"/>
      <c r="G203" s="449">
        <f>ROUND(D203*E203,2)</f>
        <v>1.2</v>
      </c>
      <c r="H203" s="260"/>
      <c r="I203" s="261"/>
      <c r="J203" s="261"/>
      <c r="K203" s="262"/>
      <c r="L203" s="286"/>
      <c r="M203" s="90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 thickBot="1">
      <c r="A204" s="858"/>
      <c r="B204" s="859"/>
      <c r="C204" s="54" t="s">
        <v>29</v>
      </c>
      <c r="D204" s="860">
        <v>66</v>
      </c>
      <c r="E204" s="56">
        <v>7.5269000000000004</v>
      </c>
      <c r="F204" s="861"/>
      <c r="G204" s="414">
        <f t="shared" ref="G204" si="38">ROUND(D204*E204,2)</f>
        <v>496.78</v>
      </c>
      <c r="H204" s="280"/>
      <c r="I204" s="281"/>
      <c r="J204" s="281"/>
      <c r="K204" s="282"/>
      <c r="L204" s="204"/>
      <c r="M204" s="371"/>
      <c r="N204" s="426"/>
      <c r="O204" s="416"/>
      <c r="P204" s="416"/>
      <c r="Q204" s="417"/>
      <c r="R204" s="422"/>
      <c r="S204" s="399"/>
      <c r="T204" s="399"/>
    </row>
    <row r="205" spans="1:20" s="81" customFormat="1" ht="15.75" customHeight="1">
      <c r="A205" s="902">
        <v>207</v>
      </c>
      <c r="B205" s="903" t="s">
        <v>248</v>
      </c>
      <c r="C205" s="439" t="s">
        <v>260</v>
      </c>
      <c r="D205" s="904">
        <f>фев19!D203+фев19!D204</f>
        <v>383.92</v>
      </c>
      <c r="E205" s="23">
        <f>7.5269-7.3681</f>
        <v>0.15880000000000027</v>
      </c>
      <c r="F205" s="905"/>
      <c r="G205" s="22">
        <f>ROUND(D205*E205,2)+0.01</f>
        <v>60.98</v>
      </c>
      <c r="H205" s="303"/>
      <c r="I205" s="23"/>
      <c r="J205" s="23"/>
      <c r="K205" s="304"/>
      <c r="L205" s="263">
        <f>SUM(G205:G207)</f>
        <v>3410.9700000000003</v>
      </c>
      <c r="M205" s="26">
        <v>3410.97</v>
      </c>
      <c r="N205" s="421"/>
      <c r="O205" s="77"/>
      <c r="P205" s="77"/>
      <c r="Q205" s="384"/>
      <c r="R205" s="422"/>
      <c r="S205" s="399"/>
      <c r="T205" s="399"/>
    </row>
    <row r="206" spans="1:20" s="81" customFormat="1" ht="15.75" customHeight="1">
      <c r="A206" s="468"/>
      <c r="B206" s="469"/>
      <c r="C206" s="48" t="s">
        <v>263</v>
      </c>
      <c r="D206" s="471">
        <v>1.07</v>
      </c>
      <c r="E206" s="41">
        <v>7.5269000000000004</v>
      </c>
      <c r="F206" s="473"/>
      <c r="G206" s="449">
        <f>ROUND(D206*E206,2)</f>
        <v>8.0500000000000007</v>
      </c>
      <c r="H206" s="260"/>
      <c r="I206" s="261"/>
      <c r="J206" s="261"/>
      <c r="K206" s="262"/>
      <c r="L206" s="286"/>
      <c r="M206" s="90"/>
      <c r="N206" s="423"/>
      <c r="O206" s="406"/>
      <c r="P206" s="406"/>
      <c r="Q206" s="407"/>
      <c r="R206" s="422"/>
      <c r="S206" s="399"/>
      <c r="T206" s="399"/>
    </row>
    <row r="207" spans="1:20" s="81" customFormat="1" ht="15.75" customHeight="1" thickBot="1">
      <c r="A207" s="858"/>
      <c r="B207" s="859"/>
      <c r="C207" s="54" t="s">
        <v>29</v>
      </c>
      <c r="D207" s="860">
        <v>444</v>
      </c>
      <c r="E207" s="56">
        <v>7.5269000000000004</v>
      </c>
      <c r="F207" s="861"/>
      <c r="G207" s="414">
        <f t="shared" ref="G207" si="39">ROUND(D207*E207,2)</f>
        <v>3341.94</v>
      </c>
      <c r="H207" s="280"/>
      <c r="I207" s="281"/>
      <c r="J207" s="207"/>
      <c r="K207" s="362"/>
      <c r="L207" s="433"/>
      <c r="M207" s="63"/>
      <c r="N207" s="426"/>
      <c r="O207" s="416"/>
      <c r="P207" s="416"/>
      <c r="Q207" s="417"/>
      <c r="R207" s="422"/>
      <c r="S207" s="399"/>
      <c r="T207" s="399"/>
    </row>
    <row r="208" spans="1:20" s="81" customFormat="1" ht="15.75" customHeight="1">
      <c r="A208" s="906">
        <v>208</v>
      </c>
      <c r="B208" s="903" t="s">
        <v>316</v>
      </c>
      <c r="C208" s="48" t="s">
        <v>260</v>
      </c>
      <c r="D208" s="471">
        <f>фев19!D206+фев19!D207</f>
        <v>161.38999999999999</v>
      </c>
      <c r="E208" s="41">
        <f>7.5269-7.3681</f>
        <v>0.15880000000000027</v>
      </c>
      <c r="F208" s="473"/>
      <c r="G208" s="862">
        <f>ROUND(D208*E208,2)</f>
        <v>25.63</v>
      </c>
      <c r="H208" s="270"/>
      <c r="I208" s="41"/>
      <c r="J208" s="41"/>
      <c r="K208" s="271"/>
      <c r="L208" s="263">
        <f>SUM(G208:G210)</f>
        <v>1632.7</v>
      </c>
      <c r="M208" s="878">
        <v>1632.7</v>
      </c>
      <c r="N208" s="421"/>
      <c r="O208" s="406"/>
      <c r="P208" s="406"/>
      <c r="Q208" s="407"/>
      <c r="R208" s="422"/>
      <c r="S208" s="399"/>
      <c r="T208" s="399"/>
    </row>
    <row r="209" spans="1:20" s="81" customFormat="1" ht="15.75" customHeight="1">
      <c r="A209" s="468"/>
      <c r="B209" s="469"/>
      <c r="C209" s="48" t="s">
        <v>263</v>
      </c>
      <c r="D209" s="471">
        <v>0.51</v>
      </c>
      <c r="E209" s="41">
        <v>7.5269000000000004</v>
      </c>
      <c r="F209" s="473"/>
      <c r="G209" s="862">
        <f>ROUND(D209*E209,2)</f>
        <v>3.84</v>
      </c>
      <c r="H209" s="270"/>
      <c r="I209" s="41"/>
      <c r="J209" s="41"/>
      <c r="K209" s="271"/>
      <c r="L209" s="272"/>
      <c r="M209" s="878"/>
      <c r="N209" s="423"/>
      <c r="O209" s="406"/>
      <c r="P209" s="406"/>
      <c r="Q209" s="407"/>
      <c r="R209" s="422"/>
      <c r="S209" s="399"/>
      <c r="T209" s="399"/>
    </row>
    <row r="210" spans="1:20" s="81" customFormat="1" ht="15.75" customHeight="1" thickBot="1">
      <c r="A210" s="858"/>
      <c r="B210" s="859"/>
      <c r="C210" s="54" t="s">
        <v>29</v>
      </c>
      <c r="D210" s="860">
        <v>213</v>
      </c>
      <c r="E210" s="56">
        <v>7.5269000000000004</v>
      </c>
      <c r="F210" s="861"/>
      <c r="G210" s="866">
        <f t="shared" ref="G210" si="40">ROUND(D210*E210,2)</f>
        <v>1603.23</v>
      </c>
      <c r="H210" s="280"/>
      <c r="I210" s="281"/>
      <c r="J210" s="281"/>
      <c r="K210" s="282"/>
      <c r="L210" s="204"/>
      <c r="M210" s="880"/>
      <c r="N210" s="426"/>
      <c r="O210" s="416"/>
      <c r="P210" s="416"/>
      <c r="Q210" s="417"/>
      <c r="R210" s="422"/>
      <c r="S210" s="399"/>
      <c r="T210" s="399"/>
    </row>
    <row r="211" spans="1:20" s="81" customFormat="1" ht="15" customHeight="1">
      <c r="A211" s="376">
        <v>210</v>
      </c>
      <c r="B211" s="420" t="s">
        <v>77</v>
      </c>
      <c r="C211" s="377" t="s">
        <v>73</v>
      </c>
      <c r="D211" s="378">
        <v>4</v>
      </c>
      <c r="E211" s="21">
        <v>41.244</v>
      </c>
      <c r="F211" s="21">
        <v>48.335999999999999</v>
      </c>
      <c r="G211" s="22">
        <f t="shared" ref="G211:G217" si="41">ROUND(D211*(E211+F211),2)</f>
        <v>358.32</v>
      </c>
      <c r="H211" s="303"/>
      <c r="I211" s="381"/>
      <c r="J211" s="381"/>
      <c r="K211" s="342"/>
      <c r="L211" s="382">
        <f>+SUM(G211:G217,J211:J217)</f>
        <v>3839.96</v>
      </c>
      <c r="M211" s="26">
        <v>3839.96</v>
      </c>
      <c r="N211" s="421"/>
      <c r="O211" s="77"/>
      <c r="P211" s="77"/>
      <c r="Q211" s="384"/>
      <c r="R211" s="422"/>
      <c r="S211" s="399"/>
      <c r="T211" s="399"/>
    </row>
    <row r="212" spans="1:20" s="81" customFormat="1" ht="15" customHeight="1">
      <c r="A212" s="389"/>
      <c r="B212" s="83"/>
      <c r="C212" s="84" t="s">
        <v>26</v>
      </c>
      <c r="D212" s="37"/>
      <c r="E212" s="38"/>
      <c r="F212" s="38"/>
      <c r="G212" s="39">
        <f t="shared" si="41"/>
        <v>0</v>
      </c>
      <c r="H212" s="270"/>
      <c r="I212" s="392"/>
      <c r="J212" s="402"/>
      <c r="K212" s="393"/>
      <c r="L212" s="429"/>
      <c r="M212" s="102"/>
      <c r="N212" s="430"/>
      <c r="O212" s="406"/>
      <c r="P212" s="406"/>
      <c r="Q212" s="407"/>
      <c r="R212" s="422"/>
      <c r="S212" s="399"/>
      <c r="T212" s="399"/>
    </row>
    <row r="213" spans="1:20" s="81" customFormat="1" ht="15" customHeight="1">
      <c r="A213" s="389"/>
      <c r="B213" s="98" t="s">
        <v>32</v>
      </c>
      <c r="C213" s="99" t="s">
        <v>33</v>
      </c>
      <c r="D213" s="37">
        <v>4</v>
      </c>
      <c r="E213" s="101">
        <v>330.21</v>
      </c>
      <c r="F213" s="38">
        <f>F211</f>
        <v>48.335999999999999</v>
      </c>
      <c r="G213" s="39">
        <f t="shared" si="41"/>
        <v>1514.18</v>
      </c>
      <c r="H213" s="270"/>
      <c r="I213" s="41"/>
      <c r="J213" s="41"/>
      <c r="K213" s="271"/>
      <c r="L213" s="272"/>
      <c r="M213" s="102"/>
      <c r="N213" s="430"/>
      <c r="O213" s="406"/>
      <c r="P213" s="406"/>
      <c r="Q213" s="407"/>
      <c r="R213" s="422"/>
      <c r="S213" s="399"/>
      <c r="T213" s="399"/>
    </row>
    <row r="214" spans="1:20" s="81" customFormat="1" ht="15" customHeight="1">
      <c r="A214" s="389"/>
      <c r="B214" s="83"/>
      <c r="C214" s="48" t="s">
        <v>190</v>
      </c>
      <c r="D214" s="37">
        <f>фев19!D210</f>
        <v>4</v>
      </c>
      <c r="E214" s="41">
        <f>330.21-357.98</f>
        <v>-27.770000000000039</v>
      </c>
      <c r="F214" s="38">
        <f>F212</f>
        <v>0</v>
      </c>
      <c r="G214" s="39">
        <f>ROUND(D214*(E214+F214),2)</f>
        <v>-111.08</v>
      </c>
      <c r="H214" s="270"/>
      <c r="I214" s="41"/>
      <c r="J214" s="41"/>
      <c r="K214" s="271"/>
      <c r="L214" s="272"/>
      <c r="M214" s="102"/>
      <c r="N214" s="430"/>
      <c r="O214" s="406"/>
      <c r="P214" s="406"/>
      <c r="Q214" s="407"/>
      <c r="R214" s="422"/>
      <c r="S214" s="399"/>
      <c r="T214" s="399"/>
    </row>
    <row r="215" spans="1:20" s="81" customFormat="1" ht="15" customHeight="1">
      <c r="A215" s="389"/>
      <c r="B215" s="83"/>
      <c r="C215" s="48" t="s">
        <v>260</v>
      </c>
      <c r="D215" s="37">
        <f>фев19!D213+фев19!D214</f>
        <v>260.62</v>
      </c>
      <c r="E215" s="41">
        <f>7.5269-7.3681</f>
        <v>0.15880000000000027</v>
      </c>
      <c r="F215" s="38"/>
      <c r="G215" s="39">
        <f>ROUND(D215*(E215+F215),2)</f>
        <v>41.39</v>
      </c>
      <c r="H215" s="270"/>
      <c r="I215" s="41"/>
      <c r="J215" s="41"/>
      <c r="K215" s="271"/>
      <c r="L215" s="272"/>
      <c r="M215" s="102"/>
      <c r="N215" s="430"/>
      <c r="O215" s="406"/>
      <c r="P215" s="406"/>
      <c r="Q215" s="407"/>
      <c r="R215" s="899"/>
      <c r="S215" s="399"/>
      <c r="T215" s="399"/>
    </row>
    <row r="216" spans="1:20" s="81" customFormat="1" ht="15" customHeight="1">
      <c r="A216" s="389"/>
      <c r="B216" s="83"/>
      <c r="C216" s="48" t="s">
        <v>263</v>
      </c>
      <c r="D216" s="37">
        <v>0.65</v>
      </c>
      <c r="E216" s="41">
        <v>7.5269000000000004</v>
      </c>
      <c r="F216" s="38"/>
      <c r="G216" s="39">
        <f t="shared" si="41"/>
        <v>4.8899999999999997</v>
      </c>
      <c r="H216" s="432"/>
      <c r="I216" s="207"/>
      <c r="J216" s="207"/>
      <c r="K216" s="362"/>
      <c r="L216" s="433"/>
      <c r="M216" s="63"/>
      <c r="N216" s="434"/>
      <c r="O216" s="435"/>
      <c r="P216" s="435"/>
      <c r="Q216" s="425"/>
      <c r="R216" s="899"/>
      <c r="S216" s="399"/>
      <c r="T216" s="399"/>
    </row>
    <row r="217" spans="1:20" s="81" customFormat="1" ht="15" customHeight="1" thickBot="1">
      <c r="A217" s="411"/>
      <c r="B217" s="412"/>
      <c r="C217" s="99" t="s">
        <v>29</v>
      </c>
      <c r="D217" s="413">
        <v>270</v>
      </c>
      <c r="E217" s="56">
        <v>7.5269000000000004</v>
      </c>
      <c r="F217" s="281"/>
      <c r="G217" s="414">
        <f t="shared" si="41"/>
        <v>2032.26</v>
      </c>
      <c r="H217" s="280"/>
      <c r="I217" s="281"/>
      <c r="J217" s="281"/>
      <c r="K217" s="282"/>
      <c r="L217" s="204"/>
      <c r="M217" s="371"/>
      <c r="N217" s="426"/>
      <c r="O217" s="416"/>
      <c r="P217" s="416"/>
      <c r="Q217" s="417"/>
      <c r="R217" s="899"/>
      <c r="S217" s="399"/>
      <c r="T217" s="399"/>
    </row>
    <row r="218" spans="1:20" s="81" customFormat="1" ht="15.75" customHeight="1">
      <c r="A218" s="447">
        <v>211</v>
      </c>
      <c r="B218" s="903" t="s">
        <v>231</v>
      </c>
      <c r="C218" s="439" t="s">
        <v>260</v>
      </c>
      <c r="D218" s="904">
        <f>фев19!D216+фев19!D217</f>
        <v>234.56</v>
      </c>
      <c r="E218" s="23">
        <f>7.5269-7.3681</f>
        <v>0.15880000000000027</v>
      </c>
      <c r="F218" s="905"/>
      <c r="G218" s="22">
        <f>ROUND(D218*E218,2)</f>
        <v>37.25</v>
      </c>
      <c r="H218" s="303"/>
      <c r="I218" s="23"/>
      <c r="J218" s="23"/>
      <c r="K218" s="304"/>
      <c r="L218" s="263">
        <f>SUM(G218:G220)</f>
        <v>2066.88</v>
      </c>
      <c r="M218" s="26">
        <v>2066.88</v>
      </c>
      <c r="N218" s="421"/>
      <c r="O218" s="77"/>
      <c r="P218" s="77"/>
      <c r="Q218" s="384"/>
      <c r="R218" s="422"/>
      <c r="S218" s="399"/>
      <c r="T218" s="399"/>
    </row>
    <row r="219" spans="1:20" s="81" customFormat="1" ht="15.75" customHeight="1">
      <c r="A219" s="450"/>
      <c r="B219" s="469"/>
      <c r="C219" s="48" t="s">
        <v>263</v>
      </c>
      <c r="D219" s="471">
        <v>0.65</v>
      </c>
      <c r="E219" s="41">
        <v>7.5269000000000004</v>
      </c>
      <c r="F219" s="473"/>
      <c r="G219" s="449">
        <f>ROUND(D219*E219,2)</f>
        <v>4.8899999999999997</v>
      </c>
      <c r="H219" s="260"/>
      <c r="I219" s="261"/>
      <c r="J219" s="261"/>
      <c r="K219" s="262"/>
      <c r="L219" s="286"/>
      <c r="M219" s="90"/>
      <c r="N219" s="423"/>
      <c r="O219" s="406"/>
      <c r="P219" s="406"/>
      <c r="Q219" s="407"/>
      <c r="R219" s="422"/>
      <c r="S219" s="399"/>
      <c r="T219" s="399"/>
    </row>
    <row r="220" spans="1:20" s="81" customFormat="1" ht="15.75" customHeight="1" thickBot="1">
      <c r="A220" s="451"/>
      <c r="B220" s="859"/>
      <c r="C220" s="54" t="s">
        <v>29</v>
      </c>
      <c r="D220" s="860">
        <v>269</v>
      </c>
      <c r="E220" s="56">
        <v>7.5269000000000004</v>
      </c>
      <c r="F220" s="861"/>
      <c r="G220" s="414">
        <f t="shared" ref="G220" si="42">ROUND(D220*E220,2)</f>
        <v>2024.74</v>
      </c>
      <c r="H220" s="280"/>
      <c r="I220" s="281"/>
      <c r="J220" s="207"/>
      <c r="K220" s="362"/>
      <c r="L220" s="433"/>
      <c r="M220" s="63"/>
      <c r="N220" s="426"/>
      <c r="O220" s="416"/>
      <c r="P220" s="416"/>
      <c r="Q220" s="417"/>
      <c r="R220" s="422"/>
      <c r="S220" s="399"/>
      <c r="T220" s="399"/>
    </row>
    <row r="221" spans="1:20" s="81" customFormat="1" ht="15.75" customHeight="1">
      <c r="A221" s="447">
        <v>212</v>
      </c>
      <c r="B221" s="903" t="s">
        <v>140</v>
      </c>
      <c r="C221" s="439" t="s">
        <v>260</v>
      </c>
      <c r="D221" s="904">
        <f>фев19!D219+фев19!D220</f>
        <v>518.24</v>
      </c>
      <c r="E221" s="23">
        <f>7.5269-7.3681</f>
        <v>0.15880000000000027</v>
      </c>
      <c r="F221" s="905"/>
      <c r="G221" s="22">
        <f>ROUND(D221*E221,2)</f>
        <v>82.3</v>
      </c>
      <c r="H221" s="303"/>
      <c r="I221" s="23"/>
      <c r="J221" s="23"/>
      <c r="K221" s="304"/>
      <c r="L221" s="263">
        <f>SUM(G221:G223)</f>
        <v>4586.6200000000008</v>
      </c>
      <c r="M221" s="26">
        <v>4586.62</v>
      </c>
      <c r="N221" s="421"/>
      <c r="O221" s="77"/>
      <c r="P221" s="77"/>
      <c r="Q221" s="384"/>
      <c r="R221" s="422"/>
      <c r="S221" s="399"/>
      <c r="T221" s="399"/>
    </row>
    <row r="222" spans="1:20" s="81" customFormat="1" ht="15.75" customHeight="1">
      <c r="A222" s="450"/>
      <c r="B222" s="469"/>
      <c r="C222" s="48" t="s">
        <v>263</v>
      </c>
      <c r="D222" s="471">
        <v>1.43</v>
      </c>
      <c r="E222" s="41">
        <v>7.5269000000000004</v>
      </c>
      <c r="F222" s="473"/>
      <c r="G222" s="449">
        <f>ROUND(D222*E222,2)</f>
        <v>10.76</v>
      </c>
      <c r="H222" s="260"/>
      <c r="I222" s="261"/>
      <c r="J222" s="261"/>
      <c r="K222" s="262"/>
      <c r="L222" s="286"/>
      <c r="M222" s="90"/>
      <c r="N222" s="423"/>
      <c r="O222" s="406"/>
      <c r="P222" s="406"/>
      <c r="Q222" s="407"/>
      <c r="R222" s="422"/>
      <c r="S222" s="399"/>
      <c r="T222" s="399"/>
    </row>
    <row r="223" spans="1:20" s="81" customFormat="1" ht="15.75" customHeight="1" thickBot="1">
      <c r="A223" s="451"/>
      <c r="B223" s="859"/>
      <c r="C223" s="54" t="s">
        <v>29</v>
      </c>
      <c r="D223" s="860">
        <v>597</v>
      </c>
      <c r="E223" s="56">
        <v>7.5269000000000004</v>
      </c>
      <c r="F223" s="861"/>
      <c r="G223" s="414">
        <f t="shared" ref="G223" si="43">ROUND(D223*E223,2)</f>
        <v>4493.5600000000004</v>
      </c>
      <c r="H223" s="280"/>
      <c r="I223" s="281"/>
      <c r="J223" s="207"/>
      <c r="K223" s="362"/>
      <c r="L223" s="433"/>
      <c r="M223" s="63"/>
      <c r="N223" s="426"/>
      <c r="O223" s="416"/>
      <c r="P223" s="416"/>
      <c r="Q223" s="417"/>
      <c r="R223" s="422"/>
      <c r="S223" s="399"/>
      <c r="T223" s="399"/>
    </row>
    <row r="224" spans="1:20" s="81" customFormat="1" ht="15.75" hidden="1" customHeight="1">
      <c r="A224" s="447">
        <v>213</v>
      </c>
      <c r="B224" s="903" t="s">
        <v>134</v>
      </c>
      <c r="C224" s="439" t="s">
        <v>260</v>
      </c>
      <c r="D224" s="904"/>
      <c r="E224" s="23">
        <f>7.0999-6.7991</f>
        <v>0.30079999999999973</v>
      </c>
      <c r="F224" s="905"/>
      <c r="G224" s="22">
        <f>ROUND(D224*E224,2)-0.01</f>
        <v>-0.01</v>
      </c>
      <c r="H224" s="303"/>
      <c r="I224" s="23"/>
      <c r="J224" s="23"/>
      <c r="K224" s="304"/>
      <c r="L224" s="263">
        <f>SUM(G224:G226)</f>
        <v>-0.01</v>
      </c>
      <c r="M224" s="26"/>
      <c r="N224" s="421"/>
      <c r="O224" s="77"/>
      <c r="P224" s="77"/>
      <c r="Q224" s="384"/>
      <c r="R224" s="422"/>
      <c r="S224" s="399"/>
      <c r="T224" s="399"/>
    </row>
    <row r="225" spans="1:21" s="81" customFormat="1" ht="15.75" hidden="1" customHeight="1">
      <c r="A225" s="450"/>
      <c r="B225" s="469"/>
      <c r="C225" s="48" t="s">
        <v>263</v>
      </c>
      <c r="D225" s="471"/>
      <c r="E225" s="41">
        <v>7.0998999999999999</v>
      </c>
      <c r="F225" s="473"/>
      <c r="G225" s="449">
        <f t="shared" ref="G225:G226" si="44">ROUND(D225*E225,2)</f>
        <v>0</v>
      </c>
      <c r="H225" s="260"/>
      <c r="I225" s="261"/>
      <c r="J225" s="261"/>
      <c r="K225" s="262"/>
      <c r="L225" s="286"/>
      <c r="M225" s="90"/>
      <c r="N225" s="423"/>
      <c r="O225" s="406"/>
      <c r="P225" s="406"/>
      <c r="Q225" s="407"/>
      <c r="R225" s="422"/>
      <c r="S225" s="399"/>
      <c r="T225" s="399"/>
    </row>
    <row r="226" spans="1:21" s="81" customFormat="1" ht="15.75" hidden="1" customHeight="1" thickBot="1">
      <c r="A226" s="451"/>
      <c r="B226" s="859"/>
      <c r="C226" s="54" t="s">
        <v>29</v>
      </c>
      <c r="D226" s="860"/>
      <c r="E226" s="56">
        <v>7.0998999999999999</v>
      </c>
      <c r="F226" s="861"/>
      <c r="G226" s="414">
        <f t="shared" si="44"/>
        <v>0</v>
      </c>
      <c r="H226" s="280"/>
      <c r="I226" s="281"/>
      <c r="J226" s="281"/>
      <c r="K226" s="282"/>
      <c r="L226" s="204"/>
      <c r="M226" s="371"/>
      <c r="N226" s="426"/>
      <c r="O226" s="416"/>
      <c r="P226" s="416"/>
      <c r="Q226" s="417"/>
      <c r="R226" s="422"/>
      <c r="S226" s="399"/>
      <c r="T226" s="399"/>
    </row>
    <row r="227" spans="1:21" s="81" customFormat="1" ht="15.75" customHeight="1">
      <c r="A227" s="447">
        <v>215</v>
      </c>
      <c r="B227" s="1222" t="s">
        <v>314</v>
      </c>
      <c r="C227" s="1223"/>
      <c r="D227" s="1224"/>
      <c r="E227" s="1147"/>
      <c r="F227" s="1225"/>
      <c r="G227" s="379">
        <f>ROUND(D227*E227,2)</f>
        <v>0</v>
      </c>
      <c r="H227" s="1226"/>
      <c r="I227" s="1147"/>
      <c r="J227" s="1147"/>
      <c r="K227" s="1227"/>
      <c r="L227" s="1228">
        <f>SUM(G227:G229)</f>
        <v>4614.38</v>
      </c>
      <c r="M227" s="1150">
        <v>4614.38</v>
      </c>
      <c r="N227" s="421"/>
      <c r="O227" s="77"/>
      <c r="P227" s="77"/>
      <c r="Q227" s="384"/>
      <c r="R227" s="422"/>
      <c r="S227" s="399"/>
      <c r="T227" s="399"/>
    </row>
    <row r="228" spans="1:21" s="81" customFormat="1" ht="15.75" customHeight="1">
      <c r="A228" s="450"/>
      <c r="B228" s="1151" t="s">
        <v>221</v>
      </c>
      <c r="C228" s="1160" t="s">
        <v>263</v>
      </c>
      <c r="D228" s="1229">
        <v>1.5</v>
      </c>
      <c r="E228" s="1155">
        <v>7.3771000000000004</v>
      </c>
      <c r="F228" s="1230"/>
      <c r="G228" s="1231">
        <f>ROUND(D228*E228,2)</f>
        <v>11.07</v>
      </c>
      <c r="H228" s="1232"/>
      <c r="I228" s="1233"/>
      <c r="J228" s="1233"/>
      <c r="K228" s="1234"/>
      <c r="L228" s="1235"/>
      <c r="M228" s="1236"/>
      <c r="N228" s="423"/>
      <c r="O228" s="406"/>
      <c r="P228" s="406"/>
      <c r="Q228" s="407"/>
      <c r="R228" s="422"/>
      <c r="S228" s="399"/>
      <c r="T228" s="399"/>
    </row>
    <row r="229" spans="1:21" s="81" customFormat="1" ht="15.75" customHeight="1" thickBot="1">
      <c r="A229" s="451"/>
      <c r="B229" s="1237"/>
      <c r="C229" s="1174" t="s">
        <v>29</v>
      </c>
      <c r="D229" s="1238">
        <v>624</v>
      </c>
      <c r="E229" s="1165">
        <v>7.3771000000000004</v>
      </c>
      <c r="F229" s="1239"/>
      <c r="G229" s="1240">
        <f t="shared" ref="G229" si="45">ROUND(D229*E229,2)</f>
        <v>4603.3100000000004</v>
      </c>
      <c r="H229" s="1194"/>
      <c r="I229" s="1195"/>
      <c r="J229" s="1195"/>
      <c r="K229" s="1196"/>
      <c r="L229" s="1197"/>
      <c r="M229" s="1221"/>
      <c r="N229" s="426"/>
      <c r="O229" s="416"/>
      <c r="P229" s="416"/>
      <c r="Q229" s="417"/>
      <c r="R229" s="422"/>
      <c r="S229" s="399"/>
      <c r="T229" s="399"/>
    </row>
    <row r="230" spans="1:21" s="81" customFormat="1" ht="15" customHeight="1">
      <c r="A230" s="376">
        <v>301</v>
      </c>
      <c r="B230" s="70" t="s">
        <v>67</v>
      </c>
      <c r="C230" s="377" t="s">
        <v>243</v>
      </c>
      <c r="D230" s="378">
        <v>716</v>
      </c>
      <c r="E230" s="21">
        <v>41.244</v>
      </c>
      <c r="F230" s="21">
        <v>48.335999999999999</v>
      </c>
      <c r="G230" s="379">
        <f>ROUND(D230*(E230+F230),2)</f>
        <v>64139.28</v>
      </c>
      <c r="H230" s="380"/>
      <c r="I230" s="381"/>
      <c r="J230" s="381"/>
      <c r="K230" s="342"/>
      <c r="L230" s="382">
        <f>+SUM(G230:G239,J230:J238)</f>
        <v>214524.72</v>
      </c>
      <c r="M230" s="26">
        <v>214524.72</v>
      </c>
      <c r="N230" s="383"/>
      <c r="O230" s="77"/>
      <c r="P230" s="77" t="s">
        <v>68</v>
      </c>
      <c r="Q230" s="384" t="e">
        <f t="shared" si="30"/>
        <v>#VALUE!</v>
      </c>
      <c r="R230" s="385" t="s">
        <v>69</v>
      </c>
      <c r="S230" s="386"/>
      <c r="T230" s="387"/>
      <c r="U230" s="388"/>
    </row>
    <row r="231" spans="1:21" s="81" customFormat="1" ht="12.75">
      <c r="A231" s="389"/>
      <c r="B231" s="83"/>
      <c r="C231" s="390" t="s">
        <v>26</v>
      </c>
      <c r="D231" s="37"/>
      <c r="E231" s="38"/>
      <c r="F231" s="38"/>
      <c r="G231" s="39">
        <f>ROUND(D231*(E231+F231),2)</f>
        <v>0</v>
      </c>
      <c r="H231" s="391"/>
      <c r="I231" s="392"/>
      <c r="J231" s="402"/>
      <c r="K231" s="393"/>
      <c r="L231" s="394"/>
      <c r="M231" s="90"/>
      <c r="N231" s="395"/>
      <c r="O231" s="94"/>
      <c r="P231" s="94"/>
      <c r="Q231" s="396"/>
      <c r="R231" s="397"/>
      <c r="S231" s="398"/>
      <c r="T231" s="399"/>
    </row>
    <row r="232" spans="1:21" s="81" customFormat="1" ht="12.75">
      <c r="A232" s="389"/>
      <c r="B232" s="98" t="s">
        <v>32</v>
      </c>
      <c r="C232" s="99" t="s">
        <v>33</v>
      </c>
      <c r="D232" s="37">
        <v>138</v>
      </c>
      <c r="E232" s="101">
        <v>330.21</v>
      </c>
      <c r="F232" s="38">
        <f>F230</f>
        <v>48.335999999999999</v>
      </c>
      <c r="G232" s="400">
        <f>ROUND(D232*(E232+F232),2)</f>
        <v>52239.35</v>
      </c>
      <c r="H232" s="401"/>
      <c r="I232" s="402"/>
      <c r="J232" s="402"/>
      <c r="K232" s="403"/>
      <c r="L232" s="404"/>
      <c r="M232" s="102"/>
      <c r="N232" s="405"/>
      <c r="O232" s="406"/>
      <c r="P232" s="406" t="s">
        <v>68</v>
      </c>
      <c r="Q232" s="407">
        <f>+G232+J232-M232-N232-O232</f>
        <v>52239.35</v>
      </c>
      <c r="R232" s="397" t="s">
        <v>69</v>
      </c>
      <c r="S232" s="398"/>
      <c r="T232" s="399"/>
    </row>
    <row r="233" spans="1:21" s="81" customFormat="1" ht="15" customHeight="1">
      <c r="A233" s="389"/>
      <c r="B233" s="98"/>
      <c r="C233" s="84" t="s">
        <v>26</v>
      </c>
      <c r="D233" s="37">
        <f>фев19!D229</f>
        <v>121</v>
      </c>
      <c r="E233" s="41">
        <f>330.21-357.98</f>
        <v>-27.770000000000039</v>
      </c>
      <c r="F233" s="38">
        <f>F231</f>
        <v>0</v>
      </c>
      <c r="G233" s="400">
        <f>+D233*(E233+F233)</f>
        <v>-3360.1700000000046</v>
      </c>
      <c r="H233" s="401"/>
      <c r="I233" s="402"/>
      <c r="J233" s="402"/>
      <c r="K233" s="408"/>
      <c r="L233" s="404"/>
      <c r="M233" s="102"/>
      <c r="N233" s="405"/>
      <c r="O233" s="406"/>
      <c r="P233" s="406"/>
      <c r="Q233" s="407"/>
      <c r="R233" s="397"/>
      <c r="S233" s="398"/>
      <c r="T233" s="399"/>
    </row>
    <row r="234" spans="1:21" s="81" customFormat="1" ht="15" customHeight="1">
      <c r="A234" s="389"/>
      <c r="B234" s="83"/>
      <c r="C234" s="84"/>
      <c r="D234" s="37"/>
      <c r="E234" s="41"/>
      <c r="F234" s="38"/>
      <c r="G234" s="400"/>
      <c r="H234" s="401"/>
      <c r="I234" s="402"/>
      <c r="J234" s="402"/>
      <c r="K234" s="408"/>
      <c r="L234" s="404"/>
      <c r="M234" s="102"/>
      <c r="N234" s="405"/>
      <c r="O234" s="406"/>
      <c r="P234" s="406"/>
      <c r="Q234" s="407"/>
      <c r="R234" s="397"/>
      <c r="S234" s="398"/>
      <c r="T234" s="399"/>
    </row>
    <row r="235" spans="1:21" s="81" customFormat="1" ht="15" customHeight="1">
      <c r="A235" s="389"/>
      <c r="B235" s="83" t="s">
        <v>70</v>
      </c>
      <c r="C235" s="84"/>
      <c r="D235" s="37"/>
      <c r="E235" s="41"/>
      <c r="F235" s="38"/>
      <c r="G235" s="400"/>
      <c r="H235" s="401"/>
      <c r="I235" s="402"/>
      <c r="J235" s="402"/>
      <c r="K235" s="408"/>
      <c r="L235" s="404"/>
      <c r="M235" s="102"/>
      <c r="N235" s="405"/>
      <c r="O235" s="406"/>
      <c r="P235" s="406"/>
      <c r="Q235" s="407"/>
      <c r="R235" s="397"/>
      <c r="S235" s="398"/>
      <c r="T235" s="399"/>
    </row>
    <row r="236" spans="1:21" s="81" customFormat="1" ht="15" customHeight="1">
      <c r="A236" s="389"/>
      <c r="B236" s="83"/>
      <c r="C236" s="48"/>
      <c r="D236" s="37"/>
      <c r="E236" s="41"/>
      <c r="F236" s="38"/>
      <c r="G236" s="39">
        <f>ROUND(D236*(E236+F236),2)</f>
        <v>0</v>
      </c>
      <c r="H236" s="37"/>
      <c r="I236" s="409"/>
      <c r="J236" s="409"/>
      <c r="K236" s="408"/>
      <c r="L236" s="404"/>
      <c r="M236" s="102"/>
      <c r="N236" s="405"/>
      <c r="O236" s="406"/>
      <c r="P236" s="406"/>
      <c r="Q236" s="407"/>
      <c r="R236" s="397"/>
      <c r="S236" s="398"/>
      <c r="T236" s="399"/>
    </row>
    <row r="237" spans="1:21" s="81" customFormat="1" ht="15" customHeight="1">
      <c r="A237" s="389"/>
      <c r="B237" s="83"/>
      <c r="C237" s="48" t="s">
        <v>260</v>
      </c>
      <c r="D237" s="37">
        <f>фев19!D235+фев19!D236</f>
        <v>10144.290000000001</v>
      </c>
      <c r="E237" s="41">
        <f>7.5269-7.3681</f>
        <v>0.15880000000000027</v>
      </c>
      <c r="F237" s="38">
        <f>+E237</f>
        <v>0.15880000000000027</v>
      </c>
      <c r="G237" s="39">
        <f>ROUND(D237*E237,2)-0.01</f>
        <v>1610.9</v>
      </c>
      <c r="H237" s="37"/>
      <c r="I237" s="409"/>
      <c r="J237" s="409"/>
      <c r="K237" s="408"/>
      <c r="L237" s="404"/>
      <c r="M237" s="102"/>
      <c r="N237" s="405"/>
      <c r="O237" s="406"/>
      <c r="P237" s="406"/>
      <c r="Q237" s="407"/>
      <c r="R237" s="397"/>
      <c r="S237" s="398"/>
      <c r="T237" s="399"/>
    </row>
    <row r="238" spans="1:21" s="81" customFormat="1" ht="15" customHeight="1">
      <c r="A238" s="389"/>
      <c r="B238" s="83"/>
      <c r="C238" s="48" t="s">
        <v>263</v>
      </c>
      <c r="D238" s="37">
        <v>31.78</v>
      </c>
      <c r="E238" s="41">
        <v>7.5269000000000004</v>
      </c>
      <c r="F238" s="41">
        <f>+E238</f>
        <v>7.5269000000000004</v>
      </c>
      <c r="G238" s="39">
        <f>ROUND(D238*E238,2)</f>
        <v>239.2</v>
      </c>
      <c r="H238" s="37"/>
      <c r="I238" s="409"/>
      <c r="J238" s="409"/>
      <c r="K238" s="410"/>
      <c r="L238" s="404"/>
      <c r="M238" s="102"/>
      <c r="N238" s="405"/>
      <c r="O238" s="406"/>
      <c r="P238" s="406"/>
      <c r="Q238" s="407"/>
      <c r="R238" s="397"/>
      <c r="S238" s="398"/>
      <c r="T238" s="399"/>
    </row>
    <row r="239" spans="1:21" s="81" customFormat="1" ht="15.75" customHeight="1" thickBot="1">
      <c r="A239" s="411"/>
      <c r="B239" s="412"/>
      <c r="C239" s="99" t="s">
        <v>29</v>
      </c>
      <c r="D239" s="413">
        <v>13240</v>
      </c>
      <c r="E239" s="56">
        <v>7.5269000000000004</v>
      </c>
      <c r="F239" s="41">
        <f>+E239</f>
        <v>7.5269000000000004</v>
      </c>
      <c r="G239" s="414">
        <f>ROUND(D239*E239,2)</f>
        <v>99656.16</v>
      </c>
      <c r="H239" s="248"/>
      <c r="I239" s="60"/>
      <c r="J239" s="60"/>
      <c r="K239" s="203"/>
      <c r="L239" s="204"/>
      <c r="M239" s="371"/>
      <c r="N239" s="415"/>
      <c r="O239" s="416"/>
      <c r="P239" s="416" t="s">
        <v>68</v>
      </c>
      <c r="Q239" s="417">
        <f>+G239+J239-M239-N239-O239</f>
        <v>99656.16</v>
      </c>
      <c r="R239" s="418" t="s">
        <v>69</v>
      </c>
      <c r="S239" s="419">
        <f>SUM(O230:O239)</f>
        <v>0</v>
      </c>
      <c r="T239" s="419" t="e">
        <f>SUM(Q230:Q239)</f>
        <v>#VALUE!</v>
      </c>
    </row>
    <row r="240" spans="1:21" s="81" customFormat="1" ht="15.75" hidden="1" customHeight="1">
      <c r="A240" s="902">
        <v>303</v>
      </c>
      <c r="B240" s="903" t="s">
        <v>227</v>
      </c>
      <c r="C240" s="439" t="s">
        <v>260</v>
      </c>
      <c r="D240" s="904"/>
      <c r="E240" s="23">
        <f>7.3681-6.9835</f>
        <v>0.38459999999999983</v>
      </c>
      <c r="F240" s="905"/>
      <c r="G240" s="22">
        <f>ROUND(D240*E240,2)</f>
        <v>0</v>
      </c>
      <c r="H240" s="303"/>
      <c r="I240" s="23"/>
      <c r="J240" s="23"/>
      <c r="K240" s="304"/>
      <c r="L240" s="263">
        <f>SUM(G240:G242)</f>
        <v>0</v>
      </c>
      <c r="M240" s="26"/>
      <c r="N240" s="421"/>
      <c r="O240" s="77"/>
      <c r="P240" s="77"/>
      <c r="Q240" s="384"/>
      <c r="R240" s="422"/>
      <c r="S240" s="399"/>
      <c r="T240" s="399"/>
    </row>
    <row r="241" spans="1:20" s="81" customFormat="1" ht="15.75" hidden="1" customHeight="1">
      <c r="A241" s="468"/>
      <c r="B241" s="469" t="s">
        <v>291</v>
      </c>
      <c r="C241" s="48" t="s">
        <v>263</v>
      </c>
      <c r="D241" s="471"/>
      <c r="E241" s="41">
        <v>7.3681000000000001</v>
      </c>
      <c r="F241" s="473"/>
      <c r="G241" s="449">
        <f>ROUND(D241*E241,2)</f>
        <v>0</v>
      </c>
      <c r="H241" s="260"/>
      <c r="I241" s="261"/>
      <c r="J241" s="261"/>
      <c r="K241" s="262"/>
      <c r="L241" s="286"/>
      <c r="M241" s="90"/>
      <c r="N241" s="423"/>
      <c r="O241" s="406"/>
      <c r="P241" s="406"/>
      <c r="Q241" s="407"/>
      <c r="R241" s="422"/>
      <c r="S241" s="399"/>
      <c r="T241" s="399"/>
    </row>
    <row r="242" spans="1:20" s="81" customFormat="1" ht="15.75" hidden="1" customHeight="1" thickBot="1">
      <c r="A242" s="858"/>
      <c r="B242" s="859"/>
      <c r="C242" s="54" t="s">
        <v>29</v>
      </c>
      <c r="D242" s="860"/>
      <c r="E242" s="56">
        <v>7.3681000000000001</v>
      </c>
      <c r="F242" s="861"/>
      <c r="G242" s="414">
        <f t="shared" ref="G242" si="46">ROUND(D242*E242,2)</f>
        <v>0</v>
      </c>
      <c r="H242" s="280"/>
      <c r="I242" s="281"/>
      <c r="J242" s="281"/>
      <c r="K242" s="282"/>
      <c r="L242" s="204"/>
      <c r="M242" s="371"/>
      <c r="N242" s="426"/>
      <c r="O242" s="416"/>
      <c r="P242" s="416"/>
      <c r="Q242" s="417"/>
      <c r="R242" s="422"/>
      <c r="S242" s="399"/>
      <c r="T242" s="399"/>
    </row>
    <row r="243" spans="1:20" s="81" customFormat="1" ht="15.75" customHeight="1">
      <c r="A243" s="447">
        <v>303</v>
      </c>
      <c r="B243" s="438" t="s">
        <v>324</v>
      </c>
      <c r="C243" s="439" t="s">
        <v>260</v>
      </c>
      <c r="D243" s="900"/>
      <c r="E243" s="23">
        <f>7.5269-7.3681</f>
        <v>0.15880000000000027</v>
      </c>
      <c r="F243" s="23"/>
      <c r="G243" s="22">
        <f>ROUND(D243*E243,2)</f>
        <v>0</v>
      </c>
      <c r="H243" s="303"/>
      <c r="I243" s="23"/>
      <c r="J243" s="23"/>
      <c r="K243" s="304"/>
      <c r="L243" s="263">
        <f>SUM(G243:G245)</f>
        <v>980.83</v>
      </c>
      <c r="M243" s="26">
        <v>980.83</v>
      </c>
      <c r="N243" s="421"/>
      <c r="O243" s="77"/>
      <c r="P243" s="77"/>
      <c r="Q243" s="384"/>
      <c r="R243" s="422"/>
      <c r="S243" s="399"/>
      <c r="T243" s="399"/>
    </row>
    <row r="244" spans="1:20" s="81" customFormat="1" ht="15.75" customHeight="1">
      <c r="A244" s="450"/>
      <c r="B244" s="442"/>
      <c r="C244" s="48" t="s">
        <v>263</v>
      </c>
      <c r="D244" s="448">
        <v>0.31</v>
      </c>
      <c r="E244" s="41">
        <v>7.5269000000000004</v>
      </c>
      <c r="F244" s="261"/>
      <c r="G244" s="449">
        <f t="shared" ref="G244:G245" si="47">ROUND(D244*E244,2)</f>
        <v>2.33</v>
      </c>
      <c r="H244" s="260"/>
      <c r="I244" s="261"/>
      <c r="J244" s="261"/>
      <c r="K244" s="262"/>
      <c r="L244" s="286"/>
      <c r="M244" s="90"/>
      <c r="N244" s="423"/>
      <c r="O244" s="406"/>
      <c r="P244" s="406"/>
      <c r="Q244" s="407"/>
      <c r="R244" s="422"/>
      <c r="S244" s="399"/>
      <c r="T244" s="399"/>
    </row>
    <row r="245" spans="1:20" s="81" customFormat="1" ht="15.75" customHeight="1" thickBot="1">
      <c r="A245" s="451"/>
      <c r="B245" s="446"/>
      <c r="C245" s="54" t="s">
        <v>29</v>
      </c>
      <c r="D245" s="901">
        <v>130</v>
      </c>
      <c r="E245" s="56">
        <v>7.5269000000000004</v>
      </c>
      <c r="F245" s="281"/>
      <c r="G245" s="414">
        <f t="shared" si="47"/>
        <v>978.5</v>
      </c>
      <c r="H245" s="280"/>
      <c r="I245" s="281"/>
      <c r="J245" s="281"/>
      <c r="K245" s="282"/>
      <c r="L245" s="204"/>
      <c r="M245" s="371"/>
      <c r="N245" s="426"/>
      <c r="O245" s="416"/>
      <c r="P245" s="416"/>
      <c r="Q245" s="417"/>
      <c r="R245" s="422"/>
      <c r="S245" s="399"/>
      <c r="T245" s="399"/>
    </row>
    <row r="246" spans="1:20" s="81" customFormat="1" ht="15" customHeight="1">
      <c r="A246" s="437">
        <v>304</v>
      </c>
      <c r="B246" s="438" t="s">
        <v>83</v>
      </c>
      <c r="C246" s="377" t="s">
        <v>73</v>
      </c>
      <c r="D246" s="378">
        <v>0</v>
      </c>
      <c r="E246" s="21">
        <v>41.244</v>
      </c>
      <c r="F246" s="21">
        <v>48.335999999999999</v>
      </c>
      <c r="G246" s="22">
        <f>+D246*(E246+F246)</f>
        <v>0</v>
      </c>
      <c r="H246" s="303"/>
      <c r="I246" s="381"/>
      <c r="J246" s="381"/>
      <c r="K246" s="342"/>
      <c r="L246" s="263">
        <f>SUM(G246:G250,J246:J250)</f>
        <v>445.57</v>
      </c>
      <c r="M246" s="26">
        <v>445.57</v>
      </c>
      <c r="N246" s="421"/>
      <c r="O246" s="77"/>
      <c r="P246" s="77"/>
      <c r="Q246" s="384"/>
      <c r="R246" s="899"/>
      <c r="S246" s="399"/>
      <c r="T246" s="399"/>
    </row>
    <row r="247" spans="1:20" s="81" customFormat="1" ht="15" customHeight="1">
      <c r="A247" s="441"/>
      <c r="B247" s="442"/>
      <c r="C247" s="36" t="s">
        <v>26</v>
      </c>
      <c r="D247" s="37"/>
      <c r="E247" s="38"/>
      <c r="F247" s="38"/>
      <c r="G247" s="39">
        <f>ROUND(D247*(E247+F247),2)</f>
        <v>0</v>
      </c>
      <c r="H247" s="457"/>
      <c r="I247" s="392"/>
      <c r="J247" s="402"/>
      <c r="K247" s="393"/>
      <c r="L247" s="459"/>
      <c r="M247" s="44"/>
      <c r="N247" s="430"/>
      <c r="O247" s="435"/>
      <c r="P247" s="435"/>
      <c r="Q247" s="425"/>
      <c r="R247" s="422"/>
      <c r="S247" s="399"/>
      <c r="T247" s="399"/>
    </row>
    <row r="248" spans="1:20" s="81" customFormat="1" ht="15" customHeight="1">
      <c r="A248" s="441"/>
      <c r="B248" s="442"/>
      <c r="C248" s="48" t="s">
        <v>260</v>
      </c>
      <c r="D248" s="37">
        <f>фев19!D243+фев19!D244</f>
        <v>50.12</v>
      </c>
      <c r="E248" s="41">
        <f>7.5269-7.3681</f>
        <v>0.15880000000000027</v>
      </c>
      <c r="F248" s="38"/>
      <c r="G248" s="39">
        <f>ROUND(D248*(E248),2)</f>
        <v>7.96</v>
      </c>
      <c r="H248" s="270"/>
      <c r="I248" s="41"/>
      <c r="J248" s="41"/>
      <c r="K248" s="271"/>
      <c r="L248" s="272"/>
      <c r="M248" s="102"/>
      <c r="N248" s="430"/>
      <c r="O248" s="435"/>
      <c r="P248" s="435"/>
      <c r="Q248" s="425"/>
      <c r="R248" s="422"/>
      <c r="S248" s="399"/>
      <c r="T248" s="399"/>
    </row>
    <row r="249" spans="1:20" s="81" customFormat="1" ht="15" customHeight="1">
      <c r="A249" s="441"/>
      <c r="B249" s="442"/>
      <c r="C249" s="48" t="s">
        <v>263</v>
      </c>
      <c r="D249" s="37">
        <v>0.14000000000000001</v>
      </c>
      <c r="E249" s="41">
        <v>7.5269000000000004</v>
      </c>
      <c r="F249" s="38"/>
      <c r="G249" s="39">
        <f>ROUND(D249*(E249),2)</f>
        <v>1.05</v>
      </c>
      <c r="H249" s="270"/>
      <c r="I249" s="41"/>
      <c r="J249" s="41"/>
      <c r="K249" s="271"/>
      <c r="L249" s="272"/>
      <c r="M249" s="102"/>
      <c r="N249" s="434"/>
      <c r="O249" s="435"/>
      <c r="P249" s="435"/>
      <c r="Q249" s="425"/>
      <c r="R249" s="422"/>
      <c r="S249" s="399"/>
      <c r="T249" s="399"/>
    </row>
    <row r="250" spans="1:20" s="81" customFormat="1" ht="15.75" customHeight="1" thickBot="1">
      <c r="A250" s="445"/>
      <c r="B250" s="446"/>
      <c r="C250" s="54" t="s">
        <v>29</v>
      </c>
      <c r="D250" s="413">
        <v>58</v>
      </c>
      <c r="E250" s="56">
        <v>7.5269000000000004</v>
      </c>
      <c r="F250" s="281"/>
      <c r="G250" s="414">
        <f>ROUND(D250*(E250),2)</f>
        <v>436.56</v>
      </c>
      <c r="H250" s="280"/>
      <c r="I250" s="281"/>
      <c r="J250" s="281"/>
      <c r="K250" s="282"/>
      <c r="L250" s="204"/>
      <c r="M250" s="371"/>
      <c r="N250" s="426"/>
      <c r="O250" s="416"/>
      <c r="P250" s="416"/>
      <c r="Q250" s="417"/>
      <c r="R250" s="422"/>
      <c r="S250" s="399"/>
      <c r="T250" s="399"/>
    </row>
    <row r="251" spans="1:20" s="81" customFormat="1" ht="15" customHeight="1">
      <c r="A251" s="437">
        <v>305</v>
      </c>
      <c r="B251" s="438" t="s">
        <v>298</v>
      </c>
      <c r="C251" s="377" t="s">
        <v>73</v>
      </c>
      <c r="D251" s="378">
        <v>57</v>
      </c>
      <c r="E251" s="21">
        <v>41.244</v>
      </c>
      <c r="F251" s="21">
        <v>48.335999999999999</v>
      </c>
      <c r="G251" s="22">
        <f>+D251*(E251+F251)</f>
        <v>5106.0599999999995</v>
      </c>
      <c r="H251" s="303"/>
      <c r="I251" s="381"/>
      <c r="J251" s="381"/>
      <c r="K251" s="342"/>
      <c r="L251" s="263">
        <f>SUM(G251:G255,J251:J255)</f>
        <v>30680.48</v>
      </c>
      <c r="M251" s="26">
        <v>30680.48</v>
      </c>
      <c r="N251" s="421"/>
      <c r="O251" s="77"/>
      <c r="P251" s="77"/>
      <c r="Q251" s="384"/>
      <c r="R251" s="899"/>
      <c r="S251" s="399"/>
      <c r="T251" s="399"/>
    </row>
    <row r="252" spans="1:20" s="81" customFormat="1" ht="15" customHeight="1">
      <c r="A252" s="441"/>
      <c r="B252" s="442"/>
      <c r="C252" s="36" t="s">
        <v>26</v>
      </c>
      <c r="D252" s="37"/>
      <c r="E252" s="38"/>
      <c r="F252" s="38"/>
      <c r="G252" s="39">
        <f>ROUND(D252*(E252+F252),2)</f>
        <v>0</v>
      </c>
      <c r="H252" s="457"/>
      <c r="I252" s="392"/>
      <c r="J252" s="402"/>
      <c r="K252" s="393"/>
      <c r="L252" s="459"/>
      <c r="M252" s="44"/>
      <c r="N252" s="430"/>
      <c r="O252" s="435"/>
      <c r="P252" s="435"/>
      <c r="Q252" s="425"/>
      <c r="R252" s="422"/>
      <c r="S252" s="399"/>
      <c r="T252" s="399"/>
    </row>
    <row r="253" spans="1:20" s="81" customFormat="1" ht="15" customHeight="1">
      <c r="A253" s="441"/>
      <c r="B253" s="442"/>
      <c r="C253" s="48" t="s">
        <v>260</v>
      </c>
      <c r="D253" s="37">
        <f>фев19!D248+фев19!D249</f>
        <v>2641.32</v>
      </c>
      <c r="E253" s="41">
        <f>7.5269-7.3681</f>
        <v>0.15880000000000027</v>
      </c>
      <c r="F253" s="38"/>
      <c r="G253" s="39">
        <f>ROUND(D253*(E253),2)+0.01</f>
        <v>419.45</v>
      </c>
      <c r="H253" s="270"/>
      <c r="I253" s="41"/>
      <c r="J253" s="41"/>
      <c r="K253" s="271"/>
      <c r="L253" s="272"/>
      <c r="M253" s="102"/>
      <c r="N253" s="430"/>
      <c r="O253" s="435"/>
      <c r="P253" s="435"/>
      <c r="Q253" s="425"/>
      <c r="R253" s="422"/>
      <c r="S253" s="399"/>
      <c r="T253" s="399"/>
    </row>
    <row r="254" spans="1:20" s="81" customFormat="1" ht="15" customHeight="1">
      <c r="A254" s="441"/>
      <c r="B254" s="442"/>
      <c r="C254" s="48" t="s">
        <v>263</v>
      </c>
      <c r="D254" s="37">
        <f>6.89+0.92+0.2</f>
        <v>8.01</v>
      </c>
      <c r="E254" s="41">
        <v>7.5269000000000004</v>
      </c>
      <c r="F254" s="38"/>
      <c r="G254" s="39">
        <f>ROUND(D254*(E254),2)</f>
        <v>60.29</v>
      </c>
      <c r="H254" s="270"/>
      <c r="I254" s="41"/>
      <c r="J254" s="41"/>
      <c r="K254" s="271"/>
      <c r="L254" s="272"/>
      <c r="M254" s="102"/>
      <c r="N254" s="434"/>
      <c r="O254" s="435"/>
      <c r="P254" s="435"/>
      <c r="Q254" s="425"/>
      <c r="R254" s="422"/>
      <c r="S254" s="399"/>
      <c r="T254" s="399"/>
    </row>
    <row r="255" spans="1:20" s="81" customFormat="1" ht="15.75" customHeight="1" thickBot="1">
      <c r="A255" s="445"/>
      <c r="B255" s="446"/>
      <c r="C255" s="54" t="s">
        <v>29</v>
      </c>
      <c r="D255" s="413">
        <f>2869+385+80</f>
        <v>3334</v>
      </c>
      <c r="E255" s="56">
        <v>7.5269000000000004</v>
      </c>
      <c r="F255" s="281"/>
      <c r="G255" s="414">
        <f>ROUND(D255*(E255),2)</f>
        <v>25094.68</v>
      </c>
      <c r="H255" s="280"/>
      <c r="I255" s="281"/>
      <c r="J255" s="281"/>
      <c r="K255" s="282"/>
      <c r="L255" s="204"/>
      <c r="M255" s="371"/>
      <c r="N255" s="426"/>
      <c r="O255" s="416"/>
      <c r="P255" s="416"/>
      <c r="Q255" s="417"/>
      <c r="R255" s="422"/>
      <c r="S255" s="399"/>
      <c r="T255" s="399"/>
    </row>
    <row r="256" spans="1:20" s="81" customFormat="1" ht="15" customHeight="1">
      <c r="A256" s="447">
        <v>400</v>
      </c>
      <c r="B256" s="903" t="s">
        <v>238</v>
      </c>
      <c r="C256" s="377" t="s">
        <v>73</v>
      </c>
      <c r="D256" s="378">
        <v>31</v>
      </c>
      <c r="E256" s="21">
        <v>41.244</v>
      </c>
      <c r="F256" s="21">
        <v>48.335999999999999</v>
      </c>
      <c r="G256" s="22">
        <f>+D256*(E256+F256)</f>
        <v>2776.98</v>
      </c>
      <c r="H256" s="303"/>
      <c r="I256" s="381"/>
      <c r="J256" s="381"/>
      <c r="K256" s="342"/>
      <c r="L256" s="263">
        <f>SUM(G256:G260,J256:J260)</f>
        <v>79819.28</v>
      </c>
      <c r="M256" s="26">
        <v>79819.28</v>
      </c>
      <c r="N256" s="421"/>
      <c r="O256" s="77"/>
      <c r="P256" s="77"/>
      <c r="Q256" s="384"/>
      <c r="R256" s="899"/>
      <c r="S256" s="399"/>
      <c r="T256" s="399"/>
    </row>
    <row r="257" spans="1:20" s="81" customFormat="1" ht="15" customHeight="1" thickBot="1">
      <c r="A257" s="450"/>
      <c r="B257" s="469"/>
      <c r="C257" s="36" t="s">
        <v>26</v>
      </c>
      <c r="D257" s="37"/>
      <c r="E257" s="38"/>
      <c r="F257" s="38"/>
      <c r="G257" s="39">
        <f>ROUND(D257*(E257+F257),2)</f>
        <v>0</v>
      </c>
      <c r="H257" s="457"/>
      <c r="I257" s="392"/>
      <c r="J257" s="402"/>
      <c r="K257" s="393"/>
      <c r="L257" s="459"/>
      <c r="M257" s="44"/>
      <c r="N257" s="430"/>
      <c r="O257" s="435"/>
      <c r="P257" s="435"/>
      <c r="Q257" s="425"/>
      <c r="R257" s="422"/>
      <c r="S257" s="399"/>
      <c r="T257" s="399"/>
    </row>
    <row r="258" spans="1:20" s="81" customFormat="1" ht="15.75" customHeight="1">
      <c r="A258" s="984"/>
      <c r="C258" s="439" t="s">
        <v>260</v>
      </c>
      <c r="D258" s="904">
        <f>фев19!D253+фев19!D254</f>
        <v>8271.81</v>
      </c>
      <c r="E258" s="23">
        <f>7.5269-7.3681</f>
        <v>0.15880000000000027</v>
      </c>
      <c r="F258" s="905"/>
      <c r="G258" s="22">
        <f>ROUND(D258*E258,2)-0.01</f>
        <v>1313.55</v>
      </c>
      <c r="H258" s="303"/>
      <c r="I258" s="23"/>
      <c r="J258" s="23"/>
      <c r="K258" s="304"/>
      <c r="L258" s="263"/>
      <c r="M258" s="26"/>
      <c r="N258" s="421"/>
      <c r="O258" s="77"/>
      <c r="P258" s="77"/>
      <c r="Q258" s="384"/>
      <c r="R258" s="422"/>
      <c r="S258" s="399"/>
      <c r="T258" s="399"/>
    </row>
    <row r="259" spans="1:20" s="81" customFormat="1" ht="15.75" customHeight="1">
      <c r="A259" s="450"/>
      <c r="B259" s="469"/>
      <c r="C259" s="48" t="s">
        <v>263</v>
      </c>
      <c r="D259" s="471">
        <f>16.13+4.29+3.66</f>
        <v>24.08</v>
      </c>
      <c r="E259" s="41">
        <v>7.5269000000000004</v>
      </c>
      <c r="F259" s="473"/>
      <c r="G259" s="449">
        <f>ROUND(D259*E259,2)</f>
        <v>181.25</v>
      </c>
      <c r="H259" s="260"/>
      <c r="I259" s="261"/>
      <c r="J259" s="261"/>
      <c r="K259" s="262"/>
      <c r="L259" s="286"/>
      <c r="M259" s="90"/>
      <c r="N259" s="423"/>
      <c r="O259" s="406"/>
      <c r="P259" s="406"/>
      <c r="Q259" s="407"/>
      <c r="R259" s="422"/>
      <c r="S259" s="399"/>
      <c r="T259" s="399"/>
    </row>
    <row r="260" spans="1:20" s="81" customFormat="1" ht="15.75" customHeight="1" thickBot="1">
      <c r="A260" s="451"/>
      <c r="B260" s="859"/>
      <c r="C260" s="54" t="s">
        <v>29</v>
      </c>
      <c r="D260" s="860">
        <f>6722+1788+1527</f>
        <v>10037</v>
      </c>
      <c r="E260" s="56">
        <v>7.5269000000000004</v>
      </c>
      <c r="F260" s="861"/>
      <c r="G260" s="414">
        <f t="shared" ref="G260" si="48">ROUND(D260*E260,2)</f>
        <v>75547.5</v>
      </c>
      <c r="H260" s="280"/>
      <c r="I260" s="281"/>
      <c r="J260" s="281"/>
      <c r="K260" s="282"/>
      <c r="L260" s="204"/>
      <c r="M260" s="371"/>
      <c r="N260" s="426"/>
      <c r="O260" s="416"/>
      <c r="P260" s="416"/>
      <c r="Q260" s="417"/>
      <c r="R260" s="422"/>
      <c r="S260" s="399"/>
      <c r="T260" s="399"/>
    </row>
    <row r="261" spans="1:20" s="81" customFormat="1" ht="15" customHeight="1">
      <c r="A261" s="437">
        <v>402</v>
      </c>
      <c r="B261" s="438" t="s">
        <v>122</v>
      </c>
      <c r="C261" s="439"/>
      <c r="D261" s="378"/>
      <c r="E261" s="23"/>
      <c r="F261" s="23"/>
      <c r="G261" s="22"/>
      <c r="H261" s="303"/>
      <c r="I261" s="23"/>
      <c r="J261" s="23"/>
      <c r="K261" s="304"/>
      <c r="L261" s="382">
        <f>+SUM(G261:G264,J261:J264)</f>
        <v>1892.72</v>
      </c>
      <c r="M261" s="26">
        <v>1892.72</v>
      </c>
      <c r="N261" s="421"/>
      <c r="O261" s="77"/>
      <c r="P261" s="77"/>
      <c r="Q261" s="384"/>
      <c r="R261" s="899"/>
      <c r="S261" s="399"/>
      <c r="T261" s="399"/>
    </row>
    <row r="262" spans="1:20" s="81" customFormat="1" ht="15" customHeight="1" thickBot="1">
      <c r="A262" s="441"/>
      <c r="B262" s="442"/>
      <c r="C262" s="48" t="s">
        <v>260</v>
      </c>
      <c r="D262" s="37">
        <f>фев19!D257+фев19!D258</f>
        <v>183.44</v>
      </c>
      <c r="E262" s="41">
        <f>7.5269-7.3681</f>
        <v>0.15880000000000027</v>
      </c>
      <c r="F262" s="41"/>
      <c r="G262" s="414">
        <f>ROUND(D262*E262,2)+0.01</f>
        <v>29.14</v>
      </c>
      <c r="H262" s="260"/>
      <c r="I262" s="261"/>
      <c r="J262" s="261"/>
      <c r="K262" s="262"/>
      <c r="L262" s="394"/>
      <c r="M262" s="90"/>
      <c r="N262" s="443"/>
      <c r="O262" s="94"/>
      <c r="P262" s="94"/>
      <c r="Q262" s="396"/>
      <c r="R262" s="899"/>
      <c r="S262" s="399"/>
      <c r="T262" s="399"/>
    </row>
    <row r="263" spans="1:20" s="81" customFormat="1" ht="15" customHeight="1" thickBot="1">
      <c r="A263" s="441"/>
      <c r="B263" s="444"/>
      <c r="C263" s="48" t="s">
        <v>263</v>
      </c>
      <c r="D263" s="37">
        <v>0.59</v>
      </c>
      <c r="E263" s="41">
        <v>7.5269000000000004</v>
      </c>
      <c r="F263" s="41"/>
      <c r="G263" s="414">
        <f>ROUND(D263*E263,2)</f>
        <v>4.4400000000000004</v>
      </c>
      <c r="H263" s="432"/>
      <c r="I263" s="207"/>
      <c r="J263" s="207"/>
      <c r="K263" s="362"/>
      <c r="L263" s="433"/>
      <c r="M263" s="63"/>
      <c r="N263" s="423"/>
      <c r="O263" s="406"/>
      <c r="P263" s="406"/>
      <c r="Q263" s="407"/>
      <c r="R263" s="899"/>
      <c r="S263" s="399"/>
      <c r="T263" s="399"/>
    </row>
    <row r="264" spans="1:20" s="81" customFormat="1" ht="15" customHeight="1" thickBot="1">
      <c r="A264" s="445"/>
      <c r="B264" s="446"/>
      <c r="C264" s="99" t="s">
        <v>29</v>
      </c>
      <c r="D264" s="413">
        <v>247</v>
      </c>
      <c r="E264" s="56">
        <v>7.5269000000000004</v>
      </c>
      <c r="F264" s="281"/>
      <c r="G264" s="414">
        <f>ROUND(D264*E264,2)</f>
        <v>1859.14</v>
      </c>
      <c r="H264" s="280"/>
      <c r="I264" s="281"/>
      <c r="J264" s="281"/>
      <c r="K264" s="282"/>
      <c r="L264" s="204"/>
      <c r="M264" s="371"/>
      <c r="N264" s="434"/>
      <c r="O264" s="435"/>
      <c r="P264" s="435"/>
      <c r="Q264" s="425"/>
      <c r="R264" s="899"/>
      <c r="S264" s="399"/>
      <c r="T264" s="399"/>
    </row>
    <row r="265" spans="1:20" s="81" customFormat="1" ht="15.75" customHeight="1">
      <c r="A265" s="447">
        <v>403</v>
      </c>
      <c r="B265" s="438" t="s">
        <v>126</v>
      </c>
      <c r="C265" s="439" t="s">
        <v>260</v>
      </c>
      <c r="D265" s="900">
        <f>фев19!D260+фев19!D261</f>
        <v>101.24</v>
      </c>
      <c r="E265" s="23">
        <f>7.5269-7.3681</f>
        <v>0.15880000000000027</v>
      </c>
      <c r="F265" s="23"/>
      <c r="G265" s="22">
        <f>ROUND(D265*E265,2)</f>
        <v>16.079999999999998</v>
      </c>
      <c r="H265" s="303"/>
      <c r="I265" s="23"/>
      <c r="J265" s="23"/>
      <c r="K265" s="304"/>
      <c r="L265" s="263">
        <f>SUM(G265:G267)</f>
        <v>725.33999999999992</v>
      </c>
      <c r="M265" s="26">
        <v>725.34</v>
      </c>
      <c r="N265" s="421"/>
      <c r="O265" s="77"/>
      <c r="P265" s="77"/>
      <c r="Q265" s="384"/>
      <c r="R265" s="422"/>
      <c r="S265" s="399"/>
      <c r="T265" s="399"/>
    </row>
    <row r="266" spans="1:20" s="81" customFormat="1" ht="15.75" customHeight="1">
      <c r="A266" s="450"/>
      <c r="B266" s="442"/>
      <c r="C266" s="48" t="s">
        <v>263</v>
      </c>
      <c r="D266" s="448">
        <v>0.23</v>
      </c>
      <c r="E266" s="41">
        <v>7.5269000000000004</v>
      </c>
      <c r="F266" s="261"/>
      <c r="G266" s="449">
        <f t="shared" ref="G266:G267" si="49">ROUND(D266*E266,2)</f>
        <v>1.73</v>
      </c>
      <c r="H266" s="260"/>
      <c r="I266" s="261"/>
      <c r="J266" s="261"/>
      <c r="K266" s="262"/>
      <c r="L266" s="286"/>
      <c r="M266" s="90"/>
      <c r="N266" s="423"/>
      <c r="O266" s="406"/>
      <c r="P266" s="406"/>
      <c r="Q266" s="407"/>
      <c r="R266" s="422"/>
      <c r="S266" s="399"/>
      <c r="T266" s="399"/>
    </row>
    <row r="267" spans="1:20" s="81" customFormat="1" ht="15.75" customHeight="1" thickBot="1">
      <c r="A267" s="451"/>
      <c r="B267" s="446"/>
      <c r="C267" s="54" t="s">
        <v>29</v>
      </c>
      <c r="D267" s="901">
        <v>94</v>
      </c>
      <c r="E267" s="56">
        <v>7.5269000000000004</v>
      </c>
      <c r="F267" s="281"/>
      <c r="G267" s="414">
        <f t="shared" si="49"/>
        <v>707.53</v>
      </c>
      <c r="H267" s="280"/>
      <c r="I267" s="281"/>
      <c r="J267" s="281"/>
      <c r="K267" s="282"/>
      <c r="L267" s="204"/>
      <c r="M267" s="371"/>
      <c r="N267" s="426"/>
      <c r="O267" s="416"/>
      <c r="P267" s="416"/>
      <c r="Q267" s="417"/>
      <c r="R267" s="422"/>
      <c r="S267" s="399"/>
      <c r="T267" s="399"/>
    </row>
    <row r="268" spans="1:20" s="81" customFormat="1" ht="15.75" customHeight="1">
      <c r="A268" s="906">
        <v>404</v>
      </c>
      <c r="B268" s="903" t="s">
        <v>191</v>
      </c>
      <c r="C268" s="48" t="s">
        <v>260</v>
      </c>
      <c r="D268" s="471">
        <f>фев19!D263+фев19!D264</f>
        <v>281.67</v>
      </c>
      <c r="E268" s="41">
        <f>7.5269-7.3681</f>
        <v>0.15880000000000027</v>
      </c>
      <c r="F268" s="473"/>
      <c r="G268" s="862">
        <f>ROUND(D268*E268,2)</f>
        <v>44.73</v>
      </c>
      <c r="H268" s="270"/>
      <c r="I268" s="41"/>
      <c r="J268" s="41"/>
      <c r="K268" s="271"/>
      <c r="L268" s="263">
        <f>SUM(G268:G270)</f>
        <v>2489.3199999999997</v>
      </c>
      <c r="M268" s="878">
        <v>2489.3200000000002</v>
      </c>
      <c r="N268" s="421"/>
      <c r="O268" s="406"/>
      <c r="P268" s="406"/>
      <c r="Q268" s="407"/>
      <c r="R268" s="422"/>
      <c r="S268" s="399"/>
      <c r="T268" s="399"/>
    </row>
    <row r="269" spans="1:20" s="81" customFormat="1" ht="15.75" customHeight="1">
      <c r="A269" s="468"/>
      <c r="B269" s="469"/>
      <c r="C269" s="48" t="s">
        <v>263</v>
      </c>
      <c r="D269" s="471">
        <v>0.78</v>
      </c>
      <c r="E269" s="41">
        <v>7.5269000000000004</v>
      </c>
      <c r="F269" s="473"/>
      <c r="G269" s="862">
        <f>ROUND(D269*E269,2)</f>
        <v>5.87</v>
      </c>
      <c r="H269" s="270"/>
      <c r="I269" s="41"/>
      <c r="J269" s="41"/>
      <c r="K269" s="271"/>
      <c r="L269" s="272"/>
      <c r="M269" s="878"/>
      <c r="N269" s="423"/>
      <c r="O269" s="406"/>
      <c r="P269" s="406"/>
      <c r="Q269" s="407"/>
      <c r="R269" s="422"/>
      <c r="S269" s="399"/>
      <c r="T269" s="399"/>
    </row>
    <row r="270" spans="1:20" s="81" customFormat="1" ht="15.75" customHeight="1" thickBot="1">
      <c r="A270" s="858"/>
      <c r="B270" s="859"/>
      <c r="C270" s="54" t="s">
        <v>29</v>
      </c>
      <c r="D270" s="860">
        <v>324</v>
      </c>
      <c r="E270" s="56">
        <v>7.5269000000000004</v>
      </c>
      <c r="F270" s="861"/>
      <c r="G270" s="866">
        <f t="shared" ref="G270" si="50">ROUND(D270*E270,2)</f>
        <v>2438.7199999999998</v>
      </c>
      <c r="H270" s="280"/>
      <c r="I270" s="281"/>
      <c r="J270" s="281"/>
      <c r="K270" s="282"/>
      <c r="L270" s="204"/>
      <c r="M270" s="880"/>
      <c r="N270" s="426"/>
      <c r="O270" s="416"/>
      <c r="P270" s="416"/>
      <c r="Q270" s="417"/>
      <c r="R270" s="422"/>
      <c r="S270" s="399"/>
      <c r="T270" s="399"/>
    </row>
    <row r="271" spans="1:20" s="81" customFormat="1" ht="15.75" customHeight="1">
      <c r="A271" s="902">
        <v>405</v>
      </c>
      <c r="B271" s="903" t="s">
        <v>147</v>
      </c>
      <c r="C271" s="439" t="s">
        <v>260</v>
      </c>
      <c r="D271" s="904">
        <f>фев19!D266+фев19!D267</f>
        <v>161.38999999999999</v>
      </c>
      <c r="E271" s="23">
        <f>7.5269-7.3681</f>
        <v>0.15880000000000027</v>
      </c>
      <c r="F271" s="905"/>
      <c r="G271" s="22">
        <f>ROUND(D271*E271,2)</f>
        <v>25.63</v>
      </c>
      <c r="H271" s="303"/>
      <c r="I271" s="261"/>
      <c r="J271" s="261"/>
      <c r="K271" s="262"/>
      <c r="L271" s="286">
        <f>SUM(G271:G273)</f>
        <v>1368.6599999999999</v>
      </c>
      <c r="M271" s="90">
        <v>1368.66</v>
      </c>
      <c r="N271" s="421"/>
      <c r="O271" s="77"/>
      <c r="P271" s="77"/>
      <c r="Q271" s="384"/>
      <c r="R271" s="422"/>
      <c r="S271" s="399"/>
      <c r="T271" s="399"/>
    </row>
    <row r="272" spans="1:20" s="81" customFormat="1" ht="15.75" customHeight="1">
      <c r="A272" s="468"/>
      <c r="B272" s="469"/>
      <c r="C272" s="48" t="s">
        <v>263</v>
      </c>
      <c r="D272" s="471">
        <v>0.43</v>
      </c>
      <c r="E272" s="41">
        <v>7.5269000000000004</v>
      </c>
      <c r="F272" s="473"/>
      <c r="G272" s="449">
        <f>ROUND(D272*E272,2)</f>
        <v>3.24</v>
      </c>
      <c r="H272" s="260"/>
      <c r="I272" s="261"/>
      <c r="J272" s="261"/>
      <c r="K272" s="262"/>
      <c r="L272" s="286"/>
      <c r="M272" s="90"/>
      <c r="N272" s="423"/>
      <c r="O272" s="406"/>
      <c r="P272" s="406"/>
      <c r="Q272" s="407"/>
      <c r="R272" s="422"/>
      <c r="S272" s="399"/>
      <c r="T272" s="399"/>
    </row>
    <row r="273" spans="1:20" s="81" customFormat="1" ht="15.75" customHeight="1" thickBot="1">
      <c r="A273" s="701"/>
      <c r="B273" s="702"/>
      <c r="C273" s="99" t="s">
        <v>29</v>
      </c>
      <c r="D273" s="703">
        <v>178</v>
      </c>
      <c r="E273" s="56">
        <v>7.5269000000000004</v>
      </c>
      <c r="F273" s="704"/>
      <c r="G273" s="39">
        <f t="shared" ref="G273" si="51">ROUND(D273*E273,2)</f>
        <v>1339.79</v>
      </c>
      <c r="H273" s="280"/>
      <c r="I273" s="281"/>
      <c r="J273" s="281"/>
      <c r="K273" s="282"/>
      <c r="L273" s="204"/>
      <c r="M273" s="371"/>
      <c r="N273" s="426"/>
      <c r="O273" s="416"/>
      <c r="P273" s="416"/>
      <c r="Q273" s="417"/>
      <c r="R273" s="422"/>
      <c r="S273" s="399"/>
      <c r="T273" s="399"/>
    </row>
    <row r="274" spans="1:20" s="81" customFormat="1" ht="15.75" hidden="1" customHeight="1" outlineLevel="1" thickBot="1">
      <c r="A274" s="910"/>
      <c r="B274" s="911" t="s">
        <v>155</v>
      </c>
      <c r="C274" s="573" t="s">
        <v>115</v>
      </c>
      <c r="D274" s="912"/>
      <c r="E274" s="579">
        <f>7.0379-7.0426</f>
        <v>-4.7000000000005926E-3</v>
      </c>
      <c r="F274" s="580"/>
      <c r="G274" s="913">
        <f>ROUND(D274*E274,2)</f>
        <v>0</v>
      </c>
      <c r="H274" s="914"/>
      <c r="I274" s="23"/>
      <c r="J274" s="23"/>
      <c r="K274" s="304"/>
      <c r="L274" s="263">
        <f>SUM(G274:G276)</f>
        <v>0</v>
      </c>
      <c r="M274" s="26"/>
      <c r="N274" s="421"/>
      <c r="O274" s="77"/>
      <c r="P274" s="77"/>
      <c r="Q274" s="384"/>
      <c r="R274" s="422"/>
      <c r="S274" s="399"/>
      <c r="T274" s="399"/>
    </row>
    <row r="275" spans="1:20" s="81" customFormat="1" ht="15.75" hidden="1" customHeight="1" outlineLevel="1" thickBot="1">
      <c r="A275" s="910"/>
      <c r="B275" s="915"/>
      <c r="C275" s="573" t="s">
        <v>114</v>
      </c>
      <c r="D275" s="912"/>
      <c r="E275" s="579">
        <v>7.0378999999999996</v>
      </c>
      <c r="F275" s="580"/>
      <c r="G275" s="913">
        <f>ROUND(D275*E275,2)</f>
        <v>0</v>
      </c>
      <c r="H275" s="914"/>
      <c r="I275" s="261"/>
      <c r="J275" s="261"/>
      <c r="K275" s="262"/>
      <c r="L275" s="286"/>
      <c r="M275" s="90"/>
      <c r="N275" s="423"/>
      <c r="O275" s="406"/>
      <c r="P275" s="406"/>
      <c r="Q275" s="407"/>
      <c r="R275" s="422"/>
      <c r="S275" s="399"/>
      <c r="T275" s="399"/>
    </row>
    <row r="276" spans="1:20" s="81" customFormat="1" ht="15.75" hidden="1" customHeight="1" outlineLevel="1" thickBot="1">
      <c r="A276" s="910"/>
      <c r="B276" s="915"/>
      <c r="C276" s="916" t="s">
        <v>29</v>
      </c>
      <c r="D276" s="912"/>
      <c r="E276" s="917">
        <v>7.0378999999999996</v>
      </c>
      <c r="F276" s="580"/>
      <c r="G276" s="913">
        <f t="shared" ref="G276" si="52">ROUND(D276*E276,2)</f>
        <v>0</v>
      </c>
      <c r="H276" s="914"/>
      <c r="I276" s="281"/>
      <c r="J276" s="281"/>
      <c r="K276" s="282"/>
      <c r="L276" s="204"/>
      <c r="M276" s="371"/>
      <c r="N276" s="426"/>
      <c r="O276" s="416"/>
      <c r="P276" s="416"/>
      <c r="Q276" s="417"/>
      <c r="R276" s="422"/>
      <c r="S276" s="399"/>
      <c r="T276" s="399"/>
    </row>
    <row r="277" spans="1:20" s="81" customFormat="1" ht="15.75" customHeight="1" collapsed="1">
      <c r="A277" s="902">
        <v>406</v>
      </c>
      <c r="B277" s="903" t="s">
        <v>317</v>
      </c>
      <c r="C277" s="439" t="s">
        <v>260</v>
      </c>
      <c r="D277" s="904">
        <f>фев19!D272+фев19!D273</f>
        <v>29.07</v>
      </c>
      <c r="E277" s="23">
        <f>7.5269-7.3681</f>
        <v>0.15880000000000027</v>
      </c>
      <c r="F277" s="905"/>
      <c r="G277" s="22">
        <f>ROUND(D277*E277,2)</f>
        <v>4.62</v>
      </c>
      <c r="H277" s="303"/>
      <c r="I277" s="261"/>
      <c r="J277" s="261"/>
      <c r="K277" s="262"/>
      <c r="L277" s="286">
        <f>SUM(G277:G279)</f>
        <v>148.01</v>
      </c>
      <c r="M277" s="90">
        <v>148.01</v>
      </c>
      <c r="N277" s="421"/>
      <c r="O277" s="77"/>
      <c r="P277" s="77"/>
      <c r="Q277" s="384"/>
      <c r="R277" s="422"/>
      <c r="S277" s="399"/>
      <c r="T277" s="399"/>
    </row>
    <row r="278" spans="1:20" s="81" customFormat="1" ht="15.75" customHeight="1">
      <c r="A278" s="468"/>
      <c r="B278" s="469"/>
      <c r="C278" s="48" t="s">
        <v>263</v>
      </c>
      <c r="D278" s="471">
        <v>0.05</v>
      </c>
      <c r="E278" s="41">
        <v>7.5269000000000004</v>
      </c>
      <c r="F278" s="473"/>
      <c r="G278" s="449">
        <f>ROUND(D278*E278,2)</f>
        <v>0.38</v>
      </c>
      <c r="H278" s="260"/>
      <c r="I278" s="261"/>
      <c r="J278" s="261"/>
      <c r="K278" s="262"/>
      <c r="L278" s="286"/>
      <c r="M278" s="90"/>
      <c r="N278" s="423"/>
      <c r="O278" s="406"/>
      <c r="P278" s="406"/>
      <c r="Q278" s="407"/>
      <c r="R278" s="422"/>
      <c r="S278" s="399"/>
      <c r="T278" s="399"/>
    </row>
    <row r="279" spans="1:20" s="81" customFormat="1" ht="15.75" customHeight="1" thickBot="1">
      <c r="A279" s="701"/>
      <c r="B279" s="702"/>
      <c r="C279" s="99" t="s">
        <v>29</v>
      </c>
      <c r="D279" s="703">
        <v>19</v>
      </c>
      <c r="E279" s="56">
        <v>7.5269000000000004</v>
      </c>
      <c r="F279" s="704"/>
      <c r="G279" s="39">
        <f t="shared" ref="G279" si="53">ROUND(D279*E279,2)</f>
        <v>143.01</v>
      </c>
      <c r="H279" s="280"/>
      <c r="I279" s="281"/>
      <c r="J279" s="281"/>
      <c r="K279" s="282"/>
      <c r="L279" s="204"/>
      <c r="M279" s="371"/>
      <c r="N279" s="426"/>
      <c r="O279" s="416"/>
      <c r="P279" s="416"/>
      <c r="Q279" s="417"/>
      <c r="R279" s="422"/>
      <c r="S279" s="399"/>
      <c r="T279" s="399"/>
    </row>
    <row r="280" spans="1:20" s="81" customFormat="1" ht="15.75" customHeight="1" collapsed="1">
      <c r="A280" s="902">
        <v>407</v>
      </c>
      <c r="B280" s="903" t="s">
        <v>160</v>
      </c>
      <c r="C280" s="439" t="s">
        <v>260</v>
      </c>
      <c r="D280" s="904">
        <f>фев19!D275+фев19!D276</f>
        <v>23.06</v>
      </c>
      <c r="E280" s="23">
        <f>7.5269-7.3681</f>
        <v>0.15880000000000027</v>
      </c>
      <c r="F280" s="905"/>
      <c r="G280" s="22">
        <f>ROUND(D280*E280,2)+0.01</f>
        <v>3.67</v>
      </c>
      <c r="H280" s="303"/>
      <c r="I280" s="23"/>
      <c r="J280" s="23"/>
      <c r="K280" s="304"/>
      <c r="L280" s="263">
        <f>SUM(G280:G282)</f>
        <v>214.95</v>
      </c>
      <c r="M280" s="26">
        <v>214.95</v>
      </c>
      <c r="N280" s="421"/>
      <c r="O280" s="77"/>
      <c r="P280" s="77"/>
      <c r="Q280" s="384"/>
      <c r="R280" s="422"/>
      <c r="S280" s="399"/>
      <c r="T280" s="399"/>
    </row>
    <row r="281" spans="1:20" s="81" customFormat="1" ht="15.75" customHeight="1">
      <c r="A281" s="468"/>
      <c r="B281" s="469"/>
      <c r="C281" s="48" t="s">
        <v>263</v>
      </c>
      <c r="D281" s="471">
        <v>7.0000000000000007E-2</v>
      </c>
      <c r="E281" s="41">
        <v>7.5269000000000004</v>
      </c>
      <c r="F281" s="473"/>
      <c r="G281" s="449">
        <f>ROUND(D281*E281,2)</f>
        <v>0.53</v>
      </c>
      <c r="H281" s="260"/>
      <c r="I281" s="261"/>
      <c r="J281" s="261"/>
      <c r="K281" s="262"/>
      <c r="L281" s="286"/>
      <c r="M281" s="90"/>
      <c r="N281" s="423"/>
      <c r="O281" s="406"/>
      <c r="P281" s="406"/>
      <c r="Q281" s="407"/>
      <c r="R281" s="422"/>
      <c r="S281" s="399"/>
      <c r="T281" s="399"/>
    </row>
    <row r="282" spans="1:20" s="81" customFormat="1" ht="15.75" customHeight="1" thickBot="1">
      <c r="A282" s="858"/>
      <c r="B282" s="859"/>
      <c r="C282" s="54" t="s">
        <v>29</v>
      </c>
      <c r="D282" s="860">
        <v>28</v>
      </c>
      <c r="E282" s="56">
        <v>7.5269000000000004</v>
      </c>
      <c r="F282" s="861"/>
      <c r="G282" s="414">
        <f t="shared" ref="G282" si="54">ROUND(D282*E282,2)</f>
        <v>210.75</v>
      </c>
      <c r="H282" s="280"/>
      <c r="I282" s="281"/>
      <c r="J282" s="281"/>
      <c r="K282" s="282"/>
      <c r="L282" s="204"/>
      <c r="M282" s="371"/>
      <c r="N282" s="426"/>
      <c r="O282" s="416"/>
      <c r="P282" s="416"/>
      <c r="Q282" s="417"/>
      <c r="R282" s="422"/>
      <c r="S282" s="399"/>
      <c r="T282" s="399"/>
    </row>
    <row r="283" spans="1:20" s="81" customFormat="1" ht="15.75" customHeight="1">
      <c r="A283" s="906">
        <v>408</v>
      </c>
      <c r="B283" s="903" t="s">
        <v>253</v>
      </c>
      <c r="C283" s="382" t="s">
        <v>73</v>
      </c>
      <c r="D283" s="904">
        <v>31</v>
      </c>
      <c r="E283" s="907">
        <v>41.244</v>
      </c>
      <c r="F283" s="905">
        <v>48.335999999999999</v>
      </c>
      <c r="G283" s="908">
        <f>ROUND(D283*E283+D283*F283,2)</f>
        <v>2776.98</v>
      </c>
      <c r="H283" s="303"/>
      <c r="I283" s="23"/>
      <c r="J283" s="23"/>
      <c r="K283" s="304"/>
      <c r="L283" s="263">
        <f>SUM(G283:G287)</f>
        <v>13182.77</v>
      </c>
      <c r="M283" s="877">
        <v>13182.76</v>
      </c>
      <c r="N283" s="430"/>
      <c r="O283" s="77"/>
      <c r="P283" s="77"/>
      <c r="Q283" s="384"/>
      <c r="R283" s="422"/>
      <c r="S283" s="399"/>
      <c r="T283" s="399"/>
    </row>
    <row r="284" spans="1:20" s="81" customFormat="1" ht="15.75" customHeight="1" thickBot="1">
      <c r="A284" s="909"/>
      <c r="B284" s="469"/>
      <c r="C284" s="429" t="s">
        <v>26</v>
      </c>
      <c r="D284" s="471"/>
      <c r="E284" s="876"/>
      <c r="F284" s="473"/>
      <c r="G284" s="862">
        <f>ROUND(D284*E284+D284*F284,2)</f>
        <v>0</v>
      </c>
      <c r="H284" s="270"/>
      <c r="I284" s="41"/>
      <c r="J284" s="41"/>
      <c r="K284" s="271"/>
      <c r="L284" s="272"/>
      <c r="M284" s="878"/>
      <c r="N284" s="430"/>
      <c r="O284" s="406"/>
      <c r="P284" s="406"/>
      <c r="Q284" s="407"/>
      <c r="R284" s="422"/>
      <c r="S284" s="399"/>
      <c r="T284" s="399"/>
    </row>
    <row r="285" spans="1:20" s="81" customFormat="1" ht="15.75" customHeight="1">
      <c r="A285" s="468"/>
      <c r="B285" s="699"/>
      <c r="C285" s="48" t="s">
        <v>260</v>
      </c>
      <c r="D285" s="471">
        <f>фев19!D280+фев19!D281</f>
        <v>1195.8599999999999</v>
      </c>
      <c r="E285" s="41">
        <f>7.5269-7.3681</f>
        <v>0.15880000000000027</v>
      </c>
      <c r="F285" s="473"/>
      <c r="G285" s="862">
        <f>ROUND(D285*E285,2)+0.01</f>
        <v>189.91</v>
      </c>
      <c r="H285" s="270"/>
      <c r="I285" s="41"/>
      <c r="J285" s="41"/>
      <c r="K285" s="271"/>
      <c r="L285" s="272"/>
      <c r="M285" s="878"/>
      <c r="N285" s="421"/>
      <c r="O285" s="406"/>
      <c r="P285" s="406"/>
      <c r="Q285" s="407"/>
      <c r="R285" s="422"/>
      <c r="S285" s="399"/>
      <c r="T285" s="399"/>
    </row>
    <row r="286" spans="1:20" s="81" customFormat="1" ht="15.75" customHeight="1">
      <c r="A286" s="468"/>
      <c r="B286" s="469"/>
      <c r="C286" s="48" t="s">
        <v>263</v>
      </c>
      <c r="D286" s="471">
        <f>3.1+0.15</f>
        <v>3.25</v>
      </c>
      <c r="E286" s="41">
        <v>7.5269000000000004</v>
      </c>
      <c r="F286" s="473"/>
      <c r="G286" s="862">
        <f>ROUND(D286*E286,2)</f>
        <v>24.46</v>
      </c>
      <c r="H286" s="270"/>
      <c r="I286" s="41"/>
      <c r="J286" s="41"/>
      <c r="K286" s="271"/>
      <c r="L286" s="272"/>
      <c r="M286" s="878"/>
      <c r="N286" s="423"/>
      <c r="O286" s="406"/>
      <c r="P286" s="406"/>
      <c r="Q286" s="407"/>
      <c r="R286" s="422"/>
      <c r="S286" s="399"/>
      <c r="T286" s="399"/>
    </row>
    <row r="287" spans="1:20" s="81" customFormat="1" ht="15.75" customHeight="1" thickBot="1">
      <c r="A287" s="858"/>
      <c r="B287" s="859"/>
      <c r="C287" s="54" t="s">
        <v>29</v>
      </c>
      <c r="D287" s="860">
        <f>1290+64</f>
        <v>1354</v>
      </c>
      <c r="E287" s="56">
        <v>7.5269000000000004</v>
      </c>
      <c r="F287" s="861"/>
      <c r="G287" s="866">
        <f t="shared" ref="G287" si="55">ROUND(D287*E287,2)</f>
        <v>10191.42</v>
      </c>
      <c r="H287" s="280"/>
      <c r="I287" s="281"/>
      <c r="J287" s="281"/>
      <c r="K287" s="282"/>
      <c r="L287" s="204"/>
      <c r="M287" s="880"/>
      <c r="N287" s="426"/>
      <c r="O287" s="416"/>
      <c r="P287" s="416"/>
      <c r="Q287" s="417"/>
      <c r="R287" s="422"/>
      <c r="S287" s="399"/>
      <c r="T287" s="399"/>
    </row>
    <row r="288" spans="1:20" s="81" customFormat="1" ht="15" hidden="1" customHeight="1">
      <c r="A288" s="437">
        <v>129</v>
      </c>
      <c r="B288" s="438" t="s">
        <v>38</v>
      </c>
      <c r="C288" s="439"/>
      <c r="D288" s="378"/>
      <c r="E288" s="23"/>
      <c r="F288" s="23"/>
      <c r="G288" s="22"/>
      <c r="H288" s="303"/>
      <c r="I288" s="23"/>
      <c r="J288" s="23"/>
      <c r="K288" s="304"/>
      <c r="L288" s="382">
        <f>+SUM(G288:G291,J288:J291)</f>
        <v>0</v>
      </c>
      <c r="M288" s="26"/>
      <c r="N288" s="421"/>
      <c r="O288" s="77"/>
      <c r="P288" s="77"/>
      <c r="Q288" s="384">
        <f>+L288-M288</f>
        <v>0</v>
      </c>
      <c r="R288" s="899"/>
      <c r="S288" s="399"/>
      <c r="T288" s="399"/>
    </row>
    <row r="289" spans="1:20" s="81" customFormat="1" ht="15" hidden="1" customHeight="1">
      <c r="A289" s="441"/>
      <c r="B289" s="442" t="s">
        <v>198</v>
      </c>
      <c r="C289" s="48" t="s">
        <v>118</v>
      </c>
      <c r="D289" s="37"/>
      <c r="E289" s="41">
        <f>6.8416-6.7432</f>
        <v>9.8399999999999821E-2</v>
      </c>
      <c r="F289" s="41"/>
      <c r="G289" s="39">
        <f>ROUND(D289*E289,2)</f>
        <v>0</v>
      </c>
      <c r="H289" s="260"/>
      <c r="I289" s="261"/>
      <c r="J289" s="261"/>
      <c r="K289" s="262"/>
      <c r="L289" s="394"/>
      <c r="M289" s="90"/>
      <c r="N289" s="443"/>
      <c r="O289" s="94"/>
      <c r="P289" s="94"/>
      <c r="Q289" s="396"/>
      <c r="R289" s="899"/>
      <c r="S289" s="399"/>
      <c r="T289" s="399"/>
    </row>
    <row r="290" spans="1:20" s="81" customFormat="1" ht="15.75" hidden="1" thickBot="1">
      <c r="A290" s="441"/>
      <c r="B290" s="444"/>
      <c r="C290" s="48" t="s">
        <v>119</v>
      </c>
      <c r="D290" s="37"/>
      <c r="E290" s="41">
        <v>6.8415999999999997</v>
      </c>
      <c r="F290" s="41"/>
      <c r="G290" s="39">
        <f t="shared" ref="G290:G291" si="56">ROUND(D290*E290,2)</f>
        <v>0</v>
      </c>
      <c r="H290" s="432"/>
      <c r="I290" s="207"/>
      <c r="J290" s="207"/>
      <c r="K290" s="362"/>
      <c r="L290" s="433"/>
      <c r="M290" s="63"/>
      <c r="N290" s="423"/>
      <c r="O290" s="406"/>
      <c r="P290" s="406"/>
      <c r="Q290" s="407"/>
      <c r="R290" s="899"/>
      <c r="S290" s="399"/>
      <c r="T290" s="399"/>
    </row>
    <row r="291" spans="1:20" s="81" customFormat="1" ht="15" hidden="1" customHeight="1" thickBot="1">
      <c r="A291" s="445"/>
      <c r="B291" s="446"/>
      <c r="C291" s="99" t="s">
        <v>29</v>
      </c>
      <c r="D291" s="413"/>
      <c r="E291" s="56">
        <v>6.8415999999999997</v>
      </c>
      <c r="F291" s="281"/>
      <c r="G291" s="414">
        <f t="shared" si="56"/>
        <v>0</v>
      </c>
      <c r="H291" s="280"/>
      <c r="I291" s="281"/>
      <c r="J291" s="281"/>
      <c r="K291" s="282"/>
      <c r="L291" s="204"/>
      <c r="M291" s="371"/>
      <c r="N291" s="434"/>
      <c r="O291" s="435"/>
      <c r="P291" s="435"/>
      <c r="Q291" s="425"/>
      <c r="R291" s="899"/>
      <c r="S291" s="399"/>
      <c r="T291" s="399"/>
    </row>
    <row r="292" spans="1:20" s="81" customFormat="1" ht="15.75" hidden="1" customHeight="1">
      <c r="A292" s="902">
        <v>118</v>
      </c>
      <c r="B292" s="924" t="s">
        <v>200</v>
      </c>
      <c r="C292" s="390" t="s">
        <v>73</v>
      </c>
      <c r="D292" s="869"/>
      <c r="E292" s="86">
        <v>36.214199999999998</v>
      </c>
      <c r="F292" s="86">
        <v>42.4328</v>
      </c>
      <c r="G292" s="449">
        <f>+D292*(E292+F292)</f>
        <v>0</v>
      </c>
      <c r="H292" s="260"/>
      <c r="I292" s="392"/>
      <c r="J292" s="41"/>
      <c r="K292" s="870"/>
      <c r="L292" s="286">
        <f>SUM(G292:G296,J292:J296)</f>
        <v>0</v>
      </c>
      <c r="M292" s="90"/>
      <c r="N292" s="443"/>
      <c r="O292" s="94"/>
      <c r="P292" s="94"/>
      <c r="Q292" s="396"/>
      <c r="R292" s="422"/>
      <c r="S292" s="399"/>
      <c r="T292" s="399"/>
    </row>
    <row r="293" spans="1:20" s="81" customFormat="1" ht="15.75" hidden="1" customHeight="1">
      <c r="A293" s="468"/>
      <c r="B293" s="920"/>
      <c r="C293" s="36" t="s">
        <v>26</v>
      </c>
      <c r="D293" s="37"/>
      <c r="E293" s="38"/>
      <c r="F293" s="38"/>
      <c r="G293" s="39">
        <f>ROUND(D293*(E293+F293),2)</f>
        <v>0</v>
      </c>
      <c r="H293" s="457"/>
      <c r="I293" s="392"/>
      <c r="J293" s="41"/>
      <c r="K293" s="393"/>
      <c r="L293" s="459"/>
      <c r="M293" s="44"/>
      <c r="N293" s="430"/>
      <c r="O293" s="406"/>
      <c r="P293" s="406"/>
      <c r="Q293" s="407"/>
      <c r="R293" s="422"/>
      <c r="S293" s="399"/>
      <c r="T293" s="399"/>
    </row>
    <row r="294" spans="1:20" s="81" customFormat="1" ht="15.75" hidden="1" customHeight="1">
      <c r="A294" s="468"/>
      <c r="B294" s="920"/>
      <c r="C294" s="48" t="s">
        <v>124</v>
      </c>
      <c r="D294" s="37"/>
      <c r="E294" s="41"/>
      <c r="F294" s="38"/>
      <c r="G294" s="39">
        <f>ROUND(D294*(E294),2)</f>
        <v>0</v>
      </c>
      <c r="H294" s="270"/>
      <c r="I294" s="41"/>
      <c r="J294" s="41"/>
      <c r="K294" s="271"/>
      <c r="L294" s="272"/>
      <c r="M294" s="102"/>
      <c r="N294" s="430"/>
      <c r="O294" s="406"/>
      <c r="P294" s="406"/>
      <c r="Q294" s="407"/>
      <c r="R294" s="422"/>
      <c r="S294" s="399"/>
      <c r="T294" s="399"/>
    </row>
    <row r="295" spans="1:20" s="81" customFormat="1" ht="15.75" hidden="1" customHeight="1">
      <c r="A295" s="468"/>
      <c r="B295" s="920"/>
      <c r="C295" s="48" t="s">
        <v>125</v>
      </c>
      <c r="D295" s="37"/>
      <c r="E295" s="41">
        <v>6.7431999999999999</v>
      </c>
      <c r="F295" s="38"/>
      <c r="G295" s="39">
        <f>ROUND(D295*(E295),2)</f>
        <v>0</v>
      </c>
      <c r="H295" s="270"/>
      <c r="I295" s="41"/>
      <c r="J295" s="41"/>
      <c r="K295" s="271"/>
      <c r="L295" s="272"/>
      <c r="M295" s="102"/>
      <c r="N295" s="434"/>
      <c r="O295" s="435"/>
      <c r="P295" s="435"/>
      <c r="Q295" s="425"/>
      <c r="R295" s="422"/>
      <c r="S295" s="399"/>
      <c r="T295" s="399"/>
    </row>
    <row r="296" spans="1:20" s="81" customFormat="1" ht="15.75" hidden="1" customHeight="1" thickBot="1">
      <c r="A296" s="858"/>
      <c r="B296" s="921"/>
      <c r="C296" s="54" t="s">
        <v>29</v>
      </c>
      <c r="D296" s="413"/>
      <c r="E296" s="56">
        <v>6.7431999999999999</v>
      </c>
      <c r="F296" s="281"/>
      <c r="G296" s="414">
        <f>ROUND(D296*(E296),2)</f>
        <v>0</v>
      </c>
      <c r="H296" s="280"/>
      <c r="I296" s="281"/>
      <c r="J296" s="281"/>
      <c r="K296" s="282"/>
      <c r="L296" s="204"/>
      <c r="M296" s="371"/>
      <c r="N296" s="426"/>
      <c r="O296" s="416"/>
      <c r="P296" s="416"/>
      <c r="Q296" s="417"/>
      <c r="R296" s="422"/>
      <c r="S296" s="399"/>
      <c r="T296" s="399"/>
    </row>
    <row r="297" spans="1:20" s="81" customFormat="1" ht="15.75" customHeight="1">
      <c r="A297" s="902" t="s">
        <v>258</v>
      </c>
      <c r="B297" s="903" t="s">
        <v>265</v>
      </c>
      <c r="C297" s="439" t="s">
        <v>260</v>
      </c>
      <c r="D297" s="904">
        <f>фев19!D292+фев19!D293</f>
        <v>1239.97</v>
      </c>
      <c r="E297" s="23">
        <f>7.5269-7.3681</f>
        <v>0.15880000000000027</v>
      </c>
      <c r="F297" s="905"/>
      <c r="G297" s="22">
        <f>ROUND(D297*E297,2)</f>
        <v>196.91</v>
      </c>
      <c r="H297" s="303"/>
      <c r="I297" s="23"/>
      <c r="J297" s="23"/>
      <c r="K297" s="304"/>
      <c r="L297" s="263">
        <f>SUM(G297:G299)</f>
        <v>7719.2199999999993</v>
      </c>
      <c r="M297" s="26">
        <v>7719.22</v>
      </c>
      <c r="N297" s="421"/>
      <c r="O297" s="77"/>
      <c r="P297" s="77"/>
      <c r="Q297" s="384"/>
      <c r="R297" s="422"/>
      <c r="S297" s="399"/>
      <c r="T297" s="399"/>
    </row>
    <row r="298" spans="1:20" s="81" customFormat="1" ht="15.75" customHeight="1">
      <c r="A298" s="468"/>
      <c r="B298" s="469"/>
      <c r="C298" s="48" t="s">
        <v>263</v>
      </c>
      <c r="D298" s="471">
        <v>2.39</v>
      </c>
      <c r="E298" s="41">
        <v>7.5269000000000004</v>
      </c>
      <c r="F298" s="473"/>
      <c r="G298" s="449">
        <f>ROUND(D298*E298,2)</f>
        <v>17.989999999999998</v>
      </c>
      <c r="H298" s="260"/>
      <c r="I298" s="261"/>
      <c r="J298" s="261"/>
      <c r="K298" s="262"/>
      <c r="L298" s="286"/>
      <c r="M298" s="90"/>
      <c r="N298" s="423"/>
      <c r="O298" s="406"/>
      <c r="P298" s="406"/>
      <c r="Q298" s="407"/>
      <c r="R298" s="422"/>
      <c r="S298" s="399"/>
      <c r="T298" s="399"/>
    </row>
    <row r="299" spans="1:20" s="81" customFormat="1" ht="15.75" customHeight="1" thickBot="1">
      <c r="A299" s="858"/>
      <c r="B299" s="859"/>
      <c r="C299" s="54" t="s">
        <v>29</v>
      </c>
      <c r="D299" s="860">
        <v>997</v>
      </c>
      <c r="E299" s="56">
        <v>7.5269000000000004</v>
      </c>
      <c r="F299" s="861"/>
      <c r="G299" s="414">
        <f t="shared" ref="G299" si="57">ROUND(D299*E299,2)</f>
        <v>7504.32</v>
      </c>
      <c r="H299" s="280"/>
      <c r="I299" s="281"/>
      <c r="J299" s="281"/>
      <c r="K299" s="282"/>
      <c r="L299" s="204"/>
      <c r="M299" s="371"/>
      <c r="N299" s="426"/>
      <c r="O299" s="416"/>
      <c r="P299" s="416"/>
      <c r="Q299" s="417"/>
      <c r="R299" s="422"/>
      <c r="S299" s="399"/>
      <c r="T299" s="399"/>
    </row>
    <row r="300" spans="1:20" s="81" customFormat="1" ht="15.75" customHeight="1">
      <c r="A300" s="902" t="s">
        <v>258</v>
      </c>
      <c r="B300" s="903" t="s">
        <v>267</v>
      </c>
      <c r="C300" s="439" t="s">
        <v>260</v>
      </c>
      <c r="D300" s="904">
        <f>фев19!D295+фев19!D296</f>
        <v>453.08</v>
      </c>
      <c r="E300" s="23">
        <f>7.5269-7.3681</f>
        <v>0.15880000000000027</v>
      </c>
      <c r="F300" s="905"/>
      <c r="G300" s="22">
        <f>ROUND(D300*E300,2)</f>
        <v>71.95</v>
      </c>
      <c r="H300" s="303"/>
      <c r="I300" s="23"/>
      <c r="J300" s="23"/>
      <c r="K300" s="304"/>
      <c r="L300" s="263">
        <f>SUM(G300:G302)</f>
        <v>1392.32</v>
      </c>
      <c r="M300" s="26">
        <v>1392.32</v>
      </c>
      <c r="N300" s="421"/>
      <c r="O300" s="1561"/>
      <c r="P300" s="1562"/>
      <c r="Q300" s="1563"/>
      <c r="R300" s="422"/>
      <c r="S300" s="399"/>
      <c r="T300" s="399"/>
    </row>
    <row r="301" spans="1:20" s="81" customFormat="1" ht="15.75" customHeight="1">
      <c r="A301" s="468"/>
      <c r="B301" s="469"/>
      <c r="C301" s="48" t="s">
        <v>263</v>
      </c>
      <c r="D301" s="471">
        <v>0.42</v>
      </c>
      <c r="E301" s="41">
        <v>7.5269000000000004</v>
      </c>
      <c r="F301" s="473"/>
      <c r="G301" s="449">
        <f>ROUND(D301*E301,2)</f>
        <v>3.16</v>
      </c>
      <c r="H301" s="260"/>
      <c r="I301" s="261"/>
      <c r="J301" s="261"/>
      <c r="K301" s="262"/>
      <c r="L301" s="286"/>
      <c r="M301" s="90"/>
      <c r="N301" s="423"/>
      <c r="O301" s="406"/>
      <c r="P301" s="406"/>
      <c r="Q301" s="407"/>
      <c r="R301" s="422"/>
      <c r="S301" s="399"/>
      <c r="T301" s="399"/>
    </row>
    <row r="302" spans="1:20" s="81" customFormat="1" ht="15.75" customHeight="1" thickBot="1">
      <c r="A302" s="858"/>
      <c r="B302" s="859"/>
      <c r="C302" s="54" t="s">
        <v>29</v>
      </c>
      <c r="D302" s="860">
        <v>175</v>
      </c>
      <c r="E302" s="56">
        <v>7.5269000000000004</v>
      </c>
      <c r="F302" s="861"/>
      <c r="G302" s="414">
        <f t="shared" ref="G302" si="58">ROUND(D302*E302,2)</f>
        <v>1317.21</v>
      </c>
      <c r="H302" s="280"/>
      <c r="I302" s="281"/>
      <c r="J302" s="281"/>
      <c r="K302" s="282"/>
      <c r="L302" s="204"/>
      <c r="M302" s="371"/>
      <c r="N302" s="426"/>
      <c r="O302" s="416"/>
      <c r="P302" s="416"/>
      <c r="Q302" s="417"/>
      <c r="R302" s="422"/>
      <c r="S302" s="399"/>
      <c r="T302" s="399"/>
    </row>
    <row r="303" spans="1:20" s="81" customFormat="1" ht="15.75" customHeight="1">
      <c r="A303" s="926"/>
      <c r="B303" s="927"/>
      <c r="C303" s="928"/>
      <c r="D303" s="904"/>
      <c r="E303" s="929"/>
      <c r="F303" s="905"/>
      <c r="G303" s="930"/>
      <c r="H303" s="905"/>
      <c r="I303" s="905"/>
      <c r="J303" s="905"/>
      <c r="K303" s="905"/>
      <c r="L303" s="905"/>
      <c r="M303" s="931"/>
      <c r="N303" s="387"/>
      <c r="O303" s="387"/>
      <c r="P303" s="387"/>
      <c r="Q303" s="387"/>
      <c r="R303" s="422"/>
      <c r="S303" s="399"/>
      <c r="T303" s="399"/>
    </row>
    <row r="304" spans="1:20" s="81" customFormat="1" ht="15" customHeight="1">
      <c r="A304" s="686"/>
      <c r="B304" s="469"/>
      <c r="C304" s="932"/>
      <c r="D304" s="471"/>
      <c r="E304" s="473"/>
      <c r="F304" s="473"/>
      <c r="G304" s="474"/>
      <c r="H304" s="473"/>
      <c r="I304" s="473"/>
      <c r="J304" s="473"/>
      <c r="K304" s="473"/>
      <c r="L304" s="473"/>
      <c r="M304" s="470"/>
      <c r="N304" s="399"/>
      <c r="O304" s="399"/>
      <c r="P304" s="399"/>
      <c r="Q304" s="399"/>
      <c r="R304" s="422"/>
      <c r="S304" s="399"/>
      <c r="T304" s="399"/>
    </row>
    <row r="305" spans="1:21" ht="21.75" thickBot="1">
      <c r="A305" s="171" t="s">
        <v>84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  <c r="N305" s="2"/>
      <c r="O305" s="2"/>
      <c r="P305" s="2"/>
      <c r="Q305" s="2"/>
      <c r="R305" s="2"/>
      <c r="S305" s="2"/>
      <c r="T305" s="2"/>
    </row>
    <row r="306" spans="1:21" ht="15.75" customHeight="1" thickTop="1" thickBot="1">
      <c r="A306" s="1540" t="s">
        <v>1</v>
      </c>
      <c r="B306" s="1542" t="s">
        <v>2</v>
      </c>
      <c r="C306" s="1544" t="s">
        <v>3</v>
      </c>
      <c r="D306" s="1546" t="s">
        <v>4</v>
      </c>
      <c r="E306" s="1546"/>
      <c r="F306" s="1546"/>
      <c r="G306" s="1546"/>
      <c r="H306" s="1547" t="s">
        <v>5</v>
      </c>
      <c r="I306" s="1548"/>
      <c r="J306" s="1548"/>
      <c r="K306" s="1549"/>
      <c r="L306" s="1524" t="s">
        <v>6</v>
      </c>
      <c r="M306" s="1511" t="s">
        <v>7</v>
      </c>
      <c r="N306" s="1551" t="s">
        <v>8</v>
      </c>
      <c r="O306" s="1551"/>
      <c r="P306" s="1551"/>
      <c r="Q306" s="1552" t="s">
        <v>18</v>
      </c>
      <c r="R306" s="481" t="s">
        <v>85</v>
      </c>
      <c r="S306" s="482" t="s">
        <v>20</v>
      </c>
      <c r="T306" s="482" t="s">
        <v>21</v>
      </c>
    </row>
    <row r="307" spans="1:21" ht="40.5" customHeight="1" thickTop="1" thickBot="1">
      <c r="A307" s="1541"/>
      <c r="B307" s="1543"/>
      <c r="C307" s="1545" t="s">
        <v>10</v>
      </c>
      <c r="D307" s="483" t="s">
        <v>11</v>
      </c>
      <c r="E307" s="484" t="s">
        <v>12</v>
      </c>
      <c r="F307" s="484" t="s">
        <v>13</v>
      </c>
      <c r="G307" s="485" t="s">
        <v>14</v>
      </c>
      <c r="H307" s="483" t="s">
        <v>11</v>
      </c>
      <c r="I307" s="486" t="s">
        <v>15</v>
      </c>
      <c r="J307" s="485"/>
      <c r="K307" s="487" t="s">
        <v>16</v>
      </c>
      <c r="L307" s="1525"/>
      <c r="M307" s="1550"/>
      <c r="N307" s="488" t="s">
        <v>14</v>
      </c>
      <c r="O307" s="485"/>
      <c r="P307" s="489" t="s">
        <v>18</v>
      </c>
      <c r="Q307" s="490" t="s">
        <v>19</v>
      </c>
      <c r="R307" s="491"/>
      <c r="S307" s="492"/>
      <c r="T307" s="492"/>
    </row>
    <row r="308" spans="1:21">
      <c r="A308" s="961" t="s">
        <v>228</v>
      </c>
      <c r="B308" s="602" t="s">
        <v>186</v>
      </c>
      <c r="C308" s="439" t="s">
        <v>260</v>
      </c>
      <c r="D308" s="184">
        <f>фев19!D303+фев19!D304</f>
        <v>190.06</v>
      </c>
      <c r="E308" s="41">
        <f>7.4969-7.2025</f>
        <v>0.29440000000000044</v>
      </c>
      <c r="F308" s="23"/>
      <c r="G308" s="185">
        <f>ROUND(D308*(E308),2)</f>
        <v>55.95</v>
      </c>
      <c r="H308" s="620"/>
      <c r="I308" s="620"/>
      <c r="J308" s="620"/>
      <c r="K308" s="1022"/>
      <c r="L308" s="498">
        <f>SUM(G308:G310)</f>
        <v>2044.5</v>
      </c>
      <c r="M308" s="187">
        <v>2044.5</v>
      </c>
      <c r="N308" s="615"/>
      <c r="O308" s="615"/>
      <c r="P308" s="615"/>
      <c r="Q308" s="615"/>
    </row>
    <row r="309" spans="1:21">
      <c r="A309" s="934"/>
      <c r="B309" s="506"/>
      <c r="C309" s="48" t="s">
        <v>263</v>
      </c>
      <c r="D309" s="49">
        <v>11.25</v>
      </c>
      <c r="E309" s="41">
        <v>7.4969000000000001</v>
      </c>
      <c r="F309" s="41">
        <f>+E309</f>
        <v>7.4969000000000001</v>
      </c>
      <c r="G309" s="50">
        <f>ROUND(D309*(E309),2)</f>
        <v>84.34</v>
      </c>
      <c r="H309" s="296"/>
      <c r="I309" s="298"/>
      <c r="J309" s="298"/>
      <c r="K309" s="1021"/>
      <c r="L309" s="606"/>
      <c r="M309" s="935"/>
      <c r="N309" s="615"/>
      <c r="O309" s="615"/>
      <c r="P309" s="615"/>
      <c r="Q309" s="615"/>
    </row>
    <row r="310" spans="1:21" ht="15.75" thickBot="1">
      <c r="A310" s="934"/>
      <c r="B310" s="506"/>
      <c r="C310" s="54" t="s">
        <v>29</v>
      </c>
      <c r="D310" s="296">
        <v>254</v>
      </c>
      <c r="E310" s="56">
        <v>7.4969000000000001</v>
      </c>
      <c r="F310" s="41">
        <f>+E310</f>
        <v>7.4969000000000001</v>
      </c>
      <c r="G310" s="50">
        <f t="shared" ref="G310" si="59">ROUND(D310*(E310),2)</f>
        <v>1904.21</v>
      </c>
      <c r="H310" s="296"/>
      <c r="I310" s="298"/>
      <c r="J310" s="298"/>
      <c r="K310" s="1021"/>
      <c r="L310" s="614"/>
      <c r="M310" s="935"/>
      <c r="N310" s="615"/>
      <c r="O310" s="615"/>
      <c r="P310" s="615"/>
      <c r="Q310" s="615"/>
    </row>
    <row r="311" spans="1:21">
      <c r="A311" s="961" t="s">
        <v>207</v>
      </c>
      <c r="B311" s="602" t="s">
        <v>184</v>
      </c>
      <c r="C311" s="439" t="s">
        <v>260</v>
      </c>
      <c r="D311" s="184">
        <f>фев19!D306+фев19!D307</f>
        <v>0</v>
      </c>
      <c r="E311" s="41">
        <f>7.4969-7.2025</f>
        <v>0.29440000000000044</v>
      </c>
      <c r="F311" s="23">
        <f>+E311</f>
        <v>0.29440000000000044</v>
      </c>
      <c r="G311" s="185">
        <f>ROUND(D311*(E311),2)</f>
        <v>0</v>
      </c>
      <c r="H311" s="620"/>
      <c r="I311" s="620"/>
      <c r="J311" s="620"/>
      <c r="K311" s="1022"/>
      <c r="L311" s="498">
        <f>SUM(G311:G313)</f>
        <v>0</v>
      </c>
      <c r="M311" s="187"/>
      <c r="N311" s="615"/>
      <c r="O311" s="962" t="s">
        <v>277</v>
      </c>
      <c r="P311" s="615"/>
      <c r="Q311" s="615"/>
    </row>
    <row r="312" spans="1:21">
      <c r="A312" s="934"/>
      <c r="B312" s="506"/>
      <c r="C312" s="48" t="s">
        <v>263</v>
      </c>
      <c r="D312" s="49">
        <v>0</v>
      </c>
      <c r="E312" s="41">
        <v>7.4969000000000001</v>
      </c>
      <c r="F312" s="41">
        <f>+E312</f>
        <v>7.4969000000000001</v>
      </c>
      <c r="G312" s="50">
        <f>ROUND(D312*(E312),2)</f>
        <v>0</v>
      </c>
      <c r="H312" s="296"/>
      <c r="I312" s="298"/>
      <c r="J312" s="298"/>
      <c r="K312" s="1021"/>
      <c r="L312" s="606"/>
      <c r="M312" s="935"/>
      <c r="N312" s="615"/>
      <c r="O312" s="615"/>
      <c r="P312" s="615"/>
      <c r="Q312" s="615"/>
    </row>
    <row r="313" spans="1:21" ht="15.75" thickBot="1">
      <c r="A313" s="934"/>
      <c r="B313" s="506"/>
      <c r="C313" s="54" t="s">
        <v>29</v>
      </c>
      <c r="D313" s="296">
        <v>0</v>
      </c>
      <c r="E313" s="56">
        <v>7.4969000000000001</v>
      </c>
      <c r="F313" s="41">
        <f>+E313</f>
        <v>7.4969000000000001</v>
      </c>
      <c r="G313" s="50">
        <f t="shared" ref="G313" si="60">ROUND(D313*(E313),2)</f>
        <v>0</v>
      </c>
      <c r="H313" s="296"/>
      <c r="I313" s="298"/>
      <c r="J313" s="298"/>
      <c r="K313" s="1021"/>
      <c r="L313" s="614"/>
      <c r="M313" s="935"/>
      <c r="N313" s="615"/>
      <c r="O313" s="615"/>
      <c r="P313" s="615"/>
      <c r="Q313" s="615"/>
    </row>
    <row r="314" spans="1:21" ht="16.5" hidden="1" thickTop="1" thickBot="1">
      <c r="A314" s="376">
        <v>100</v>
      </c>
      <c r="B314" s="494" t="s">
        <v>193</v>
      </c>
      <c r="C314" s="71" t="s">
        <v>243</v>
      </c>
      <c r="D314" s="495"/>
      <c r="E314" s="21">
        <v>40.556600000000003</v>
      </c>
      <c r="F314" s="21">
        <v>47.5304</v>
      </c>
      <c r="G314" s="185">
        <f>ROUND(D314*(E314+F314),2)</f>
        <v>0</v>
      </c>
      <c r="H314" s="496"/>
      <c r="I314" s="73"/>
      <c r="J314" s="73"/>
      <c r="K314" s="1022"/>
      <c r="L314" s="498">
        <f>SUM(G314:G321)+SUM(J314:J320)</f>
        <v>0</v>
      </c>
      <c r="M314" s="26"/>
      <c r="N314" s="499"/>
      <c r="O314" s="500"/>
      <c r="P314" s="501" t="s">
        <v>87</v>
      </c>
      <c r="Q314" s="595" t="e">
        <f t="shared" ref="Q314" si="61">C314+G314+J314-M314-N314-O314</f>
        <v>#VALUE!</v>
      </c>
    </row>
    <row r="315" spans="1:21" ht="15.75" hidden="1" thickBot="1">
      <c r="A315" s="389"/>
      <c r="B315" s="999" t="s">
        <v>302</v>
      </c>
      <c r="C315" s="507" t="s">
        <v>96</v>
      </c>
      <c r="D315" s="234"/>
      <c r="E315" s="38"/>
      <c r="F315" s="38"/>
      <c r="G315" s="235">
        <f>ROUND(D315*(E315+F315),2)</f>
        <v>0</v>
      </c>
      <c r="H315" s="448"/>
      <c r="I315" s="509"/>
      <c r="J315" s="199"/>
      <c r="K315" s="1023"/>
      <c r="L315" s="511"/>
      <c r="M315" s="512"/>
      <c r="N315" s="513"/>
      <c r="O315" s="514"/>
      <c r="P315" s="515"/>
      <c r="Q315" s="262"/>
      <c r="U315" s="33"/>
    </row>
    <row r="316" spans="1:21" ht="15.75" hidden="1" thickBot="1">
      <c r="A316" s="389"/>
      <c r="B316" s="516" t="s">
        <v>89</v>
      </c>
      <c r="C316" s="512" t="s">
        <v>90</v>
      </c>
      <c r="D316" s="508"/>
      <c r="E316" s="101"/>
      <c r="F316" s="38">
        <v>47.5304</v>
      </c>
      <c r="G316" s="50">
        <f>ROUND(D316*(E316+F316),2)</f>
        <v>0</v>
      </c>
      <c r="H316" s="270"/>
      <c r="I316" s="41"/>
      <c r="J316" s="207"/>
      <c r="K316" s="1023"/>
      <c r="L316" s="517"/>
      <c r="M316" s="99"/>
      <c r="N316" s="518"/>
      <c r="O316" s="519"/>
      <c r="P316" s="515" t="s">
        <v>87</v>
      </c>
      <c r="Q316" s="271">
        <f>+G316+J316-M316-N316-O316</f>
        <v>0</v>
      </c>
    </row>
    <row r="317" spans="1:21" ht="15.75" hidden="1" thickBot="1">
      <c r="A317" s="389"/>
      <c r="B317" s="541"/>
      <c r="C317" s="84" t="s">
        <v>97</v>
      </c>
      <c r="D317" s="508"/>
      <c r="E317" s="41"/>
      <c r="F317" s="38"/>
      <c r="G317" s="50">
        <f>ROUND(D317*(E317+F317),2)</f>
        <v>0</v>
      </c>
      <c r="H317" s="432"/>
      <c r="I317" s="362"/>
      <c r="J317" s="207"/>
      <c r="K317" s="1023"/>
      <c r="L317" s="517"/>
      <c r="M317" s="520"/>
      <c r="N317" s="521"/>
      <c r="O317" s="522"/>
      <c r="P317" s="523"/>
      <c r="Q317" s="362"/>
    </row>
    <row r="318" spans="1:21" ht="15.75" hidden="1" thickBot="1">
      <c r="A318" s="389"/>
      <c r="B318" s="1033" t="s">
        <v>194</v>
      </c>
      <c r="C318" s="84"/>
      <c r="D318" s="508"/>
      <c r="E318" s="41"/>
      <c r="F318" s="41"/>
      <c r="G318" s="50"/>
      <c r="H318" s="432"/>
      <c r="I318" s="362"/>
      <c r="J318" s="207"/>
      <c r="K318" s="1023"/>
      <c r="L318" s="517"/>
      <c r="M318" s="520"/>
      <c r="N318" s="521"/>
      <c r="O318" s="522"/>
      <c r="P318" s="523"/>
      <c r="Q318" s="362"/>
    </row>
    <row r="319" spans="1:21" ht="15.75" hidden="1" thickBot="1">
      <c r="A319" s="389"/>
      <c r="B319" s="506"/>
      <c r="C319" s="48" t="s">
        <v>260</v>
      </c>
      <c r="D319" s="37"/>
      <c r="E319" s="41"/>
      <c r="F319" s="41">
        <f>+E319</f>
        <v>0</v>
      </c>
      <c r="G319" s="39">
        <f>ROUND(D319*E319,2)</f>
        <v>0</v>
      </c>
      <c r="H319" s="432"/>
      <c r="I319" s="362"/>
      <c r="J319" s="207"/>
      <c r="K319" s="1023"/>
      <c r="L319" s="517"/>
      <c r="M319" s="520"/>
      <c r="N319" s="521"/>
      <c r="O319" s="522"/>
      <c r="P319" s="523"/>
      <c r="Q319" s="362"/>
    </row>
    <row r="320" spans="1:21" ht="15.75" hidden="1" thickBot="1">
      <c r="A320" s="389"/>
      <c r="B320" s="506"/>
      <c r="C320" s="48" t="s">
        <v>263</v>
      </c>
      <c r="D320" s="37"/>
      <c r="E320" s="41">
        <v>6.7838000000000003</v>
      </c>
      <c r="F320" s="41">
        <f>+E320</f>
        <v>6.7838000000000003</v>
      </c>
      <c r="G320" s="39">
        <f>ROUND(D320*E320,2)</f>
        <v>0</v>
      </c>
      <c r="H320" s="432"/>
      <c r="I320" s="362"/>
      <c r="J320" s="207"/>
      <c r="K320" s="1023"/>
      <c r="L320" s="517"/>
      <c r="M320" s="520"/>
      <c r="N320" s="521"/>
      <c r="O320" s="522"/>
      <c r="P320" s="523"/>
      <c r="Q320" s="362"/>
      <c r="U320" s="33"/>
    </row>
    <row r="321" spans="1:21" ht="15.75" hidden="1" thickBot="1">
      <c r="A321" s="411"/>
      <c r="B321" s="526"/>
      <c r="C321" s="99" t="s">
        <v>29</v>
      </c>
      <c r="D321" s="55"/>
      <c r="E321" s="1012">
        <v>6.7838000000000003</v>
      </c>
      <c r="F321" s="281">
        <f>+E321</f>
        <v>6.7838000000000003</v>
      </c>
      <c r="G321" s="58">
        <f>ROUND(D321*E321,2)</f>
        <v>0</v>
      </c>
      <c r="H321" s="248"/>
      <c r="I321" s="203"/>
      <c r="J321" s="60"/>
      <c r="K321" s="1024"/>
      <c r="L321" s="249"/>
      <c r="M321" s="54"/>
      <c r="N321" s="521"/>
      <c r="O321" s="528"/>
      <c r="P321" s="529" t="s">
        <v>87</v>
      </c>
      <c r="Q321" s="362">
        <f>+G321+J321-M321-N321-O321</f>
        <v>0</v>
      </c>
    </row>
    <row r="322" spans="1:21" ht="15.75" collapsed="1" thickTop="1">
      <c r="A322" s="389">
        <v>100</v>
      </c>
      <c r="B322" s="494" t="s">
        <v>303</v>
      </c>
      <c r="C322" s="71" t="s">
        <v>73</v>
      </c>
      <c r="D322" s="495">
        <v>1</v>
      </c>
      <c r="E322" s="21">
        <v>41.244</v>
      </c>
      <c r="F322" s="21">
        <v>48.335999999999999</v>
      </c>
      <c r="G322" s="185">
        <f>ROUND(D322*(E322+F322),2)</f>
        <v>89.58</v>
      </c>
      <c r="H322" s="496"/>
      <c r="I322" s="73"/>
      <c r="J322" s="73"/>
      <c r="K322" s="679"/>
      <c r="L322" s="498">
        <f>SUM(G322:G328)+SUM(J322:J327)</f>
        <v>3407.24</v>
      </c>
      <c r="M322" s="26">
        <v>3407.24</v>
      </c>
      <c r="N322" s="594"/>
      <c r="O322" s="535"/>
      <c r="P322" s="536" t="s">
        <v>87</v>
      </c>
      <c r="Q322" s="595" t="e">
        <f>C322+G322+J322-M322-N322-O322</f>
        <v>#VALUE!</v>
      </c>
      <c r="R322" s="502" t="s">
        <v>88</v>
      </c>
      <c r="S322" s="503"/>
      <c r="T322" s="504"/>
      <c r="U322" s="33">
        <f>+M322-L322</f>
        <v>0</v>
      </c>
    </row>
    <row r="323" spans="1:21">
      <c r="A323" s="389"/>
      <c r="B323" s="999"/>
      <c r="C323" s="542" t="s">
        <v>264</v>
      </c>
      <c r="D323" s="508"/>
      <c r="E323" s="38"/>
      <c r="F323" s="38"/>
      <c r="G323" s="50">
        <f>ROUND(D323*(E323+F323),2)</f>
        <v>0</v>
      </c>
      <c r="H323" s="596"/>
      <c r="I323" s="409"/>
      <c r="J323" s="509"/>
      <c r="K323" s="1025"/>
      <c r="L323" s="511"/>
      <c r="M323" s="99"/>
      <c r="N323" s="513"/>
      <c r="O323" s="514"/>
      <c r="P323" s="515"/>
      <c r="Q323" s="262"/>
      <c r="R323" s="502"/>
      <c r="S323" s="503"/>
      <c r="T323" s="504"/>
    </row>
    <row r="324" spans="1:21">
      <c r="A324" s="389"/>
      <c r="B324" s="516" t="s">
        <v>103</v>
      </c>
      <c r="C324" s="99" t="s">
        <v>90</v>
      </c>
      <c r="D324" s="508">
        <v>0</v>
      </c>
      <c r="E324" s="101">
        <v>330.21</v>
      </c>
      <c r="F324" s="38">
        <f>F322</f>
        <v>48.335999999999999</v>
      </c>
      <c r="G324" s="50">
        <f>ROUND(D324*(E324+F324),2)</f>
        <v>0</v>
      </c>
      <c r="H324" s="270"/>
      <c r="I324" s="41"/>
      <c r="J324" s="409"/>
      <c r="K324" s="1026"/>
      <c r="L324" s="597"/>
      <c r="M324" s="99"/>
      <c r="N324" s="518"/>
      <c r="O324" s="519"/>
      <c r="P324" s="515" t="s">
        <v>87</v>
      </c>
      <c r="Q324" s="271">
        <f>+G324+J324-M324-N324-O324</f>
        <v>0</v>
      </c>
      <c r="R324" s="502" t="s">
        <v>88</v>
      </c>
      <c r="S324" s="503"/>
      <c r="T324" s="504"/>
    </row>
    <row r="325" spans="1:21">
      <c r="A325" s="389"/>
      <c r="B325" s="506"/>
      <c r="C325" s="390" t="s">
        <v>97</v>
      </c>
      <c r="D325" s="508">
        <f>фев19!D318</f>
        <v>0</v>
      </c>
      <c r="E325" s="41">
        <f>330.21-357.98</f>
        <v>-27.770000000000039</v>
      </c>
      <c r="F325" s="38">
        <f>F323</f>
        <v>0</v>
      </c>
      <c r="G325" s="50">
        <f>D325*(E325+F325)</f>
        <v>0</v>
      </c>
      <c r="H325" s="432"/>
      <c r="I325" s="362"/>
      <c r="J325" s="41"/>
      <c r="K325" s="1026"/>
      <c r="L325" s="597"/>
      <c r="M325" s="99"/>
      <c r="N325" s="521"/>
      <c r="O325" s="522"/>
      <c r="P325" s="523"/>
      <c r="Q325" s="362"/>
      <c r="R325" s="502"/>
      <c r="S325" s="503"/>
      <c r="T325" s="504"/>
    </row>
    <row r="326" spans="1:21">
      <c r="A326" s="389"/>
      <c r="B326" s="506"/>
      <c r="C326" s="48" t="s">
        <v>260</v>
      </c>
      <c r="D326" s="37">
        <f>фев19!D321+фев19!D322</f>
        <v>339.4</v>
      </c>
      <c r="E326" s="41">
        <f>7.4969-7.2025</f>
        <v>0.29440000000000044</v>
      </c>
      <c r="F326" s="297">
        <f t="shared" ref="F326:F328" si="62">+E326</f>
        <v>0.29440000000000044</v>
      </c>
      <c r="G326" s="39">
        <f>ROUND(D326*(E326+F326)/2,2)-0.01</f>
        <v>99.91</v>
      </c>
      <c r="H326" s="432"/>
      <c r="I326" s="362"/>
      <c r="J326" s="41"/>
      <c r="K326" s="1026"/>
      <c r="L326" s="597"/>
      <c r="M326" s="99"/>
      <c r="N326" s="521"/>
      <c r="O326" s="522"/>
      <c r="P326" s="523"/>
      <c r="Q326" s="362"/>
      <c r="R326" s="502"/>
      <c r="S326" s="503"/>
      <c r="T326" s="504"/>
    </row>
    <row r="327" spans="1:21">
      <c r="A327" s="389"/>
      <c r="B327" s="506"/>
      <c r="C327" s="48" t="s">
        <v>263</v>
      </c>
      <c r="D327" s="37">
        <v>18.21</v>
      </c>
      <c r="E327" s="41">
        <v>7.4969000000000001</v>
      </c>
      <c r="F327" s="298">
        <f t="shared" si="62"/>
        <v>7.4969000000000001</v>
      </c>
      <c r="G327" s="39">
        <f>ROUND(D327*E327,2)</f>
        <v>136.52000000000001</v>
      </c>
      <c r="H327" s="432"/>
      <c r="I327" s="362"/>
      <c r="J327" s="41"/>
      <c r="K327" s="1026"/>
      <c r="L327" s="597"/>
      <c r="M327" s="99"/>
      <c r="N327" s="521"/>
      <c r="O327" s="522"/>
      <c r="P327" s="523"/>
      <c r="Q327" s="362"/>
      <c r="R327" s="502"/>
      <c r="S327" s="503"/>
      <c r="T327" s="504"/>
    </row>
    <row r="328" spans="1:21" ht="15.75" thickBot="1">
      <c r="A328" s="369"/>
      <c r="B328" s="526"/>
      <c r="C328" s="99" t="s">
        <v>29</v>
      </c>
      <c r="D328" s="55">
        <v>411</v>
      </c>
      <c r="E328" s="56">
        <v>7.4969000000000001</v>
      </c>
      <c r="F328" s="57">
        <f t="shared" si="62"/>
        <v>7.4969000000000001</v>
      </c>
      <c r="G328" s="414">
        <f>ROUND(D328*E328,2)</f>
        <v>3081.23</v>
      </c>
      <c r="H328" s="248"/>
      <c r="I328" s="203"/>
      <c r="J328" s="60"/>
      <c r="K328" s="1024"/>
      <c r="L328" s="249"/>
      <c r="M328" s="54"/>
      <c r="N328" s="527"/>
      <c r="O328" s="528"/>
      <c r="P328" s="529" t="s">
        <v>87</v>
      </c>
      <c r="Q328" s="58">
        <f>+G328+J328-M328-N328-O328</f>
        <v>3081.23</v>
      </c>
      <c r="R328" s="502" t="s">
        <v>88</v>
      </c>
      <c r="S328" s="598">
        <f>SUM(N322:N328)+O322:O328</f>
        <v>0</v>
      </c>
      <c r="T328" s="598" t="e">
        <f>SUM(Q322:Q328)</f>
        <v>#VALUE!</v>
      </c>
    </row>
    <row r="329" spans="1:21" ht="15.75" collapsed="1" thickTop="1">
      <c r="A329" s="389">
        <v>113</v>
      </c>
      <c r="B329" s="494" t="s">
        <v>250</v>
      </c>
      <c r="C329" s="71" t="s">
        <v>73</v>
      </c>
      <c r="D329" s="495">
        <v>17</v>
      </c>
      <c r="E329" s="21">
        <v>41.244</v>
      </c>
      <c r="F329" s="21">
        <v>48.335999999999999</v>
      </c>
      <c r="G329" s="185">
        <f>ROUND(D329*(E329+F329),2)</f>
        <v>1522.86</v>
      </c>
      <c r="H329" s="496"/>
      <c r="I329" s="73"/>
      <c r="J329" s="73"/>
      <c r="K329" s="679"/>
      <c r="L329" s="498">
        <f>SUM(G329:G335)+SUM(J329:J334)</f>
        <v>27622.460000000003</v>
      </c>
      <c r="M329" s="26">
        <v>27622.46</v>
      </c>
      <c r="N329" s="594"/>
      <c r="O329" s="535"/>
      <c r="P329" s="536" t="s">
        <v>87</v>
      </c>
      <c r="Q329" s="595" t="e">
        <f>C329+G329+J329-M329-N329-O329</f>
        <v>#VALUE!</v>
      </c>
      <c r="R329" s="502" t="s">
        <v>88</v>
      </c>
      <c r="S329" s="503"/>
      <c r="T329" s="504"/>
      <c r="U329" s="33">
        <f>+M329-L329</f>
        <v>0</v>
      </c>
    </row>
    <row r="330" spans="1:21">
      <c r="A330" s="389"/>
      <c r="B330" s="506"/>
      <c r="C330" s="542" t="s">
        <v>264</v>
      </c>
      <c r="D330" s="508"/>
      <c r="E330" s="38"/>
      <c r="F330" s="38"/>
      <c r="G330" s="50">
        <f>ROUND(D330*(E330+F330),2)</f>
        <v>0</v>
      </c>
      <c r="H330" s="596"/>
      <c r="I330" s="409"/>
      <c r="J330" s="509"/>
      <c r="K330" s="1025"/>
      <c r="L330" s="511"/>
      <c r="M330" s="99"/>
      <c r="N330" s="513"/>
      <c r="O330" s="514"/>
      <c r="P330" s="515"/>
      <c r="Q330" s="262"/>
      <c r="R330" s="502"/>
      <c r="S330" s="503"/>
      <c r="T330" s="504"/>
    </row>
    <row r="331" spans="1:21">
      <c r="A331" s="389"/>
      <c r="B331" s="516" t="s">
        <v>103</v>
      </c>
      <c r="C331" s="99" t="s">
        <v>90</v>
      </c>
      <c r="D331" s="508">
        <v>7</v>
      </c>
      <c r="E331" s="101">
        <v>330.21</v>
      </c>
      <c r="F331" s="38">
        <f>F329</f>
        <v>48.335999999999999</v>
      </c>
      <c r="G331" s="50">
        <f>ROUND(D331*(E331+F331),2)</f>
        <v>2649.82</v>
      </c>
      <c r="H331" s="270"/>
      <c r="I331" s="41"/>
      <c r="J331" s="409"/>
      <c r="K331" s="1026"/>
      <c r="L331" s="597"/>
      <c r="M331" s="99"/>
      <c r="N331" s="518"/>
      <c r="O331" s="519"/>
      <c r="P331" s="515" t="s">
        <v>87</v>
      </c>
      <c r="Q331" s="271">
        <f>+G331+J331-M331-N331-O331</f>
        <v>2649.82</v>
      </c>
      <c r="R331" s="502" t="s">
        <v>88</v>
      </c>
      <c r="S331" s="503"/>
      <c r="T331" s="504"/>
    </row>
    <row r="332" spans="1:21">
      <c r="A332" s="389"/>
      <c r="B332" s="506"/>
      <c r="C332" s="390" t="s">
        <v>97</v>
      </c>
      <c r="D332" s="508">
        <f>фев19!D325</f>
        <v>4</v>
      </c>
      <c r="E332" s="41">
        <f>330.21-357.98</f>
        <v>-27.770000000000039</v>
      </c>
      <c r="F332" s="38">
        <f>F330</f>
        <v>0</v>
      </c>
      <c r="G332" s="50">
        <f>D332*(E332+F332)</f>
        <v>-111.08000000000015</v>
      </c>
      <c r="H332" s="432"/>
      <c r="I332" s="362"/>
      <c r="J332" s="41"/>
      <c r="K332" s="1026"/>
      <c r="L332" s="597"/>
      <c r="M332" s="99"/>
      <c r="N332" s="521"/>
      <c r="O332" s="522"/>
      <c r="P332" s="523"/>
      <c r="Q332" s="362"/>
      <c r="R332" s="502"/>
      <c r="S332" s="503"/>
      <c r="T332" s="504"/>
    </row>
    <row r="333" spans="1:21">
      <c r="A333" s="389"/>
      <c r="B333" s="506"/>
      <c r="C333" s="48" t="s">
        <v>260</v>
      </c>
      <c r="D333" s="37">
        <f>фев19!D328+фев19!D329</f>
        <v>2697.43</v>
      </c>
      <c r="E333" s="41">
        <f>7.4969-7.2025</f>
        <v>0.29440000000000044</v>
      </c>
      <c r="F333" s="297">
        <f t="shared" ref="F333:F335" si="63">+E333</f>
        <v>0.29440000000000044</v>
      </c>
      <c r="G333" s="39">
        <f>ROUND(D333*(E333+F333)/2,2)</f>
        <v>794.12</v>
      </c>
      <c r="H333" s="432"/>
      <c r="I333" s="362"/>
      <c r="J333" s="41"/>
      <c r="K333" s="1026"/>
      <c r="L333" s="597"/>
      <c r="M333" s="99"/>
      <c r="N333" s="521"/>
      <c r="O333" s="522"/>
      <c r="P333" s="523"/>
      <c r="Q333" s="362"/>
      <c r="R333" s="502"/>
      <c r="S333" s="503"/>
      <c r="T333" s="504"/>
    </row>
    <row r="334" spans="1:21">
      <c r="A334" s="389"/>
      <c r="B334" s="506"/>
      <c r="C334" s="48" t="s">
        <v>263</v>
      </c>
      <c r="D334" s="37">
        <f>43.9+84.92</f>
        <v>128.82</v>
      </c>
      <c r="E334" s="41">
        <v>7.4969000000000001</v>
      </c>
      <c r="F334" s="298">
        <f t="shared" si="63"/>
        <v>7.4969000000000001</v>
      </c>
      <c r="G334" s="39">
        <f>ROUND(D334*E334,2)</f>
        <v>965.75</v>
      </c>
      <c r="H334" s="432"/>
      <c r="I334" s="362"/>
      <c r="J334" s="41"/>
      <c r="K334" s="1026"/>
      <c r="L334" s="597"/>
      <c r="M334" s="99"/>
      <c r="N334" s="521"/>
      <c r="O334" s="522"/>
      <c r="P334" s="523"/>
      <c r="Q334" s="362"/>
      <c r="R334" s="502"/>
      <c r="S334" s="503"/>
      <c r="T334" s="504"/>
    </row>
    <row r="335" spans="1:21" ht="15.75" thickBot="1">
      <c r="A335" s="369"/>
      <c r="B335" s="526"/>
      <c r="C335" s="99" t="s">
        <v>29</v>
      </c>
      <c r="D335" s="55">
        <f>991+1917</f>
        <v>2908</v>
      </c>
      <c r="E335" s="56">
        <v>7.4969000000000001</v>
      </c>
      <c r="F335" s="57">
        <f t="shared" si="63"/>
        <v>7.4969000000000001</v>
      </c>
      <c r="G335" s="414">
        <f>ROUND(D335*E335,2)</f>
        <v>21800.99</v>
      </c>
      <c r="H335" s="248"/>
      <c r="I335" s="203"/>
      <c r="J335" s="60"/>
      <c r="K335" s="1024"/>
      <c r="L335" s="249"/>
      <c r="M335" s="54"/>
      <c r="N335" s="527"/>
      <c r="O335" s="528"/>
      <c r="P335" s="529" t="s">
        <v>87</v>
      </c>
      <c r="Q335" s="58">
        <f>+G335+J335-M335-N335-O335</f>
        <v>21800.99</v>
      </c>
      <c r="R335" s="502" t="s">
        <v>88</v>
      </c>
      <c r="S335" s="598">
        <f>SUM(N329:N335)+O329:O335</f>
        <v>0</v>
      </c>
      <c r="T335" s="598" t="e">
        <f>SUM(Q329:Q335)</f>
        <v>#VALUE!</v>
      </c>
    </row>
    <row r="336" spans="1:21">
      <c r="A336" s="376" t="s">
        <v>208</v>
      </c>
      <c r="B336" s="602" t="s">
        <v>213</v>
      </c>
      <c r="C336" s="439" t="s">
        <v>260</v>
      </c>
      <c r="D336" s="184">
        <f>фев19!D331+фев19!D332</f>
        <v>149.33000000000001</v>
      </c>
      <c r="E336" s="41">
        <f>7.4969-7.2025</f>
        <v>0.29440000000000044</v>
      </c>
      <c r="F336" s="23">
        <f>+E336</f>
        <v>0.29440000000000044</v>
      </c>
      <c r="G336" s="185">
        <f>ROUND(D336*(E336),2)-0.01</f>
        <v>43.95</v>
      </c>
      <c r="H336" s="620"/>
      <c r="I336" s="620"/>
      <c r="J336" s="620"/>
      <c r="K336" s="1020"/>
      <c r="L336" s="603">
        <f>SUM(G336:G338)</f>
        <v>1672.36</v>
      </c>
      <c r="M336" s="187">
        <v>1672.36</v>
      </c>
      <c r="N336" s="615"/>
      <c r="O336" s="615"/>
      <c r="P336" s="615"/>
      <c r="Q336" s="615"/>
    </row>
    <row r="337" spans="1:17">
      <c r="A337" s="934"/>
      <c r="B337" s="506"/>
      <c r="C337" s="48" t="s">
        <v>263</v>
      </c>
      <c r="D337" s="49">
        <f>5.18+4.03</f>
        <v>9.2100000000000009</v>
      </c>
      <c r="E337" s="41">
        <v>7.4969000000000001</v>
      </c>
      <c r="F337" s="41">
        <f>+E337</f>
        <v>7.4969000000000001</v>
      </c>
      <c r="G337" s="50">
        <f>ROUND(D337*(E337),2)</f>
        <v>69.05</v>
      </c>
      <c r="H337" s="296"/>
      <c r="I337" s="298"/>
      <c r="J337" s="298"/>
      <c r="K337" s="1021"/>
      <c r="L337" s="606"/>
      <c r="M337" s="935"/>
      <c r="N337" s="615"/>
      <c r="O337" s="615"/>
      <c r="P337" s="615"/>
      <c r="Q337" s="615"/>
    </row>
    <row r="338" spans="1:17" ht="15.75" thickBot="1">
      <c r="A338" s="934"/>
      <c r="B338" s="506"/>
      <c r="C338" s="54" t="s">
        <v>29</v>
      </c>
      <c r="D338" s="296">
        <f>117+91</f>
        <v>208</v>
      </c>
      <c r="E338" s="56">
        <v>7.4969000000000001</v>
      </c>
      <c r="F338" s="41">
        <f>+E338</f>
        <v>7.4969000000000001</v>
      </c>
      <c r="G338" s="50">
        <f t="shared" ref="G338" si="64">ROUND(D338*(E338),2)</f>
        <v>1559.36</v>
      </c>
      <c r="H338" s="296"/>
      <c r="I338" s="298"/>
      <c r="J338" s="298"/>
      <c r="K338" s="1021"/>
      <c r="L338" s="614"/>
      <c r="M338" s="935"/>
      <c r="N338" s="615"/>
      <c r="O338" s="615"/>
      <c r="P338" s="615"/>
      <c r="Q338" s="615"/>
    </row>
    <row r="339" spans="1:17" ht="15.75" hidden="1" thickBot="1">
      <c r="A339" s="376">
        <v>201</v>
      </c>
      <c r="B339" s="602" t="s">
        <v>107</v>
      </c>
      <c r="C339" s="618" t="s">
        <v>73</v>
      </c>
      <c r="D339" s="619"/>
      <c r="E339" s="21">
        <v>40.556600000000003</v>
      </c>
      <c r="F339" s="21">
        <v>47.5304</v>
      </c>
      <c r="G339" s="185">
        <f>ROUND(D339*(E339+F339),2)</f>
        <v>0</v>
      </c>
      <c r="H339" s="620"/>
      <c r="I339" s="620"/>
      <c r="J339" s="620"/>
      <c r="K339" s="454"/>
      <c r="L339" s="603">
        <f>SUM(G339:G343,J339:J343)</f>
        <v>0.01</v>
      </c>
      <c r="M339" s="187"/>
      <c r="N339" s="621"/>
      <c r="O339" s="621"/>
      <c r="P339" s="621"/>
      <c r="Q339" s="622"/>
    </row>
    <row r="340" spans="1:17" ht="15.75" hidden="1" thickBot="1">
      <c r="A340" s="936"/>
      <c r="B340" s="612"/>
      <c r="C340" s="542" t="s">
        <v>96</v>
      </c>
      <c r="D340" s="234"/>
      <c r="E340" s="38"/>
      <c r="F340" s="38"/>
      <c r="G340" s="235">
        <f>ROUND(D340*(E340+F340),2)</f>
        <v>0</v>
      </c>
      <c r="H340" s="298"/>
      <c r="I340" s="298"/>
      <c r="J340" s="298"/>
      <c r="K340" s="455"/>
      <c r="L340" s="606"/>
      <c r="M340" s="935"/>
      <c r="N340" s="615"/>
      <c r="O340" s="615"/>
      <c r="P340" s="615"/>
      <c r="Q340" s="616"/>
    </row>
    <row r="341" spans="1:17" ht="15.75" hidden="1" thickBot="1">
      <c r="A341" s="936"/>
      <c r="B341" s="612"/>
      <c r="C341" s="48" t="s">
        <v>260</v>
      </c>
      <c r="D341" s="623"/>
      <c r="E341" s="41">
        <f>7.332-6.6439</f>
        <v>0.68809999999999949</v>
      </c>
      <c r="F341" s="41">
        <f t="shared" ref="F341:F352" si="65">+E341</f>
        <v>0.68809999999999949</v>
      </c>
      <c r="G341" s="50">
        <f>ROUND(D341*(E341),2)+0.01</f>
        <v>0.01</v>
      </c>
      <c r="H341" s="298"/>
      <c r="I341" s="298"/>
      <c r="J341" s="298"/>
      <c r="K341" s="455"/>
      <c r="L341" s="614"/>
      <c r="M341" s="935"/>
      <c r="N341" s="615"/>
      <c r="O341" s="615"/>
      <c r="P341" s="615"/>
      <c r="Q341" s="616"/>
    </row>
    <row r="342" spans="1:17" ht="15.75" hidden="1" thickBot="1">
      <c r="A342" s="936"/>
      <c r="B342" s="612"/>
      <c r="C342" s="48" t="s">
        <v>263</v>
      </c>
      <c r="D342" s="623"/>
      <c r="E342" s="41">
        <v>7.3319999999999999</v>
      </c>
      <c r="F342" s="41">
        <f t="shared" si="65"/>
        <v>7.3319999999999999</v>
      </c>
      <c r="G342" s="39">
        <f t="shared" ref="G342:G355" si="66">ROUND(D342*(E342),2)</f>
        <v>0</v>
      </c>
      <c r="H342" s="298"/>
      <c r="I342" s="298"/>
      <c r="J342" s="298"/>
      <c r="K342" s="455"/>
      <c r="L342" s="614"/>
      <c r="M342" s="273"/>
      <c r="N342" s="615"/>
      <c r="O342" s="615"/>
      <c r="P342" s="615"/>
      <c r="Q342" s="616"/>
    </row>
    <row r="343" spans="1:17" ht="15.75" hidden="1" thickBot="1">
      <c r="A343" s="937"/>
      <c r="B343" s="526"/>
      <c r="C343" s="99" t="s">
        <v>29</v>
      </c>
      <c r="D343" s="625"/>
      <c r="E343" s="56">
        <v>7.3319999999999999</v>
      </c>
      <c r="F343" s="281">
        <f t="shared" si="65"/>
        <v>7.3319999999999999</v>
      </c>
      <c r="G343" s="414">
        <f t="shared" si="66"/>
        <v>0</v>
      </c>
      <c r="H343" s="41"/>
      <c r="I343" s="41"/>
      <c r="J343" s="281"/>
      <c r="K343" s="56"/>
      <c r="L343" s="784"/>
      <c r="M343" s="938"/>
      <c r="N343" s="626"/>
      <c r="O343" s="626"/>
      <c r="P343" s="626"/>
      <c r="Q343" s="627"/>
    </row>
    <row r="344" spans="1:17">
      <c r="A344" s="376">
        <v>203</v>
      </c>
      <c r="B344" s="602" t="s">
        <v>301</v>
      </c>
      <c r="C344" s="439" t="s">
        <v>260</v>
      </c>
      <c r="D344" s="184">
        <f>фев19!D339+фев19!D340</f>
        <v>125.32</v>
      </c>
      <c r="E344" s="41">
        <f>7.4969-7.2025</f>
        <v>0.29440000000000044</v>
      </c>
      <c r="F344" s="23">
        <f t="shared" si="65"/>
        <v>0.29440000000000044</v>
      </c>
      <c r="G344" s="185">
        <f>ROUND(D344*(E344),2)+0.01</f>
        <v>36.9</v>
      </c>
      <c r="H344" s="620"/>
      <c r="I344" s="620"/>
      <c r="J344" s="620"/>
      <c r="K344" s="1020"/>
      <c r="L344" s="603">
        <f>SUM(G344:G346)</f>
        <v>209.10000000000002</v>
      </c>
      <c r="M344" s="187">
        <v>209.1</v>
      </c>
      <c r="N344" s="615"/>
      <c r="O344" s="615"/>
      <c r="P344" s="615"/>
      <c r="Q344" s="615"/>
    </row>
    <row r="345" spans="1:17">
      <c r="A345" s="934"/>
      <c r="B345" s="506"/>
      <c r="C345" s="48" t="s">
        <v>263</v>
      </c>
      <c r="D345" s="49">
        <v>0.97</v>
      </c>
      <c r="E345" s="41">
        <v>7.4969000000000001</v>
      </c>
      <c r="F345" s="41">
        <f t="shared" si="65"/>
        <v>7.4969000000000001</v>
      </c>
      <c r="G345" s="50">
        <f>ROUND(D345*(E345),2)</f>
        <v>7.27</v>
      </c>
      <c r="H345" s="296"/>
      <c r="I345" s="298"/>
      <c r="J345" s="298"/>
      <c r="K345" s="1021"/>
      <c r="L345" s="606"/>
      <c r="M345" s="935"/>
      <c r="N345" s="615"/>
      <c r="O345" s="615"/>
      <c r="P345" s="615"/>
      <c r="Q345" s="615"/>
    </row>
    <row r="346" spans="1:17" ht="15.75" thickBot="1">
      <c r="A346" s="934"/>
      <c r="B346" s="506"/>
      <c r="C346" s="54" t="s">
        <v>29</v>
      </c>
      <c r="D346" s="296">
        <v>22</v>
      </c>
      <c r="E346" s="56">
        <v>7.4969000000000001</v>
      </c>
      <c r="F346" s="41">
        <f t="shared" si="65"/>
        <v>7.4969000000000001</v>
      </c>
      <c r="G346" s="50">
        <f t="shared" ref="G346" si="67">ROUND(D346*(E346),2)</f>
        <v>164.93</v>
      </c>
      <c r="H346" s="296"/>
      <c r="I346" s="298"/>
      <c r="J346" s="298"/>
      <c r="K346" s="1021"/>
      <c r="L346" s="614"/>
      <c r="M346" s="935"/>
      <c r="N346" s="615"/>
      <c r="O346" s="615"/>
      <c r="P346" s="615"/>
      <c r="Q346" s="615"/>
    </row>
    <row r="347" spans="1:17">
      <c r="A347" s="376">
        <v>300</v>
      </c>
      <c r="B347" s="602" t="s">
        <v>326</v>
      </c>
      <c r="C347" s="48" t="s">
        <v>260</v>
      </c>
      <c r="D347" s="184"/>
      <c r="E347" s="41">
        <f>7.4969-7.2025</f>
        <v>0.29440000000000044</v>
      </c>
      <c r="F347" s="23">
        <f t="shared" ref="F347:F349" si="68">+E347</f>
        <v>0.29440000000000044</v>
      </c>
      <c r="G347" s="185">
        <f>ROUND(D347*(E347),2)</f>
        <v>0</v>
      </c>
      <c r="H347" s="23"/>
      <c r="I347" s="23"/>
      <c r="J347" s="23"/>
      <c r="K347" s="341"/>
      <c r="L347" s="603">
        <f>SUM(G347:G349)</f>
        <v>1377.8600000000001</v>
      </c>
      <c r="M347" s="187"/>
      <c r="N347" s="604"/>
      <c r="O347" s="500" t="s">
        <v>327</v>
      </c>
      <c r="P347" s="501"/>
      <c r="Q347" s="605"/>
    </row>
    <row r="348" spans="1:17">
      <c r="A348" s="389"/>
      <c r="B348" s="506"/>
      <c r="C348" s="48" t="s">
        <v>263</v>
      </c>
      <c r="D348" s="49">
        <f>0.04+4.65+3.1</f>
        <v>7.7900000000000009</v>
      </c>
      <c r="E348" s="41">
        <v>7.4969000000000001</v>
      </c>
      <c r="F348" s="41">
        <f t="shared" si="68"/>
        <v>7.4969000000000001</v>
      </c>
      <c r="G348" s="50">
        <f>ROUND(D348*(E348),2)+0.01</f>
        <v>58.41</v>
      </c>
      <c r="H348" s="41"/>
      <c r="I348" s="41"/>
      <c r="J348" s="41"/>
      <c r="K348" s="101"/>
      <c r="L348" s="606"/>
      <c r="M348" s="935"/>
      <c r="N348" s="607"/>
      <c r="O348" s="608"/>
      <c r="P348" s="609"/>
      <c r="Q348" s="610"/>
    </row>
    <row r="349" spans="1:17" ht="15.75" thickBot="1">
      <c r="A349" s="936"/>
      <c r="B349" s="612"/>
      <c r="C349" s="99" t="s">
        <v>29</v>
      </c>
      <c r="D349" s="613">
        <f>1+105+70</f>
        <v>176</v>
      </c>
      <c r="E349" s="56">
        <v>7.4969000000000001</v>
      </c>
      <c r="F349" s="281">
        <f t="shared" si="68"/>
        <v>7.4969000000000001</v>
      </c>
      <c r="G349" s="58">
        <f t="shared" ref="G349" si="69">ROUND(D349*(E349),2)</f>
        <v>1319.45</v>
      </c>
      <c r="H349" s="57"/>
      <c r="I349" s="57"/>
      <c r="J349" s="57"/>
      <c r="K349" s="1018"/>
      <c r="L349" s="614"/>
      <c r="M349" s="935"/>
      <c r="N349" s="615"/>
      <c r="O349" s="615"/>
      <c r="P349" s="615"/>
      <c r="Q349" s="616"/>
    </row>
    <row r="350" spans="1:17">
      <c r="A350" s="376">
        <v>301</v>
      </c>
      <c r="B350" s="602" t="s">
        <v>106</v>
      </c>
      <c r="C350" s="48" t="s">
        <v>260</v>
      </c>
      <c r="D350" s="184">
        <f>фев19!D342+фев19!D343</f>
        <v>881.39</v>
      </c>
      <c r="E350" s="41">
        <f>7.4969-7.2025</f>
        <v>0.29440000000000044</v>
      </c>
      <c r="F350" s="23">
        <f t="shared" si="65"/>
        <v>0.29440000000000044</v>
      </c>
      <c r="G350" s="185">
        <f>ROUND(D350*(E350),2)-0.01</f>
        <v>259.47000000000003</v>
      </c>
      <c r="H350" s="23"/>
      <c r="I350" s="23"/>
      <c r="J350" s="23"/>
      <c r="K350" s="341"/>
      <c r="L350" s="603">
        <f>SUM(G350:G352)</f>
        <v>7329.05</v>
      </c>
      <c r="M350" s="187">
        <v>7329.05</v>
      </c>
      <c r="N350" s="604"/>
      <c r="O350" s="500"/>
      <c r="P350" s="501"/>
      <c r="Q350" s="605"/>
    </row>
    <row r="351" spans="1:17">
      <c r="A351" s="389"/>
      <c r="B351" s="506"/>
      <c r="C351" s="48" t="s">
        <v>263</v>
      </c>
      <c r="D351" s="49">
        <v>40</v>
      </c>
      <c r="E351" s="41">
        <v>7.4969000000000001</v>
      </c>
      <c r="F351" s="41">
        <f t="shared" si="65"/>
        <v>7.4969000000000001</v>
      </c>
      <c r="G351" s="50">
        <f t="shared" si="66"/>
        <v>299.88</v>
      </c>
      <c r="H351" s="41"/>
      <c r="I351" s="41"/>
      <c r="J351" s="41"/>
      <c r="K351" s="101"/>
      <c r="L351" s="606"/>
      <c r="M351" s="935"/>
      <c r="N351" s="607"/>
      <c r="O351" s="608"/>
      <c r="P351" s="609"/>
      <c r="Q351" s="610"/>
    </row>
    <row r="352" spans="1:17" ht="15.75" thickBot="1">
      <c r="A352" s="936"/>
      <c r="B352" s="612"/>
      <c r="C352" s="99" t="s">
        <v>29</v>
      </c>
      <c r="D352" s="613">
        <v>903</v>
      </c>
      <c r="E352" s="56">
        <v>7.4969000000000001</v>
      </c>
      <c r="F352" s="281">
        <f t="shared" si="65"/>
        <v>7.4969000000000001</v>
      </c>
      <c r="G352" s="58">
        <f t="shared" si="66"/>
        <v>6769.7</v>
      </c>
      <c r="H352" s="57"/>
      <c r="I352" s="57"/>
      <c r="J352" s="57"/>
      <c r="K352" s="1018"/>
      <c r="L352" s="614"/>
      <c r="M352" s="935"/>
      <c r="N352" s="615"/>
      <c r="O352" s="615"/>
      <c r="P352" s="615"/>
      <c r="Q352" s="616"/>
    </row>
    <row r="353" spans="1:17" ht="15.75" hidden="1" thickBot="1">
      <c r="A353" s="447" t="s">
        <v>205</v>
      </c>
      <c r="B353" s="602" t="s">
        <v>183</v>
      </c>
      <c r="C353" s="439" t="s">
        <v>260</v>
      </c>
      <c r="D353" s="184"/>
      <c r="E353" s="41">
        <f>7.332-6.6439</f>
        <v>0.68809999999999949</v>
      </c>
      <c r="F353" s="23">
        <f>+E353</f>
        <v>0.68809999999999949</v>
      </c>
      <c r="G353" s="185">
        <f>ROUND(D353*(E353),2)-0.01</f>
        <v>-0.01</v>
      </c>
      <c r="H353" s="620"/>
      <c r="I353" s="620"/>
      <c r="J353" s="620"/>
      <c r="K353" s="1020"/>
      <c r="L353" s="603">
        <f>SUM(G353:G355)</f>
        <v>-0.01</v>
      </c>
      <c r="M353" s="187"/>
      <c r="N353" s="604"/>
      <c r="O353" s="635"/>
      <c r="P353" s="636"/>
      <c r="Q353" s="605"/>
    </row>
    <row r="354" spans="1:17" ht="15.75" hidden="1" thickBot="1">
      <c r="A354" s="450" t="s">
        <v>206</v>
      </c>
      <c r="B354" s="506"/>
      <c r="C354" s="48" t="s">
        <v>263</v>
      </c>
      <c r="D354" s="49"/>
      <c r="E354" s="41">
        <v>7.3319999999999999</v>
      </c>
      <c r="F354" s="41">
        <f>+E354</f>
        <v>7.3319999999999999</v>
      </c>
      <c r="G354" s="50">
        <f t="shared" si="66"/>
        <v>0</v>
      </c>
      <c r="H354" s="296"/>
      <c r="I354" s="298"/>
      <c r="J354" s="298"/>
      <c r="K354" s="1021"/>
      <c r="L354" s="606"/>
      <c r="M354" s="935"/>
      <c r="N354" s="607"/>
      <c r="O354" s="608"/>
      <c r="P354" s="609"/>
      <c r="Q354" s="610"/>
    </row>
    <row r="355" spans="1:17" ht="15.75" hidden="1" thickBot="1">
      <c r="A355" s="451">
        <v>305</v>
      </c>
      <c r="B355" s="506"/>
      <c r="C355" s="54" t="s">
        <v>29</v>
      </c>
      <c r="D355" s="296"/>
      <c r="E355" s="56">
        <v>7.3319999999999999</v>
      </c>
      <c r="F355" s="41">
        <f t="shared" ref="F355:F359" si="70">+E355</f>
        <v>7.3319999999999999</v>
      </c>
      <c r="G355" s="50">
        <f t="shared" si="66"/>
        <v>0</v>
      </c>
      <c r="H355" s="296"/>
      <c r="I355" s="298"/>
      <c r="J355" s="298"/>
      <c r="K355" s="1021"/>
      <c r="L355" s="614"/>
      <c r="M355" s="935"/>
      <c r="N355" s="615"/>
      <c r="O355" s="615"/>
      <c r="P355" s="615"/>
      <c r="Q355" s="616"/>
    </row>
    <row r="356" spans="1:17">
      <c r="A356" s="376">
        <v>304</v>
      </c>
      <c r="B356" s="602" t="s">
        <v>299</v>
      </c>
      <c r="C356" s="48" t="s">
        <v>260</v>
      </c>
      <c r="D356" s="184">
        <f>фев19!D348+фев19!D349</f>
        <v>32.369999999999997</v>
      </c>
      <c r="E356" s="41">
        <f>7.4969-7.2025</f>
        <v>0.29440000000000044</v>
      </c>
      <c r="F356" s="23">
        <f t="shared" si="70"/>
        <v>0.29440000000000044</v>
      </c>
      <c r="G356" s="185">
        <f>ROUND(D356*(E356),2)</f>
        <v>9.5299999999999994</v>
      </c>
      <c r="H356" s="23"/>
      <c r="I356" s="23"/>
      <c r="J356" s="23"/>
      <c r="K356" s="341"/>
      <c r="L356" s="603">
        <f>SUM(G356:G358)</f>
        <v>299.20999999999998</v>
      </c>
      <c r="M356" s="187">
        <v>299.20999999999998</v>
      </c>
      <c r="N356" s="604"/>
      <c r="O356" s="500"/>
      <c r="P356" s="501"/>
      <c r="Q356" s="605"/>
    </row>
    <row r="357" spans="1:17">
      <c r="A357" s="389"/>
      <c r="B357" s="506"/>
      <c r="C357" s="48" t="s">
        <v>263</v>
      </c>
      <c r="D357" s="49">
        <v>1.64</v>
      </c>
      <c r="E357" s="41">
        <v>7.4969000000000001</v>
      </c>
      <c r="F357" s="41">
        <f t="shared" si="70"/>
        <v>7.4969000000000001</v>
      </c>
      <c r="G357" s="50">
        <f t="shared" ref="G357:G358" si="71">ROUND(D357*(E357),2)</f>
        <v>12.29</v>
      </c>
      <c r="H357" s="41"/>
      <c r="I357" s="41"/>
      <c r="J357" s="41"/>
      <c r="K357" s="101"/>
      <c r="L357" s="606"/>
      <c r="M357" s="935"/>
      <c r="N357" s="607"/>
      <c r="O357" s="608"/>
      <c r="P357" s="609"/>
      <c r="Q357" s="610"/>
    </row>
    <row r="358" spans="1:17" ht="15.75" thickBot="1">
      <c r="A358" s="936"/>
      <c r="B358" s="612"/>
      <c r="C358" s="99" t="s">
        <v>29</v>
      </c>
      <c r="D358" s="613">
        <v>37</v>
      </c>
      <c r="E358" s="56">
        <v>7.4969000000000001</v>
      </c>
      <c r="F358" s="281">
        <f t="shared" si="70"/>
        <v>7.4969000000000001</v>
      </c>
      <c r="G358" s="58">
        <f t="shared" si="71"/>
        <v>277.39</v>
      </c>
      <c r="H358" s="57"/>
      <c r="I358" s="57"/>
      <c r="J358" s="57"/>
      <c r="K358" s="1018"/>
      <c r="L358" s="614"/>
      <c r="M358" s="935"/>
      <c r="N358" s="615"/>
      <c r="O358" s="615"/>
      <c r="P358" s="615"/>
      <c r="Q358" s="616"/>
    </row>
    <row r="359" spans="1:17" collapsed="1">
      <c r="A359" s="376">
        <v>307</v>
      </c>
      <c r="B359" s="602" t="s">
        <v>251</v>
      </c>
      <c r="C359" s="439" t="s">
        <v>260</v>
      </c>
      <c r="D359" s="184">
        <f>фев19!D351+фев19!D352</f>
        <v>367.59</v>
      </c>
      <c r="E359" s="23">
        <f>7.4969-7.2025</f>
        <v>0.29440000000000044</v>
      </c>
      <c r="F359" s="23">
        <f t="shared" si="70"/>
        <v>0.29440000000000044</v>
      </c>
      <c r="G359" s="185">
        <f>ROUND(D359*(E359),2)+0.01</f>
        <v>108.23</v>
      </c>
      <c r="H359" s="669"/>
      <c r="I359" s="620"/>
      <c r="J359" s="620"/>
      <c r="K359" s="1020"/>
      <c r="L359" s="603">
        <f>SUM(G359:G361)</f>
        <v>3278.96</v>
      </c>
      <c r="M359" s="187">
        <v>3278.96</v>
      </c>
      <c r="N359" s="604"/>
      <c r="O359" s="635"/>
      <c r="P359" s="636"/>
      <c r="Q359" s="605"/>
    </row>
    <row r="360" spans="1:17">
      <c r="A360" s="934"/>
      <c r="B360" s="506"/>
      <c r="C360" s="48" t="s">
        <v>263</v>
      </c>
      <c r="D360" s="49">
        <v>17.940000000000001</v>
      </c>
      <c r="E360" s="41">
        <v>7.4969000000000001</v>
      </c>
      <c r="F360" s="41">
        <f>+E360</f>
        <v>7.4969000000000001</v>
      </c>
      <c r="G360" s="50">
        <f>ROUND(D360*(E360),2)</f>
        <v>134.49</v>
      </c>
      <c r="H360" s="296"/>
      <c r="I360" s="298"/>
      <c r="J360" s="298"/>
      <c r="K360" s="1021"/>
      <c r="L360" s="606"/>
      <c r="M360" s="935"/>
      <c r="N360" s="607"/>
      <c r="O360" s="608"/>
      <c r="P360" s="609"/>
      <c r="Q360" s="610"/>
    </row>
    <row r="361" spans="1:17" ht="15.75" thickBot="1">
      <c r="A361" s="960"/>
      <c r="B361" s="506"/>
      <c r="C361" s="54" t="s">
        <v>29</v>
      </c>
      <c r="D361" s="296">
        <v>405</v>
      </c>
      <c r="E361" s="56">
        <v>7.4969000000000001</v>
      </c>
      <c r="F361" s="41">
        <f t="shared" ref="F361:F365" si="72">+E361</f>
        <v>7.4969000000000001</v>
      </c>
      <c r="G361" s="50">
        <f t="shared" ref="G361" si="73">ROUND(D361*(E361),2)</f>
        <v>3036.24</v>
      </c>
      <c r="H361" s="296"/>
      <c r="I361" s="298"/>
      <c r="J361" s="298"/>
      <c r="K361" s="1021"/>
      <c r="L361" s="614"/>
      <c r="M361" s="935"/>
      <c r="N361" s="615"/>
      <c r="O361" s="615"/>
      <c r="P361" s="615"/>
      <c r="Q361" s="616"/>
    </row>
    <row r="362" spans="1:17" collapsed="1">
      <c r="A362" s="376">
        <v>308</v>
      </c>
      <c r="B362" s="602" t="s">
        <v>247</v>
      </c>
      <c r="C362" s="439" t="s">
        <v>260</v>
      </c>
      <c r="D362" s="184">
        <f>фев19!D354+фев19!D355</f>
        <v>365.51</v>
      </c>
      <c r="E362" s="23">
        <f>7.4969-7.2025</f>
        <v>0.29440000000000044</v>
      </c>
      <c r="F362" s="23">
        <f t="shared" si="72"/>
        <v>0.29440000000000044</v>
      </c>
      <c r="G362" s="185">
        <f>ROUND(D362*(E362),2)</f>
        <v>107.61</v>
      </c>
      <c r="H362" s="669"/>
      <c r="I362" s="620"/>
      <c r="J362" s="620"/>
      <c r="K362" s="1020"/>
      <c r="L362" s="603">
        <f>SUM(G362:G364)</f>
        <v>2863.39</v>
      </c>
      <c r="M362" s="187">
        <v>2863.39</v>
      </c>
      <c r="N362" s="604"/>
      <c r="O362" s="635"/>
      <c r="P362" s="636"/>
      <c r="Q362" s="605"/>
    </row>
    <row r="363" spans="1:17">
      <c r="A363" s="934"/>
      <c r="B363" s="506"/>
      <c r="C363" s="48" t="s">
        <v>263</v>
      </c>
      <c r="D363" s="49">
        <v>15.59</v>
      </c>
      <c r="E363" s="41">
        <v>7.4969000000000001</v>
      </c>
      <c r="F363" s="41">
        <f>+E363</f>
        <v>7.4969000000000001</v>
      </c>
      <c r="G363" s="50">
        <f>ROUND(D363*(E363),2)-0.01</f>
        <v>116.86999999999999</v>
      </c>
      <c r="H363" s="296"/>
      <c r="I363" s="298"/>
      <c r="J363" s="298"/>
      <c r="K363" s="1021"/>
      <c r="L363" s="606"/>
      <c r="M363" s="935"/>
      <c r="N363" s="607"/>
      <c r="O363" s="608"/>
      <c r="P363" s="609"/>
      <c r="Q363" s="610"/>
    </row>
    <row r="364" spans="1:17" ht="15.75" thickBot="1">
      <c r="A364" s="960"/>
      <c r="B364" s="506"/>
      <c r="C364" s="54" t="s">
        <v>29</v>
      </c>
      <c r="D364" s="296">
        <v>352</v>
      </c>
      <c r="E364" s="56">
        <v>7.4969000000000001</v>
      </c>
      <c r="F364" s="41">
        <f t="shared" ref="F364" si="74">+E364</f>
        <v>7.4969000000000001</v>
      </c>
      <c r="G364" s="50">
        <f t="shared" ref="G364" si="75">ROUND(D364*(E364),2)</f>
        <v>2638.91</v>
      </c>
      <c r="H364" s="296"/>
      <c r="I364" s="298"/>
      <c r="J364" s="298"/>
      <c r="K364" s="1021"/>
      <c r="L364" s="614"/>
      <c r="M364" s="935"/>
      <c r="N364" s="615"/>
      <c r="O364" s="615"/>
      <c r="P364" s="615"/>
      <c r="Q364" s="616"/>
    </row>
    <row r="365" spans="1:17" ht="15.75" hidden="1" collapsed="1" thickBot="1">
      <c r="A365" s="376" t="s">
        <v>254</v>
      </c>
      <c r="B365" s="602" t="s">
        <v>235</v>
      </c>
      <c r="C365" s="439" t="s">
        <v>260</v>
      </c>
      <c r="D365" s="184"/>
      <c r="E365" s="41">
        <f>7.0643-7.1352</f>
        <v>-7.0899999999999963E-2</v>
      </c>
      <c r="F365" s="23">
        <f t="shared" si="72"/>
        <v>-7.0899999999999963E-2</v>
      </c>
      <c r="G365" s="185">
        <f>ROUND(D365*(E365),2)-0.01</f>
        <v>-0.01</v>
      </c>
      <c r="H365" s="620"/>
      <c r="I365" s="620"/>
      <c r="J365" s="620"/>
      <c r="K365" s="1020"/>
      <c r="L365" s="603">
        <f>SUM(G365:G367)</f>
        <v>-0.01</v>
      </c>
      <c r="M365" s="187"/>
      <c r="N365" s="615"/>
      <c r="O365" s="615"/>
      <c r="P365" s="615"/>
      <c r="Q365" s="615"/>
    </row>
    <row r="366" spans="1:17" ht="15.75" hidden="1" thickBot="1">
      <c r="A366" s="934">
        <v>314</v>
      </c>
      <c r="B366" s="506"/>
      <c r="C366" s="48" t="s">
        <v>263</v>
      </c>
      <c r="D366" s="49"/>
      <c r="E366" s="41">
        <v>7.0643000000000002</v>
      </c>
      <c r="F366" s="41">
        <f>+E366</f>
        <v>7.0643000000000002</v>
      </c>
      <c r="G366" s="50">
        <f>ROUND(D366*(E366),2)</f>
        <v>0</v>
      </c>
      <c r="H366" s="296"/>
      <c r="I366" s="298"/>
      <c r="J366" s="298"/>
      <c r="K366" s="1021"/>
      <c r="L366" s="606"/>
      <c r="M366" s="935"/>
      <c r="N366" s="615"/>
      <c r="O366" s="615"/>
      <c r="P366" s="615"/>
      <c r="Q366" s="615"/>
    </row>
    <row r="367" spans="1:17" ht="15.75" hidden="1" thickBot="1">
      <c r="A367" s="934"/>
      <c r="B367" s="506"/>
      <c r="C367" s="54" t="s">
        <v>29</v>
      </c>
      <c r="D367" s="296"/>
      <c r="E367" s="56">
        <v>7.0643000000000002</v>
      </c>
      <c r="F367" s="41">
        <f t="shared" ref="F367:F370" si="76">+E367</f>
        <v>7.0643000000000002</v>
      </c>
      <c r="G367" s="50">
        <f t="shared" ref="G367" si="77">ROUND(D367*(E367),2)</f>
        <v>0</v>
      </c>
      <c r="H367" s="296"/>
      <c r="I367" s="298"/>
      <c r="J367" s="298"/>
      <c r="K367" s="1021"/>
      <c r="L367" s="614"/>
      <c r="M367" s="935"/>
      <c r="N367" s="615"/>
      <c r="O367" s="615"/>
      <c r="P367" s="615"/>
      <c r="Q367" s="615"/>
    </row>
    <row r="368" spans="1:17" ht="15.75" hidden="1" thickBot="1">
      <c r="A368" s="376">
        <v>311</v>
      </c>
      <c r="B368" s="602" t="s">
        <v>204</v>
      </c>
      <c r="C368" s="439" t="s">
        <v>260</v>
      </c>
      <c r="D368" s="184"/>
      <c r="E368" s="41">
        <f>6.7023-6.509</f>
        <v>0.19329999999999981</v>
      </c>
      <c r="F368" s="23">
        <f t="shared" si="76"/>
        <v>0.19329999999999981</v>
      </c>
      <c r="G368" s="185">
        <f>ROUND(D368*(E368),2)-0.01</f>
        <v>-0.01</v>
      </c>
      <c r="H368" s="620"/>
      <c r="I368" s="620"/>
      <c r="J368" s="620"/>
      <c r="K368" s="1020"/>
      <c r="L368" s="603">
        <f>SUM(G368:G371)</f>
        <v>-0.01</v>
      </c>
      <c r="M368" s="187"/>
      <c r="N368" s="604"/>
      <c r="O368" s="635" t="s">
        <v>274</v>
      </c>
      <c r="P368" s="636"/>
      <c r="Q368" s="605"/>
    </row>
    <row r="369" spans="1:17" ht="15.75" hidden="1" thickBot="1">
      <c r="A369" s="389"/>
      <c r="B369" s="939" t="s">
        <v>273</v>
      </c>
      <c r="C369" s="48" t="s">
        <v>263</v>
      </c>
      <c r="D369" s="49"/>
      <c r="E369" s="41">
        <v>6.7023000000000001</v>
      </c>
      <c r="F369" s="41">
        <f t="shared" si="76"/>
        <v>6.7023000000000001</v>
      </c>
      <c r="G369" s="50">
        <f>ROUND(D369*(E369),2)</f>
        <v>0</v>
      </c>
      <c r="H369" s="296"/>
      <c r="I369" s="298"/>
      <c r="J369" s="298"/>
      <c r="K369" s="1021"/>
      <c r="L369" s="606"/>
      <c r="M369" s="935"/>
      <c r="N369" s="607"/>
      <c r="O369" s="608"/>
      <c r="P369" s="609"/>
      <c r="Q369" s="610"/>
    </row>
    <row r="370" spans="1:17" ht="15.75" hidden="1" thickBot="1">
      <c r="A370" s="936"/>
      <c r="B370" s="506"/>
      <c r="C370" s="99" t="s">
        <v>29</v>
      </c>
      <c r="D370" s="296"/>
      <c r="E370" s="101">
        <v>6.7023000000000001</v>
      </c>
      <c r="F370" s="41">
        <f t="shared" si="76"/>
        <v>6.7023000000000001</v>
      </c>
      <c r="G370" s="50">
        <f>ROUND(D370*(E370),2)</f>
        <v>0</v>
      </c>
      <c r="H370" s="296"/>
      <c r="I370" s="298"/>
      <c r="J370" s="298"/>
      <c r="K370" s="1027"/>
      <c r="L370" s="614"/>
      <c r="M370" s="935"/>
      <c r="N370" s="615"/>
      <c r="O370" s="615"/>
      <c r="P370" s="615"/>
      <c r="Q370" s="616"/>
    </row>
    <row r="371" spans="1:17" ht="15.75" hidden="1" thickBot="1">
      <c r="A371" s="937"/>
      <c r="B371" s="278"/>
      <c r="C371" s="784"/>
      <c r="D371" s="941"/>
      <c r="E371" s="281"/>
      <c r="F371" s="57"/>
      <c r="G371" s="58">
        <f>ROUND(D371*(E371),2)</f>
        <v>0</v>
      </c>
      <c r="H371" s="613"/>
      <c r="I371" s="57"/>
      <c r="J371" s="57"/>
      <c r="K371" s="1028"/>
      <c r="L371" s="784"/>
      <c r="M371" s="938"/>
      <c r="N371" s="626"/>
      <c r="O371" s="626"/>
      <c r="P371" s="626"/>
      <c r="Q371" s="626"/>
    </row>
    <row r="372" spans="1:17" hidden="1" collapsed="1">
      <c r="A372" s="376">
        <v>311</v>
      </c>
      <c r="B372" s="602" t="s">
        <v>278</v>
      </c>
      <c r="C372" s="439" t="s">
        <v>260</v>
      </c>
      <c r="D372" s="184"/>
      <c r="E372" s="41">
        <f>7.2025-6.7838</f>
        <v>0.41869999999999941</v>
      </c>
      <c r="F372" s="23">
        <f t="shared" ref="F372" si="78">+E372</f>
        <v>0.41869999999999941</v>
      </c>
      <c r="G372" s="185">
        <f>ROUND(D372*(E372),2)</f>
        <v>0</v>
      </c>
      <c r="H372" s="620"/>
      <c r="I372" s="620"/>
      <c r="J372" s="620"/>
      <c r="K372" s="1020"/>
      <c r="L372" s="603">
        <f>SUM(G372:G374)</f>
        <v>0</v>
      </c>
      <c r="M372" s="187"/>
      <c r="N372" s="615"/>
      <c r="O372" s="615"/>
      <c r="P372" s="615"/>
      <c r="Q372" s="615"/>
    </row>
    <row r="373" spans="1:17" hidden="1">
      <c r="A373" s="934"/>
      <c r="B373" s="506"/>
      <c r="C373" s="48" t="s">
        <v>263</v>
      </c>
      <c r="D373" s="49"/>
      <c r="E373" s="41">
        <v>7.2024999999999997</v>
      </c>
      <c r="F373" s="41">
        <f>+E373</f>
        <v>7.2024999999999997</v>
      </c>
      <c r="G373" s="50">
        <f>ROUND(D373*(E373),2)</f>
        <v>0</v>
      </c>
      <c r="H373" s="296"/>
      <c r="I373" s="298"/>
      <c r="J373" s="298"/>
      <c r="K373" s="1021"/>
      <c r="L373" s="606"/>
      <c r="M373" s="935"/>
      <c r="N373" s="615"/>
      <c r="O373" s="615"/>
      <c r="P373" s="615"/>
      <c r="Q373" s="615"/>
    </row>
    <row r="374" spans="1:17" ht="15.75" hidden="1" thickBot="1">
      <c r="A374" s="934"/>
      <c r="B374" s="506"/>
      <c r="C374" s="54" t="s">
        <v>29</v>
      </c>
      <c r="D374" s="296"/>
      <c r="E374" s="56">
        <v>7.2024999999999997</v>
      </c>
      <c r="F374" s="41">
        <f t="shared" ref="F374" si="79">+E374</f>
        <v>7.2024999999999997</v>
      </c>
      <c r="G374" s="50">
        <f t="shared" ref="G374" si="80">ROUND(D374*(E374),2)</f>
        <v>0</v>
      </c>
      <c r="H374" s="296"/>
      <c r="I374" s="298"/>
      <c r="J374" s="298"/>
      <c r="K374" s="1021"/>
      <c r="L374" s="614"/>
      <c r="M374" s="935"/>
      <c r="N374" s="615"/>
      <c r="O374" s="615"/>
      <c r="P374" s="615"/>
      <c r="Q374" s="615"/>
    </row>
    <row r="375" spans="1:17">
      <c r="A375" s="376">
        <v>312</v>
      </c>
      <c r="B375" s="602" t="s">
        <v>112</v>
      </c>
      <c r="C375" s="439" t="s">
        <v>260</v>
      </c>
      <c r="D375" s="184">
        <f>фев19!D367+фев19!D368</f>
        <v>650.6</v>
      </c>
      <c r="E375" s="23">
        <f>7.4969-7.2025</f>
        <v>0.29440000000000044</v>
      </c>
      <c r="F375" s="23">
        <f>+E375</f>
        <v>0.29440000000000044</v>
      </c>
      <c r="G375" s="185">
        <f>ROUND(D375*(E375),2)-0.01</f>
        <v>191.53</v>
      </c>
      <c r="H375" s="620"/>
      <c r="I375" s="620"/>
      <c r="J375" s="620"/>
      <c r="K375" s="1020"/>
      <c r="L375" s="603">
        <f>SUM(G375:G378)</f>
        <v>6188.53</v>
      </c>
      <c r="M375" s="187">
        <v>6188.53</v>
      </c>
      <c r="N375" s="604"/>
      <c r="O375" s="635"/>
      <c r="P375" s="636"/>
      <c r="Q375" s="605"/>
    </row>
    <row r="376" spans="1:17">
      <c r="A376" s="934"/>
      <c r="B376" s="506"/>
      <c r="C376" s="48" t="s">
        <v>263</v>
      </c>
      <c r="D376" s="49">
        <v>33.93</v>
      </c>
      <c r="E376" s="41">
        <v>7.4969000000000001</v>
      </c>
      <c r="F376" s="41">
        <f>+E376</f>
        <v>7.4969000000000001</v>
      </c>
      <c r="G376" s="50">
        <f t="shared" ref="G376:G377" si="81">ROUND(D376*(E376),2)</f>
        <v>254.37</v>
      </c>
      <c r="H376" s="296"/>
      <c r="I376" s="298"/>
      <c r="J376" s="298"/>
      <c r="K376" s="1021"/>
      <c r="L376" s="606"/>
      <c r="M376" s="935"/>
      <c r="N376" s="607"/>
      <c r="O376" s="608"/>
      <c r="P376" s="609"/>
      <c r="Q376" s="610"/>
    </row>
    <row r="377" spans="1:17">
      <c r="A377" s="934"/>
      <c r="B377" s="506"/>
      <c r="C377" s="99" t="s">
        <v>29</v>
      </c>
      <c r="D377" s="296">
        <v>766</v>
      </c>
      <c r="E377" s="101">
        <v>7.4969000000000001</v>
      </c>
      <c r="F377" s="41">
        <f>+E377</f>
        <v>7.4969000000000001</v>
      </c>
      <c r="G377" s="50">
        <f t="shared" si="81"/>
        <v>5742.63</v>
      </c>
      <c r="H377" s="296"/>
      <c r="I377" s="298"/>
      <c r="J377" s="298"/>
      <c r="K377" s="1021"/>
      <c r="L377" s="614"/>
      <c r="M377" s="935"/>
      <c r="N377" s="615"/>
      <c r="O377" s="615"/>
      <c r="P377" s="615"/>
      <c r="Q377" s="616"/>
    </row>
    <row r="378" spans="1:17" ht="15.75" thickBot="1">
      <c r="A378" s="942"/>
      <c r="B378" s="278"/>
      <c r="C378" s="54"/>
      <c r="D378" s="941"/>
      <c r="E378" s="281"/>
      <c r="F378" s="57"/>
      <c r="G378" s="58"/>
      <c r="H378" s="613"/>
      <c r="I378" s="57"/>
      <c r="J378" s="57"/>
      <c r="K378" s="1029"/>
      <c r="L378" s="784"/>
      <c r="M378" s="938"/>
      <c r="N378" s="615"/>
      <c r="O378" s="615"/>
      <c r="P378" s="615"/>
      <c r="Q378" s="615"/>
    </row>
    <row r="379" spans="1:17" ht="15.75" hidden="1" collapsed="1" thickBot="1">
      <c r="A379" s="376">
        <v>314</v>
      </c>
      <c r="B379" s="602" t="s">
        <v>235</v>
      </c>
      <c r="C379" s="439" t="s">
        <v>149</v>
      </c>
      <c r="D379" s="184"/>
      <c r="E379" s="41">
        <f>6.509-6.4709</f>
        <v>3.8100000000000023E-2</v>
      </c>
      <c r="F379" s="23">
        <f t="shared" ref="F379" si="82">+E379</f>
        <v>3.8100000000000023E-2</v>
      </c>
      <c r="G379" s="185">
        <f>ROUND(D379*(E379),2)</f>
        <v>0</v>
      </c>
      <c r="H379" s="620"/>
      <c r="I379" s="620"/>
      <c r="J379" s="620"/>
      <c r="K379" s="1020"/>
      <c r="L379" s="603">
        <f>SUM(G379:G381)</f>
        <v>0</v>
      </c>
      <c r="M379" s="187"/>
      <c r="N379" s="615"/>
      <c r="O379" s="967" t="s">
        <v>249</v>
      </c>
      <c r="P379" s="615"/>
      <c r="Q379" s="615"/>
    </row>
    <row r="380" spans="1:17" ht="15.75" hidden="1" thickBot="1">
      <c r="A380" s="934"/>
      <c r="B380" s="516" t="s">
        <v>246</v>
      </c>
      <c r="C380" s="48" t="s">
        <v>150</v>
      </c>
      <c r="D380" s="49"/>
      <c r="E380" s="41">
        <v>6.5090000000000003</v>
      </c>
      <c r="F380" s="41">
        <f>+E380</f>
        <v>6.5090000000000003</v>
      </c>
      <c r="G380" s="50">
        <f>ROUND(D380*(E380),2)</f>
        <v>0</v>
      </c>
      <c r="H380" s="296"/>
      <c r="I380" s="298"/>
      <c r="J380" s="298"/>
      <c r="K380" s="1021"/>
      <c r="L380" s="606"/>
      <c r="M380" s="935"/>
      <c r="N380" s="615"/>
      <c r="O380" s="615"/>
      <c r="P380" s="615"/>
      <c r="Q380" s="615"/>
    </row>
    <row r="381" spans="1:17" ht="15.75" hidden="1" thickBot="1">
      <c r="A381" s="942"/>
      <c r="B381" s="982"/>
      <c r="C381" s="54" t="s">
        <v>29</v>
      </c>
      <c r="D381" s="613"/>
      <c r="E381" s="56">
        <v>6.5090000000000003</v>
      </c>
      <c r="F381" s="281">
        <f t="shared" ref="F381:F382" si="83">+E381</f>
        <v>6.5090000000000003</v>
      </c>
      <c r="G381" s="58">
        <f t="shared" ref="G381" si="84">ROUND(D381*(E381),2)</f>
        <v>0</v>
      </c>
      <c r="H381" s="613"/>
      <c r="I381" s="57"/>
      <c r="J381" s="57"/>
      <c r="K381" s="1029"/>
      <c r="L381" s="783"/>
      <c r="M381" s="938"/>
      <c r="N381" s="615"/>
      <c r="O381" s="615"/>
      <c r="P381" s="615"/>
      <c r="Q381" s="615"/>
    </row>
    <row r="382" spans="1:17" collapsed="1">
      <c r="A382" s="376">
        <v>316</v>
      </c>
      <c r="B382" s="602" t="s">
        <v>288</v>
      </c>
      <c r="C382" s="439" t="s">
        <v>260</v>
      </c>
      <c r="D382" s="184">
        <f>фев19!D374+фев19!D375</f>
        <v>124.27</v>
      </c>
      <c r="E382" s="41">
        <f>7.4969-7.2025</f>
        <v>0.29440000000000044</v>
      </c>
      <c r="F382" s="23">
        <f t="shared" si="83"/>
        <v>0.29440000000000044</v>
      </c>
      <c r="G382" s="185">
        <f>ROUND(D382*(E382),2)</f>
        <v>36.590000000000003</v>
      </c>
      <c r="H382" s="620"/>
      <c r="I382" s="620"/>
      <c r="J382" s="620"/>
      <c r="K382" s="1020"/>
      <c r="L382" s="603">
        <f>SUM(G382:G384)</f>
        <v>1054.3700000000001</v>
      </c>
      <c r="M382" s="187">
        <v>1054.3699999999999</v>
      </c>
      <c r="N382" s="615"/>
      <c r="O382" s="615"/>
      <c r="P382" s="615"/>
      <c r="Q382" s="615"/>
    </row>
    <row r="383" spans="1:17">
      <c r="A383" s="934"/>
      <c r="B383" s="506"/>
      <c r="C383" s="48" t="s">
        <v>263</v>
      </c>
      <c r="D383" s="49">
        <v>5.76</v>
      </c>
      <c r="E383" s="41">
        <v>7.4969000000000001</v>
      </c>
      <c r="F383" s="41">
        <f>+E383</f>
        <v>7.4969000000000001</v>
      </c>
      <c r="G383" s="50">
        <f>ROUND(D383*(E383),2)</f>
        <v>43.18</v>
      </c>
      <c r="H383" s="296"/>
      <c r="I383" s="298"/>
      <c r="J383" s="298"/>
      <c r="K383" s="1021"/>
      <c r="L383" s="606"/>
      <c r="M383" s="935"/>
      <c r="N383" s="615"/>
      <c r="O383" s="615"/>
      <c r="P383" s="615"/>
      <c r="Q383" s="615"/>
    </row>
    <row r="384" spans="1:17" ht="15.75" thickBot="1">
      <c r="A384" s="934"/>
      <c r="B384" s="506"/>
      <c r="C384" s="54" t="s">
        <v>29</v>
      </c>
      <c r="D384" s="296">
        <v>130</v>
      </c>
      <c r="E384" s="56">
        <v>7.4969000000000001</v>
      </c>
      <c r="F384" s="41">
        <f t="shared" ref="F384" si="85">+E384</f>
        <v>7.4969000000000001</v>
      </c>
      <c r="G384" s="50">
        <f t="shared" ref="G384" si="86">ROUND(D384*(E384),2)</f>
        <v>974.6</v>
      </c>
      <c r="H384" s="296"/>
      <c r="I384" s="298"/>
      <c r="J384" s="298"/>
      <c r="K384" s="1021"/>
      <c r="L384" s="614"/>
      <c r="M384" s="935"/>
      <c r="N384" s="615"/>
      <c r="O384" s="615"/>
      <c r="P384" s="615"/>
      <c r="Q384" s="615"/>
    </row>
    <row r="385" spans="1:21">
      <c r="A385" s="376">
        <v>403</v>
      </c>
      <c r="B385" s="602" t="s">
        <v>279</v>
      </c>
      <c r="C385" s="618" t="s">
        <v>73</v>
      </c>
      <c r="D385" s="619">
        <v>2</v>
      </c>
      <c r="E385" s="21">
        <v>41.244</v>
      </c>
      <c r="F385" s="21">
        <v>48.335999999999999</v>
      </c>
      <c r="G385" s="185">
        <f>ROUND(D385*(E385+F385),2)</f>
        <v>179.16</v>
      </c>
      <c r="H385" s="620"/>
      <c r="I385" s="620"/>
      <c r="J385" s="620"/>
      <c r="K385" s="454"/>
      <c r="L385" s="603">
        <f>SUM(G385:G391,J385:J391)</f>
        <v>2442.09</v>
      </c>
      <c r="M385" s="187">
        <v>2442.09</v>
      </c>
      <c r="N385" s="621"/>
      <c r="O385" s="621"/>
      <c r="P385" s="621"/>
      <c r="Q385" s="622"/>
    </row>
    <row r="386" spans="1:21">
      <c r="A386" s="936"/>
      <c r="B386" s="612"/>
      <c r="C386" s="542" t="s">
        <v>96</v>
      </c>
      <c r="D386" s="234"/>
      <c r="E386" s="38"/>
      <c r="F386" s="38"/>
      <c r="G386" s="235">
        <f>ROUND(D386*(E386+F386),2)</f>
        <v>0</v>
      </c>
      <c r="H386" s="298"/>
      <c r="I386" s="298"/>
      <c r="J386" s="298"/>
      <c r="K386" s="455"/>
      <c r="L386" s="606"/>
      <c r="M386" s="935"/>
      <c r="N386" s="615"/>
      <c r="O386" s="615"/>
      <c r="P386" s="615"/>
      <c r="Q386" s="616"/>
    </row>
    <row r="387" spans="1:21">
      <c r="A387" s="389"/>
      <c r="B387" s="516"/>
      <c r="C387" s="99" t="s">
        <v>90</v>
      </c>
      <c r="D387" s="508">
        <v>3</v>
      </c>
      <c r="E387" s="101">
        <v>330.21</v>
      </c>
      <c r="F387" s="38">
        <f>F385</f>
        <v>48.335999999999999</v>
      </c>
      <c r="G387" s="50">
        <f>ROUND(D387*(E387+F387),2)</f>
        <v>1135.6400000000001</v>
      </c>
      <c r="H387" s="270"/>
      <c r="I387" s="41"/>
      <c r="J387" s="409"/>
      <c r="K387" s="1026"/>
      <c r="L387" s="597"/>
      <c r="M387" s="99"/>
      <c r="N387" s="518"/>
      <c r="O387" s="519"/>
      <c r="P387" s="515"/>
      <c r="Q387" s="271"/>
      <c r="R387" s="502"/>
      <c r="S387" s="503"/>
      <c r="T387" s="504"/>
    </row>
    <row r="388" spans="1:21">
      <c r="A388" s="389"/>
      <c r="B388" s="506"/>
      <c r="C388" s="390" t="s">
        <v>97</v>
      </c>
      <c r="D388" s="508">
        <f>фев19!D378</f>
        <v>1</v>
      </c>
      <c r="E388" s="41">
        <f>330.21-357.98</f>
        <v>-27.770000000000039</v>
      </c>
      <c r="F388" s="38">
        <f>F386</f>
        <v>0</v>
      </c>
      <c r="G388" s="50">
        <f>D388*(E388+F388)</f>
        <v>-27.770000000000039</v>
      </c>
      <c r="H388" s="432"/>
      <c r="I388" s="362"/>
      <c r="J388" s="41"/>
      <c r="K388" s="1026"/>
      <c r="L388" s="597"/>
      <c r="M388" s="99"/>
      <c r="N388" s="521"/>
      <c r="O388" s="522"/>
      <c r="P388" s="523"/>
      <c r="Q388" s="362"/>
      <c r="R388" s="502"/>
      <c r="S388" s="503"/>
      <c r="T388" s="504"/>
    </row>
    <row r="389" spans="1:21">
      <c r="A389" s="936"/>
      <c r="B389" s="612"/>
      <c r="C389" s="48" t="s">
        <v>260</v>
      </c>
      <c r="D389" s="623">
        <f>фев19!D381+фев19!D382</f>
        <v>93.99</v>
      </c>
      <c r="E389" s="41">
        <f>7.4969-7.2025</f>
        <v>0.29440000000000044</v>
      </c>
      <c r="F389" s="41">
        <f t="shared" ref="F389:F391" si="87">+E389</f>
        <v>0.29440000000000044</v>
      </c>
      <c r="G389" s="50">
        <f>ROUND(D389*(E389),2)+0.01</f>
        <v>27.680000000000003</v>
      </c>
      <c r="H389" s="298"/>
      <c r="I389" s="298"/>
      <c r="J389" s="298"/>
      <c r="K389" s="455"/>
      <c r="L389" s="614"/>
      <c r="M389" s="935"/>
      <c r="N389" s="615"/>
      <c r="O389" s="615"/>
      <c r="P389" s="615"/>
      <c r="Q389" s="616"/>
    </row>
    <row r="390" spans="1:21">
      <c r="A390" s="936"/>
      <c r="B390" s="612"/>
      <c r="C390" s="48" t="s">
        <v>263</v>
      </c>
      <c r="D390" s="623">
        <v>6.38</v>
      </c>
      <c r="E390" s="41">
        <v>7.4969000000000001</v>
      </c>
      <c r="F390" s="41">
        <f t="shared" si="87"/>
        <v>7.4969000000000001</v>
      </c>
      <c r="G390" s="39">
        <f>ROUND(D390*(E390),2)</f>
        <v>47.83</v>
      </c>
      <c r="H390" s="298"/>
      <c r="I390" s="298"/>
      <c r="J390" s="298"/>
      <c r="K390" s="455"/>
      <c r="L390" s="614"/>
      <c r="M390" s="273"/>
      <c r="N390" s="615"/>
      <c r="O390" s="615"/>
      <c r="P390" s="615"/>
      <c r="Q390" s="616"/>
    </row>
    <row r="391" spans="1:21" ht="15.75" thickBot="1">
      <c r="A391" s="937"/>
      <c r="B391" s="526"/>
      <c r="C391" s="99" t="s">
        <v>29</v>
      </c>
      <c r="D391" s="995">
        <v>144</v>
      </c>
      <c r="E391" s="56">
        <v>7.4969000000000001</v>
      </c>
      <c r="F391" s="281">
        <f t="shared" si="87"/>
        <v>7.4969000000000001</v>
      </c>
      <c r="G391" s="414">
        <f>ROUND(D391*(E391),2)</f>
        <v>1079.55</v>
      </c>
      <c r="H391" s="41"/>
      <c r="I391" s="41"/>
      <c r="J391" s="281"/>
      <c r="K391" s="56"/>
      <c r="L391" s="784"/>
      <c r="M391" s="938"/>
      <c r="N391" s="626"/>
      <c r="O391" s="626"/>
      <c r="P391" s="626"/>
      <c r="Q391" s="627"/>
    </row>
    <row r="392" spans="1:21" collapsed="1">
      <c r="A392" s="353" t="s">
        <v>203</v>
      </c>
      <c r="B392" s="494" t="s">
        <v>104</v>
      </c>
      <c r="C392" s="71" t="s">
        <v>243</v>
      </c>
      <c r="D392" s="495">
        <v>17</v>
      </c>
      <c r="E392" s="21">
        <v>41.244</v>
      </c>
      <c r="F392" s="21">
        <v>48.335999999999999</v>
      </c>
      <c r="G392" s="185">
        <f>ROUND(D392*(E392+F392),2)</f>
        <v>1522.86</v>
      </c>
      <c r="H392" s="496"/>
      <c r="I392" s="73"/>
      <c r="J392" s="73"/>
      <c r="K392" s="679"/>
      <c r="L392" s="439">
        <f>SUM(G392:G399)+SUM(J392:J398)</f>
        <v>19552.21</v>
      </c>
      <c r="M392" s="26">
        <v>19552.21</v>
      </c>
      <c r="N392" s="499"/>
      <c r="O392" s="500"/>
      <c r="P392" s="501" t="s">
        <v>87</v>
      </c>
      <c r="Q392" s="185" t="e">
        <f t="shared" ref="Q392" si="88">C392+G392+J392-M392-N392-O392</f>
        <v>#VALUE!</v>
      </c>
      <c r="R392" s="502" t="s">
        <v>88</v>
      </c>
      <c r="S392" s="503"/>
      <c r="T392" s="504"/>
    </row>
    <row r="393" spans="1:21">
      <c r="A393" s="934">
        <v>417</v>
      </c>
      <c r="B393" s="506"/>
      <c r="C393" s="599" t="s">
        <v>96</v>
      </c>
      <c r="D393" s="234"/>
      <c r="E393" s="38"/>
      <c r="F393" s="38"/>
      <c r="G393" s="235">
        <f>ROUND(D393*(E393+F393),2)</f>
        <v>0</v>
      </c>
      <c r="H393" s="448"/>
      <c r="I393" s="509"/>
      <c r="J393" s="409"/>
      <c r="K393" s="1026"/>
      <c r="L393" s="48"/>
      <c r="M393" s="512"/>
      <c r="N393" s="513"/>
      <c r="O393" s="514"/>
      <c r="P393" s="515"/>
      <c r="Q393" s="262"/>
      <c r="R393" s="502"/>
      <c r="S393" s="503"/>
      <c r="T393" s="504"/>
    </row>
    <row r="394" spans="1:21">
      <c r="A394" s="934"/>
      <c r="B394" s="516" t="s">
        <v>89</v>
      </c>
      <c r="C394" s="512" t="s">
        <v>90</v>
      </c>
      <c r="D394" s="508">
        <v>0</v>
      </c>
      <c r="E394" s="101">
        <v>330.21</v>
      </c>
      <c r="F394" s="38">
        <f>F33</f>
        <v>48.335999999999999</v>
      </c>
      <c r="G394" s="50">
        <f>ROUND(D394*(E394+F394),2)</f>
        <v>0</v>
      </c>
      <c r="H394" s="270"/>
      <c r="I394" s="41"/>
      <c r="J394" s="409"/>
      <c r="K394" s="1026"/>
      <c r="L394" s="600"/>
      <c r="M394" s="99"/>
      <c r="N394" s="518"/>
      <c r="O394" s="519"/>
      <c r="P394" s="515" t="s">
        <v>87</v>
      </c>
      <c r="Q394" s="271">
        <f>+G394+J394-M394-N394-O394</f>
        <v>0</v>
      </c>
      <c r="R394" s="502" t="s">
        <v>88</v>
      </c>
      <c r="S394" s="503"/>
      <c r="T394" s="504"/>
    </row>
    <row r="395" spans="1:21">
      <c r="A395" s="934"/>
      <c r="B395" s="541"/>
      <c r="C395" s="84" t="s">
        <v>97</v>
      </c>
      <c r="D395" s="508">
        <f>фев19!D385</f>
        <v>0</v>
      </c>
      <c r="E395" s="41">
        <f>330.21-357.98</f>
        <v>-27.770000000000039</v>
      </c>
      <c r="F395" s="38">
        <f>F393</f>
        <v>0</v>
      </c>
      <c r="G395" s="50">
        <f>ROUND(D395*(E395+F395),2)</f>
        <v>0</v>
      </c>
      <c r="H395" s="432"/>
      <c r="I395" s="362"/>
      <c r="J395" s="41"/>
      <c r="K395" s="1026"/>
      <c r="L395" s="600"/>
      <c r="M395" s="520"/>
      <c r="N395" s="521"/>
      <c r="O395" s="522"/>
      <c r="P395" s="523"/>
      <c r="Q395" s="362"/>
      <c r="R395" s="502"/>
      <c r="S395" s="503"/>
      <c r="T395" s="504"/>
    </row>
    <row r="396" spans="1:21">
      <c r="A396" s="934"/>
      <c r="B396" s="541"/>
      <c r="C396" s="84" t="s">
        <v>97</v>
      </c>
      <c r="D396" s="508"/>
      <c r="E396" s="41"/>
      <c r="F396" s="41"/>
      <c r="G396" s="50">
        <f>D396*(E396+F396)</f>
        <v>0</v>
      </c>
      <c r="H396" s="432"/>
      <c r="I396" s="362"/>
      <c r="J396" s="41"/>
      <c r="K396" s="1026"/>
      <c r="L396" s="600"/>
      <c r="M396" s="520"/>
      <c r="N396" s="521"/>
      <c r="O396" s="522"/>
      <c r="P396" s="523"/>
      <c r="Q396" s="362"/>
      <c r="R396" s="502"/>
      <c r="S396" s="503"/>
      <c r="T396" s="504"/>
    </row>
    <row r="397" spans="1:21">
      <c r="A397" s="934"/>
      <c r="B397" s="506"/>
      <c r="C397" s="48" t="s">
        <v>260</v>
      </c>
      <c r="D397" s="37">
        <f>фев19!D389+фев19!D390</f>
        <v>2098</v>
      </c>
      <c r="E397" s="41">
        <f>7.4969-7.2025</f>
        <v>0.29440000000000044</v>
      </c>
      <c r="F397" s="297">
        <f t="shared" ref="F397:F399" si="89">+E397</f>
        <v>0.29440000000000044</v>
      </c>
      <c r="G397" s="39">
        <f>ROUND(D397*(E397),2)</f>
        <v>617.65</v>
      </c>
      <c r="H397" s="432"/>
      <c r="I397" s="362"/>
      <c r="J397" s="41"/>
      <c r="K397" s="1026"/>
      <c r="L397" s="600"/>
      <c r="M397" s="520"/>
      <c r="N397" s="521"/>
      <c r="O397" s="522"/>
      <c r="P397" s="523"/>
      <c r="Q397" s="362"/>
      <c r="R397" s="502"/>
      <c r="S397" s="503"/>
      <c r="T397" s="504"/>
    </row>
    <row r="398" spans="1:21">
      <c r="A398" s="934"/>
      <c r="B398" s="506"/>
      <c r="C398" s="48" t="s">
        <v>263</v>
      </c>
      <c r="D398" s="37">
        <v>98.52</v>
      </c>
      <c r="E398" s="41">
        <v>7.4969000000000001</v>
      </c>
      <c r="F398" s="298">
        <f t="shared" si="89"/>
        <v>7.4969000000000001</v>
      </c>
      <c r="G398" s="39">
        <f>ROUND(D398*(E398),2)</f>
        <v>738.59</v>
      </c>
      <c r="H398" s="432"/>
      <c r="I398" s="362"/>
      <c r="J398" s="41"/>
      <c r="K398" s="1026"/>
      <c r="L398" s="600"/>
      <c r="M398" s="520"/>
      <c r="N398" s="521"/>
      <c r="O398" s="522"/>
      <c r="P398" s="523"/>
      <c r="Q398" s="362"/>
      <c r="R398" s="502"/>
      <c r="S398" s="503"/>
      <c r="T398" s="504"/>
      <c r="U398" s="33"/>
    </row>
    <row r="399" spans="1:21" ht="15.75" thickBot="1">
      <c r="A399" s="934"/>
      <c r="B399" s="526"/>
      <c r="C399" s="99" t="s">
        <v>29</v>
      </c>
      <c r="D399" s="55">
        <v>2224</v>
      </c>
      <c r="E399" s="56">
        <v>7.4969000000000001</v>
      </c>
      <c r="F399" s="57">
        <f t="shared" si="89"/>
        <v>7.4969000000000001</v>
      </c>
      <c r="G399" s="414">
        <f>ROUND(D399*(E399),2)</f>
        <v>16673.11</v>
      </c>
      <c r="H399" s="248"/>
      <c r="I399" s="203"/>
      <c r="J399" s="60"/>
      <c r="K399" s="1024"/>
      <c r="L399" s="204"/>
      <c r="M399" s="54"/>
      <c r="N399" s="527"/>
      <c r="O399" s="528"/>
      <c r="P399" s="529" t="s">
        <v>87</v>
      </c>
      <c r="Q399" s="362">
        <f>+G399+J399-M399-N399-O399</f>
        <v>16673.11</v>
      </c>
      <c r="R399" s="502" t="s">
        <v>88</v>
      </c>
      <c r="S399" s="598">
        <f>SUM(N392:N399)+O392:O399</f>
        <v>0</v>
      </c>
      <c r="T399" s="598" t="e">
        <f>SUM(Q392:Q399)</f>
        <v>#VALUE!</v>
      </c>
    </row>
    <row r="400" spans="1:21">
      <c r="A400" s="376">
        <v>407</v>
      </c>
      <c r="B400" s="494" t="s">
        <v>108</v>
      </c>
      <c r="C400" s="71">
        <f>+[1]дек!U87</f>
        <v>0</v>
      </c>
      <c r="D400" s="495">
        <v>6</v>
      </c>
      <c r="E400" s="21">
        <v>41.244</v>
      </c>
      <c r="F400" s="21">
        <v>48.335999999999999</v>
      </c>
      <c r="G400" s="185">
        <f>ROUND(D400*(E400+F400),2)</f>
        <v>537.48</v>
      </c>
      <c r="H400" s="496"/>
      <c r="I400" s="73"/>
      <c r="J400" s="73"/>
      <c r="K400" s="679"/>
      <c r="L400" s="498">
        <f>SUM(G400:G406)+SUM(J400:J405)</f>
        <v>4319.07</v>
      </c>
      <c r="M400" s="26">
        <v>4319.07</v>
      </c>
      <c r="N400" s="499"/>
      <c r="O400" s="500"/>
      <c r="P400" s="501" t="s">
        <v>87</v>
      </c>
      <c r="Q400" s="304">
        <f t="shared" ref="Q400:Q402" si="90">C400+G400+J400-M400-N400-O400</f>
        <v>-3781.5899999999997</v>
      </c>
    </row>
    <row r="401" spans="1:21">
      <c r="A401" s="389"/>
      <c r="B401" s="506"/>
      <c r="C401" s="542" t="s">
        <v>96</v>
      </c>
      <c r="D401" s="234"/>
      <c r="E401" s="38"/>
      <c r="F401" s="38"/>
      <c r="G401" s="235">
        <f>ROUND(D401*(E401+F401),2)</f>
        <v>0</v>
      </c>
      <c r="H401" s="448"/>
      <c r="I401" s="509"/>
      <c r="J401" s="409"/>
      <c r="K401" s="1026"/>
      <c r="L401" s="632"/>
      <c r="M401" s="512"/>
      <c r="N401" s="513"/>
      <c r="O401" s="514"/>
      <c r="P401" s="515"/>
      <c r="Q401" s="262"/>
    </row>
    <row r="402" spans="1:21">
      <c r="A402" s="389"/>
      <c r="B402" s="516" t="s">
        <v>109</v>
      </c>
      <c r="C402" s="633"/>
      <c r="D402" s="508">
        <v>0</v>
      </c>
      <c r="E402" s="101">
        <v>330.21</v>
      </c>
      <c r="F402" s="38">
        <f>F400</f>
        <v>48.335999999999999</v>
      </c>
      <c r="G402" s="50">
        <f>D402*(E402+F402)</f>
        <v>0</v>
      </c>
      <c r="H402" s="270"/>
      <c r="I402" s="41"/>
      <c r="J402" s="409"/>
      <c r="K402" s="1026"/>
      <c r="L402" s="597"/>
      <c r="M402" s="99"/>
      <c r="N402" s="518"/>
      <c r="O402" s="519"/>
      <c r="P402" s="515" t="s">
        <v>87</v>
      </c>
      <c r="Q402" s="271">
        <f t="shared" si="90"/>
        <v>0</v>
      </c>
    </row>
    <row r="403" spans="1:21">
      <c r="A403" s="389"/>
      <c r="B403" s="541"/>
      <c r="C403" s="84" t="s">
        <v>97</v>
      </c>
      <c r="D403" s="508">
        <f>фев19!D393</f>
        <v>0</v>
      </c>
      <c r="E403" s="41">
        <f>330.21-357.98</f>
        <v>-27.770000000000039</v>
      </c>
      <c r="F403" s="41">
        <f>F401</f>
        <v>0</v>
      </c>
      <c r="G403" s="50">
        <f>D403*(E403+F403)</f>
        <v>0</v>
      </c>
      <c r="H403" s="432"/>
      <c r="I403" s="362"/>
      <c r="J403" s="207"/>
      <c r="K403" s="1026"/>
      <c r="L403" s="597"/>
      <c r="M403" s="520"/>
      <c r="N403" s="521"/>
      <c r="O403" s="522"/>
      <c r="P403" s="523"/>
      <c r="Q403" s="362"/>
    </row>
    <row r="404" spans="1:21">
      <c r="A404" s="389"/>
      <c r="B404" s="506"/>
      <c r="C404" s="48" t="s">
        <v>260</v>
      </c>
      <c r="D404" s="37">
        <f>фев19!D396+фев19!D397</f>
        <v>426.07</v>
      </c>
      <c r="E404" s="41">
        <f>7.4969-7.2025</f>
        <v>0.29440000000000044</v>
      </c>
      <c r="F404" s="41">
        <f>+E404</f>
        <v>0.29440000000000044</v>
      </c>
      <c r="G404" s="39">
        <f>ROUND(D404*(E404),2)-0.01</f>
        <v>125.42999999999999</v>
      </c>
      <c r="H404" s="432"/>
      <c r="I404" s="362"/>
      <c r="J404" s="207"/>
      <c r="K404" s="1026"/>
      <c r="L404" s="597"/>
      <c r="M404" s="520"/>
      <c r="N404" s="521"/>
      <c r="O404" s="522"/>
      <c r="P404" s="523"/>
      <c r="Q404" s="362"/>
    </row>
    <row r="405" spans="1:21">
      <c r="A405" s="389"/>
      <c r="B405" s="506"/>
      <c r="C405" s="48" t="s">
        <v>263</v>
      </c>
      <c r="D405" s="37">
        <v>20.69</v>
      </c>
      <c r="E405" s="41">
        <v>7.4969000000000001</v>
      </c>
      <c r="F405" s="41">
        <f>+E405</f>
        <v>7.4969000000000001</v>
      </c>
      <c r="G405" s="39">
        <f t="shared" ref="G405:G406" si="91">ROUND(D405*(E405),2)</f>
        <v>155.11000000000001</v>
      </c>
      <c r="H405" s="432"/>
      <c r="I405" s="362"/>
      <c r="J405" s="207"/>
      <c r="K405" s="1026"/>
      <c r="L405" s="597"/>
      <c r="M405" s="520"/>
      <c r="N405" s="521"/>
      <c r="O405" s="522"/>
      <c r="P405" s="523"/>
      <c r="Q405" s="362"/>
    </row>
    <row r="406" spans="1:21" ht="15.75" thickBot="1">
      <c r="A406" s="411"/>
      <c r="B406" s="526"/>
      <c r="C406" s="54" t="s">
        <v>29</v>
      </c>
      <c r="D406" s="55">
        <v>467</v>
      </c>
      <c r="E406" s="56">
        <v>7.4969000000000001</v>
      </c>
      <c r="F406" s="281">
        <f>+E406</f>
        <v>7.4969000000000001</v>
      </c>
      <c r="G406" s="414">
        <f t="shared" si="91"/>
        <v>3501.05</v>
      </c>
      <c r="H406" s="248"/>
      <c r="I406" s="203"/>
      <c r="J406" s="60"/>
      <c r="K406" s="1024"/>
      <c r="L406" s="249"/>
      <c r="M406" s="54"/>
      <c r="N406" s="527"/>
      <c r="O406" s="528"/>
      <c r="P406" s="529" t="s">
        <v>87</v>
      </c>
      <c r="Q406" s="282">
        <f>+G406+J406-M406-N406-O406</f>
        <v>3501.05</v>
      </c>
    </row>
    <row r="407" spans="1:21" collapsed="1">
      <c r="A407" s="376">
        <v>411</v>
      </c>
      <c r="B407" s="602" t="s">
        <v>127</v>
      </c>
      <c r="C407" s="439" t="s">
        <v>260</v>
      </c>
      <c r="D407" s="184">
        <f>фев19!D399+фев19!D400</f>
        <v>517.97</v>
      </c>
      <c r="E407" s="23">
        <f>7.4969-7.2025</f>
        <v>0.29440000000000044</v>
      </c>
      <c r="F407" s="23">
        <f t="shared" ref="F407" si="92">+E407</f>
        <v>0.29440000000000044</v>
      </c>
      <c r="G407" s="185">
        <f>ROUND(D407*(E407),2)</f>
        <v>152.49</v>
      </c>
      <c r="H407" s="669"/>
      <c r="I407" s="620"/>
      <c r="J407" s="620"/>
      <c r="K407" s="1020"/>
      <c r="L407" s="603">
        <f>SUM(G407:G410)</f>
        <v>4544.55</v>
      </c>
      <c r="M407" s="187">
        <v>4544.55</v>
      </c>
      <c r="N407" s="604"/>
      <c r="O407" s="635"/>
      <c r="P407" s="636"/>
      <c r="Q407" s="605"/>
    </row>
    <row r="408" spans="1:21">
      <c r="A408" s="934"/>
      <c r="B408" s="506"/>
      <c r="C408" s="48" t="s">
        <v>263</v>
      </c>
      <c r="D408" s="49">
        <v>24.85</v>
      </c>
      <c r="E408" s="41">
        <v>7.4969000000000001</v>
      </c>
      <c r="F408" s="41">
        <f>+E408</f>
        <v>7.4969000000000001</v>
      </c>
      <c r="G408" s="50">
        <f>ROUND(D408*(E408),2)</f>
        <v>186.3</v>
      </c>
      <c r="H408" s="296"/>
      <c r="I408" s="298"/>
      <c r="J408" s="298"/>
      <c r="K408" s="1021"/>
      <c r="L408" s="606"/>
      <c r="M408" s="935"/>
      <c r="N408" s="607"/>
      <c r="O408" s="608"/>
      <c r="P408" s="609"/>
      <c r="Q408" s="610"/>
    </row>
    <row r="409" spans="1:21">
      <c r="A409" s="934"/>
      <c r="B409" s="506"/>
      <c r="C409" s="99" t="s">
        <v>29</v>
      </c>
      <c r="D409" s="296">
        <v>561</v>
      </c>
      <c r="E409" s="101">
        <v>7.4969000000000001</v>
      </c>
      <c r="F409" s="41">
        <f t="shared" ref="F409" si="93">+E409</f>
        <v>7.4969000000000001</v>
      </c>
      <c r="G409" s="50">
        <f t="shared" ref="G409" si="94">ROUND(D409*(E409),2)</f>
        <v>4205.76</v>
      </c>
      <c r="H409" s="296"/>
      <c r="I409" s="298"/>
      <c r="J409" s="298"/>
      <c r="K409" s="1021"/>
      <c r="L409" s="606"/>
      <c r="M409" s="935"/>
      <c r="N409" s="615"/>
      <c r="O409" s="615"/>
      <c r="P409" s="615"/>
      <c r="Q409" s="616"/>
    </row>
    <row r="410" spans="1:21" ht="15.75" thickBot="1">
      <c r="A410" s="942"/>
      <c r="B410" s="278"/>
      <c r="C410" s="784"/>
      <c r="D410" s="941"/>
      <c r="E410" s="281"/>
      <c r="F410" s="57"/>
      <c r="G410" s="58"/>
      <c r="H410" s="613"/>
      <c r="I410" s="57"/>
      <c r="J410" s="57"/>
      <c r="K410" s="1021"/>
      <c r="L410" s="606"/>
      <c r="M410" s="935"/>
      <c r="N410" s="615"/>
      <c r="O410" s="615"/>
      <c r="P410" s="615"/>
      <c r="Q410" s="615"/>
    </row>
    <row r="411" spans="1:21">
      <c r="A411" s="376">
        <v>501</v>
      </c>
      <c r="B411" s="494" t="s">
        <v>202</v>
      </c>
      <c r="C411" s="71"/>
      <c r="D411" s="495">
        <v>13</v>
      </c>
      <c r="E411" s="21">
        <v>41.244</v>
      </c>
      <c r="F411" s="21">
        <v>48.335999999999999</v>
      </c>
      <c r="G411" s="185">
        <f>ROUND(D411*(E411+F411),2)</f>
        <v>1164.54</v>
      </c>
      <c r="H411" s="496"/>
      <c r="I411" s="73"/>
      <c r="J411" s="73"/>
      <c r="K411" s="679"/>
      <c r="L411" s="498">
        <f>+SUM(G411:G418,C418)+SUM(J411:J418)</f>
        <v>62446.572</v>
      </c>
      <c r="M411" s="26">
        <v>62446.57</v>
      </c>
      <c r="N411" s="499"/>
      <c r="O411" s="500"/>
      <c r="P411" s="501" t="s">
        <v>87</v>
      </c>
      <c r="Q411" s="304">
        <f t="shared" ref="Q411:Q428" si="95">C411+G411+J411-M411-N411-O411</f>
        <v>-61282.03</v>
      </c>
      <c r="R411" s="502" t="s">
        <v>88</v>
      </c>
      <c r="S411" s="503"/>
      <c r="T411" s="504"/>
      <c r="U411" s="33"/>
    </row>
    <row r="412" spans="1:21">
      <c r="A412" s="389"/>
      <c r="B412" s="506"/>
      <c r="C412" s="507" t="s">
        <v>264</v>
      </c>
      <c r="D412" s="508"/>
      <c r="E412" s="38"/>
      <c r="F412" s="38"/>
      <c r="G412" s="50">
        <f>ROUND(D412*(E412+F412),2)</f>
        <v>0</v>
      </c>
      <c r="H412" s="448"/>
      <c r="I412" s="509"/>
      <c r="J412" s="409"/>
      <c r="K412" s="1026"/>
      <c r="L412" s="511"/>
      <c r="M412" s="512"/>
      <c r="N412" s="513"/>
      <c r="O412" s="514"/>
      <c r="P412" s="515"/>
      <c r="Q412" s="262"/>
      <c r="R412" s="502"/>
      <c r="S412" s="503"/>
      <c r="T412" s="504"/>
      <c r="U412" s="33"/>
    </row>
    <row r="413" spans="1:21">
      <c r="A413" s="389"/>
      <c r="B413" s="516" t="s">
        <v>89</v>
      </c>
      <c r="C413" s="512" t="s">
        <v>90</v>
      </c>
      <c r="D413" s="508">
        <v>12</v>
      </c>
      <c r="E413" s="101">
        <v>330.21</v>
      </c>
      <c r="F413" s="38">
        <f>F411</f>
        <v>48.335999999999999</v>
      </c>
      <c r="G413" s="50">
        <f>D413*(E413+F413)</f>
        <v>4542.5519999999997</v>
      </c>
      <c r="H413" s="270"/>
      <c r="I413" s="41"/>
      <c r="J413" s="409"/>
      <c r="K413" s="1026"/>
      <c r="L413" s="517"/>
      <c r="M413" s="99"/>
      <c r="N413" s="518"/>
      <c r="O413" s="519"/>
      <c r="P413" s="515" t="s">
        <v>87</v>
      </c>
      <c r="Q413" s="271">
        <f>+G413+J413-M413-N413-O413</f>
        <v>4542.5519999999997</v>
      </c>
      <c r="R413" s="502" t="s">
        <v>88</v>
      </c>
      <c r="S413" s="503"/>
      <c r="T413" s="504"/>
    </row>
    <row r="414" spans="1:21">
      <c r="A414" s="389"/>
      <c r="B414" s="506" t="s">
        <v>91</v>
      </c>
      <c r="C414" s="507"/>
      <c r="D414" s="508">
        <f>фев19!D404</f>
        <v>13</v>
      </c>
      <c r="E414" s="41">
        <f>330.21-357.98</f>
        <v>-27.770000000000039</v>
      </c>
      <c r="F414" s="38">
        <f>F412</f>
        <v>0</v>
      </c>
      <c r="G414" s="50">
        <f>ROUND(D414*(E414+F414),2)</f>
        <v>-361.01</v>
      </c>
      <c r="H414" s="432"/>
      <c r="I414" s="362"/>
      <c r="J414" s="409"/>
      <c r="K414" s="1026"/>
      <c r="L414" s="517"/>
      <c r="M414" s="520"/>
      <c r="N414" s="521"/>
      <c r="O414" s="522"/>
      <c r="P414" s="523"/>
      <c r="Q414" s="362"/>
      <c r="R414" s="502"/>
      <c r="S414" s="503"/>
      <c r="T414" s="504"/>
    </row>
    <row r="415" spans="1:21">
      <c r="A415" s="389"/>
      <c r="B415" s="506" t="s">
        <v>91</v>
      </c>
      <c r="C415" s="507"/>
      <c r="D415" s="508"/>
      <c r="E415" s="38"/>
      <c r="F415" s="41"/>
      <c r="G415" s="50">
        <f>D415*(E415+F415)</f>
        <v>0</v>
      </c>
      <c r="H415" s="432"/>
      <c r="I415" s="362"/>
      <c r="J415" s="409"/>
      <c r="K415" s="1026"/>
      <c r="L415" s="517"/>
      <c r="M415" s="520"/>
      <c r="N415" s="521"/>
      <c r="O415" s="522"/>
      <c r="P415" s="523"/>
      <c r="Q415" s="362"/>
      <c r="R415" s="502"/>
      <c r="S415" s="503"/>
      <c r="T415" s="504"/>
    </row>
    <row r="416" spans="1:21">
      <c r="A416" s="389"/>
      <c r="B416" s="506" t="s">
        <v>92</v>
      </c>
      <c r="C416" s="48" t="s">
        <v>260</v>
      </c>
      <c r="D416" s="508">
        <f>фев19!D408+фев19!D409</f>
        <v>7830.16</v>
      </c>
      <c r="E416" s="41">
        <f>7.4969-7.2025</f>
        <v>0.29440000000000044</v>
      </c>
      <c r="F416" s="41">
        <f>+E416</f>
        <v>0.29440000000000044</v>
      </c>
      <c r="G416" s="39">
        <f>ROUNDDOWN(D416*E416,2)+0.01</f>
        <v>2305.2000000000003</v>
      </c>
      <c r="H416" s="432"/>
      <c r="I416" s="362"/>
      <c r="J416" s="41"/>
      <c r="K416" s="1026"/>
      <c r="L416" s="517"/>
      <c r="M416" s="520"/>
      <c r="N416" s="521"/>
      <c r="O416" s="522"/>
      <c r="P416" s="523"/>
      <c r="Q416" s="362"/>
      <c r="R416" s="502"/>
      <c r="S416" s="503"/>
      <c r="T416" s="504"/>
    </row>
    <row r="417" spans="1:21">
      <c r="A417" s="389"/>
      <c r="B417" s="506"/>
      <c r="C417" s="48" t="s">
        <v>263</v>
      </c>
      <c r="D417" s="508">
        <v>310.06</v>
      </c>
      <c r="E417" s="41">
        <v>7.4969000000000001</v>
      </c>
      <c r="F417" s="41">
        <f>+E417</f>
        <v>7.4969000000000001</v>
      </c>
      <c r="G417" s="39">
        <f>ROUND(D417*E417,2)</f>
        <v>2324.4899999999998</v>
      </c>
      <c r="H417" s="432"/>
      <c r="I417" s="362"/>
      <c r="J417" s="207"/>
      <c r="K417" s="1030"/>
      <c r="L417" s="517"/>
      <c r="M417" s="520"/>
      <c r="N417" s="521"/>
      <c r="O417" s="522"/>
      <c r="P417" s="523"/>
      <c r="Q417" s="362"/>
      <c r="R417" s="502"/>
      <c r="S417" s="503"/>
      <c r="T417" s="504"/>
    </row>
    <row r="418" spans="1:21" ht="15.75" thickBot="1">
      <c r="A418" s="411"/>
      <c r="B418" s="526"/>
      <c r="C418" s="99" t="s">
        <v>29</v>
      </c>
      <c r="D418" s="55">
        <v>6999</v>
      </c>
      <c r="E418" s="56">
        <v>7.4969000000000001</v>
      </c>
      <c r="F418" s="57">
        <f>+E418</f>
        <v>7.4969000000000001</v>
      </c>
      <c r="G418" s="58">
        <f>ROUND(D418*E418,2)</f>
        <v>52470.8</v>
      </c>
      <c r="H418" s="248"/>
      <c r="I418" s="203"/>
      <c r="J418" s="60"/>
      <c r="K418" s="1024"/>
      <c r="L418" s="249"/>
      <c r="M418" s="54"/>
      <c r="N418" s="527"/>
      <c r="O418" s="528"/>
      <c r="P418" s="529" t="s">
        <v>87</v>
      </c>
      <c r="Q418" s="282">
        <f>+G418+J418-M418-N418-O418</f>
        <v>52470.8</v>
      </c>
      <c r="R418" s="530" t="s">
        <v>88</v>
      </c>
      <c r="S418" s="531">
        <f>SUM(N411:N418)+O411:O418</f>
        <v>0</v>
      </c>
      <c r="T418" s="531">
        <f>SUM(Q411:Q418)</f>
        <v>-4268.6779999999999</v>
      </c>
      <c r="U418" s="33"/>
    </row>
    <row r="419" spans="1:21" ht="15.75" thickTop="1">
      <c r="A419" s="339">
        <v>502</v>
      </c>
      <c r="B419" s="532" t="s">
        <v>192</v>
      </c>
      <c r="C419" s="71">
        <f>+[1]дек!U51</f>
        <v>-6.0000000303261913E-4</v>
      </c>
      <c r="D419" s="213">
        <v>36</v>
      </c>
      <c r="E419" s="21">
        <v>41.244</v>
      </c>
      <c r="F419" s="21">
        <v>48.335999999999999</v>
      </c>
      <c r="G419" s="214">
        <f>ROUND(D419*(E419+F419),2)</f>
        <v>3224.88</v>
      </c>
      <c r="H419" s="496"/>
      <c r="I419" s="73"/>
      <c r="J419" s="73"/>
      <c r="K419" s="679"/>
      <c r="L419" s="533">
        <f>+SUM(G419:G426,)+SUM(J419:J426)</f>
        <v>55813.619999999995</v>
      </c>
      <c r="M419" s="26">
        <v>55813.62</v>
      </c>
      <c r="N419" s="534"/>
      <c r="O419" s="535"/>
      <c r="P419" s="536" t="s">
        <v>87</v>
      </c>
      <c r="Q419" s="537">
        <f t="shared" si="95"/>
        <v>-52588.740600000005</v>
      </c>
      <c r="R419" s="538" t="s">
        <v>95</v>
      </c>
      <c r="S419" s="539"/>
      <c r="T419" s="540"/>
      <c r="U419" s="33"/>
    </row>
    <row r="420" spans="1:21">
      <c r="A420" s="353"/>
      <c r="B420" s="541"/>
      <c r="C420" s="542" t="s">
        <v>96</v>
      </c>
      <c r="D420" s="234"/>
      <c r="E420" s="38"/>
      <c r="F420" s="38"/>
      <c r="G420" s="235">
        <f>ROUND(D420*(E420+F420),2)</f>
        <v>0</v>
      </c>
      <c r="H420" s="448"/>
      <c r="I420" s="509"/>
      <c r="J420" s="509"/>
      <c r="K420" s="1025"/>
      <c r="L420" s="544"/>
      <c r="M420" s="545"/>
      <c r="N420" s="546"/>
      <c r="O420" s="547"/>
      <c r="P420" s="548"/>
      <c r="Q420" s="549"/>
      <c r="R420" s="550"/>
      <c r="S420" s="551"/>
      <c r="T420" s="552"/>
      <c r="U420" s="33"/>
    </row>
    <row r="421" spans="1:21">
      <c r="A421" s="353"/>
      <c r="B421" s="516" t="s">
        <v>32</v>
      </c>
      <c r="C421" s="99" t="s">
        <v>90</v>
      </c>
      <c r="D421" s="234">
        <v>27</v>
      </c>
      <c r="E421" s="101">
        <v>330.21</v>
      </c>
      <c r="F421" s="38">
        <f>F419</f>
        <v>48.335999999999999</v>
      </c>
      <c r="G421" s="235">
        <f>ROUND(D421*(E421+F421),2)</f>
        <v>10220.74</v>
      </c>
      <c r="H421" s="270"/>
      <c r="I421" s="41"/>
      <c r="J421" s="41"/>
      <c r="K421" s="1026"/>
      <c r="L421" s="553"/>
      <c r="M421" s="554"/>
      <c r="N421" s="555"/>
      <c r="O421" s="556"/>
      <c r="P421" s="557" t="s">
        <v>87</v>
      </c>
      <c r="Q421" s="558">
        <f>+G421+J421-M421-N421-O421</f>
        <v>10220.74</v>
      </c>
      <c r="R421" s="550" t="s">
        <v>95</v>
      </c>
      <c r="S421" s="551"/>
      <c r="T421" s="552"/>
    </row>
    <row r="422" spans="1:21">
      <c r="A422" s="353"/>
      <c r="B422" s="541"/>
      <c r="C422" s="84" t="s">
        <v>97</v>
      </c>
      <c r="D422" s="234">
        <f>фев19!D412</f>
        <v>25</v>
      </c>
      <c r="E422" s="41">
        <f>330.21-357.98</f>
        <v>-27.770000000000039</v>
      </c>
      <c r="F422" s="38">
        <f>F420</f>
        <v>0</v>
      </c>
      <c r="G422" s="50">
        <f>ROUND(D422*(E422+F422),2)</f>
        <v>-694.25</v>
      </c>
      <c r="H422" s="432"/>
      <c r="I422" s="362"/>
      <c r="J422" s="41"/>
      <c r="K422" s="1026"/>
      <c r="L422" s="559"/>
      <c r="M422" s="560"/>
      <c r="N422" s="561"/>
      <c r="O422" s="562"/>
      <c r="P422" s="563"/>
      <c r="Q422" s="564"/>
      <c r="R422" s="550"/>
      <c r="S422" s="551"/>
      <c r="T422" s="552"/>
    </row>
    <row r="423" spans="1:21">
      <c r="A423" s="353"/>
      <c r="B423" s="541"/>
      <c r="C423" s="84" t="s">
        <v>97</v>
      </c>
      <c r="D423" s="234"/>
      <c r="E423" s="38"/>
      <c r="F423" s="240"/>
      <c r="G423" s="50">
        <f>D423*(E423+F423)</f>
        <v>0</v>
      </c>
      <c r="H423" s="432"/>
      <c r="I423" s="362"/>
      <c r="J423" s="41"/>
      <c r="K423" s="1026"/>
      <c r="L423" s="559"/>
      <c r="M423" s="560"/>
      <c r="N423" s="561"/>
      <c r="O423" s="562"/>
      <c r="P423" s="563"/>
      <c r="Q423" s="564"/>
      <c r="R423" s="550"/>
      <c r="S423" s="551"/>
      <c r="T423" s="552"/>
    </row>
    <row r="424" spans="1:21">
      <c r="A424" s="353"/>
      <c r="B424" s="541"/>
      <c r="C424" s="48" t="s">
        <v>260</v>
      </c>
      <c r="D424" s="37">
        <f>фев19!D416+фев19!D417</f>
        <v>4716.0600000000004</v>
      </c>
      <c r="E424" s="41">
        <f>7.4969-7.2025</f>
        <v>0.29440000000000044</v>
      </c>
      <c r="F424" s="41">
        <f>+E424</f>
        <v>0.29440000000000044</v>
      </c>
      <c r="G424" s="235">
        <f>ROUND(D424*E424,2)</f>
        <v>1388.41</v>
      </c>
      <c r="H424" s="565"/>
      <c r="I424" s="564"/>
      <c r="J424" s="566"/>
      <c r="K424" s="1031"/>
      <c r="L424" s="559"/>
      <c r="M424" s="560"/>
      <c r="N424" s="561"/>
      <c r="O424" s="562"/>
      <c r="P424" s="563"/>
      <c r="Q424" s="564"/>
      <c r="R424" s="550"/>
      <c r="S424" s="551"/>
      <c r="T424" s="552"/>
      <c r="U424" s="352"/>
    </row>
    <row r="425" spans="1:21">
      <c r="A425" s="353"/>
      <c r="B425" s="541"/>
      <c r="C425" s="48" t="s">
        <v>263</v>
      </c>
      <c r="D425" s="37">
        <v>235.81</v>
      </c>
      <c r="E425" s="41">
        <v>7.4969000000000001</v>
      </c>
      <c r="F425" s="41">
        <f>+E425</f>
        <v>7.4969000000000001</v>
      </c>
      <c r="G425" s="235">
        <f>ROUND(D425*E425,2)</f>
        <v>1767.84</v>
      </c>
      <c r="H425" s="565"/>
      <c r="I425" s="564"/>
      <c r="J425" s="566"/>
      <c r="K425" s="1031"/>
      <c r="L425" s="559"/>
      <c r="M425" s="560"/>
      <c r="N425" s="561"/>
      <c r="O425" s="562"/>
      <c r="P425" s="563"/>
      <c r="Q425" s="564"/>
      <c r="R425" s="550"/>
      <c r="S425" s="551"/>
      <c r="T425" s="552"/>
      <c r="U425" s="33"/>
    </row>
    <row r="426" spans="1:21" ht="15.75" thickBot="1">
      <c r="A426" s="369"/>
      <c r="B426" s="568"/>
      <c r="C426" s="99" t="s">
        <v>29</v>
      </c>
      <c r="D426" s="246">
        <v>5323</v>
      </c>
      <c r="E426" s="56">
        <v>7.4969000000000001</v>
      </c>
      <c r="F426" s="57">
        <f>+E426</f>
        <v>7.4969000000000001</v>
      </c>
      <c r="G426" s="247">
        <f>ROUND(D426*E426,2)</f>
        <v>39906</v>
      </c>
      <c r="H426" s="248"/>
      <c r="I426" s="203"/>
      <c r="J426" s="60"/>
      <c r="K426" s="61"/>
      <c r="L426" s="204"/>
      <c r="M426" s="560"/>
      <c r="N426" s="561"/>
      <c r="O426" s="528"/>
      <c r="P426" s="529" t="s">
        <v>87</v>
      </c>
      <c r="Q426" s="564">
        <f>+G426+J426-M426-N426-O426</f>
        <v>39906</v>
      </c>
      <c r="R426" s="550" t="s">
        <v>95</v>
      </c>
      <c r="S426" s="569">
        <f>SUM(N419:N426)+O419:O426</f>
        <v>0</v>
      </c>
      <c r="T426" s="570">
        <f>SUM(Q421:Q426)</f>
        <v>50126.74</v>
      </c>
    </row>
    <row r="427" spans="1:21" ht="15.75" hidden="1" outlineLevel="1" thickBot="1">
      <c r="A427" s="571"/>
      <c r="B427" s="572" t="s">
        <v>98</v>
      </c>
      <c r="C427" s="573" t="s">
        <v>99</v>
      </c>
      <c r="D427" s="574"/>
      <c r="E427" s="575">
        <f>3.193-2.9732</f>
        <v>0.21980000000000022</v>
      </c>
      <c r="F427" s="575">
        <f>3.193-2.9732</f>
        <v>0.21980000000000022</v>
      </c>
      <c r="G427" s="576">
        <f>D427*E427*70%+D427*F427*30%</f>
        <v>0</v>
      </c>
      <c r="H427" s="577"/>
      <c r="I427" s="578"/>
      <c r="J427" s="579"/>
      <c r="K427" s="579"/>
      <c r="L427" s="580"/>
      <c r="M427" s="581"/>
      <c r="N427" s="582"/>
      <c r="O427" s="535"/>
      <c r="P427" s="536"/>
      <c r="Q427" s="583"/>
      <c r="R427" s="584"/>
      <c r="S427" s="569"/>
      <c r="T427" s="585"/>
    </row>
    <row r="428" spans="1:21" s="81" customFormat="1" ht="16.5" hidden="1" customHeight="1" outlineLevel="1" thickBot="1">
      <c r="A428" s="933" t="s">
        <v>100</v>
      </c>
      <c r="B428" s="587" t="s">
        <v>98</v>
      </c>
      <c r="C428" s="588">
        <f>+[1]авг!C52</f>
        <v>0</v>
      </c>
      <c r="D428" s="589"/>
      <c r="E428" s="575">
        <v>3.1930000000000001</v>
      </c>
      <c r="F428" s="575">
        <f>+E428</f>
        <v>3.1930000000000001</v>
      </c>
      <c r="G428" s="576">
        <f>D428*E428*70%+D428*F428*30%</f>
        <v>0</v>
      </c>
      <c r="H428" s="579"/>
      <c r="I428" s="579"/>
      <c r="J428" s="579"/>
      <c r="K428" s="579"/>
      <c r="L428" s="579">
        <f>+C428+G428+G427</f>
        <v>0</v>
      </c>
      <c r="M428" s="590"/>
      <c r="N428" s="500"/>
      <c r="O428" s="528"/>
      <c r="P428" s="529" t="s">
        <v>87</v>
      </c>
      <c r="Q428" s="591">
        <f t="shared" si="95"/>
        <v>0</v>
      </c>
      <c r="R428" s="592" t="s">
        <v>101</v>
      </c>
      <c r="S428" s="77">
        <f>SUM(N428:N428)+SUM(O428:O428)</f>
        <v>0</v>
      </c>
      <c r="T428" s="593">
        <f>SUM(Q428:Q428)</f>
        <v>0</v>
      </c>
    </row>
    <row r="429" spans="1:21" ht="15.75" hidden="1" outlineLevel="1" thickBot="1">
      <c r="A429" s="944"/>
      <c r="B429" s="945" t="s">
        <v>128</v>
      </c>
      <c r="C429" s="573" t="s">
        <v>115</v>
      </c>
      <c r="D429" s="946"/>
      <c r="E429" s="579">
        <f>6.8021-6.8946</f>
        <v>-9.2499999999999361E-2</v>
      </c>
      <c r="F429" s="579">
        <f t="shared" ref="F429" si="96">+E429</f>
        <v>-9.2499999999999361E-2</v>
      </c>
      <c r="G429" s="947">
        <f>ROUND(D429*(E429),2)</f>
        <v>0</v>
      </c>
      <c r="H429" s="948"/>
      <c r="I429" s="949"/>
      <c r="J429" s="949"/>
      <c r="K429" s="950"/>
      <c r="L429" s="951"/>
      <c r="M429" s="952"/>
      <c r="N429" s="604"/>
      <c r="O429" s="635"/>
      <c r="P429" s="636"/>
      <c r="Q429" s="605"/>
    </row>
    <row r="430" spans="1:21" ht="15.75" hidden="1" outlineLevel="1" thickBot="1">
      <c r="A430" s="953"/>
      <c r="B430" s="954"/>
      <c r="C430" s="573" t="s">
        <v>114</v>
      </c>
      <c r="D430" s="946"/>
      <c r="E430" s="579">
        <v>6.8021000000000003</v>
      </c>
      <c r="F430" s="579">
        <f>+E430</f>
        <v>6.8021000000000003</v>
      </c>
      <c r="G430" s="947">
        <f>ROUND(D430*(E430),2)</f>
        <v>0</v>
      </c>
      <c r="H430" s="948"/>
      <c r="I430" s="949"/>
      <c r="J430" s="949"/>
      <c r="K430" s="950"/>
      <c r="L430" s="955"/>
      <c r="M430" s="956"/>
      <c r="N430" s="607"/>
      <c r="O430" s="608"/>
      <c r="P430" s="609"/>
      <c r="Q430" s="610"/>
    </row>
    <row r="431" spans="1:21" ht="15.75" hidden="1" outlineLevel="1" thickBot="1">
      <c r="A431" s="944"/>
      <c r="B431" s="954"/>
      <c r="C431" s="916" t="s">
        <v>29</v>
      </c>
      <c r="D431" s="948"/>
      <c r="E431" s="917">
        <v>6.8021000000000003</v>
      </c>
      <c r="F431" s="579">
        <f t="shared" ref="F431" si="97">+E431</f>
        <v>6.8021000000000003</v>
      </c>
      <c r="G431" s="947">
        <f t="shared" ref="G431" si="98">ROUND(D431*(E431),2)</f>
        <v>0</v>
      </c>
      <c r="H431" s="948"/>
      <c r="I431" s="949"/>
      <c r="J431" s="949"/>
      <c r="K431" s="950"/>
      <c r="L431" s="951"/>
      <c r="M431" s="956"/>
      <c r="N431" s="615"/>
      <c r="O431" s="615"/>
      <c r="P431" s="615"/>
      <c r="Q431" s="616"/>
    </row>
    <row r="432" spans="1:21" ht="15.75" hidden="1" outlineLevel="1" thickBot="1">
      <c r="A432" s="953"/>
      <c r="B432" s="955"/>
      <c r="C432" s="575"/>
      <c r="D432" s="957"/>
      <c r="E432" s="580"/>
      <c r="F432" s="575"/>
      <c r="G432" s="958"/>
      <c r="H432" s="959"/>
      <c r="I432" s="575"/>
      <c r="J432" s="575"/>
      <c r="K432" s="575"/>
      <c r="L432" s="955"/>
      <c r="M432" s="956"/>
      <c r="N432" s="615"/>
      <c r="O432" s="615"/>
      <c r="P432" s="615"/>
      <c r="Q432" s="615"/>
    </row>
    <row r="433" spans="1:20" collapsed="1">
      <c r="A433" s="963"/>
      <c r="B433" s="621"/>
      <c r="C433" s="621"/>
      <c r="D433" s="964"/>
      <c r="E433" s="905"/>
      <c r="F433" s="621"/>
      <c r="G433" s="905"/>
      <c r="H433" s="621"/>
      <c r="I433" s="621"/>
      <c r="J433" s="621"/>
      <c r="K433" s="621"/>
      <c r="L433" s="621"/>
      <c r="M433" s="965"/>
      <c r="N433" s="615"/>
      <c r="O433" s="615"/>
      <c r="P433" s="615"/>
      <c r="Q433" s="615"/>
    </row>
    <row r="434" spans="1:20" ht="15.75" thickBot="1">
      <c r="A434" s="966"/>
      <c r="B434" s="615"/>
      <c r="C434" s="615"/>
      <c r="D434" s="696"/>
      <c r="E434" s="473"/>
      <c r="F434" s="615"/>
      <c r="G434" s="473"/>
      <c r="H434" s="615"/>
      <c r="I434" s="615"/>
      <c r="J434" s="615"/>
      <c r="K434" s="615"/>
      <c r="L434" s="615"/>
      <c r="M434" s="967"/>
      <c r="N434" s="615"/>
      <c r="O434" s="615"/>
      <c r="P434" s="615"/>
      <c r="Q434" s="615"/>
    </row>
    <row r="435" spans="1:20" s="81" customFormat="1" ht="15" customHeight="1" thickTop="1">
      <c r="A435" s="476"/>
      <c r="B435" s="158"/>
      <c r="C435" s="322"/>
      <c r="D435" s="477"/>
      <c r="E435" s="163"/>
      <c r="F435" s="163"/>
      <c r="G435" s="478"/>
      <c r="H435" s="163"/>
      <c r="I435" s="163"/>
      <c r="J435" s="163"/>
      <c r="K435" s="163"/>
      <c r="L435" s="163"/>
      <c r="M435" s="164"/>
      <c r="N435" s="479"/>
      <c r="O435" s="479"/>
      <c r="P435" s="479"/>
      <c r="Q435" s="479"/>
      <c r="R435" s="422"/>
      <c r="S435"/>
      <c r="T435" s="399"/>
    </row>
    <row r="436" spans="1:20" ht="15.75" thickBot="1">
      <c r="A436" s="968" t="s">
        <v>113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  <c r="N436" s="2"/>
      <c r="O436" s="2"/>
      <c r="P436" s="2"/>
      <c r="Q436" s="2"/>
    </row>
    <row r="437" spans="1:20" ht="15.75" customHeight="1" thickTop="1" thickBot="1">
      <c r="A437" s="1559" t="s">
        <v>1</v>
      </c>
      <c r="B437" s="1543" t="s">
        <v>2</v>
      </c>
      <c r="C437" s="1545" t="s">
        <v>3</v>
      </c>
      <c r="D437" s="1546" t="s">
        <v>4</v>
      </c>
      <c r="E437" s="1546"/>
      <c r="F437" s="1546"/>
      <c r="G437" s="1546"/>
      <c r="H437" s="1547"/>
      <c r="I437" s="1548"/>
      <c r="J437" s="1548"/>
      <c r="K437" s="1549"/>
      <c r="L437" s="1524" t="s">
        <v>6</v>
      </c>
      <c r="M437" s="1511" t="s">
        <v>7</v>
      </c>
      <c r="N437" s="1551" t="s">
        <v>8</v>
      </c>
      <c r="O437" s="1551"/>
      <c r="P437" s="1551"/>
      <c r="Q437" s="1552"/>
      <c r="R437" s="481"/>
      <c r="S437" s="482" t="s">
        <v>20</v>
      </c>
      <c r="T437" s="482" t="s">
        <v>21</v>
      </c>
    </row>
    <row r="438" spans="1:20" ht="26.25" thickBot="1">
      <c r="A438" s="1560"/>
      <c r="B438" s="1557"/>
      <c r="C438" s="1558" t="s">
        <v>10</v>
      </c>
      <c r="D438" s="483" t="s">
        <v>11</v>
      </c>
      <c r="E438" s="649" t="s">
        <v>12</v>
      </c>
      <c r="F438" s="649" t="s">
        <v>13</v>
      </c>
      <c r="G438" s="650" t="s">
        <v>14</v>
      </c>
      <c r="H438" s="483" t="s">
        <v>11</v>
      </c>
      <c r="I438" s="486" t="s">
        <v>15</v>
      </c>
      <c r="J438" s="485"/>
      <c r="K438" s="1014" t="s">
        <v>16</v>
      </c>
      <c r="L438" s="1525"/>
      <c r="M438" s="1554"/>
      <c r="N438" s="655"/>
      <c r="O438" s="653"/>
      <c r="P438" s="656" t="s">
        <v>18</v>
      </c>
      <c r="Q438" s="657" t="s">
        <v>19</v>
      </c>
      <c r="R438" s="491"/>
      <c r="S438" s="492"/>
      <c r="T438" s="492"/>
    </row>
    <row r="439" spans="1:20">
      <c r="A439" s="961" t="s">
        <v>212</v>
      </c>
      <c r="B439" s="659" t="s">
        <v>116</v>
      </c>
      <c r="C439" s="668" t="s">
        <v>73</v>
      </c>
      <c r="D439" s="669">
        <v>7</v>
      </c>
      <c r="E439" s="21">
        <v>41.244</v>
      </c>
      <c r="F439" s="21">
        <v>48.335999999999999</v>
      </c>
      <c r="G439" s="214">
        <f>+D439*(E439+F439)</f>
        <v>627.05999999999995</v>
      </c>
      <c r="H439" s="1015"/>
      <c r="I439" s="1016"/>
      <c r="J439" s="620"/>
      <c r="K439" s="1017"/>
      <c r="L439" s="603">
        <f>SUM(G439:G445)+SUM(J439:J443)</f>
        <v>13668.4</v>
      </c>
      <c r="M439" s="187">
        <v>13668.4</v>
      </c>
      <c r="N439" s="670"/>
      <c r="O439" s="670"/>
      <c r="P439" s="670"/>
      <c r="Q439" s="670"/>
    </row>
    <row r="440" spans="1:20">
      <c r="A440" s="970"/>
      <c r="B440" s="672"/>
      <c r="C440" s="48" t="s">
        <v>264</v>
      </c>
      <c r="D440" s="673"/>
      <c r="E440" s="41"/>
      <c r="F440" s="298"/>
      <c r="G440" s="235">
        <f>+D440*(E440+F440)</f>
        <v>0</v>
      </c>
      <c r="H440" s="687"/>
      <c r="I440" s="688"/>
      <c r="J440" s="670"/>
      <c r="K440" s="689"/>
      <c r="L440" s="606"/>
      <c r="M440" s="935"/>
      <c r="N440" s="298"/>
      <c r="O440" s="298"/>
      <c r="P440" s="298"/>
      <c r="Q440" s="298"/>
    </row>
    <row r="441" spans="1:20">
      <c r="A441" s="970"/>
      <c r="B441" s="442"/>
      <c r="C441" s="48"/>
      <c r="D441" s="673"/>
      <c r="E441" s="41"/>
      <c r="F441" s="298"/>
      <c r="G441" s="235">
        <f t="shared" ref="G441:G457" si="99">ROUND(D441*E441,2)</f>
        <v>0</v>
      </c>
      <c r="H441" s="687"/>
      <c r="I441" s="688"/>
      <c r="J441" s="670"/>
      <c r="K441" s="689"/>
      <c r="L441" s="614"/>
      <c r="M441" s="935"/>
      <c r="N441" s="298"/>
      <c r="O441" s="298"/>
      <c r="P441" s="298"/>
      <c r="Q441" s="298"/>
    </row>
    <row r="442" spans="1:20">
      <c r="A442" s="970"/>
      <c r="B442" s="35"/>
      <c r="C442" s="606"/>
      <c r="D442" s="673"/>
      <c r="E442" s="41"/>
      <c r="F442" s="298"/>
      <c r="G442" s="235">
        <f t="shared" si="99"/>
        <v>0</v>
      </c>
      <c r="H442" s="270"/>
      <c r="I442" s="688"/>
      <c r="J442" s="670"/>
      <c r="K442" s="689"/>
      <c r="L442" s="614"/>
      <c r="M442" s="273"/>
      <c r="N442" s="298"/>
      <c r="O442" s="298"/>
      <c r="P442" s="298"/>
      <c r="Q442" s="298"/>
    </row>
    <row r="443" spans="1:20" ht="15.75">
      <c r="A443" s="971"/>
      <c r="B443" s="672"/>
      <c r="C443" s="48" t="s">
        <v>260</v>
      </c>
      <c r="D443" s="269">
        <f>фев19!D435+фев19!D436</f>
        <v>1485.48</v>
      </c>
      <c r="E443" s="41">
        <f>7.4969-7.2025</f>
        <v>0.29440000000000044</v>
      </c>
      <c r="F443" s="298">
        <f t="shared" ref="F443:F444" si="100">+E443</f>
        <v>0.29440000000000044</v>
      </c>
      <c r="G443" s="235">
        <f>ROUND(D443*E443,2)</f>
        <v>437.33</v>
      </c>
      <c r="H443" s="270"/>
      <c r="I443" s="41"/>
      <c r="J443" s="670"/>
      <c r="K443" s="689"/>
      <c r="L443" s="606"/>
      <c r="M443" s="935"/>
      <c r="N443" s="663"/>
      <c r="O443" s="237"/>
      <c r="P443" s="275"/>
      <c r="Q443" s="237"/>
    </row>
    <row r="444" spans="1:20" ht="15.75">
      <c r="A444" s="972"/>
      <c r="B444" s="35"/>
      <c r="C444" s="48" t="s">
        <v>263</v>
      </c>
      <c r="D444" s="269">
        <v>56.23</v>
      </c>
      <c r="E444" s="41">
        <v>7.4969000000000001</v>
      </c>
      <c r="F444" s="298">
        <f t="shared" si="100"/>
        <v>7.4969000000000001</v>
      </c>
      <c r="G444" s="235">
        <f t="shared" si="99"/>
        <v>421.55</v>
      </c>
      <c r="H444" s="270"/>
      <c r="I444" s="41"/>
      <c r="J444" s="41"/>
      <c r="K444" s="101"/>
      <c r="L444" s="614"/>
      <c r="M444" s="935"/>
      <c r="N444" s="663"/>
      <c r="O444" s="237"/>
      <c r="P444" s="275"/>
      <c r="Q444" s="237"/>
    </row>
    <row r="445" spans="1:20" ht="15.75" thickBot="1">
      <c r="A445" s="973"/>
      <c r="B445" s="665"/>
      <c r="C445" s="54" t="s">
        <v>29</v>
      </c>
      <c r="D445" s="613">
        <v>1625</v>
      </c>
      <c r="E445" s="56">
        <v>7.4969000000000001</v>
      </c>
      <c r="F445" s="57"/>
      <c r="G445" s="247">
        <f t="shared" si="99"/>
        <v>12182.46</v>
      </c>
      <c r="H445" s="613"/>
      <c r="I445" s="57"/>
      <c r="J445" s="57"/>
      <c r="K445" s="1018"/>
      <c r="L445" s="783"/>
      <c r="M445" s="250"/>
      <c r="N445" s="57"/>
      <c r="O445" s="57"/>
      <c r="P445" s="57"/>
      <c r="Q445" s="57"/>
      <c r="R445" s="615"/>
    </row>
    <row r="446" spans="1:20" ht="15.75">
      <c r="A446" s="658">
        <v>212</v>
      </c>
      <c r="B446" s="659" t="s">
        <v>148</v>
      </c>
      <c r="C446" s="786" t="s">
        <v>260</v>
      </c>
      <c r="D446" s="259">
        <f>фев19!D438+фев19!D439</f>
        <v>194.09</v>
      </c>
      <c r="E446" s="41">
        <f>7.4969-7.2025</f>
        <v>0.29440000000000044</v>
      </c>
      <c r="F446" s="691">
        <f>+E446</f>
        <v>0.29440000000000044</v>
      </c>
      <c r="G446" s="214">
        <f>ROUND(D446*E446,2)</f>
        <v>57.14</v>
      </c>
      <c r="H446" s="303"/>
      <c r="I446" s="23"/>
      <c r="J446" s="23"/>
      <c r="K446" s="341"/>
      <c r="L446" s="603">
        <f>SUM(G446:G448)</f>
        <v>1747.99</v>
      </c>
      <c r="M446" s="187">
        <v>1747.99</v>
      </c>
      <c r="N446" s="660"/>
      <c r="O446" s="217"/>
      <c r="P446" s="661"/>
      <c r="Q446" s="219"/>
    </row>
    <row r="447" spans="1:20" ht="15.75">
      <c r="A447" s="662"/>
      <c r="B447" s="35"/>
      <c r="C447" s="48" t="s">
        <v>263</v>
      </c>
      <c r="D447" s="269">
        <v>7.54</v>
      </c>
      <c r="E447" s="41">
        <v>7.4969000000000001</v>
      </c>
      <c r="F447" s="298">
        <f t="shared" ref="F447" si="101">+E447</f>
        <v>7.4969000000000001</v>
      </c>
      <c r="G447" s="235">
        <f t="shared" si="99"/>
        <v>56.53</v>
      </c>
      <c r="H447" s="270"/>
      <c r="I447" s="41"/>
      <c r="J447" s="41"/>
      <c r="K447" s="101"/>
      <c r="L447" s="606"/>
      <c r="M447" s="935"/>
      <c r="N447" s="663"/>
      <c r="O447" s="237"/>
      <c r="P447" s="275"/>
      <c r="Q447" s="238"/>
    </row>
    <row r="448" spans="1:20" ht="15.75" thickBot="1">
      <c r="A448" s="975"/>
      <c r="B448" s="665"/>
      <c r="C448" s="99" t="s">
        <v>29</v>
      </c>
      <c r="D448" s="613">
        <v>218</v>
      </c>
      <c r="E448" s="56">
        <v>7.4969000000000001</v>
      </c>
      <c r="F448" s="57"/>
      <c r="G448" s="247">
        <f t="shared" si="99"/>
        <v>1634.32</v>
      </c>
      <c r="H448" s="613"/>
      <c r="I448" s="57"/>
      <c r="J448" s="57"/>
      <c r="K448" s="1018"/>
      <c r="L448" s="614"/>
      <c r="M448" s="606"/>
      <c r="N448" s="57"/>
      <c r="O448" s="57"/>
      <c r="P448" s="57"/>
      <c r="Q448" s="666"/>
    </row>
    <row r="449" spans="1:18" ht="16.5" hidden="1" thickBot="1">
      <c r="A449" s="658">
        <v>215</v>
      </c>
      <c r="B449" s="659" t="s">
        <v>292</v>
      </c>
      <c r="C449" s="786" t="s">
        <v>260</v>
      </c>
      <c r="D449" s="259"/>
      <c r="E449" s="41">
        <f>7.2025-6.7838</f>
        <v>0.41869999999999941</v>
      </c>
      <c r="F449" s="691">
        <f>+E449</f>
        <v>0.41869999999999941</v>
      </c>
      <c r="G449" s="214">
        <f>ROUND(D449*E449,2)</f>
        <v>0</v>
      </c>
      <c r="H449" s="303"/>
      <c r="I449" s="23"/>
      <c r="J449" s="23"/>
      <c r="K449" s="341"/>
      <c r="L449" s="603">
        <f>SUM(G449:G451)</f>
        <v>0</v>
      </c>
      <c r="M449" s="187"/>
      <c r="N449" s="660"/>
      <c r="O449" s="217"/>
      <c r="P449" s="661"/>
      <c r="Q449" s="219"/>
    </row>
    <row r="450" spans="1:18" ht="16.5" hidden="1" thickBot="1">
      <c r="A450" s="662"/>
      <c r="B450" s="35"/>
      <c r="C450" s="48" t="s">
        <v>263</v>
      </c>
      <c r="D450" s="269"/>
      <c r="E450" s="41">
        <v>7.2024999999999997</v>
      </c>
      <c r="F450" s="298">
        <f t="shared" ref="F450" si="102">+E450</f>
        <v>7.2024999999999997</v>
      </c>
      <c r="G450" s="235">
        <f>ROUND(D450*E450,2)</f>
        <v>0</v>
      </c>
      <c r="H450" s="270"/>
      <c r="I450" s="41"/>
      <c r="J450" s="41"/>
      <c r="K450" s="101"/>
      <c r="L450" s="606"/>
      <c r="M450" s="935"/>
      <c r="N450" s="663"/>
      <c r="O450" s="237"/>
      <c r="P450" s="275"/>
      <c r="Q450" s="238"/>
    </row>
    <row r="451" spans="1:18" ht="15.75" hidden="1" thickBot="1">
      <c r="A451" s="975"/>
      <c r="B451" s="665"/>
      <c r="C451" s="99" t="s">
        <v>29</v>
      </c>
      <c r="D451" s="613"/>
      <c r="E451" s="56">
        <v>7.2024999999999997</v>
      </c>
      <c r="F451" s="57"/>
      <c r="G451" s="247">
        <f t="shared" ref="G451" si="103">ROUND(D451*E451,2)</f>
        <v>0</v>
      </c>
      <c r="H451" s="613"/>
      <c r="I451" s="57"/>
      <c r="J451" s="57"/>
      <c r="K451" s="1018"/>
      <c r="L451" s="614"/>
      <c r="M451" s="606"/>
      <c r="N451" s="57"/>
      <c r="O451" s="57"/>
      <c r="P451" s="57"/>
      <c r="Q451" s="666"/>
    </row>
    <row r="452" spans="1:18" ht="15.75" hidden="1">
      <c r="A452" s="658">
        <v>216</v>
      </c>
      <c r="B452" s="659" t="s">
        <v>240</v>
      </c>
      <c r="C452" s="786" t="s">
        <v>260</v>
      </c>
      <c r="D452" s="259"/>
      <c r="E452" s="41">
        <f>7.2025-6.7838</f>
        <v>0.41869999999999941</v>
      </c>
      <c r="F452" s="691">
        <f>+E452</f>
        <v>0.41869999999999941</v>
      </c>
      <c r="G452" s="214">
        <f>ROUND(D452*E452,2)-0.01</f>
        <v>-0.01</v>
      </c>
      <c r="H452" s="303"/>
      <c r="I452" s="23"/>
      <c r="J452" s="23"/>
      <c r="K452" s="341"/>
      <c r="L452" s="603">
        <f>SUM(G452:G454)</f>
        <v>-0.01</v>
      </c>
      <c r="M452" s="187"/>
      <c r="N452" s="660"/>
      <c r="O452" s="1036" t="s">
        <v>320</v>
      </c>
      <c r="P452" s="661"/>
      <c r="Q452" s="219"/>
    </row>
    <row r="453" spans="1:18" ht="15.75" hidden="1">
      <c r="A453" s="662"/>
      <c r="B453" s="35"/>
      <c r="C453" s="48" t="s">
        <v>263</v>
      </c>
      <c r="D453" s="269"/>
      <c r="E453" s="41">
        <v>7.2024999999999997</v>
      </c>
      <c r="F453" s="298">
        <f t="shared" ref="F453" si="104">+E453</f>
        <v>7.2024999999999997</v>
      </c>
      <c r="G453" s="235">
        <f t="shared" ref="G453:G454" si="105">ROUND(D453*E453,2)</f>
        <v>0</v>
      </c>
      <c r="H453" s="270"/>
      <c r="I453" s="41"/>
      <c r="J453" s="41"/>
      <c r="K453" s="101"/>
      <c r="L453" s="606"/>
      <c r="M453" s="935"/>
      <c r="N453" s="663"/>
      <c r="O453" s="237"/>
      <c r="P453" s="275"/>
      <c r="Q453" s="238"/>
    </row>
    <row r="454" spans="1:18" ht="15.75" hidden="1" thickBot="1">
      <c r="A454" s="975"/>
      <c r="B454" s="665"/>
      <c r="C454" s="99" t="s">
        <v>29</v>
      </c>
      <c r="D454" s="1035"/>
      <c r="E454" s="56">
        <v>7.2024999999999997</v>
      </c>
      <c r="F454" s="57"/>
      <c r="G454" s="247">
        <f t="shared" si="105"/>
        <v>0</v>
      </c>
      <c r="H454" s="613"/>
      <c r="I454" s="57"/>
      <c r="J454" s="57"/>
      <c r="K454" s="1018"/>
      <c r="L454" s="614"/>
      <c r="M454" s="606"/>
      <c r="N454" s="57"/>
      <c r="O454" s="57"/>
      <c r="P454" s="57"/>
      <c r="Q454" s="666"/>
    </row>
    <row r="455" spans="1:18" ht="15.75">
      <c r="A455" s="658">
        <v>218</v>
      </c>
      <c r="B455" s="659" t="s">
        <v>117</v>
      </c>
      <c r="C455" s="439" t="s">
        <v>260</v>
      </c>
      <c r="D455" s="259">
        <f>фев19!D447+фев19!D448</f>
        <v>339.56</v>
      </c>
      <c r="E455" s="23">
        <f>7.4969-7.2025</f>
        <v>0.29440000000000044</v>
      </c>
      <c r="F455" s="691">
        <f>+E455</f>
        <v>0.29440000000000044</v>
      </c>
      <c r="G455" s="214">
        <f>ROUND(D455*E455,2)</f>
        <v>99.97</v>
      </c>
      <c r="H455" s="303"/>
      <c r="I455" s="23"/>
      <c r="J455" s="23"/>
      <c r="K455" s="341"/>
      <c r="L455" s="603">
        <f>SUM(G455:G457)</f>
        <v>3262.24</v>
      </c>
      <c r="M455" s="187">
        <v>3262.24</v>
      </c>
      <c r="N455" s="660"/>
      <c r="O455" s="217"/>
      <c r="P455" s="661"/>
      <c r="Q455" s="219"/>
      <c r="R455" s="615"/>
    </row>
    <row r="456" spans="1:18" ht="15.75">
      <c r="A456" s="662"/>
      <c r="B456" s="506"/>
      <c r="C456" s="48" t="s">
        <v>263</v>
      </c>
      <c r="D456" s="773">
        <v>14.11</v>
      </c>
      <c r="E456" s="41">
        <v>7.4969000000000001</v>
      </c>
      <c r="F456" s="774">
        <f t="shared" ref="F456" si="106">+E456</f>
        <v>7.4969000000000001</v>
      </c>
      <c r="G456" s="775">
        <f t="shared" si="99"/>
        <v>105.78</v>
      </c>
      <c r="H456" s="432"/>
      <c r="I456" s="207"/>
      <c r="J456" s="207"/>
      <c r="K456" s="876"/>
      <c r="L456" s="776"/>
      <c r="M456" s="974"/>
      <c r="N456" s="777"/>
      <c r="O456" s="778"/>
      <c r="P456" s="779"/>
      <c r="Q456" s="780"/>
    </row>
    <row r="457" spans="1:18" ht="15.75" thickBot="1">
      <c r="A457" s="975"/>
      <c r="B457" s="278"/>
      <c r="C457" s="54" t="s">
        <v>29</v>
      </c>
      <c r="D457" s="613">
        <v>407.7</v>
      </c>
      <c r="E457" s="56">
        <v>7.4969000000000001</v>
      </c>
      <c r="F457" s="57"/>
      <c r="G457" s="247">
        <f t="shared" si="99"/>
        <v>3056.49</v>
      </c>
      <c r="H457" s="613"/>
      <c r="I457" s="57"/>
      <c r="J457" s="57"/>
      <c r="K457" s="1018"/>
      <c r="L457" s="783"/>
      <c r="M457" s="938"/>
      <c r="N457" s="57"/>
      <c r="O457" s="57"/>
      <c r="P457" s="57"/>
      <c r="Q457" s="666"/>
    </row>
    <row r="458" spans="1:18" ht="15.75">
      <c r="A458" s="658">
        <v>221</v>
      </c>
      <c r="B458" s="659" t="s">
        <v>284</v>
      </c>
      <c r="C458" s="786" t="s">
        <v>260</v>
      </c>
      <c r="D458" s="259">
        <f>фев19!D450+фев19!D451</f>
        <v>51.73</v>
      </c>
      <c r="E458" s="41">
        <f>7.4969-7.2025</f>
        <v>0.29440000000000044</v>
      </c>
      <c r="F458" s="691">
        <f>+E458</f>
        <v>0.29440000000000044</v>
      </c>
      <c r="G458" s="214">
        <f>ROUND(D458*E458,2)-0.01</f>
        <v>15.22</v>
      </c>
      <c r="H458" s="303"/>
      <c r="I458" s="23"/>
      <c r="J458" s="23"/>
      <c r="K458" s="341"/>
      <c r="L458" s="603">
        <f>SUM(G458:G460)</f>
        <v>403.03000000000003</v>
      </c>
      <c r="M458" s="187">
        <v>403.03</v>
      </c>
      <c r="N458" s="660"/>
      <c r="O458" s="217"/>
      <c r="P458" s="661"/>
      <c r="Q458" s="219"/>
    </row>
    <row r="459" spans="1:18" ht="15.75">
      <c r="A459" s="662"/>
      <c r="B459" s="35"/>
      <c r="C459" s="48" t="s">
        <v>263</v>
      </c>
      <c r="D459" s="269">
        <v>1.73</v>
      </c>
      <c r="E459" s="41">
        <v>7.4969000000000001</v>
      </c>
      <c r="F459" s="298">
        <f t="shared" ref="F459" si="107">+E459</f>
        <v>7.4969000000000001</v>
      </c>
      <c r="G459" s="235">
        <f>ROUND(D459*E459,2)-0.01</f>
        <v>12.96</v>
      </c>
      <c r="H459" s="270"/>
      <c r="I459" s="41"/>
      <c r="J459" s="41"/>
      <c r="K459" s="101"/>
      <c r="L459" s="606"/>
      <c r="M459" s="935"/>
      <c r="N459" s="663"/>
      <c r="O459" s="237"/>
      <c r="P459" s="275"/>
      <c r="Q459" s="238"/>
    </row>
    <row r="460" spans="1:18" ht="15.75" thickBot="1">
      <c r="A460" s="975"/>
      <c r="B460" s="665"/>
      <c r="C460" s="99" t="s">
        <v>29</v>
      </c>
      <c r="D460" s="613">
        <v>50</v>
      </c>
      <c r="E460" s="56">
        <v>7.4969000000000001</v>
      </c>
      <c r="F460" s="57"/>
      <c r="G460" s="247">
        <f t="shared" ref="G460" si="108">ROUND(D460*E460,2)</f>
        <v>374.85</v>
      </c>
      <c r="H460" s="613"/>
      <c r="I460" s="57"/>
      <c r="J460" s="57"/>
      <c r="K460" s="1018"/>
      <c r="L460" s="614"/>
      <c r="M460" s="606"/>
      <c r="N460" s="57"/>
      <c r="O460" s="57"/>
      <c r="P460" s="57"/>
      <c r="Q460" s="666"/>
    </row>
    <row r="461" spans="1:18" ht="16.5" thickBot="1">
      <c r="A461" s="658">
        <v>311</v>
      </c>
      <c r="B461" s="602" t="s">
        <v>142</v>
      </c>
      <c r="C461" s="786" t="s">
        <v>73</v>
      </c>
      <c r="D461" s="787">
        <v>0</v>
      </c>
      <c r="E461" s="21">
        <v>41.244</v>
      </c>
      <c r="F461" s="21">
        <v>48.335999999999999</v>
      </c>
      <c r="G461" s="214">
        <f>+D461*(E461+F461)</f>
        <v>0</v>
      </c>
      <c r="H461" s="687"/>
      <c r="I461" s="688"/>
      <c r="J461" s="670"/>
      <c r="K461" s="689"/>
      <c r="L461" s="603">
        <f>SUM(G461:G465,J461:J465)</f>
        <v>429.11</v>
      </c>
      <c r="M461" s="187"/>
      <c r="N461" s="788"/>
      <c r="O461" s="789" t="s">
        <v>323</v>
      </c>
      <c r="P461" s="790"/>
      <c r="Q461" s="791"/>
    </row>
    <row r="462" spans="1:18" ht="15.75">
      <c r="A462" s="658"/>
      <c r="B462" s="602"/>
      <c r="C462" s="786" t="s">
        <v>264</v>
      </c>
      <c r="D462" s="787"/>
      <c r="E462" s="21"/>
      <c r="F462" s="21"/>
      <c r="G462" s="214">
        <f>+D462*(E462+F462)</f>
        <v>0</v>
      </c>
      <c r="H462" s="687"/>
      <c r="I462" s="688"/>
      <c r="J462" s="670"/>
      <c r="K462" s="689"/>
      <c r="L462" s="603"/>
      <c r="M462" s="187"/>
      <c r="N462" s="788"/>
      <c r="O462" s="789"/>
      <c r="P462" s="790"/>
      <c r="Q462" s="791"/>
    </row>
    <row r="463" spans="1:18" ht="15.75">
      <c r="A463" s="662"/>
      <c r="B463" s="939"/>
      <c r="C463" s="48" t="s">
        <v>260</v>
      </c>
      <c r="D463" s="269">
        <f>фев19!D455+фев19!D456</f>
        <v>1457.58</v>
      </c>
      <c r="E463" s="41">
        <f>7.4969-7.2025</f>
        <v>0.29440000000000044</v>
      </c>
      <c r="F463" s="297">
        <f>+E463</f>
        <v>0.29440000000000044</v>
      </c>
      <c r="G463" s="235">
        <f>ROUND(D463*E463,2)</f>
        <v>429.11</v>
      </c>
      <c r="H463" s="270"/>
      <c r="I463" s="688"/>
      <c r="J463" s="670"/>
      <c r="K463" s="689"/>
      <c r="L463" s="614"/>
      <c r="M463" s="273"/>
      <c r="N463" s="663"/>
      <c r="O463" s="237"/>
      <c r="P463" s="275"/>
      <c r="Q463" s="238"/>
    </row>
    <row r="464" spans="1:18" ht="15.75">
      <c r="A464" s="662"/>
      <c r="B464" s="506"/>
      <c r="C464" s="48" t="s">
        <v>263</v>
      </c>
      <c r="D464" s="269">
        <v>0</v>
      </c>
      <c r="E464" s="41">
        <v>7.4969000000000001</v>
      </c>
      <c r="F464" s="298">
        <f t="shared" ref="F464" si="109">+E464</f>
        <v>7.4969000000000001</v>
      </c>
      <c r="G464" s="235">
        <f t="shared" ref="G464:G471" si="110">ROUND(D464*E464,2)</f>
        <v>0</v>
      </c>
      <c r="H464" s="270"/>
      <c r="I464" s="41"/>
      <c r="J464" s="670"/>
      <c r="K464" s="689"/>
      <c r="L464" s="606"/>
      <c r="M464" s="935"/>
      <c r="N464" s="663"/>
      <c r="O464" s="237"/>
      <c r="P464" s="275"/>
      <c r="Q464" s="238"/>
    </row>
    <row r="465" spans="1:17" ht="15.75" thickBot="1">
      <c r="A465" s="975"/>
      <c r="B465" s="278"/>
      <c r="C465" s="54" t="s">
        <v>29</v>
      </c>
      <c r="D465" s="795">
        <v>0</v>
      </c>
      <c r="E465" s="56">
        <v>7.4969000000000001</v>
      </c>
      <c r="F465" s="797"/>
      <c r="G465" s="798">
        <f t="shared" si="110"/>
        <v>0</v>
      </c>
      <c r="H465" s="795"/>
      <c r="I465" s="797"/>
      <c r="J465" s="797"/>
      <c r="K465" s="1019"/>
      <c r="L465" s="799"/>
      <c r="M465" s="976"/>
      <c r="N465" s="797"/>
      <c r="O465" s="797"/>
      <c r="P465" s="797"/>
      <c r="Q465" s="800"/>
    </row>
    <row r="466" spans="1:17" ht="15.75">
      <c r="A466" s="658">
        <v>500</v>
      </c>
      <c r="B466" s="659" t="s">
        <v>55</v>
      </c>
      <c r="C466" s="48" t="s">
        <v>260</v>
      </c>
      <c r="D466" s="259">
        <f>фев19!D458+фев19!D459</f>
        <v>2191.67</v>
      </c>
      <c r="E466" s="41">
        <f>7.4969-7.2025</f>
        <v>0.29440000000000044</v>
      </c>
      <c r="F466" s="691">
        <f>+E466</f>
        <v>0.29440000000000044</v>
      </c>
      <c r="G466" s="214">
        <f>ROUND(D466*E466,2)</f>
        <v>645.23</v>
      </c>
      <c r="H466" s="303"/>
      <c r="I466" s="23"/>
      <c r="J466" s="23"/>
      <c r="K466" s="341"/>
      <c r="L466" s="603">
        <f>SUM(G466:G468)</f>
        <v>19712.09</v>
      </c>
      <c r="M466" s="187">
        <v>19712.09</v>
      </c>
      <c r="N466" s="660"/>
      <c r="O466" s="217"/>
      <c r="P466" s="661"/>
      <c r="Q466" s="219"/>
    </row>
    <row r="467" spans="1:17" ht="15.75">
      <c r="A467" s="662" t="s">
        <v>211</v>
      </c>
      <c r="B467" s="35"/>
      <c r="C467" s="48" t="s">
        <v>263</v>
      </c>
      <c r="D467" s="269">
        <v>85.06</v>
      </c>
      <c r="E467" s="41">
        <v>7.4969000000000001</v>
      </c>
      <c r="F467" s="298">
        <f t="shared" ref="F467" si="111">+E467</f>
        <v>7.4969000000000001</v>
      </c>
      <c r="G467" s="235">
        <f>ROUND(D467*E467,2)-0.01</f>
        <v>637.68000000000006</v>
      </c>
      <c r="H467" s="270"/>
      <c r="I467" s="41"/>
      <c r="J467" s="41"/>
      <c r="K467" s="101"/>
      <c r="L467" s="606"/>
      <c r="M467" s="935"/>
      <c r="N467" s="663"/>
      <c r="O467" s="237"/>
      <c r="P467" s="275"/>
      <c r="Q467" s="238"/>
    </row>
    <row r="468" spans="1:17" ht="15.75" thickBot="1">
      <c r="A468" s="969"/>
      <c r="B468" s="665"/>
      <c r="C468" s="99" t="s">
        <v>29</v>
      </c>
      <c r="D468" s="613">
        <v>2458.2399999999998</v>
      </c>
      <c r="E468" s="56">
        <v>7.4969000000000001</v>
      </c>
      <c r="F468" s="57"/>
      <c r="G468" s="247">
        <f t="shared" si="110"/>
        <v>18429.18</v>
      </c>
      <c r="H468" s="613"/>
      <c r="I468" s="57"/>
      <c r="J468" s="57"/>
      <c r="K468" s="1018"/>
      <c r="L468" s="614"/>
      <c r="M468" s="935"/>
      <c r="N468" s="57"/>
      <c r="O468" s="57"/>
      <c r="P468" s="57"/>
      <c r="Q468" s="666"/>
    </row>
    <row r="469" spans="1:17" ht="15.75">
      <c r="A469" s="658">
        <v>501</v>
      </c>
      <c r="B469" s="659" t="s">
        <v>300</v>
      </c>
      <c r="C469" s="48" t="s">
        <v>260</v>
      </c>
      <c r="D469" s="259">
        <f>фев19!D461+фев19!D462</f>
        <v>1915.76</v>
      </c>
      <c r="E469" s="41">
        <f>7.4969-7.2025</f>
        <v>0.29440000000000044</v>
      </c>
      <c r="F469" s="691">
        <f>+E469</f>
        <v>0.29440000000000044</v>
      </c>
      <c r="G469" s="214">
        <f>ROUND(D469*E469,2)+0.01</f>
        <v>564.01</v>
      </c>
      <c r="H469" s="303"/>
      <c r="I469" s="23"/>
      <c r="J469" s="23"/>
      <c r="K469" s="341"/>
      <c r="L469" s="603">
        <f>SUM(G469:G471)</f>
        <v>16995.71</v>
      </c>
      <c r="M469" s="187">
        <v>16995.71</v>
      </c>
      <c r="N469" s="660"/>
      <c r="O469" s="217"/>
      <c r="P469" s="661"/>
      <c r="Q469" s="219"/>
    </row>
    <row r="470" spans="1:17" ht="15.75">
      <c r="A470" s="662"/>
      <c r="B470" s="35"/>
      <c r="C470" s="48" t="s">
        <v>263</v>
      </c>
      <c r="D470" s="269">
        <v>73.3</v>
      </c>
      <c r="E470" s="41">
        <v>7.4969000000000001</v>
      </c>
      <c r="F470" s="298">
        <f t="shared" ref="F470" si="112">+E470</f>
        <v>7.4969000000000001</v>
      </c>
      <c r="G470" s="235">
        <f t="shared" si="110"/>
        <v>549.52</v>
      </c>
      <c r="H470" s="270"/>
      <c r="I470" s="41"/>
      <c r="J470" s="41"/>
      <c r="K470" s="101"/>
      <c r="L470" s="606"/>
      <c r="M470" s="935"/>
      <c r="N470" s="663"/>
      <c r="O470" s="237"/>
      <c r="P470" s="275"/>
      <c r="Q470" s="238"/>
    </row>
    <row r="471" spans="1:17" ht="15.75" thickBot="1">
      <c r="A471" s="969"/>
      <c r="B471" s="665"/>
      <c r="C471" s="99" t="s">
        <v>29</v>
      </c>
      <c r="D471" s="613">
        <v>2118.5</v>
      </c>
      <c r="E471" s="56">
        <v>7.4969000000000001</v>
      </c>
      <c r="F471" s="57"/>
      <c r="G471" s="247">
        <f t="shared" si="110"/>
        <v>15882.18</v>
      </c>
      <c r="H471" s="613"/>
      <c r="I471" s="57"/>
      <c r="J471" s="57"/>
      <c r="K471" s="1018"/>
      <c r="L471" s="614"/>
      <c r="M471" s="935"/>
      <c r="N471" s="57"/>
      <c r="O471" s="57"/>
      <c r="P471" s="57"/>
      <c r="Q471" s="666"/>
    </row>
    <row r="472" spans="1:17">
      <c r="A472" s="977"/>
    </row>
    <row r="473" spans="1:17">
      <c r="A473" s="977"/>
    </row>
    <row r="474" spans="1:17">
      <c r="A474" s="977"/>
    </row>
  </sheetData>
  <mergeCells count="41"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  <mergeCell ref="M149:M150"/>
    <mergeCell ref="N149:Q149"/>
    <mergeCell ref="O300:Q300"/>
    <mergeCell ref="A306:A307"/>
    <mergeCell ref="B306:B307"/>
    <mergeCell ref="C306:C307"/>
    <mergeCell ref="D306:G306"/>
    <mergeCell ref="H306:K306"/>
    <mergeCell ref="L306:L307"/>
    <mergeCell ref="M306:M307"/>
    <mergeCell ref="A149:A150"/>
    <mergeCell ref="B149:B150"/>
    <mergeCell ref="C149:C150"/>
    <mergeCell ref="D149:G149"/>
    <mergeCell ref="H149:K149"/>
    <mergeCell ref="L149:L150"/>
    <mergeCell ref="N306:Q306"/>
    <mergeCell ref="A437:A438"/>
    <mergeCell ref="B437:B438"/>
    <mergeCell ref="C437:C438"/>
    <mergeCell ref="D437:G437"/>
    <mergeCell ref="H437:K437"/>
    <mergeCell ref="L437:L438"/>
    <mergeCell ref="M437:M438"/>
    <mergeCell ref="N437:Q437"/>
  </mergeCells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486"/>
  <sheetViews>
    <sheetView topLeftCell="A445" workbookViewId="0">
      <pane xSplit="3" topLeftCell="D1" activePane="topRight" state="frozen"/>
      <selection pane="topRight" activeCell="E237" sqref="E237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3.140625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143" t="s">
        <v>23</v>
      </c>
      <c r="C4" s="1144"/>
      <c r="D4" s="1145">
        <v>34</v>
      </c>
      <c r="E4" s="1146">
        <v>41.244</v>
      </c>
      <c r="F4" s="1146">
        <v>48.335999999999999</v>
      </c>
      <c r="G4" s="379">
        <f>ROUND(D4*(E4+F4),2)</f>
        <v>3045.72</v>
      </c>
      <c r="H4" s="1145"/>
      <c r="I4" s="1147"/>
      <c r="J4" s="1147"/>
      <c r="K4" s="1148"/>
      <c r="L4" s="1149">
        <f>SUM(G4:G8,J4:J7)</f>
        <v>141429.60999999999</v>
      </c>
      <c r="M4" s="1150">
        <v>141429.60999999999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151" t="s">
        <v>221</v>
      </c>
      <c r="C5" s="1152" t="s">
        <v>26</v>
      </c>
      <c r="D5" s="401"/>
      <c r="E5" s="1153"/>
      <c r="F5" s="1153"/>
      <c r="G5" s="400">
        <f>ROUND(D5*(E5+F5),2)</f>
        <v>0</v>
      </c>
      <c r="H5" s="1154"/>
      <c r="I5" s="1155"/>
      <c r="J5" s="1155"/>
      <c r="K5" s="1156"/>
      <c r="L5" s="1157"/>
      <c r="M5" s="1158"/>
      <c r="N5" s="45"/>
      <c r="O5" s="46"/>
      <c r="P5" s="47"/>
      <c r="Q5" s="46"/>
      <c r="R5" s="30"/>
      <c r="S5" s="31"/>
      <c r="T5" s="32"/>
    </row>
    <row r="6" spans="1:22">
      <c r="A6" s="34"/>
      <c r="B6" s="1159"/>
      <c r="C6" s="1160" t="s">
        <v>260</v>
      </c>
      <c r="D6" s="623"/>
      <c r="E6" s="1155"/>
      <c r="F6" s="1155">
        <f>+E6</f>
        <v>0</v>
      </c>
      <c r="G6" s="1161">
        <f>ROUND(D6*E6,2)</f>
        <v>0</v>
      </c>
      <c r="H6" s="1162"/>
      <c r="I6" s="1155"/>
      <c r="J6" s="1155"/>
      <c r="K6" s="1156"/>
      <c r="L6" s="1157"/>
      <c r="M6" s="1158"/>
      <c r="N6" s="45"/>
      <c r="O6" s="46"/>
      <c r="P6" s="47"/>
      <c r="Q6" s="46"/>
      <c r="R6" s="30">
        <f>+G7+G8</f>
        <v>138383.88999999998</v>
      </c>
      <c r="S6" s="31"/>
      <c r="T6" s="32"/>
    </row>
    <row r="7" spans="1:22">
      <c r="A7" s="34"/>
      <c r="B7" s="1159"/>
      <c r="C7" s="1160" t="s">
        <v>263</v>
      </c>
      <c r="D7" s="623">
        <f>426.48+116.21</f>
        <v>542.69000000000005</v>
      </c>
      <c r="E7" s="1155">
        <v>7.4271000000000003</v>
      </c>
      <c r="F7" s="1155">
        <f>+E7</f>
        <v>7.4271000000000003</v>
      </c>
      <c r="G7" s="1161">
        <f>ROUND(D7*E7,2)+0.01</f>
        <v>4030.6200000000003</v>
      </c>
      <c r="H7" s="1154"/>
      <c r="I7" s="1155"/>
      <c r="J7" s="1155"/>
      <c r="K7" s="1156"/>
      <c r="L7" s="1157"/>
      <c r="M7" s="1158"/>
      <c r="N7" s="45"/>
      <c r="O7" s="46"/>
      <c r="P7" s="47"/>
      <c r="Q7" s="46"/>
      <c r="R7" s="30"/>
      <c r="S7" s="31"/>
      <c r="T7" s="32"/>
      <c r="V7" s="33">
        <f>+G7+G8</f>
        <v>138383.88999999998</v>
      </c>
    </row>
    <row r="8" spans="1:22" ht="15.75" thickBot="1">
      <c r="A8" s="52"/>
      <c r="B8" s="1163"/>
      <c r="C8" s="1164" t="s">
        <v>29</v>
      </c>
      <c r="D8" s="941">
        <f>14216.1+3873.5</f>
        <v>18089.599999999999</v>
      </c>
      <c r="E8" s="1165">
        <v>7.4271000000000003</v>
      </c>
      <c r="F8" s="1166">
        <f>+E8</f>
        <v>7.4271000000000003</v>
      </c>
      <c r="G8" s="1167">
        <f>ROUND(D8*E8,2)</f>
        <v>134353.26999999999</v>
      </c>
      <c r="H8" s="1168"/>
      <c r="I8" s="1169"/>
      <c r="J8" s="1169"/>
      <c r="K8" s="1170"/>
      <c r="L8" s="1171"/>
      <c r="M8" s="1172"/>
      <c r="N8" s="64"/>
      <c r="O8" s="65"/>
      <c r="P8" s="47" t="s">
        <v>24</v>
      </c>
      <c r="Q8" s="65">
        <f>+G8+J8-M8-N8-O8</f>
        <v>134353.26999999999</v>
      </c>
      <c r="R8" s="66" t="s">
        <v>25</v>
      </c>
      <c r="S8" s="67">
        <f>SUM(O4:O8)</f>
        <v>0</v>
      </c>
      <c r="T8" s="68">
        <f>SUM(Q4:Q8)</f>
        <v>134353.26999999999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107</v>
      </c>
      <c r="E13" s="21">
        <v>41.244</v>
      </c>
      <c r="F13" s="21">
        <v>48.335999999999999</v>
      </c>
      <c r="G13" s="22">
        <f>ROUND(D13*(E13+F13),2)</f>
        <v>9585.06</v>
      </c>
      <c r="H13" s="72"/>
      <c r="I13" s="21"/>
      <c r="J13" s="73"/>
      <c r="K13" s="24"/>
      <c r="L13" s="74">
        <f>SUM(G13:G20,J13:J19)</f>
        <v>66339.19</v>
      </c>
      <c r="M13" s="26">
        <v>66339.19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44</v>
      </c>
      <c r="E15" s="101">
        <v>343.14</v>
      </c>
      <c r="F15" s="38">
        <f>F13</f>
        <v>48.335999999999999</v>
      </c>
      <c r="G15" s="39">
        <f>ROUND(D15*(E15+F15),2)</f>
        <v>17224.939999999999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мар19!D15</f>
        <v>42</v>
      </c>
      <c r="E16" s="41">
        <f>343.14-330.21</f>
        <v>12.930000000000007</v>
      </c>
      <c r="F16" s="38">
        <f>F14</f>
        <v>0</v>
      </c>
      <c r="G16" s="50">
        <f>+D16*(E16+F16)</f>
        <v>543.06000000000029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мар19!D19+мар19!D20</f>
        <v>3787</v>
      </c>
      <c r="E18" s="881">
        <f>7.1994-7.4969</f>
        <v>-0.29750000000000032</v>
      </c>
      <c r="F18" s="41">
        <f>+E18</f>
        <v>-0.29750000000000032</v>
      </c>
      <c r="G18" s="50">
        <f>ROUND(D18*E18*70%+D18*F18*30%,2)+0.01</f>
        <v>-1126.6200000000001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15.91+140.67+5.7</f>
        <v>162.27999999999997</v>
      </c>
      <c r="E19" s="41">
        <v>7.1993999999999998</v>
      </c>
      <c r="F19" s="41">
        <f>E19</f>
        <v>7.1993999999999998</v>
      </c>
      <c r="G19" s="50">
        <f>ROUND(D19*E19*70%+D19*F19*30%,2)</f>
        <v>1168.32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530.4+4689+190</f>
        <v>5409.4</v>
      </c>
      <c r="E20" s="56">
        <v>7.1993999999999998</v>
      </c>
      <c r="F20" s="109">
        <f>+E20</f>
        <v>7.1993999999999998</v>
      </c>
      <c r="G20" s="110">
        <f>ROUND(D20*E20*70%+D20*F20*30%,2)</f>
        <v>38944.43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мар19!D28+мар19!D29</f>
        <v>2438.71</v>
      </c>
      <c r="E27" s="41">
        <f>7.1994-7.4969</f>
        <v>-0.29750000000000032</v>
      </c>
      <c r="F27" s="691">
        <f>+E27</f>
        <v>-0.29750000000000032</v>
      </c>
      <c r="G27" s="214">
        <f>ROUND(D27*E27,2)+0.02</f>
        <v>-725.5</v>
      </c>
      <c r="H27" s="303"/>
      <c r="I27" s="23"/>
      <c r="J27" s="23"/>
      <c r="K27" s="23"/>
      <c r="L27" s="603">
        <f>SUM(G27:G29)</f>
        <v>18940.59</v>
      </c>
      <c r="M27" s="187">
        <v>18940.59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79.56</v>
      </c>
      <c r="E28" s="41">
        <v>7.1993999999999998</v>
      </c>
      <c r="F28" s="298">
        <f t="shared" ref="F28" si="0">+E28</f>
        <v>7.1993999999999998</v>
      </c>
      <c r="G28" s="235">
        <f>ROUND(D28*E28,2)</f>
        <v>572.78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2652.07</v>
      </c>
      <c r="E29" s="56">
        <v>7.1993999999999998</v>
      </c>
      <c r="F29" s="57"/>
      <c r="G29" s="247">
        <f>ROUND(D29*E29,2)</f>
        <v>19093.310000000001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 ht="15.75" thickBot="1">
      <c r="A33" s="888" t="s">
        <v>241</v>
      </c>
      <c r="B33" s="183" t="s">
        <v>242</v>
      </c>
      <c r="C33" s="439" t="s">
        <v>243</v>
      </c>
      <c r="D33" s="1008">
        <v>0.7</v>
      </c>
      <c r="E33" s="23">
        <v>41.244</v>
      </c>
      <c r="F33" s="23">
        <v>48.335999999999999</v>
      </c>
      <c r="G33" s="214">
        <f>ROUND(D33*(E33+F33),2)</f>
        <v>62.71</v>
      </c>
      <c r="H33" s="1001">
        <f>фев19!D33</f>
        <v>0.7</v>
      </c>
      <c r="I33" s="23">
        <v>0.34799999999999998</v>
      </c>
      <c r="J33" s="23">
        <f>ROUND(H33*I33,2)</f>
        <v>0.24</v>
      </c>
      <c r="K33" s="1241">
        <v>43497</v>
      </c>
      <c r="L33" s="343">
        <f>SUM(G33:G37)+SUM(J33:J34)</f>
        <v>8597.99</v>
      </c>
      <c r="M33" s="187">
        <v>8597.99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002">
        <f>H33</f>
        <v>0.7</v>
      </c>
      <c r="I34" s="281">
        <v>67.703999999999994</v>
      </c>
      <c r="J34" s="23">
        <f>ROUND(H34*I34,2)</f>
        <v>47.39</v>
      </c>
      <c r="K34" s="1242">
        <v>43497</v>
      </c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мар19!D36+мар19!D37</f>
        <v>1268.1300000000001</v>
      </c>
      <c r="E35" s="41">
        <f>7.1994-7.4969</f>
        <v>-0.29750000000000032</v>
      </c>
      <c r="F35" s="41">
        <f t="shared" ref="F35:F70" si="1">+E35</f>
        <v>-0.29750000000000032</v>
      </c>
      <c r="G35" s="50">
        <f>ROUND(D35*E35,2)+0.01</f>
        <v>-377.26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13.04</v>
      </c>
      <c r="E36" s="41">
        <v>7.1993999999999998</v>
      </c>
      <c r="F36" s="41">
        <f t="shared" si="1"/>
        <v>7.1993999999999998</v>
      </c>
      <c r="G36" s="50">
        <f>ROUND(D36*E36,2)</f>
        <v>93.88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1218.3</v>
      </c>
      <c r="E37" s="56">
        <v>7.1993999999999998</v>
      </c>
      <c r="F37" s="57">
        <f t="shared" si="1"/>
        <v>7.1993999999999998</v>
      </c>
      <c r="G37" s="247">
        <f>ROUND(D37*E37*70%+D37*F37*30%,2)</f>
        <v>8771.0300000000007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26.52+34.6</f>
        <v>61.120000000000005</v>
      </c>
      <c r="E38" s="21">
        <v>41.244</v>
      </c>
      <c r="F38" s="21">
        <v>48.335999999999999</v>
      </c>
      <c r="G38" s="214">
        <f>ROUND(D38*(E38+F38),2)</f>
        <v>5475.13</v>
      </c>
      <c r="H38" s="213">
        <f>фев19!D38</f>
        <v>68.759999999999991</v>
      </c>
      <c r="I38" s="41">
        <v>0.34799999999999998</v>
      </c>
      <c r="J38" s="23">
        <f>ROUND(H38*I38,2)</f>
        <v>23.93</v>
      </c>
      <c r="K38" s="679">
        <v>43497</v>
      </c>
      <c r="L38" s="294">
        <f>SUM(G38:G42)+SUM(J38:J41)</f>
        <v>49362.23</v>
      </c>
      <c r="M38" s="227">
        <v>49362.23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225">
        <f>H38</f>
        <v>68.759999999999991</v>
      </c>
      <c r="I39" s="41">
        <v>67.703999999999994</v>
      </c>
      <c r="J39" s="23">
        <f>ROUND(H39*I39,2)</f>
        <v>4655.33</v>
      </c>
      <c r="K39" s="295">
        <v>43497</v>
      </c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мар19!D41+мар19!D42</f>
        <v>5641.73</v>
      </c>
      <c r="E40" s="41">
        <f>7.1994-7.4969</f>
        <v>-0.29750000000000032</v>
      </c>
      <c r="F40" s="41">
        <f t="shared" ref="F40:F42" si="2">+E40</f>
        <v>-0.29750000000000032</v>
      </c>
      <c r="G40" s="235">
        <f>ROUND(D40*E40,2)-0.01</f>
        <v>-1678.42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60.12</v>
      </c>
      <c r="E41" s="41">
        <v>7.1993999999999998</v>
      </c>
      <c r="F41" s="41">
        <f t="shared" si="2"/>
        <v>7.1993999999999998</v>
      </c>
      <c r="G41" s="235">
        <f t="shared" ref="G41:G42" si="3">ROUND(D41*E41,2)</f>
        <v>432.83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5619</v>
      </c>
      <c r="E42" s="56">
        <v>7.1993999999999998</v>
      </c>
      <c r="F42" s="57">
        <f t="shared" si="2"/>
        <v>7.1993999999999998</v>
      </c>
      <c r="G42" s="247">
        <f t="shared" si="3"/>
        <v>40453.43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1173" t="s">
        <v>312</v>
      </c>
      <c r="C43" s="1174" t="s">
        <v>59</v>
      </c>
      <c r="D43" s="1175">
        <v>9.6080000000000005</v>
      </c>
      <c r="E43" s="1146">
        <v>41.244</v>
      </c>
      <c r="F43" s="1146">
        <v>48.335999999999999</v>
      </c>
      <c r="G43" s="1176">
        <f>ROUND(D43*(E43+F43),2)</f>
        <v>860.68</v>
      </c>
      <c r="H43" s="1177">
        <f>фев19!D43</f>
        <v>6.3009999999999993</v>
      </c>
      <c r="I43" s="1155">
        <v>67.703999999999994</v>
      </c>
      <c r="J43" s="1178">
        <f>ROUND(H43*I43,2)</f>
        <v>426.6</v>
      </c>
      <c r="K43" s="1179">
        <v>43497</v>
      </c>
      <c r="L43" s="1180">
        <f>SUM(G43:G47)+SUM(J43:J47)</f>
        <v>36048.630000000005</v>
      </c>
      <c r="M43" s="996">
        <v>36048.629999999997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1199" t="s">
        <v>313</v>
      </c>
      <c r="C44" s="1182" t="s">
        <v>264</v>
      </c>
      <c r="D44" s="1183"/>
      <c r="E44" s="1153"/>
      <c r="F44" s="1153"/>
      <c r="G44" s="1184">
        <f>ROUND(D44*(E44+F44),2)</f>
        <v>0</v>
      </c>
      <c r="H44" s="1185">
        <f>мар19!D43</f>
        <v>12.8</v>
      </c>
      <c r="I44" s="1155">
        <v>0.34799999999999998</v>
      </c>
      <c r="J44" s="1178">
        <f>ROUND(H44*I44,2)</f>
        <v>4.45</v>
      </c>
      <c r="K44" s="1179">
        <v>43525</v>
      </c>
      <c r="L44" s="1180"/>
      <c r="M44" s="996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1181"/>
      <c r="C45" s="1160" t="s">
        <v>260</v>
      </c>
      <c r="D45" s="673"/>
      <c r="E45" s="1155"/>
      <c r="F45" s="1155">
        <f t="shared" ref="F45:F50" si="4">+E45</f>
        <v>0</v>
      </c>
      <c r="G45" s="1184">
        <f>ROUND(D45*E45,2)</f>
        <v>0</v>
      </c>
      <c r="H45" s="1188"/>
      <c r="I45" s="1155"/>
      <c r="J45" s="1155"/>
      <c r="K45" s="1189"/>
      <c r="L45" s="1190"/>
      <c r="M45" s="1191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1181"/>
      <c r="C46" s="1160" t="s">
        <v>263</v>
      </c>
      <c r="D46" s="1183">
        <f>47.94+0.31+1.29</f>
        <v>49.54</v>
      </c>
      <c r="E46" s="1155">
        <v>7.4271000000000003</v>
      </c>
      <c r="F46" s="1155">
        <f t="shared" si="4"/>
        <v>7.4271000000000003</v>
      </c>
      <c r="G46" s="1184">
        <f>ROUND(D46*E46,2)</f>
        <v>367.94</v>
      </c>
      <c r="H46" s="1188"/>
      <c r="I46" s="1155"/>
      <c r="J46" s="1155"/>
      <c r="K46" s="1189"/>
      <c r="L46" s="1190"/>
      <c r="M46" s="1191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1173"/>
      <c r="C47" s="1174" t="s">
        <v>29</v>
      </c>
      <c r="D47" s="1192">
        <f>4480+29.3+120.9</f>
        <v>4630.2</v>
      </c>
      <c r="E47" s="1165">
        <v>7.4271000000000003</v>
      </c>
      <c r="F47" s="1166">
        <f t="shared" si="4"/>
        <v>7.4271000000000003</v>
      </c>
      <c r="G47" s="1193">
        <f t="shared" ref="G47" si="5">ROUND(D47*E47,2)</f>
        <v>34388.959999999999</v>
      </c>
      <c r="H47" s="1194"/>
      <c r="I47" s="1195"/>
      <c r="J47" s="1195"/>
      <c r="K47" s="1196"/>
      <c r="L47" s="1197"/>
      <c r="M47" s="1198"/>
      <c r="N47" s="283"/>
      <c r="O47" s="252"/>
      <c r="P47" s="284"/>
      <c r="Q47" s="252"/>
      <c r="R47" s="242"/>
      <c r="S47" s="266"/>
      <c r="T47" s="266"/>
    </row>
    <row r="48" spans="1:21">
      <c r="A48" s="896">
        <v>111</v>
      </c>
      <c r="B48" s="192" t="s">
        <v>332</v>
      </c>
      <c r="C48" s="700" t="s">
        <v>260</v>
      </c>
      <c r="D48" s="985"/>
      <c r="E48" s="261">
        <f>7.1994-7.4969</f>
        <v>-0.29750000000000032</v>
      </c>
      <c r="F48" s="261">
        <f t="shared" si="4"/>
        <v>-0.29750000000000032</v>
      </c>
      <c r="G48" s="195">
        <f>ROUND(D48*E48,2)</f>
        <v>0</v>
      </c>
      <c r="H48" s="260"/>
      <c r="I48" s="261"/>
      <c r="J48" s="261"/>
      <c r="K48" s="262"/>
      <c r="L48" s="294">
        <f>SUM(G48:G50)</f>
        <v>3751.0299999999997</v>
      </c>
      <c r="M48" s="227">
        <v>3751.03</v>
      </c>
      <c r="N48" s="274"/>
      <c r="O48" s="237"/>
      <c r="P48" s="275"/>
      <c r="Q48" s="237"/>
      <c r="R48" s="242"/>
      <c r="S48" s="266"/>
      <c r="T48" s="266"/>
    </row>
    <row r="49" spans="1:20" ht="15.75">
      <c r="A49" s="896"/>
      <c r="B49" s="192"/>
      <c r="C49" s="48" t="s">
        <v>263</v>
      </c>
      <c r="D49" s="269">
        <v>5.52</v>
      </c>
      <c r="E49" s="41">
        <v>7.1993999999999998</v>
      </c>
      <c r="F49" s="41">
        <f t="shared" si="4"/>
        <v>7.1993999999999998</v>
      </c>
      <c r="G49" s="235">
        <f t="shared" ref="G49:G50" si="6">ROUND(D49*E49,2)</f>
        <v>39.74</v>
      </c>
      <c r="H49" s="270"/>
      <c r="I49" s="41"/>
      <c r="J49" s="41"/>
      <c r="K49" s="271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0" ht="16.5" thickBot="1">
      <c r="A50" s="891"/>
      <c r="B50" s="887"/>
      <c r="C50" s="54" t="s">
        <v>29</v>
      </c>
      <c r="D50" s="279">
        <v>515.5</v>
      </c>
      <c r="E50" s="56">
        <v>7.1993999999999998</v>
      </c>
      <c r="F50" s="57">
        <f t="shared" si="4"/>
        <v>7.1993999999999998</v>
      </c>
      <c r="G50" s="247">
        <f t="shared" si="6"/>
        <v>3711.29</v>
      </c>
      <c r="H50" s="280"/>
      <c r="I50" s="281"/>
      <c r="J50" s="281"/>
      <c r="K50" s="2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0" ht="15.75" thickBot="1">
      <c r="A51" s="892">
        <v>112</v>
      </c>
      <c r="B51" s="183" t="s">
        <v>307</v>
      </c>
      <c r="C51" s="439" t="s">
        <v>243</v>
      </c>
      <c r="D51" s="1008">
        <v>0.3</v>
      </c>
      <c r="E51" s="23">
        <v>41.244</v>
      </c>
      <c r="F51" s="23">
        <v>48.335999999999999</v>
      </c>
      <c r="G51" s="214">
        <f>ROUND(D51*(E51+F51),2)</f>
        <v>26.87</v>
      </c>
      <c r="H51" s="1001">
        <f>фев19!D48</f>
        <v>0.3</v>
      </c>
      <c r="I51" s="23">
        <v>0.34799999999999998</v>
      </c>
      <c r="J51" s="23">
        <f>ROUND(H51*I51,2)</f>
        <v>0.1</v>
      </c>
      <c r="K51" s="1241">
        <v>43497</v>
      </c>
      <c r="L51" s="343">
        <f>SUM(G51:G55)+SUM(J51:J55)</f>
        <v>898.37</v>
      </c>
      <c r="M51" s="187">
        <v>898.37</v>
      </c>
      <c r="N51" s="274"/>
      <c r="O51" s="237"/>
      <c r="P51" s="275"/>
      <c r="Q51" s="237"/>
      <c r="R51" s="242"/>
      <c r="S51" s="266"/>
      <c r="T51" s="266"/>
    </row>
    <row r="52" spans="1:20" ht="15.75" thickBot="1">
      <c r="A52" s="896"/>
      <c r="B52" s="192"/>
      <c r="C52" s="48" t="s">
        <v>260</v>
      </c>
      <c r="D52" s="1009"/>
      <c r="E52" s="41"/>
      <c r="F52" s="41"/>
      <c r="G52" s="235">
        <f>ROUND(D52*(E52+F52),2)</f>
        <v>0</v>
      </c>
      <c r="H52" s="1002">
        <f>H51</f>
        <v>0.3</v>
      </c>
      <c r="I52" s="281">
        <v>67.703999999999994</v>
      </c>
      <c r="J52" s="23">
        <f>ROUND(H52*I52,2)</f>
        <v>20.309999999999999</v>
      </c>
      <c r="K52" s="1242">
        <v>43497</v>
      </c>
      <c r="L52" s="988"/>
      <c r="M52" s="989"/>
      <c r="N52" s="274"/>
      <c r="O52" s="237"/>
      <c r="P52" s="275"/>
      <c r="Q52" s="237"/>
      <c r="R52" s="242"/>
      <c r="S52" s="266"/>
      <c r="T52" s="266"/>
    </row>
    <row r="53" spans="1:20">
      <c r="A53" s="1034"/>
      <c r="C53" s="439" t="s">
        <v>260</v>
      </c>
      <c r="D53" s="296">
        <f>мар19!D51+мар19!D52</f>
        <v>123.31</v>
      </c>
      <c r="E53" s="41">
        <f>7.1994-7.4969</f>
        <v>-0.29750000000000032</v>
      </c>
      <c r="F53" s="41">
        <f t="shared" si="1"/>
        <v>-0.29750000000000032</v>
      </c>
      <c r="G53" s="235">
        <f>ROUND(D53*E53,2)+0.01</f>
        <v>-36.67</v>
      </c>
      <c r="H53" s="270"/>
      <c r="I53" s="41"/>
      <c r="J53" s="41"/>
      <c r="K53" s="271"/>
      <c r="L53" s="294"/>
      <c r="M53" s="227"/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1.31</v>
      </c>
      <c r="E54" s="41">
        <v>7.1993999999999998</v>
      </c>
      <c r="F54" s="41">
        <f t="shared" si="1"/>
        <v>7.1993999999999998</v>
      </c>
      <c r="G54" s="235">
        <f>ROUND(D54*E54,2)</f>
        <v>9.43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202"/>
      <c r="C55" s="54" t="s">
        <v>29</v>
      </c>
      <c r="D55" s="279">
        <v>122</v>
      </c>
      <c r="E55" s="56">
        <v>7.1993999999999998</v>
      </c>
      <c r="F55" s="57">
        <f t="shared" si="1"/>
        <v>7.1993999999999998</v>
      </c>
      <c r="G55" s="247">
        <f t="shared" ref="G55" si="7">ROUND(D55*E55,2)</f>
        <v>878.33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>
      <c r="A56" s="896">
        <v>202</v>
      </c>
      <c r="B56" s="192" t="s">
        <v>159</v>
      </c>
      <c r="C56" s="700" t="s">
        <v>260</v>
      </c>
      <c r="D56" s="985">
        <f>мар19!D54+мар19!D55</f>
        <v>130.18</v>
      </c>
      <c r="E56" s="261">
        <f>7.1994-7.4969</f>
        <v>-0.29750000000000032</v>
      </c>
      <c r="F56" s="261">
        <f t="shared" si="1"/>
        <v>-0.29750000000000032</v>
      </c>
      <c r="G56" s="195">
        <f>ROUND(D56*E56,2)</f>
        <v>-38.729999999999997</v>
      </c>
      <c r="H56" s="260"/>
      <c r="I56" s="261"/>
      <c r="J56" s="261"/>
      <c r="K56" s="262"/>
      <c r="L56" s="294">
        <f>SUM(G56:G58)</f>
        <v>898.49</v>
      </c>
      <c r="M56" s="227">
        <v>898.49</v>
      </c>
      <c r="N56" s="274"/>
      <c r="O56" s="237"/>
      <c r="P56" s="275"/>
      <c r="Q56" s="237"/>
      <c r="R56" s="242"/>
      <c r="S56" s="266"/>
      <c r="T56" s="266"/>
    </row>
    <row r="57" spans="1:20" ht="15.75">
      <c r="A57" s="896"/>
      <c r="B57" s="192"/>
      <c r="C57" s="48" t="s">
        <v>263</v>
      </c>
      <c r="D57" s="269">
        <v>1.38</v>
      </c>
      <c r="E57" s="41">
        <v>7.1993999999999998</v>
      </c>
      <c r="F57" s="41">
        <f t="shared" si="1"/>
        <v>7.1993999999999998</v>
      </c>
      <c r="G57" s="235">
        <f t="shared" ref="G57:G58" si="8">ROUND(D57*E57,2)</f>
        <v>9.94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891"/>
      <c r="B58" s="887"/>
      <c r="C58" s="54" t="s">
        <v>29</v>
      </c>
      <c r="D58" s="279">
        <v>128.80000000000001</v>
      </c>
      <c r="E58" s="56">
        <v>7.1993999999999998</v>
      </c>
      <c r="F58" s="57">
        <f t="shared" si="1"/>
        <v>7.1993999999999998</v>
      </c>
      <c r="G58" s="247">
        <f t="shared" si="8"/>
        <v>927.28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 ht="15.75" hidden="1" thickBot="1">
      <c r="A59" s="892">
        <v>204</v>
      </c>
      <c r="B59" s="183" t="s">
        <v>137</v>
      </c>
      <c r="C59" s="439" t="s">
        <v>260</v>
      </c>
      <c r="D59" s="296"/>
      <c r="E59" s="41">
        <f>6.6439-6.7023</f>
        <v>-5.8399999999999785E-2</v>
      </c>
      <c r="F59" s="41">
        <f t="shared" si="1"/>
        <v>-5.8399999999999785E-2</v>
      </c>
      <c r="G59" s="235">
        <f>ROUND(D59*E59,2)</f>
        <v>0</v>
      </c>
      <c r="H59" s="270"/>
      <c r="I59" s="41"/>
      <c r="J59" s="41"/>
      <c r="K59" s="271"/>
      <c r="L59" s="294">
        <f>SUM(G59:G61)</f>
        <v>0</v>
      </c>
      <c r="M59" s="227"/>
      <c r="N59" s="274"/>
      <c r="O59" s="237"/>
      <c r="P59" s="275"/>
      <c r="Q59" s="237"/>
      <c r="R59" s="242"/>
      <c r="S59" s="266"/>
      <c r="T59" s="266"/>
    </row>
    <row r="60" spans="1:20" ht="16.5" hidden="1" thickBot="1">
      <c r="A60" s="896"/>
      <c r="B60" s="991" t="s">
        <v>275</v>
      </c>
      <c r="C60" s="48" t="s">
        <v>263</v>
      </c>
      <c r="D60" s="269"/>
      <c r="E60" s="41">
        <v>6.6439000000000004</v>
      </c>
      <c r="F60" s="41">
        <f t="shared" si="1"/>
        <v>6.6439000000000004</v>
      </c>
      <c r="G60" s="235">
        <f>ROUND(D60*E60,2)</f>
        <v>0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hidden="1" thickBot="1">
      <c r="A61" s="891"/>
      <c r="B61" s="887"/>
      <c r="C61" s="54" t="s">
        <v>29</v>
      </c>
      <c r="D61" s="279"/>
      <c r="E61" s="56">
        <v>6.6439000000000004</v>
      </c>
      <c r="F61" s="57">
        <f t="shared" si="1"/>
        <v>6.6439000000000004</v>
      </c>
      <c r="G61" s="247">
        <f>ROUND(D61*E61,2)</f>
        <v>0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204</v>
      </c>
      <c r="B62" s="183" t="s">
        <v>289</v>
      </c>
      <c r="C62" s="439" t="s">
        <v>260</v>
      </c>
      <c r="D62" s="296">
        <f>мар19!D60+мар19!D61</f>
        <v>137.25</v>
      </c>
      <c r="E62" s="41">
        <f>7.1994-7.4969</f>
        <v>-0.29750000000000032</v>
      </c>
      <c r="F62" s="41">
        <f t="shared" si="1"/>
        <v>-0.29750000000000032</v>
      </c>
      <c r="G62" s="235">
        <f>ROUND(D62*E62,2)</f>
        <v>-40.83</v>
      </c>
      <c r="H62" s="270"/>
      <c r="I62" s="41"/>
      <c r="J62" s="41"/>
      <c r="K62" s="271"/>
      <c r="L62" s="294">
        <f>SUM(G62:G64)</f>
        <v>947.29</v>
      </c>
      <c r="M62" s="227">
        <v>947.29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1.45</v>
      </c>
      <c r="E63" s="41">
        <v>7.1993999999999998</v>
      </c>
      <c r="F63" s="41">
        <f t="shared" si="1"/>
        <v>7.1993999999999998</v>
      </c>
      <c r="G63" s="235">
        <f>ROUND(D63*E63,2)</f>
        <v>10.44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135.80000000000001</v>
      </c>
      <c r="E64" s="56">
        <v>7.1993999999999998</v>
      </c>
      <c r="F64" s="57">
        <f t="shared" si="1"/>
        <v>7.1993999999999998</v>
      </c>
      <c r="G64" s="247">
        <f t="shared" ref="G64" si="9">ROUND(D64*E64,2)</f>
        <v>977.68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210</v>
      </c>
      <c r="B65" s="183" t="s">
        <v>245</v>
      </c>
      <c r="C65" s="439" t="s">
        <v>260</v>
      </c>
      <c r="D65" s="296">
        <f>мар19!D63+мар19!D64</f>
        <v>265.61</v>
      </c>
      <c r="E65" s="41">
        <f>7.1994-7.4969</f>
        <v>-0.29750000000000032</v>
      </c>
      <c r="F65" s="41">
        <f t="shared" si="1"/>
        <v>-0.29750000000000032</v>
      </c>
      <c r="G65" s="235">
        <f>ROUND(D65*E65,2)</f>
        <v>-79.02</v>
      </c>
      <c r="H65" s="270"/>
      <c r="I65" s="41"/>
      <c r="J65" s="41"/>
      <c r="K65" s="271"/>
      <c r="L65" s="294">
        <f>SUM(G65:G67)</f>
        <v>1676.05</v>
      </c>
      <c r="M65" s="227">
        <v>1676.05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2.58</v>
      </c>
      <c r="E66" s="41">
        <v>7.1993999999999998</v>
      </c>
      <c r="F66" s="41">
        <f t="shared" si="1"/>
        <v>7.1993999999999998</v>
      </c>
      <c r="G66" s="235">
        <f>ROUND(D66*E66,2)</f>
        <v>18.57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241.2</v>
      </c>
      <c r="E67" s="56">
        <v>7.1993999999999998</v>
      </c>
      <c r="F67" s="57">
        <f t="shared" si="1"/>
        <v>7.1993999999999998</v>
      </c>
      <c r="G67" s="247">
        <f t="shared" ref="G67" si="10">ROUND(D67*E67,2)</f>
        <v>1736.5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213</v>
      </c>
      <c r="B68" s="183" t="s">
        <v>262</v>
      </c>
      <c r="C68" s="439" t="s">
        <v>260</v>
      </c>
      <c r="D68" s="296">
        <f>мар19!D66+мар19!D67</f>
        <v>152.51000000000002</v>
      </c>
      <c r="E68" s="41">
        <f>7.1994-7.4969</f>
        <v>-0.29750000000000032</v>
      </c>
      <c r="F68" s="41">
        <f t="shared" si="1"/>
        <v>-0.29750000000000032</v>
      </c>
      <c r="G68" s="235">
        <f>ROUND(D68*E68,2)</f>
        <v>-45.37</v>
      </c>
      <c r="H68" s="270"/>
      <c r="I68" s="41"/>
      <c r="J68" s="41"/>
      <c r="K68" s="271"/>
      <c r="L68" s="294">
        <f>SUM(G68:G70)</f>
        <v>927.49</v>
      </c>
      <c r="M68" s="227">
        <v>927.49</v>
      </c>
      <c r="N68" s="274"/>
      <c r="O68" s="237"/>
      <c r="P68" s="275"/>
      <c r="Q68" s="237"/>
      <c r="R68" s="242"/>
      <c r="S68" s="266"/>
      <c r="T68" s="266"/>
    </row>
    <row r="69" spans="1:21" ht="15.75">
      <c r="A69" s="896"/>
      <c r="B69" s="192"/>
      <c r="C69" s="48" t="s">
        <v>263</v>
      </c>
      <c r="D69" s="269">
        <v>1.43</v>
      </c>
      <c r="E69" s="41">
        <v>7.1993999999999998</v>
      </c>
      <c r="F69" s="41">
        <f t="shared" si="1"/>
        <v>7.1993999999999998</v>
      </c>
      <c r="G69" s="235">
        <f>ROUND(D69*E69,2)</f>
        <v>10.3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891"/>
      <c r="B70" s="887"/>
      <c r="C70" s="54" t="s">
        <v>29</v>
      </c>
      <c r="D70" s="279">
        <v>133.69999999999999</v>
      </c>
      <c r="E70" s="56">
        <v>7.1993999999999998</v>
      </c>
      <c r="F70" s="57">
        <f t="shared" si="1"/>
        <v>7.1993999999999998</v>
      </c>
      <c r="G70" s="247">
        <f t="shared" ref="G70" si="11">ROUND(D70*E70,2)</f>
        <v>962.56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1" ht="15.75" thickBot="1">
      <c r="A71" s="892">
        <v>215</v>
      </c>
      <c r="B71" s="183" t="s">
        <v>189</v>
      </c>
      <c r="C71" s="71" t="s">
        <v>243</v>
      </c>
      <c r="D71" s="213">
        <v>3.58</v>
      </c>
      <c r="E71" s="21">
        <v>41.244</v>
      </c>
      <c r="F71" s="21">
        <v>48.335999999999999</v>
      </c>
      <c r="G71" s="214">
        <f>ROUND(D71*(E71+F71),2)</f>
        <v>320.7</v>
      </c>
      <c r="H71" s="213">
        <f>фев19!D68</f>
        <v>5.4</v>
      </c>
      <c r="I71" s="194">
        <v>0.34799999999999998</v>
      </c>
      <c r="J71" s="23">
        <f>ROUND(H71*I71,2)</f>
        <v>1.88</v>
      </c>
      <c r="K71" s="679">
        <v>43497</v>
      </c>
      <c r="L71" s="216">
        <f>SUM(G71:G78)+SUM(J71:J78)</f>
        <v>3266.23</v>
      </c>
      <c r="M71" s="187">
        <v>3266.23</v>
      </c>
      <c r="N71" s="188"/>
      <c r="O71" s="217"/>
      <c r="P71" s="218"/>
      <c r="Q71" s="219"/>
      <c r="R71" s="220"/>
      <c r="S71" s="221"/>
      <c r="T71" s="222"/>
      <c r="U71" s="33"/>
    </row>
    <row r="72" spans="1:21">
      <c r="A72" s="890"/>
      <c r="B72" s="872"/>
      <c r="C72" s="84" t="s">
        <v>26</v>
      </c>
      <c r="D72" s="37"/>
      <c r="E72" s="38"/>
      <c r="F72" s="38"/>
      <c r="G72" s="39">
        <f>ROUND(D72*(E72+F72),2)</f>
        <v>0</v>
      </c>
      <c r="H72" s="225">
        <f>H71</f>
        <v>5.4</v>
      </c>
      <c r="I72" s="194">
        <v>67.703999999999994</v>
      </c>
      <c r="J72" s="23">
        <f>ROUND(H72*I72,2)</f>
        <v>365.6</v>
      </c>
      <c r="K72" s="226">
        <v>43497</v>
      </c>
      <c r="L72" s="196"/>
      <c r="M72" s="227"/>
      <c r="N72" s="228"/>
      <c r="O72" s="229"/>
      <c r="P72" s="230"/>
      <c r="Q72" s="231"/>
      <c r="R72" s="232"/>
      <c r="S72" s="233"/>
      <c r="T72" s="224"/>
      <c r="U72" s="33"/>
    </row>
    <row r="73" spans="1:21">
      <c r="A73" s="890"/>
      <c r="B73" s="873" t="s">
        <v>32</v>
      </c>
      <c r="C73" s="99" t="s">
        <v>33</v>
      </c>
      <c r="D73" s="234">
        <v>0</v>
      </c>
      <c r="E73" s="101">
        <v>106.5</v>
      </c>
      <c r="F73" s="38">
        <f>F71</f>
        <v>48.335999999999999</v>
      </c>
      <c r="G73" s="235">
        <f>ROUND(D73*(E73+F73),2)</f>
        <v>0</v>
      </c>
      <c r="H73" s="234"/>
      <c r="I73" s="194"/>
      <c r="J73" s="194"/>
      <c r="K73" s="195"/>
      <c r="L73" s="196"/>
      <c r="M73" s="227"/>
      <c r="N73" s="236"/>
      <c r="O73" s="237"/>
      <c r="P73" s="230"/>
      <c r="Q73" s="238"/>
      <c r="R73" s="232"/>
      <c r="S73" s="233"/>
      <c r="T73" s="224"/>
    </row>
    <row r="74" spans="1:21">
      <c r="A74" s="890"/>
      <c r="B74" s="872" t="s">
        <v>33</v>
      </c>
      <c r="C74" s="239" t="s">
        <v>26</v>
      </c>
      <c r="D74" s="234"/>
      <c r="E74" s="240"/>
      <c r="F74" s="240"/>
      <c r="G74" s="235">
        <f>+ROUND(D74*E74,2)</f>
        <v>0</v>
      </c>
      <c r="H74" s="241"/>
      <c r="I74" s="194"/>
      <c r="J74" s="194"/>
      <c r="K74" s="195"/>
      <c r="L74" s="196"/>
      <c r="M74" s="227"/>
      <c r="N74" s="236"/>
      <c r="O74" s="237"/>
      <c r="P74" s="230"/>
      <c r="Q74" s="238"/>
      <c r="R74" s="242"/>
      <c r="S74" s="233"/>
      <c r="T74" s="224"/>
    </row>
    <row r="75" spans="1:21">
      <c r="A75" s="890"/>
      <c r="B75" s="872"/>
      <c r="C75" s="239" t="s">
        <v>26</v>
      </c>
      <c r="D75" s="234"/>
      <c r="E75" s="240"/>
      <c r="F75" s="41"/>
      <c r="G75" s="235">
        <f>+ROUND(D75*F75,2)</f>
        <v>0</v>
      </c>
      <c r="H75" s="241"/>
      <c r="I75" s="194"/>
      <c r="J75" s="194"/>
      <c r="K75" s="195"/>
      <c r="L75" s="196"/>
      <c r="M75" s="227"/>
      <c r="N75" s="236"/>
      <c r="O75" s="237"/>
      <c r="P75" s="230"/>
      <c r="Q75" s="238"/>
      <c r="R75" s="242"/>
      <c r="S75" s="233"/>
      <c r="T75" s="224"/>
    </row>
    <row r="76" spans="1:21">
      <c r="A76" s="890"/>
      <c r="B76" s="872"/>
      <c r="C76" s="48" t="s">
        <v>260</v>
      </c>
      <c r="D76" s="49">
        <f>мар19!D74+мар19!D75</f>
        <v>406</v>
      </c>
      <c r="E76" s="41">
        <f>7.1994-7.4969</f>
        <v>-0.29750000000000032</v>
      </c>
      <c r="F76" s="41">
        <f t="shared" ref="F76:F81" si="12">+E76</f>
        <v>-0.29750000000000032</v>
      </c>
      <c r="G76" s="50">
        <f>ROUND(D76*E76,2)</f>
        <v>-120.79</v>
      </c>
      <c r="H76" s="241"/>
      <c r="I76" s="194"/>
      <c r="J76" s="194"/>
      <c r="K76" s="195"/>
      <c r="L76" s="196"/>
      <c r="M76" s="227"/>
      <c r="N76" s="236"/>
      <c r="O76" s="237"/>
      <c r="P76" s="230"/>
      <c r="Q76" s="238"/>
      <c r="R76" s="242"/>
      <c r="S76" s="233"/>
      <c r="T76" s="224"/>
    </row>
    <row r="77" spans="1:21">
      <c r="A77" s="890"/>
      <c r="B77" s="872"/>
      <c r="C77" s="48" t="s">
        <v>263</v>
      </c>
      <c r="D77" s="49">
        <v>3.97</v>
      </c>
      <c r="E77" s="41">
        <v>7.1993999999999998</v>
      </c>
      <c r="F77" s="41">
        <f t="shared" si="12"/>
        <v>7.1993999999999998</v>
      </c>
      <c r="G77" s="50">
        <f>ROUND(D77*E77,2)</f>
        <v>28.58</v>
      </c>
      <c r="H77" s="241"/>
      <c r="I77" s="194"/>
      <c r="J77" s="243"/>
      <c r="K77" s="195"/>
      <c r="L77" s="196"/>
      <c r="M77" s="227"/>
      <c r="N77" s="236"/>
      <c r="O77" s="237"/>
      <c r="P77" s="230"/>
      <c r="Q77" s="238"/>
      <c r="R77" s="242"/>
      <c r="S77" s="233"/>
      <c r="T77" s="224"/>
      <c r="U77" s="33"/>
    </row>
    <row r="78" spans="1:21" ht="15.75" thickBot="1">
      <c r="A78" s="897"/>
      <c r="B78" s="875"/>
      <c r="C78" s="99" t="s">
        <v>29</v>
      </c>
      <c r="D78" s="246">
        <v>370.9</v>
      </c>
      <c r="E78" s="56">
        <v>7.1993999999999998</v>
      </c>
      <c r="F78" s="57">
        <f t="shared" si="12"/>
        <v>7.1993999999999998</v>
      </c>
      <c r="G78" s="247">
        <f>ROUND(D78*E78*70%+D78*F78*30%,2)</f>
        <v>2670.26</v>
      </c>
      <c r="H78" s="248"/>
      <c r="I78" s="203"/>
      <c r="J78" s="60"/>
      <c r="K78" s="61"/>
      <c r="L78" s="249"/>
      <c r="M78" s="250"/>
      <c r="N78" s="251"/>
      <c r="O78" s="252"/>
      <c r="P78" s="253"/>
      <c r="Q78" s="254"/>
      <c r="R78" s="255"/>
      <c r="S78" s="256"/>
      <c r="T78" s="256"/>
    </row>
    <row r="79" spans="1:21" ht="15.75" thickTop="1">
      <c r="A79" s="892">
        <v>217</v>
      </c>
      <c r="B79" s="183" t="s">
        <v>269</v>
      </c>
      <c r="C79" s="439" t="s">
        <v>260</v>
      </c>
      <c r="D79" s="296">
        <f>мар19!D77+мар19!D78</f>
        <v>44.879999999999995</v>
      </c>
      <c r="E79" s="41">
        <f>7.1994-7.4969</f>
        <v>-0.29750000000000032</v>
      </c>
      <c r="F79" s="41">
        <f t="shared" si="12"/>
        <v>-0.29750000000000032</v>
      </c>
      <c r="G79" s="235">
        <f>ROUND(D79*E79,2)</f>
        <v>-13.35</v>
      </c>
      <c r="H79" s="270"/>
      <c r="I79" s="41"/>
      <c r="J79" s="41"/>
      <c r="K79" s="271"/>
      <c r="L79" s="294">
        <f>SUM(G79:G81)</f>
        <v>239.85</v>
      </c>
      <c r="M79" s="227">
        <v>239.85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192"/>
      <c r="C80" s="48" t="s">
        <v>263</v>
      </c>
      <c r="D80" s="269">
        <v>0.37</v>
      </c>
      <c r="E80" s="41">
        <v>7.1993999999999998</v>
      </c>
      <c r="F80" s="41">
        <f t="shared" si="12"/>
        <v>7.1993999999999998</v>
      </c>
      <c r="G80" s="235">
        <f>ROUND(D80*E80,2)</f>
        <v>2.66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34.799999999999997</v>
      </c>
      <c r="E81" s="56">
        <v>7.1993999999999998</v>
      </c>
      <c r="F81" s="57">
        <f t="shared" si="12"/>
        <v>7.1993999999999998</v>
      </c>
      <c r="G81" s="247">
        <f t="shared" ref="G81" si="13">ROUND(D81*E81,2)</f>
        <v>250.54</v>
      </c>
      <c r="H81" s="280"/>
      <c r="I81" s="281"/>
      <c r="J81" s="281"/>
      <c r="K81" s="282"/>
      <c r="L81" s="204"/>
      <c r="M81" s="250"/>
      <c r="N81" s="283"/>
      <c r="O81" s="252"/>
      <c r="P81" s="284"/>
      <c r="Q81" s="252"/>
      <c r="R81" s="242"/>
      <c r="S81" s="266"/>
      <c r="T81" s="266"/>
    </row>
    <row r="82" spans="1:21" ht="15.75" collapsed="1" thickBot="1">
      <c r="A82" s="891">
        <v>309</v>
      </c>
      <c r="B82" s="887" t="s">
        <v>251</v>
      </c>
      <c r="C82" s="54" t="s">
        <v>260</v>
      </c>
      <c r="D82" s="296">
        <f>мар19!D80+мар19!D81</f>
        <v>352.13</v>
      </c>
      <c r="E82" s="41">
        <f>7.1994-7.4969</f>
        <v>-0.29750000000000032</v>
      </c>
      <c r="F82" s="41">
        <f>+E82</f>
        <v>-0.29750000000000032</v>
      </c>
      <c r="G82" s="235">
        <f>ROUND(D82*E82,2)+0.01</f>
        <v>-104.75</v>
      </c>
      <c r="H82" s="270"/>
      <c r="I82" s="41"/>
      <c r="J82" s="41"/>
      <c r="K82" s="271"/>
      <c r="L82" s="294">
        <f>SUM(G82:G84)</f>
        <v>2185.1600000000003</v>
      </c>
      <c r="M82" s="227">
        <v>2185.16</v>
      </c>
      <c r="N82" s="274"/>
      <c r="O82" s="237"/>
      <c r="P82" s="275"/>
      <c r="Q82" s="237"/>
      <c r="R82" s="242"/>
      <c r="S82" s="266"/>
      <c r="T82" s="266"/>
    </row>
    <row r="83" spans="1:21" ht="15.75">
      <c r="A83" s="896"/>
      <c r="B83" s="885"/>
      <c r="C83" s="48" t="s">
        <v>263</v>
      </c>
      <c r="D83" s="269">
        <v>3.37</v>
      </c>
      <c r="E83" s="41">
        <v>7.1993999999999998</v>
      </c>
      <c r="F83" s="41">
        <f>+E83</f>
        <v>7.1993999999999998</v>
      </c>
      <c r="G83" s="235">
        <f t="shared" ref="G83:G84" si="14">ROUND(D83*E83,2)</f>
        <v>24.26</v>
      </c>
      <c r="H83" s="270"/>
      <c r="I83" s="41"/>
      <c r="J83" s="41"/>
      <c r="K83" s="271"/>
      <c r="L83" s="272"/>
      <c r="M83" s="273"/>
      <c r="N83" s="274"/>
      <c r="O83" s="237"/>
      <c r="P83" s="275"/>
      <c r="Q83" s="237"/>
      <c r="R83" s="242"/>
      <c r="S83" s="266"/>
      <c r="T83" s="266"/>
    </row>
    <row r="84" spans="1:21" ht="16.5" thickBot="1">
      <c r="A84" s="891"/>
      <c r="B84" s="887"/>
      <c r="C84" s="54" t="s">
        <v>29</v>
      </c>
      <c r="D84" s="279">
        <v>314.7</v>
      </c>
      <c r="E84" s="56">
        <v>7.1993999999999998</v>
      </c>
      <c r="F84" s="57">
        <f>+E84</f>
        <v>7.1993999999999998</v>
      </c>
      <c r="G84" s="247">
        <f t="shared" si="14"/>
        <v>2265.65</v>
      </c>
      <c r="H84" s="280"/>
      <c r="I84" s="281"/>
      <c r="J84" s="281"/>
      <c r="K84" s="282"/>
      <c r="L84" s="204"/>
      <c r="M84" s="250"/>
      <c r="N84" s="283"/>
      <c r="O84" s="252"/>
      <c r="P84" s="284"/>
      <c r="Q84" s="252"/>
      <c r="R84" s="242"/>
      <c r="S84" s="266"/>
      <c r="T84" s="266"/>
    </row>
    <row r="85" spans="1:21" ht="15.75" thickBot="1">
      <c r="A85" s="888">
        <v>314</v>
      </c>
      <c r="B85" s="889" t="s">
        <v>52</v>
      </c>
      <c r="C85" s="71">
        <v>0</v>
      </c>
      <c r="D85" s="213">
        <v>219.99</v>
      </c>
      <c r="E85" s="21">
        <v>41.244</v>
      </c>
      <c r="F85" s="21">
        <v>48.335999999999999</v>
      </c>
      <c r="G85" s="214">
        <f>ROUND(D85*(E85+F85),2)</f>
        <v>19706.7</v>
      </c>
      <c r="H85" s="213">
        <f>фев19!D82</f>
        <v>132.68</v>
      </c>
      <c r="I85" s="194">
        <v>0.34799999999999998</v>
      </c>
      <c r="J85" s="23">
        <f>ROUND(H85*I85,2)</f>
        <v>46.17</v>
      </c>
      <c r="K85" s="679">
        <v>43497</v>
      </c>
      <c r="L85" s="216">
        <f>SUM(G85:G92)+SUM(J85:J92)</f>
        <v>89432.17</v>
      </c>
      <c r="M85" s="187">
        <v>89432.17</v>
      </c>
      <c r="N85" s="188"/>
      <c r="O85" s="217">
        <v>4253.6899999999996</v>
      </c>
      <c r="P85" s="218" t="s">
        <v>47</v>
      </c>
      <c r="Q85" s="219">
        <f t="shared" ref="Q85" si="15">C85+G85+J85-M85-N85-O85</f>
        <v>-73932.990000000005</v>
      </c>
      <c r="R85" s="220" t="s">
        <v>53</v>
      </c>
      <c r="S85" s="221"/>
      <c r="T85" s="222"/>
      <c r="U85" s="33">
        <f>+C85+L85-M85</f>
        <v>0</v>
      </c>
    </row>
    <row r="86" spans="1:21" ht="15.75" thickBot="1">
      <c r="A86" s="890"/>
      <c r="B86" s="872"/>
      <c r="C86" s="84" t="s">
        <v>26</v>
      </c>
      <c r="D86" s="37"/>
      <c r="E86" s="38"/>
      <c r="F86" s="38"/>
      <c r="G86" s="39">
        <f>ROUND(D86*(E86+F86),2)</f>
        <v>0</v>
      </c>
      <c r="H86" s="225">
        <f>H85</f>
        <v>132.68</v>
      </c>
      <c r="I86" s="194">
        <v>67.703999999999994</v>
      </c>
      <c r="J86" s="23">
        <f>ROUND(H86*I86,2)</f>
        <v>8982.9699999999993</v>
      </c>
      <c r="K86" s="226">
        <v>43497</v>
      </c>
      <c r="L86" s="196"/>
      <c r="M86" s="227"/>
      <c r="N86" s="228"/>
      <c r="O86" s="229"/>
      <c r="P86" s="230"/>
      <c r="Q86" s="231"/>
      <c r="R86" s="232"/>
      <c r="S86" s="233"/>
      <c r="T86" s="224"/>
      <c r="U86" s="33"/>
    </row>
    <row r="87" spans="1:21">
      <c r="A87" s="890"/>
      <c r="B87" s="873" t="s">
        <v>32</v>
      </c>
      <c r="C87" s="99" t="s">
        <v>33</v>
      </c>
      <c r="D87" s="234">
        <v>0</v>
      </c>
      <c r="E87" s="101">
        <v>106.5</v>
      </c>
      <c r="F87" s="21">
        <f>F85</f>
        <v>48.335999999999999</v>
      </c>
      <c r="G87" s="235">
        <f>ROUND(D87*(E87+F87),2)</f>
        <v>0</v>
      </c>
      <c r="H87" s="234"/>
      <c r="I87" s="194"/>
      <c r="J87" s="194"/>
      <c r="K87" s="195"/>
      <c r="L87" s="196"/>
      <c r="M87" s="227"/>
      <c r="N87" s="236"/>
      <c r="O87" s="237">
        <v>5456.6</v>
      </c>
      <c r="P87" s="230" t="s">
        <v>47</v>
      </c>
      <c r="Q87" s="238">
        <f>+G87+J87-M87-N87-O87</f>
        <v>-5456.6</v>
      </c>
      <c r="R87" s="232"/>
      <c r="S87" s="233"/>
      <c r="T87" s="224"/>
    </row>
    <row r="88" spans="1:21">
      <c r="A88" s="890"/>
      <c r="B88" s="872" t="s">
        <v>33</v>
      </c>
      <c r="C88" s="239" t="s">
        <v>26</v>
      </c>
      <c r="D88" s="234"/>
      <c r="E88" s="240"/>
      <c r="F88" s="240">
        <f>F86</f>
        <v>0</v>
      </c>
      <c r="G88" s="235">
        <f>+ROUND(D88*E88,2)</f>
        <v>0</v>
      </c>
      <c r="H88" s="241"/>
      <c r="I88" s="194"/>
      <c r="J88" s="194"/>
      <c r="K88" s="195"/>
      <c r="L88" s="196"/>
      <c r="M88" s="227"/>
      <c r="N88" s="236"/>
      <c r="O88" s="237"/>
      <c r="P88" s="230"/>
      <c r="Q88" s="238"/>
      <c r="R88" s="242"/>
      <c r="S88" s="233"/>
      <c r="T88" s="224"/>
    </row>
    <row r="89" spans="1:21">
      <c r="A89" s="890"/>
      <c r="B89" s="872"/>
      <c r="C89" s="239" t="s">
        <v>26</v>
      </c>
      <c r="D89" s="234"/>
      <c r="E89" s="240"/>
      <c r="F89" s="41"/>
      <c r="G89" s="235">
        <f>+ROUND(D89*F89,2)</f>
        <v>0</v>
      </c>
      <c r="H89" s="241"/>
      <c r="I89" s="194"/>
      <c r="J89" s="194"/>
      <c r="K89" s="195"/>
      <c r="L89" s="196"/>
      <c r="M89" s="227"/>
      <c r="N89" s="236"/>
      <c r="O89" s="237"/>
      <c r="P89" s="230"/>
      <c r="Q89" s="238"/>
      <c r="R89" s="242"/>
      <c r="S89" s="233"/>
      <c r="T89" s="224"/>
    </row>
    <row r="90" spans="1:21">
      <c r="A90" s="890"/>
      <c r="B90" s="872"/>
      <c r="C90" s="48" t="s">
        <v>260</v>
      </c>
      <c r="D90" s="49">
        <f>мар19!D88+мар19!D89</f>
        <v>8731.74</v>
      </c>
      <c r="E90" s="41">
        <f>7.1994-7.4969</f>
        <v>-0.29750000000000032</v>
      </c>
      <c r="F90" s="41">
        <f t="shared" ref="F90:F147" si="16">+E90</f>
        <v>-0.29750000000000032</v>
      </c>
      <c r="G90" s="50">
        <f>ROUND(D90*E90,2)-0.01</f>
        <v>-2597.7000000000003</v>
      </c>
      <c r="H90" s="241"/>
      <c r="I90" s="194"/>
      <c r="J90" s="194"/>
      <c r="K90" s="195"/>
      <c r="L90" s="196"/>
      <c r="M90" s="227"/>
      <c r="N90" s="236"/>
      <c r="O90" s="237"/>
      <c r="P90" s="230"/>
      <c r="Q90" s="238"/>
      <c r="R90" s="242"/>
      <c r="S90" s="233"/>
      <c r="T90" s="224"/>
    </row>
    <row r="91" spans="1:21">
      <c r="A91" s="890"/>
      <c r="B91" s="872"/>
      <c r="C91" s="48" t="s">
        <v>263</v>
      </c>
      <c r="D91" s="49">
        <v>93.07</v>
      </c>
      <c r="E91" s="41">
        <v>7.1993999999999998</v>
      </c>
      <c r="F91" s="41">
        <f t="shared" si="16"/>
        <v>7.1993999999999998</v>
      </c>
      <c r="G91" s="50">
        <f>ROUND(D91*E91,2)</f>
        <v>670.05</v>
      </c>
      <c r="H91" s="241"/>
      <c r="I91" s="194"/>
      <c r="J91" s="243"/>
      <c r="K91" s="195"/>
      <c r="L91" s="196"/>
      <c r="M91" s="227"/>
      <c r="N91" s="236"/>
      <c r="O91" s="237"/>
      <c r="P91" s="230"/>
      <c r="Q91" s="238"/>
      <c r="R91" s="242"/>
      <c r="S91" s="233"/>
      <c r="T91" s="224"/>
      <c r="U91" s="33"/>
    </row>
    <row r="92" spans="1:21" ht="15.75" thickBot="1">
      <c r="A92" s="891"/>
      <c r="B92" s="887"/>
      <c r="C92" s="54" t="s">
        <v>29</v>
      </c>
      <c r="D92" s="246">
        <v>8698.5</v>
      </c>
      <c r="E92" s="56">
        <v>7.1993999999999998</v>
      </c>
      <c r="F92" s="57">
        <f t="shared" si="16"/>
        <v>7.1993999999999998</v>
      </c>
      <c r="G92" s="247">
        <f>ROUND(D92*E92*70%+D92*F92*30%,2)</f>
        <v>62623.98</v>
      </c>
      <c r="H92" s="248"/>
      <c r="I92" s="203"/>
      <c r="J92" s="60"/>
      <c r="K92" s="61"/>
      <c r="L92" s="249"/>
      <c r="M92" s="250"/>
      <c r="N92" s="251"/>
      <c r="O92" s="252">
        <v>15777.9</v>
      </c>
      <c r="P92" s="253" t="s">
        <v>47</v>
      </c>
      <c r="Q92" s="254">
        <f>+G92+J92-M92-N92-O92</f>
        <v>46846.080000000002</v>
      </c>
      <c r="R92" s="255" t="s">
        <v>54</v>
      </c>
      <c r="S92" s="256">
        <f>SUM(O85:O92)</f>
        <v>25488.190000000002</v>
      </c>
      <c r="T92" s="256">
        <f>SUM(Q85:Q92)</f>
        <v>-32543.510000000009</v>
      </c>
    </row>
    <row r="93" spans="1:21">
      <c r="A93" s="892">
        <v>315</v>
      </c>
      <c r="B93" s="183" t="s">
        <v>318</v>
      </c>
      <c r="C93" s="439" t="s">
        <v>260</v>
      </c>
      <c r="D93" s="296">
        <f>мар19!D91+мар19!D92</f>
        <v>248.63</v>
      </c>
      <c r="E93" s="41">
        <f>7.1994-7.4969</f>
        <v>-0.29750000000000032</v>
      </c>
      <c r="F93" s="41">
        <f t="shared" si="16"/>
        <v>-0.29750000000000032</v>
      </c>
      <c r="G93" s="235">
        <f>ROUND(D93*E93,2)+0.01</f>
        <v>-73.959999999999994</v>
      </c>
      <c r="H93" s="270"/>
      <c r="I93" s="41"/>
      <c r="J93" s="41"/>
      <c r="K93" s="271"/>
      <c r="L93" s="294">
        <f>SUM(G93:G95)</f>
        <v>1526.83</v>
      </c>
      <c r="M93" s="227">
        <v>1526.83</v>
      </c>
      <c r="N93" s="274"/>
      <c r="O93" s="237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2.35</v>
      </c>
      <c r="E94" s="41">
        <v>7.1993999999999998</v>
      </c>
      <c r="F94" s="41">
        <f t="shared" si="16"/>
        <v>7.1993999999999998</v>
      </c>
      <c r="G94" s="235">
        <f t="shared" ref="G94:G95" si="17">ROUND(D94*E94,2)</f>
        <v>16.920000000000002</v>
      </c>
      <c r="H94" s="270"/>
      <c r="I94" s="41"/>
      <c r="J94" s="41"/>
      <c r="K94" s="271"/>
      <c r="L94" s="272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220</v>
      </c>
      <c r="E95" s="56">
        <v>7.1993999999999998</v>
      </c>
      <c r="F95" s="57">
        <f t="shared" si="16"/>
        <v>7.1993999999999998</v>
      </c>
      <c r="G95" s="247">
        <f t="shared" si="17"/>
        <v>1583.87</v>
      </c>
      <c r="H95" s="280"/>
      <c r="I95" s="281"/>
      <c r="J95" s="281"/>
      <c r="K95" s="282"/>
      <c r="L95" s="204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402</v>
      </c>
      <c r="B96" s="183" t="s">
        <v>178</v>
      </c>
      <c r="C96" s="439" t="s">
        <v>260</v>
      </c>
      <c r="D96" s="296">
        <f>мар19!D94+мар19!D95</f>
        <v>151.1</v>
      </c>
      <c r="E96" s="41">
        <f>7.1994-7.4969</f>
        <v>-0.29750000000000032</v>
      </c>
      <c r="F96" s="41">
        <f t="shared" si="16"/>
        <v>-0.29750000000000032</v>
      </c>
      <c r="G96" s="235">
        <f>ROUND(D96*E96,2)-0.01</f>
        <v>-44.96</v>
      </c>
      <c r="H96" s="270"/>
      <c r="I96" s="41"/>
      <c r="J96" s="41"/>
      <c r="K96" s="271"/>
      <c r="L96" s="294">
        <f>SUM(G96:G98)</f>
        <v>911.19</v>
      </c>
      <c r="M96" s="227">
        <v>911.2</v>
      </c>
      <c r="N96" s="274"/>
      <c r="O96" s="237"/>
      <c r="P96" s="275"/>
      <c r="Q96" s="237"/>
      <c r="R96" s="242"/>
      <c r="S96" s="266"/>
      <c r="T96" s="266"/>
    </row>
    <row r="97" spans="1:20" ht="15.75">
      <c r="A97" s="896"/>
      <c r="B97" s="192"/>
      <c r="C97" s="48" t="s">
        <v>263</v>
      </c>
      <c r="D97" s="269">
        <v>1.41</v>
      </c>
      <c r="E97" s="41">
        <v>7.1993999999999998</v>
      </c>
      <c r="F97" s="41">
        <f t="shared" si="16"/>
        <v>7.1993999999999998</v>
      </c>
      <c r="G97" s="235">
        <f t="shared" ref="G97:G113" si="18">ROUND(D97*E97,2)</f>
        <v>10.15</v>
      </c>
      <c r="H97" s="270"/>
      <c r="I97" s="41"/>
      <c r="J97" s="41"/>
      <c r="K97" s="271"/>
      <c r="L97" s="272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202"/>
      <c r="C98" s="54" t="s">
        <v>29</v>
      </c>
      <c r="D98" s="279">
        <v>131.4</v>
      </c>
      <c r="E98" s="56">
        <v>7.1993999999999998</v>
      </c>
      <c r="F98" s="57">
        <f t="shared" si="16"/>
        <v>7.1993999999999998</v>
      </c>
      <c r="G98" s="247">
        <f t="shared" si="18"/>
        <v>946</v>
      </c>
      <c r="H98" s="280"/>
      <c r="I98" s="281"/>
      <c r="J98" s="281"/>
      <c r="K98" s="282"/>
      <c r="L98" s="204"/>
      <c r="M98" s="250"/>
      <c r="N98" s="283"/>
      <c r="O98" s="252"/>
      <c r="P98" s="284"/>
      <c r="Q98" s="252"/>
      <c r="R98" s="242"/>
      <c r="S98" s="266"/>
      <c r="T98" s="266"/>
    </row>
    <row r="99" spans="1:20" hidden="1">
      <c r="A99" s="892">
        <v>403</v>
      </c>
      <c r="B99" s="183" t="s">
        <v>290</v>
      </c>
      <c r="C99" s="439" t="s">
        <v>260</v>
      </c>
      <c r="D99" s="296"/>
      <c r="E99" s="41">
        <f>7.1994-7.4969</f>
        <v>-0.29750000000000032</v>
      </c>
      <c r="F99" s="41">
        <f t="shared" si="16"/>
        <v>-0.29750000000000032</v>
      </c>
      <c r="G99" s="235">
        <f>ROUND(D99*E99,2)</f>
        <v>0</v>
      </c>
      <c r="H99" s="270"/>
      <c r="I99" s="41"/>
      <c r="J99" s="41"/>
      <c r="K99" s="271"/>
      <c r="L99" s="294">
        <f>SUM(G99:G101)</f>
        <v>0</v>
      </c>
      <c r="M99" s="996"/>
      <c r="N99" s="997"/>
      <c r="O99" s="998"/>
      <c r="P99" s="275"/>
      <c r="Q99" s="237"/>
      <c r="R99" s="242"/>
      <c r="S99" s="266"/>
      <c r="T99" s="266"/>
    </row>
    <row r="100" spans="1:20" ht="15.75" hidden="1">
      <c r="A100" s="896"/>
      <c r="B100" s="192" t="s">
        <v>291</v>
      </c>
      <c r="C100" s="48" t="s">
        <v>263</v>
      </c>
      <c r="D100" s="269"/>
      <c r="E100" s="41">
        <v>7.1993999999999998</v>
      </c>
      <c r="F100" s="41">
        <f t="shared" si="16"/>
        <v>7.1993999999999998</v>
      </c>
      <c r="G100" s="235">
        <f>ROUND(D100*E100,2)</f>
        <v>0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6.5" hidden="1" thickBot="1">
      <c r="A101" s="891"/>
      <c r="B101" s="202"/>
      <c r="C101" s="54" t="s">
        <v>29</v>
      </c>
      <c r="D101" s="279"/>
      <c r="E101" s="56">
        <v>7.1993999999999998</v>
      </c>
      <c r="F101" s="57">
        <f t="shared" si="16"/>
        <v>7.1993999999999998</v>
      </c>
      <c r="G101" s="247">
        <f t="shared" ref="G101" si="19">ROUND(D101*E101,2)</f>
        <v>0</v>
      </c>
      <c r="H101" s="280"/>
      <c r="I101" s="281"/>
      <c r="J101" s="281"/>
      <c r="K101" s="2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0">
      <c r="A102" s="892">
        <v>403</v>
      </c>
      <c r="B102" s="183" t="s">
        <v>331</v>
      </c>
      <c r="C102" s="439" t="s">
        <v>260</v>
      </c>
      <c r="D102" s="296"/>
      <c r="E102" s="41">
        <f>7.1994-7.4969</f>
        <v>-0.29750000000000032</v>
      </c>
      <c r="F102" s="41">
        <f t="shared" ref="F102:F104" si="20">+E102</f>
        <v>-0.29750000000000032</v>
      </c>
      <c r="G102" s="235">
        <f>ROUND(D102*E102,2)</f>
        <v>0</v>
      </c>
      <c r="H102" s="270"/>
      <c r="I102" s="41"/>
      <c r="J102" s="41"/>
      <c r="K102" s="271"/>
      <c r="L102" s="294">
        <f>SUM(G102:G104)</f>
        <v>839.67</v>
      </c>
      <c r="M102" s="227">
        <v>839.67</v>
      </c>
      <c r="N102" s="274"/>
      <c r="O102" s="237"/>
      <c r="P102" s="275"/>
      <c r="Q102" s="237"/>
      <c r="R102" s="242"/>
      <c r="S102" s="266"/>
      <c r="T102" s="266"/>
    </row>
    <row r="103" spans="1:20" ht="15.75">
      <c r="A103" s="896"/>
      <c r="B103" s="192"/>
      <c r="C103" s="48" t="s">
        <v>263</v>
      </c>
      <c r="D103" s="269">
        <v>1.23</v>
      </c>
      <c r="E103" s="41">
        <v>7.1993999999999998</v>
      </c>
      <c r="F103" s="41">
        <f t="shared" si="20"/>
        <v>7.1993999999999998</v>
      </c>
      <c r="G103" s="235">
        <f t="shared" ref="G103:G104" si="21">ROUND(D103*E103,2)</f>
        <v>8.86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0" ht="16.5" thickBot="1">
      <c r="A104" s="891"/>
      <c r="B104" s="202"/>
      <c r="C104" s="54" t="s">
        <v>29</v>
      </c>
      <c r="D104" s="279">
        <v>115.4</v>
      </c>
      <c r="E104" s="56">
        <v>7.1993999999999998</v>
      </c>
      <c r="F104" s="57">
        <f t="shared" si="20"/>
        <v>7.1993999999999998</v>
      </c>
      <c r="G104" s="247">
        <f t="shared" si="21"/>
        <v>830.81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0">
      <c r="A105" s="892">
        <v>409</v>
      </c>
      <c r="B105" s="183" t="s">
        <v>218</v>
      </c>
      <c r="C105" s="439" t="s">
        <v>260</v>
      </c>
      <c r="D105" s="296">
        <f>мар19!D100+мар19!D101</f>
        <v>177.78</v>
      </c>
      <c r="E105" s="41">
        <f>7.1994-7.4969</f>
        <v>-0.29750000000000032</v>
      </c>
      <c r="F105" s="41">
        <f t="shared" si="16"/>
        <v>-0.29750000000000032</v>
      </c>
      <c r="G105" s="235">
        <f>ROUND(D105*E105,2)</f>
        <v>-52.89</v>
      </c>
      <c r="H105" s="270"/>
      <c r="I105" s="41"/>
      <c r="J105" s="41"/>
      <c r="K105" s="271"/>
      <c r="L105" s="294">
        <f>SUM(G105:G107)</f>
        <v>1045.0900000000001</v>
      </c>
      <c r="M105" s="227">
        <v>1045.0899999999999</v>
      </c>
      <c r="N105" s="274"/>
      <c r="O105" s="237"/>
      <c r="P105" s="275"/>
      <c r="Q105" s="237"/>
      <c r="R105" s="242"/>
      <c r="S105" s="266"/>
      <c r="T105" s="266"/>
    </row>
    <row r="106" spans="1:20" ht="15.75">
      <c r="A106" s="896"/>
      <c r="B106" s="192"/>
      <c r="C106" s="48" t="s">
        <v>263</v>
      </c>
      <c r="D106" s="269">
        <v>1.61</v>
      </c>
      <c r="E106" s="41">
        <v>7.1993999999999998</v>
      </c>
      <c r="F106" s="41">
        <f t="shared" si="16"/>
        <v>7.1993999999999998</v>
      </c>
      <c r="G106" s="235">
        <f t="shared" si="18"/>
        <v>11.59</v>
      </c>
      <c r="H106" s="270"/>
      <c r="I106" s="41"/>
      <c r="J106" s="41"/>
      <c r="K106" s="271"/>
      <c r="L106" s="272"/>
      <c r="M106" s="273"/>
      <c r="N106" s="274"/>
      <c r="O106" s="237"/>
      <c r="P106" s="275"/>
      <c r="Q106" s="237"/>
      <c r="R106" s="242"/>
      <c r="S106" s="266"/>
      <c r="T106" s="266"/>
    </row>
    <row r="107" spans="1:20" ht="16.5" thickBot="1">
      <c r="A107" s="891"/>
      <c r="B107" s="887"/>
      <c r="C107" s="54" t="s">
        <v>29</v>
      </c>
      <c r="D107" s="279">
        <v>150.9</v>
      </c>
      <c r="E107" s="56">
        <v>7.1993999999999998</v>
      </c>
      <c r="F107" s="57">
        <f t="shared" si="16"/>
        <v>7.1993999999999998</v>
      </c>
      <c r="G107" s="247">
        <f t="shared" si="18"/>
        <v>1086.3900000000001</v>
      </c>
      <c r="H107" s="280"/>
      <c r="I107" s="281"/>
      <c r="J107" s="281"/>
      <c r="K107" s="282"/>
      <c r="L107" s="204"/>
      <c r="M107" s="250"/>
      <c r="N107" s="283"/>
      <c r="O107" s="252"/>
      <c r="P107" s="284"/>
      <c r="Q107" s="252"/>
      <c r="R107" s="242"/>
      <c r="S107" s="266"/>
      <c r="T107" s="266"/>
    </row>
    <row r="108" spans="1:20">
      <c r="A108" s="892">
        <v>410</v>
      </c>
      <c r="B108" s="183" t="s">
        <v>138</v>
      </c>
      <c r="C108" s="439" t="s">
        <v>260</v>
      </c>
      <c r="D108" s="296">
        <f>мар19!D103+мар19!D104</f>
        <v>249.33999999999997</v>
      </c>
      <c r="E108" s="41">
        <f>7.1994-7.4969</f>
        <v>-0.29750000000000032</v>
      </c>
      <c r="F108" s="41">
        <f t="shared" si="16"/>
        <v>-0.29750000000000032</v>
      </c>
      <c r="G108" s="235">
        <f>ROUND(D108*E108,2)</f>
        <v>-74.180000000000007</v>
      </c>
      <c r="H108" s="270"/>
      <c r="I108" s="41"/>
      <c r="J108" s="41"/>
      <c r="K108" s="271"/>
      <c r="L108" s="294">
        <f>SUM(G108:G110)</f>
        <v>1548.5</v>
      </c>
      <c r="M108" s="227">
        <v>1548.5</v>
      </c>
      <c r="N108" s="274"/>
      <c r="O108" s="237"/>
      <c r="P108" s="275"/>
      <c r="Q108" s="237"/>
      <c r="R108" s="242"/>
      <c r="S108" s="266"/>
      <c r="T108" s="266"/>
    </row>
    <row r="109" spans="1:20" ht="15.75">
      <c r="A109" s="896"/>
      <c r="B109" s="192"/>
      <c r="C109" s="48" t="s">
        <v>263</v>
      </c>
      <c r="D109" s="269">
        <v>2.39</v>
      </c>
      <c r="E109" s="41">
        <v>7.1993999999999998</v>
      </c>
      <c r="F109" s="41">
        <f t="shared" si="16"/>
        <v>7.1993999999999998</v>
      </c>
      <c r="G109" s="235">
        <f t="shared" si="18"/>
        <v>17.21</v>
      </c>
      <c r="H109" s="270"/>
      <c r="I109" s="41"/>
      <c r="J109" s="41"/>
      <c r="K109" s="271"/>
      <c r="L109" s="272"/>
      <c r="M109" s="273"/>
      <c r="N109" s="274"/>
      <c r="O109" s="237"/>
      <c r="P109" s="275"/>
      <c r="Q109" s="237"/>
      <c r="R109" s="242"/>
      <c r="S109" s="266"/>
      <c r="T109" s="266"/>
    </row>
    <row r="110" spans="1:20" ht="16.5" thickBot="1">
      <c r="A110" s="891"/>
      <c r="B110" s="887"/>
      <c r="C110" s="54" t="s">
        <v>29</v>
      </c>
      <c r="D110" s="279">
        <v>223</v>
      </c>
      <c r="E110" s="56">
        <v>7.1993999999999998</v>
      </c>
      <c r="F110" s="57">
        <f t="shared" si="16"/>
        <v>7.1993999999999998</v>
      </c>
      <c r="G110" s="247">
        <f t="shared" si="18"/>
        <v>1605.47</v>
      </c>
      <c r="H110" s="280"/>
      <c r="I110" s="281"/>
      <c r="J110" s="281"/>
      <c r="K110" s="282"/>
      <c r="L110" s="204"/>
      <c r="M110" s="250"/>
      <c r="N110" s="283"/>
      <c r="O110" s="252"/>
      <c r="P110" s="284"/>
      <c r="Q110" s="252"/>
      <c r="R110" s="242"/>
      <c r="S110" s="266"/>
      <c r="T110" s="266"/>
    </row>
    <row r="111" spans="1:20" ht="15.75" hidden="1" thickBot="1">
      <c r="A111" s="892">
        <v>411</v>
      </c>
      <c r="B111" s="183" t="s">
        <v>229</v>
      </c>
      <c r="C111" s="439" t="s">
        <v>260</v>
      </c>
      <c r="D111" s="296"/>
      <c r="E111" s="41">
        <f>6.6439-6.7023</f>
        <v>-5.8399999999999785E-2</v>
      </c>
      <c r="F111" s="41">
        <f t="shared" si="16"/>
        <v>-5.8399999999999785E-2</v>
      </c>
      <c r="G111" s="235">
        <f t="shared" si="18"/>
        <v>0</v>
      </c>
      <c r="H111" s="270"/>
      <c r="I111" s="41"/>
      <c r="J111" s="41"/>
      <c r="K111" s="271"/>
      <c r="L111" s="294">
        <f>SUM(G111:G113)</f>
        <v>0</v>
      </c>
      <c r="M111" s="227"/>
      <c r="N111" s="274"/>
      <c r="O111" s="983" t="s">
        <v>271</v>
      </c>
      <c r="P111" s="275"/>
      <c r="Q111" s="237"/>
      <c r="R111" s="242"/>
      <c r="S111" s="266"/>
      <c r="T111" s="266"/>
    </row>
    <row r="112" spans="1:20" ht="16.5" hidden="1" thickBot="1">
      <c r="A112" s="896"/>
      <c r="B112" s="192"/>
      <c r="C112" s="48" t="s">
        <v>263</v>
      </c>
      <c r="D112" s="269"/>
      <c r="E112" s="41">
        <v>6.6439000000000004</v>
      </c>
      <c r="F112" s="41">
        <f t="shared" si="16"/>
        <v>6.6439000000000004</v>
      </c>
      <c r="G112" s="235">
        <f>ROUND(D112*E112,2)</f>
        <v>0</v>
      </c>
      <c r="H112" s="270"/>
      <c r="I112" s="41"/>
      <c r="J112" s="41"/>
      <c r="K112" s="271"/>
      <c r="L112" s="272"/>
      <c r="M112" s="273"/>
      <c r="N112" s="274"/>
      <c r="O112" s="237"/>
      <c r="P112" s="275"/>
      <c r="Q112" s="237"/>
      <c r="R112" s="242"/>
      <c r="S112" s="266"/>
      <c r="T112" s="266"/>
    </row>
    <row r="113" spans="1:20" ht="16.5" hidden="1" thickBot="1">
      <c r="A113" s="891"/>
      <c r="B113" s="887"/>
      <c r="C113" s="54" t="s">
        <v>29</v>
      </c>
      <c r="D113" s="279"/>
      <c r="E113" s="56">
        <v>6.6439000000000004</v>
      </c>
      <c r="F113" s="57">
        <f t="shared" si="16"/>
        <v>6.6439000000000004</v>
      </c>
      <c r="G113" s="247">
        <f t="shared" si="18"/>
        <v>0</v>
      </c>
      <c r="H113" s="280"/>
      <c r="I113" s="281"/>
      <c r="J113" s="281"/>
      <c r="K113" s="282"/>
      <c r="L113" s="204"/>
      <c r="M113" s="250"/>
      <c r="N113" s="283"/>
      <c r="O113" s="252"/>
      <c r="P113" s="284"/>
      <c r="Q113" s="252"/>
      <c r="R113" s="242"/>
      <c r="S113" s="266"/>
      <c r="T113" s="266"/>
    </row>
    <row r="114" spans="1:20" ht="16.5" collapsed="1" thickBot="1">
      <c r="A114" s="891">
        <v>412</v>
      </c>
      <c r="B114" s="887" t="s">
        <v>58</v>
      </c>
      <c r="C114" s="54" t="s">
        <v>59</v>
      </c>
      <c r="D114" s="822">
        <v>0.48399999999999999</v>
      </c>
      <c r="E114" s="21">
        <v>41.244</v>
      </c>
      <c r="F114" s="21">
        <v>48.335999999999999</v>
      </c>
      <c r="G114" s="214">
        <f>ROUND(D114*(E114+F114),2)</f>
        <v>43.36</v>
      </c>
      <c r="H114" s="213">
        <f>фев19!D108</f>
        <v>0.52800000000000002</v>
      </c>
      <c r="I114" s="41">
        <v>0.34799999999999998</v>
      </c>
      <c r="J114" s="23">
        <f>ROUND(H114*I114,2)</f>
        <v>0.18</v>
      </c>
      <c r="K114" s="679">
        <v>43497</v>
      </c>
      <c r="L114" s="294">
        <f>SUM(G114:G118)+SUM(J114:J118)</f>
        <v>1137.4199999999998</v>
      </c>
      <c r="M114" s="227">
        <v>1137.42</v>
      </c>
      <c r="N114" s="264"/>
      <c r="O114" s="229"/>
      <c r="P114" s="265"/>
      <c r="Q114" s="229"/>
      <c r="R114" s="242"/>
      <c r="S114" s="266"/>
      <c r="T114" s="266"/>
    </row>
    <row r="115" spans="1:20" ht="15.75">
      <c r="A115" s="896"/>
      <c r="B115" s="885"/>
      <c r="C115" s="292" t="s">
        <v>264</v>
      </c>
      <c r="D115" s="269"/>
      <c r="E115" s="38"/>
      <c r="F115" s="38"/>
      <c r="G115" s="235">
        <f>ROUND(D115*(E115+F115),2)</f>
        <v>0</v>
      </c>
      <c r="H115" s="225">
        <f>H114</f>
        <v>0.52800000000000002</v>
      </c>
      <c r="I115" s="41">
        <v>67.703999999999994</v>
      </c>
      <c r="J115" s="23">
        <f>ROUND(H115*I115,2)</f>
        <v>35.75</v>
      </c>
      <c r="K115" s="295">
        <v>43497</v>
      </c>
      <c r="L115" s="294"/>
      <c r="M115" s="227"/>
      <c r="N115" s="264"/>
      <c r="O115" s="229"/>
      <c r="P115" s="265"/>
      <c r="Q115" s="229"/>
      <c r="R115" s="242"/>
      <c r="S115" s="266"/>
      <c r="T115" s="266"/>
    </row>
    <row r="116" spans="1:20">
      <c r="A116" s="896"/>
      <c r="B116" s="885"/>
      <c r="C116" s="48" t="s">
        <v>260</v>
      </c>
      <c r="D116" s="296">
        <f>мар19!D111+мар19!D112</f>
        <v>217.20000000000002</v>
      </c>
      <c r="E116" s="41">
        <f>7.1994-7.4969</f>
        <v>-0.29750000000000032</v>
      </c>
      <c r="F116" s="41">
        <f t="shared" ref="F116:F141" si="22">+E116</f>
        <v>-0.29750000000000032</v>
      </c>
      <c r="G116" s="235">
        <f>ROUND(D116*E116,2)</f>
        <v>-64.62</v>
      </c>
      <c r="H116" s="270"/>
      <c r="I116" s="41"/>
      <c r="J116" s="41"/>
      <c r="K116" s="271"/>
      <c r="L116" s="272"/>
      <c r="M116" s="273"/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885"/>
      <c r="C117" s="48" t="s">
        <v>263</v>
      </c>
      <c r="D117" s="269">
        <v>1.65</v>
      </c>
      <c r="E117" s="41">
        <v>7.1993999999999998</v>
      </c>
      <c r="F117" s="41">
        <f t="shared" si="22"/>
        <v>7.1993999999999998</v>
      </c>
      <c r="G117" s="235">
        <f t="shared" ref="G117:G118" si="23">ROUND(D117*E117,2)</f>
        <v>11.88</v>
      </c>
      <c r="H117" s="270"/>
      <c r="I117" s="41"/>
      <c r="J117" s="41"/>
      <c r="K117" s="271"/>
      <c r="L117" s="272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54" t="s">
        <v>29</v>
      </c>
      <c r="D118" s="279">
        <v>154.30000000000001</v>
      </c>
      <c r="E118" s="56">
        <v>7.1993999999999998</v>
      </c>
      <c r="F118" s="57">
        <f t="shared" si="22"/>
        <v>7.1993999999999998</v>
      </c>
      <c r="G118" s="247">
        <f t="shared" si="23"/>
        <v>1110.8699999999999</v>
      </c>
      <c r="H118" s="280"/>
      <c r="I118" s="281"/>
      <c r="J118" s="281"/>
      <c r="K118" s="282"/>
      <c r="L118" s="204"/>
      <c r="M118" s="250"/>
      <c r="N118" s="283"/>
      <c r="O118" s="252"/>
      <c r="P118" s="284"/>
      <c r="Q118" s="252"/>
      <c r="R118" s="242"/>
      <c r="S118" s="266"/>
      <c r="T118" s="266"/>
    </row>
    <row r="119" spans="1:20" ht="15" customHeight="1">
      <c r="A119" s="892">
        <v>413</v>
      </c>
      <c r="B119" s="883" t="s">
        <v>56</v>
      </c>
      <c r="C119" s="439" t="s">
        <v>260</v>
      </c>
      <c r="D119" s="894">
        <f>мар19!D114+мар19!D115</f>
        <v>284.82</v>
      </c>
      <c r="E119" s="41">
        <f>7.1994-7.4969</f>
        <v>-0.29750000000000032</v>
      </c>
      <c r="F119" s="41">
        <f t="shared" si="22"/>
        <v>-0.29750000000000032</v>
      </c>
      <c r="G119" s="214">
        <f>ROUND(D119*E119,2)</f>
        <v>-84.73</v>
      </c>
      <c r="H119" s="260"/>
      <c r="I119" s="261"/>
      <c r="J119" s="261"/>
      <c r="K119" s="262"/>
      <c r="L119" s="286">
        <f>SUM(G119:G121)</f>
        <v>1599.06</v>
      </c>
      <c r="M119" s="227">
        <v>1599.06</v>
      </c>
      <c r="N119" s="264"/>
      <c r="O119" s="229"/>
      <c r="P119" s="265"/>
      <c r="Q119" s="229"/>
      <c r="R119" s="287"/>
      <c r="S119" s="288"/>
      <c r="T119" s="288"/>
    </row>
    <row r="120" spans="1:20" ht="15.75">
      <c r="A120" s="893"/>
      <c r="B120" s="885"/>
      <c r="C120" s="48" t="s">
        <v>263</v>
      </c>
      <c r="D120" s="895">
        <v>2.48</v>
      </c>
      <c r="E120" s="41">
        <v>7.1993999999999998</v>
      </c>
      <c r="F120" s="41">
        <f t="shared" si="22"/>
        <v>7.1993999999999998</v>
      </c>
      <c r="G120" s="235">
        <f t="shared" ref="G120:G124" si="24">ROUND(D120*E120,2)</f>
        <v>17.850000000000001</v>
      </c>
      <c r="H120" s="270"/>
      <c r="I120" s="41"/>
      <c r="J120" s="41"/>
      <c r="K120" s="271"/>
      <c r="L120" s="272"/>
      <c r="M120" s="273"/>
      <c r="N120" s="274"/>
      <c r="O120" s="237"/>
      <c r="P120" s="275"/>
      <c r="Q120" s="237"/>
      <c r="R120" s="287"/>
      <c r="S120" s="288"/>
      <c r="T120" s="288"/>
    </row>
    <row r="121" spans="1:20" ht="16.5" thickBot="1">
      <c r="A121" s="891"/>
      <c r="B121" s="887"/>
      <c r="C121" s="54" t="s">
        <v>29</v>
      </c>
      <c r="D121" s="279">
        <v>231.4</v>
      </c>
      <c r="E121" s="56">
        <v>7.1993999999999998</v>
      </c>
      <c r="F121" s="57">
        <f t="shared" si="22"/>
        <v>7.1993999999999998</v>
      </c>
      <c r="G121" s="247">
        <f t="shared" si="24"/>
        <v>1665.94</v>
      </c>
      <c r="H121" s="280"/>
      <c r="I121" s="281"/>
      <c r="J121" s="281"/>
      <c r="K121" s="682"/>
      <c r="L121" s="204"/>
      <c r="M121" s="250"/>
      <c r="N121" s="283"/>
      <c r="O121" s="252"/>
      <c r="P121" s="284"/>
      <c r="Q121" s="252"/>
      <c r="R121" s="287"/>
      <c r="S121" s="288"/>
      <c r="T121" s="288"/>
    </row>
    <row r="122" spans="1:20">
      <c r="A122" s="892">
        <v>414</v>
      </c>
      <c r="B122" s="183" t="s">
        <v>179</v>
      </c>
      <c r="C122" s="439" t="s">
        <v>260</v>
      </c>
      <c r="D122" s="296">
        <f>мар19!D117+мар19!D118</f>
        <v>54.17</v>
      </c>
      <c r="E122" s="41">
        <f>7.1994-7.4969</f>
        <v>-0.29750000000000032</v>
      </c>
      <c r="F122" s="41">
        <f t="shared" si="22"/>
        <v>-0.29750000000000032</v>
      </c>
      <c r="G122" s="235">
        <f>ROUND(D122*E122,2)+0.01</f>
        <v>-16.11</v>
      </c>
      <c r="H122" s="270"/>
      <c r="I122" s="41"/>
      <c r="J122" s="41"/>
      <c r="K122" s="271"/>
      <c r="L122" s="294">
        <f>SUM(G122:G124)</f>
        <v>367.33000000000004</v>
      </c>
      <c r="M122" s="227">
        <v>367.33</v>
      </c>
      <c r="N122" s="274"/>
      <c r="O122" s="237"/>
      <c r="P122" s="275"/>
      <c r="Q122" s="237"/>
      <c r="R122" s="242"/>
      <c r="S122" s="266"/>
      <c r="T122" s="266"/>
    </row>
    <row r="123" spans="1:20" ht="15.75">
      <c r="A123" s="896"/>
      <c r="B123" s="192"/>
      <c r="C123" s="48" t="s">
        <v>263</v>
      </c>
      <c r="D123" s="269">
        <v>0.56000000000000005</v>
      </c>
      <c r="E123" s="41">
        <v>7.1993999999999998</v>
      </c>
      <c r="F123" s="41">
        <f t="shared" si="22"/>
        <v>7.1993999999999998</v>
      </c>
      <c r="G123" s="235">
        <f t="shared" si="24"/>
        <v>4.03</v>
      </c>
      <c r="H123" s="270"/>
      <c r="I123" s="41"/>
      <c r="J123" s="41"/>
      <c r="K123" s="271"/>
      <c r="L123" s="272"/>
      <c r="M123" s="273"/>
      <c r="N123" s="274"/>
      <c r="O123" s="237"/>
      <c r="P123" s="275"/>
      <c r="Q123" s="237"/>
      <c r="R123" s="242"/>
      <c r="S123" s="266"/>
      <c r="T123" s="266"/>
    </row>
    <row r="124" spans="1:20" ht="16.5" thickBot="1">
      <c r="A124" s="891"/>
      <c r="B124" s="887"/>
      <c r="C124" s="99" t="s">
        <v>29</v>
      </c>
      <c r="D124" s="279">
        <v>52.7</v>
      </c>
      <c r="E124" s="56">
        <v>7.1993999999999998</v>
      </c>
      <c r="F124" s="57">
        <f t="shared" si="22"/>
        <v>7.1993999999999998</v>
      </c>
      <c r="G124" s="247">
        <f t="shared" si="24"/>
        <v>379.41</v>
      </c>
      <c r="H124" s="280"/>
      <c r="I124" s="281"/>
      <c r="J124" s="281"/>
      <c r="K124" s="282"/>
      <c r="L124" s="204"/>
      <c r="M124" s="250"/>
      <c r="N124" s="283"/>
      <c r="O124" s="252"/>
      <c r="P124" s="284"/>
      <c r="Q124" s="252"/>
      <c r="R124" s="242"/>
      <c r="S124" s="266"/>
      <c r="T124" s="266"/>
    </row>
    <row r="125" spans="1:20" collapsed="1">
      <c r="A125" s="892">
        <v>415</v>
      </c>
      <c r="B125" s="183" t="s">
        <v>166</v>
      </c>
      <c r="C125" s="439" t="s">
        <v>260</v>
      </c>
      <c r="D125" s="296">
        <f>мар19!D120+мар19!D121</f>
        <v>206.99</v>
      </c>
      <c r="E125" s="41">
        <f>7.1994-7.4969</f>
        <v>-0.29750000000000032</v>
      </c>
      <c r="F125" s="41">
        <f t="shared" si="22"/>
        <v>-0.29750000000000032</v>
      </c>
      <c r="G125" s="235">
        <f>ROUND(D125*E125,2)</f>
        <v>-61.58</v>
      </c>
      <c r="H125" s="270"/>
      <c r="I125" s="41"/>
      <c r="J125" s="41"/>
      <c r="K125" s="271"/>
      <c r="L125" s="294">
        <f>SUM(G125:G127)</f>
        <v>1320.2</v>
      </c>
      <c r="M125" s="227">
        <v>1320.2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2.0299999999999998</v>
      </c>
      <c r="E126" s="41">
        <v>7.1993999999999998</v>
      </c>
      <c r="F126" s="41">
        <f t="shared" si="22"/>
        <v>7.1993999999999998</v>
      </c>
      <c r="G126" s="235">
        <f t="shared" ref="G126:G127" si="25">ROUND(D126*E126,2)</f>
        <v>14.61</v>
      </c>
      <c r="H126" s="270"/>
      <c r="I126" s="41"/>
      <c r="J126" s="41"/>
      <c r="K126" s="271"/>
      <c r="L126" s="272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887"/>
      <c r="C127" s="54" t="s">
        <v>29</v>
      </c>
      <c r="D127" s="279">
        <v>189.9</v>
      </c>
      <c r="E127" s="56">
        <v>7.1993999999999998</v>
      </c>
      <c r="F127" s="57">
        <f t="shared" si="22"/>
        <v>7.1993999999999998</v>
      </c>
      <c r="G127" s="247">
        <f t="shared" si="25"/>
        <v>1367.17</v>
      </c>
      <c r="H127" s="280"/>
      <c r="I127" s="281"/>
      <c r="J127" s="281"/>
      <c r="K127" s="282"/>
      <c r="L127" s="204"/>
      <c r="M127" s="250"/>
      <c r="N127" s="283"/>
      <c r="O127" s="252"/>
      <c r="P127" s="284"/>
      <c r="Q127" s="252"/>
      <c r="R127" s="242"/>
      <c r="S127" s="266"/>
      <c r="T127" s="266"/>
    </row>
    <row r="128" spans="1:20" ht="15.75" hidden="1" thickBot="1">
      <c r="A128" s="892">
        <v>416</v>
      </c>
      <c r="B128" s="183" t="s">
        <v>173</v>
      </c>
      <c r="C128" s="439" t="s">
        <v>260</v>
      </c>
      <c r="D128" s="296"/>
      <c r="E128" s="41">
        <f>6.7023-6.509</f>
        <v>0.19329999999999981</v>
      </c>
      <c r="F128" s="41">
        <f t="shared" si="22"/>
        <v>0.19329999999999981</v>
      </c>
      <c r="G128" s="235">
        <f>ROUND(D128*E128,2)+0.01</f>
        <v>0.01</v>
      </c>
      <c r="H128" s="270"/>
      <c r="I128" s="41"/>
      <c r="J128" s="41"/>
      <c r="K128" s="271"/>
      <c r="L128" s="294">
        <f>SUM(G128:G130)</f>
        <v>0.01</v>
      </c>
      <c r="M128" s="227"/>
      <c r="N128" s="274"/>
      <c r="O128" s="237"/>
      <c r="P128" s="275"/>
      <c r="Q128" s="237"/>
      <c r="R128" s="242"/>
      <c r="S128" s="266"/>
      <c r="T128" s="266"/>
    </row>
    <row r="129" spans="1:20" ht="16.5" hidden="1" thickBot="1">
      <c r="A129" s="896"/>
      <c r="B129" s="192"/>
      <c r="C129" s="48" t="s">
        <v>263</v>
      </c>
      <c r="D129" s="269"/>
      <c r="E129" s="41">
        <v>6.7023000000000001</v>
      </c>
      <c r="F129" s="41">
        <f t="shared" si="22"/>
        <v>6.7023000000000001</v>
      </c>
      <c r="G129" s="235">
        <f>ROUND(D129*E129,2)</f>
        <v>0</v>
      </c>
      <c r="H129" s="270"/>
      <c r="I129" s="41"/>
      <c r="J129" s="41"/>
      <c r="K129" s="271"/>
      <c r="L129" s="272"/>
      <c r="M129" s="273"/>
      <c r="N129" s="274"/>
      <c r="O129" s="237"/>
      <c r="P129" s="275"/>
      <c r="Q129" s="237"/>
      <c r="R129" s="242"/>
      <c r="S129" s="266"/>
      <c r="T129" s="266"/>
    </row>
    <row r="130" spans="1:20" ht="16.5" hidden="1" thickBot="1">
      <c r="A130" s="891"/>
      <c r="B130" s="887"/>
      <c r="C130" s="54" t="s">
        <v>29</v>
      </c>
      <c r="D130" s="279"/>
      <c r="E130" s="56">
        <v>6.7023000000000001</v>
      </c>
      <c r="F130" s="57">
        <f t="shared" si="22"/>
        <v>6.7023000000000001</v>
      </c>
      <c r="G130" s="247">
        <f>ROUND(D130*E130,2)</f>
        <v>0</v>
      </c>
      <c r="H130" s="280"/>
      <c r="I130" s="281"/>
      <c r="J130" s="281"/>
      <c r="K130" s="282"/>
      <c r="L130" s="204"/>
      <c r="M130" s="250"/>
      <c r="N130" s="283"/>
      <c r="O130" s="252"/>
      <c r="P130" s="284"/>
      <c r="Q130" s="252"/>
      <c r="R130" s="242"/>
      <c r="S130" s="266"/>
      <c r="T130" s="266"/>
    </row>
    <row r="131" spans="1:20">
      <c r="A131" s="892">
        <v>416</v>
      </c>
      <c r="B131" s="183" t="s">
        <v>295</v>
      </c>
      <c r="C131" s="439" t="s">
        <v>260</v>
      </c>
      <c r="D131" s="296">
        <f>мар19!D126+мар19!D127</f>
        <v>106.33</v>
      </c>
      <c r="E131" s="41">
        <f>7.1994-7.4969</f>
        <v>-0.29750000000000032</v>
      </c>
      <c r="F131" s="41">
        <f t="shared" si="22"/>
        <v>-0.29750000000000032</v>
      </c>
      <c r="G131" s="235">
        <f>ROUND(D131*E131,2)</f>
        <v>-31.63</v>
      </c>
      <c r="H131" s="270"/>
      <c r="I131" s="41"/>
      <c r="J131" s="41"/>
      <c r="K131" s="271"/>
      <c r="L131" s="294">
        <f>SUM(G131:G133)</f>
        <v>663.25</v>
      </c>
      <c r="M131" s="227">
        <v>663.25</v>
      </c>
      <c r="N131" s="274"/>
      <c r="O131" s="237"/>
      <c r="P131" s="275"/>
      <c r="Q131" s="237"/>
      <c r="R131" s="242"/>
      <c r="S131" s="266"/>
      <c r="T131" s="266"/>
    </row>
    <row r="132" spans="1:20" ht="15.75">
      <c r="A132" s="896"/>
      <c r="B132" s="192"/>
      <c r="C132" s="48" t="s">
        <v>263</v>
      </c>
      <c r="D132" s="269">
        <v>1.02</v>
      </c>
      <c r="E132" s="41">
        <v>7.1993999999999998</v>
      </c>
      <c r="F132" s="41">
        <f t="shared" si="22"/>
        <v>7.1993999999999998</v>
      </c>
      <c r="G132" s="235">
        <f t="shared" ref="G132:G133" si="26">ROUND(D132*E132,2)</f>
        <v>7.34</v>
      </c>
      <c r="H132" s="270"/>
      <c r="I132" s="41"/>
      <c r="J132" s="41"/>
      <c r="K132" s="271"/>
      <c r="L132" s="272"/>
      <c r="M132" s="273"/>
      <c r="N132" s="274"/>
      <c r="O132" s="237"/>
      <c r="P132" s="275"/>
      <c r="Q132" s="237"/>
      <c r="R132" s="242"/>
      <c r="S132" s="266"/>
      <c r="T132" s="266"/>
    </row>
    <row r="133" spans="1:20" ht="16.5" thickBot="1">
      <c r="A133" s="891"/>
      <c r="B133" s="202"/>
      <c r="C133" s="54" t="s">
        <v>29</v>
      </c>
      <c r="D133" s="279">
        <v>95.5</v>
      </c>
      <c r="E133" s="56">
        <v>7.1993999999999998</v>
      </c>
      <c r="F133" s="57">
        <f t="shared" si="22"/>
        <v>7.1993999999999998</v>
      </c>
      <c r="G133" s="247">
        <f t="shared" si="26"/>
        <v>687.54</v>
      </c>
      <c r="H133" s="280"/>
      <c r="I133" s="281"/>
      <c r="J133" s="281"/>
      <c r="K133" s="282"/>
      <c r="L133" s="204"/>
      <c r="M133" s="250"/>
      <c r="N133" s="283"/>
      <c r="O133" s="252"/>
      <c r="P133" s="284"/>
      <c r="Q133" s="252"/>
      <c r="R133" s="242"/>
      <c r="S133" s="266"/>
      <c r="T133" s="266"/>
    </row>
    <row r="134" spans="1:20">
      <c r="A134" s="892">
        <v>417</v>
      </c>
      <c r="B134" s="183" t="s">
        <v>174</v>
      </c>
      <c r="C134" s="439" t="s">
        <v>260</v>
      </c>
      <c r="D134" s="296">
        <f>мар19!D129+мар19!D130</f>
        <v>141.09</v>
      </c>
      <c r="E134" s="41">
        <f>7.1994-7.4969</f>
        <v>-0.29750000000000032</v>
      </c>
      <c r="F134" s="41">
        <f t="shared" si="22"/>
        <v>-0.29750000000000032</v>
      </c>
      <c r="G134" s="235">
        <f>ROUND(D134*E134,2)</f>
        <v>-41.97</v>
      </c>
      <c r="H134" s="270"/>
      <c r="I134" s="41"/>
      <c r="J134" s="41"/>
      <c r="K134" s="271"/>
      <c r="L134" s="294">
        <f>SUM(G134:G136)</f>
        <v>536.5</v>
      </c>
      <c r="M134" s="227">
        <v>536.5</v>
      </c>
      <c r="N134" s="274"/>
      <c r="O134" s="237"/>
      <c r="P134" s="275"/>
      <c r="Q134" s="237"/>
      <c r="R134" s="242"/>
      <c r="S134" s="266"/>
      <c r="T134" s="266"/>
    </row>
    <row r="135" spans="1:20" ht="15.75">
      <c r="A135" s="896"/>
      <c r="B135" s="192"/>
      <c r="C135" s="48" t="s">
        <v>263</v>
      </c>
      <c r="D135" s="269">
        <v>0.85</v>
      </c>
      <c r="E135" s="41">
        <v>7.1993999999999998</v>
      </c>
      <c r="F135" s="41">
        <f t="shared" si="22"/>
        <v>7.1993999999999998</v>
      </c>
      <c r="G135" s="235">
        <f t="shared" ref="G135:G136" si="27">ROUND(D135*E135,2)</f>
        <v>6.12</v>
      </c>
      <c r="H135" s="270"/>
      <c r="I135" s="41"/>
      <c r="J135" s="41"/>
      <c r="K135" s="271"/>
      <c r="L135" s="272"/>
      <c r="M135" s="273"/>
      <c r="N135" s="274"/>
      <c r="O135" s="237"/>
      <c r="P135" s="275"/>
      <c r="Q135" s="237"/>
      <c r="R135" s="242"/>
      <c r="S135" s="266"/>
      <c r="T135" s="266"/>
    </row>
    <row r="136" spans="1:20" ht="16.5" thickBot="1">
      <c r="A136" s="891"/>
      <c r="B136" s="202"/>
      <c r="C136" s="54" t="s">
        <v>29</v>
      </c>
      <c r="D136" s="279">
        <v>79.5</v>
      </c>
      <c r="E136" s="56">
        <v>7.1993999999999998</v>
      </c>
      <c r="F136" s="57">
        <f t="shared" si="22"/>
        <v>7.1993999999999998</v>
      </c>
      <c r="G136" s="247">
        <f t="shared" si="27"/>
        <v>572.35</v>
      </c>
      <c r="H136" s="280"/>
      <c r="I136" s="281"/>
      <c r="J136" s="281"/>
      <c r="K136" s="282"/>
      <c r="L136" s="204"/>
      <c r="M136" s="250"/>
      <c r="N136" s="283"/>
      <c r="O136" s="252"/>
      <c r="P136" s="284"/>
      <c r="Q136" s="252"/>
      <c r="R136" s="242"/>
      <c r="S136" s="266"/>
      <c r="T136" s="266"/>
    </row>
    <row r="137" spans="1:20" ht="15.75" thickBot="1">
      <c r="A137" s="892">
        <v>420</v>
      </c>
      <c r="B137" s="183" t="s">
        <v>306</v>
      </c>
      <c r="C137" s="439" t="s">
        <v>243</v>
      </c>
      <c r="D137" s="1008">
        <v>0.36299999999999999</v>
      </c>
      <c r="E137" s="23">
        <v>41.244</v>
      </c>
      <c r="F137" s="23">
        <v>48.335999999999999</v>
      </c>
      <c r="G137" s="214">
        <f>ROUND(D137*(E137+F137),2)</f>
        <v>32.520000000000003</v>
      </c>
      <c r="H137" s="1001">
        <f>фев19!D131</f>
        <v>0.18</v>
      </c>
      <c r="I137" s="23">
        <v>0.34799999999999998</v>
      </c>
      <c r="J137" s="23">
        <f>ROUND(H137*I137,2)</f>
        <v>0.06</v>
      </c>
      <c r="K137" s="1241">
        <v>43497</v>
      </c>
      <c r="L137" s="343">
        <f>SUM(G137:G141)+SUM(J137:J141)</f>
        <v>1374.57</v>
      </c>
      <c r="M137" s="187">
        <v>1374.57</v>
      </c>
      <c r="N137" s="274"/>
      <c r="O137" s="237"/>
      <c r="P137" s="275"/>
      <c r="Q137" s="237"/>
      <c r="R137" s="242"/>
      <c r="S137" s="266"/>
      <c r="T137" s="266"/>
    </row>
    <row r="138" spans="1:20" ht="15.75" thickBot="1">
      <c r="A138" s="892"/>
      <c r="B138" s="183"/>
      <c r="C138" s="48" t="s">
        <v>260</v>
      </c>
      <c r="D138" s="1009"/>
      <c r="E138" s="41"/>
      <c r="F138" s="41"/>
      <c r="G138" s="235">
        <f>ROUND(D138*(E138+F138),2)</f>
        <v>0</v>
      </c>
      <c r="H138" s="1002">
        <f>H137</f>
        <v>0.18</v>
      </c>
      <c r="I138" s="281">
        <v>67.703999999999994</v>
      </c>
      <c r="J138" s="23">
        <f>ROUND(H138*I138,2)</f>
        <v>12.19</v>
      </c>
      <c r="K138" s="1242">
        <v>43497</v>
      </c>
      <c r="L138" s="988"/>
      <c r="M138" s="989"/>
      <c r="N138" s="274"/>
      <c r="O138" s="237"/>
      <c r="P138" s="275"/>
      <c r="Q138" s="237"/>
      <c r="R138" s="242"/>
      <c r="S138" s="266"/>
      <c r="T138" s="266"/>
    </row>
    <row r="139" spans="1:20">
      <c r="A139" s="896"/>
      <c r="B139" s="192"/>
      <c r="C139" s="439" t="s">
        <v>260</v>
      </c>
      <c r="D139" s="296">
        <f>мар19!D134+мар19!D135</f>
        <v>270.06</v>
      </c>
      <c r="E139" s="41">
        <f>7.1994-7.4969</f>
        <v>-0.29750000000000032</v>
      </c>
      <c r="F139" s="41">
        <f t="shared" si="22"/>
        <v>-0.29750000000000032</v>
      </c>
      <c r="G139" s="235">
        <f>ROUND(D139*E139,2)</f>
        <v>-80.34</v>
      </c>
      <c r="H139" s="270"/>
      <c r="I139" s="41"/>
      <c r="J139" s="41"/>
      <c r="K139" s="271"/>
      <c r="L139" s="294"/>
      <c r="M139" s="227"/>
      <c r="N139" s="274"/>
      <c r="O139" s="237"/>
      <c r="P139" s="275"/>
      <c r="Q139" s="237"/>
      <c r="R139" s="242"/>
      <c r="S139" s="266"/>
      <c r="T139" s="266"/>
    </row>
    <row r="140" spans="1:20" ht="15.75">
      <c r="A140" s="896"/>
      <c r="B140" s="192"/>
      <c r="C140" s="48" t="s">
        <v>263</v>
      </c>
      <c r="D140" s="269">
        <v>2.0699999999999998</v>
      </c>
      <c r="E140" s="41">
        <v>7.1993999999999998</v>
      </c>
      <c r="F140" s="41">
        <f t="shared" si="22"/>
        <v>7.1993999999999998</v>
      </c>
      <c r="G140" s="235">
        <f>ROUND(D140*E140,2)</f>
        <v>14.9</v>
      </c>
      <c r="H140" s="270"/>
      <c r="I140" s="41"/>
      <c r="J140" s="41"/>
      <c r="K140" s="271"/>
      <c r="L140" s="272"/>
      <c r="M140" s="273"/>
      <c r="N140" s="274"/>
      <c r="O140" s="237"/>
      <c r="P140" s="275"/>
      <c r="Q140" s="237"/>
      <c r="R140" s="242"/>
      <c r="S140" s="266"/>
      <c r="T140" s="266"/>
    </row>
    <row r="141" spans="1:20" ht="16.5" thickBot="1">
      <c r="A141" s="891"/>
      <c r="B141" s="202"/>
      <c r="C141" s="54" t="s">
        <v>29</v>
      </c>
      <c r="D141" s="279">
        <v>193.8</v>
      </c>
      <c r="E141" s="56">
        <v>7.1993999999999998</v>
      </c>
      <c r="F141" s="57">
        <f t="shared" si="22"/>
        <v>7.1993999999999998</v>
      </c>
      <c r="G141" s="247">
        <f t="shared" ref="G141" si="28">ROUND(D141*E141,2)</f>
        <v>1395.24</v>
      </c>
      <c r="H141" s="280"/>
      <c r="I141" s="281"/>
      <c r="J141" s="281"/>
      <c r="K141" s="282"/>
      <c r="L141" s="204"/>
      <c r="M141" s="250"/>
      <c r="N141" s="283"/>
      <c r="O141" s="252"/>
      <c r="P141" s="284"/>
      <c r="Q141" s="252"/>
      <c r="R141" s="242"/>
      <c r="S141" s="266"/>
      <c r="T141" s="266"/>
    </row>
    <row r="142" spans="1:20">
      <c r="A142" s="892">
        <v>422</v>
      </c>
      <c r="B142" s="183" t="s">
        <v>333</v>
      </c>
      <c r="C142" s="439" t="s">
        <v>260</v>
      </c>
      <c r="D142" s="296"/>
      <c r="E142" s="41">
        <f>7.1994-7.4969</f>
        <v>-0.29750000000000032</v>
      </c>
      <c r="F142" s="41">
        <f t="shared" ref="F142:F144" si="29">+E142</f>
        <v>-0.29750000000000032</v>
      </c>
      <c r="G142" s="235">
        <f>ROUND(D142*E142,2)</f>
        <v>0</v>
      </c>
      <c r="H142" s="270"/>
      <c r="I142" s="41"/>
      <c r="J142" s="41"/>
      <c r="K142" s="271"/>
      <c r="L142" s="294">
        <f>SUM(G142:G144)</f>
        <v>757.45</v>
      </c>
      <c r="M142" s="227">
        <v>757.45</v>
      </c>
      <c r="N142" s="274"/>
      <c r="O142" s="237"/>
      <c r="P142" s="275"/>
      <c r="Q142" s="237"/>
      <c r="R142" s="242"/>
      <c r="S142" s="266"/>
      <c r="T142" s="266"/>
    </row>
    <row r="143" spans="1:20" ht="15.75">
      <c r="A143" s="896"/>
      <c r="B143" s="192"/>
      <c r="C143" s="48" t="s">
        <v>263</v>
      </c>
      <c r="D143" s="269">
        <v>1.1100000000000001</v>
      </c>
      <c r="E143" s="41">
        <v>7.1993999999999998</v>
      </c>
      <c r="F143" s="41">
        <f t="shared" si="29"/>
        <v>7.1993999999999998</v>
      </c>
      <c r="G143" s="235">
        <f t="shared" ref="G143:G144" si="30">ROUND(D143*E143,2)</f>
        <v>7.99</v>
      </c>
      <c r="H143" s="270"/>
      <c r="I143" s="41"/>
      <c r="J143" s="41"/>
      <c r="K143" s="271"/>
      <c r="L143" s="272"/>
      <c r="M143" s="273"/>
      <c r="N143" s="274"/>
      <c r="O143" s="237"/>
      <c r="P143" s="275"/>
      <c r="Q143" s="237"/>
      <c r="R143" s="242"/>
      <c r="S143" s="266"/>
      <c r="T143" s="266"/>
    </row>
    <row r="144" spans="1:20" ht="16.5" thickBot="1">
      <c r="A144" s="891"/>
      <c r="B144" s="202"/>
      <c r="C144" s="54" t="s">
        <v>29</v>
      </c>
      <c r="D144" s="279">
        <v>104.1</v>
      </c>
      <c r="E144" s="56">
        <v>7.1993999999999998</v>
      </c>
      <c r="F144" s="57">
        <f t="shared" si="29"/>
        <v>7.1993999999999998</v>
      </c>
      <c r="G144" s="247">
        <f t="shared" si="30"/>
        <v>749.46</v>
      </c>
      <c r="H144" s="280"/>
      <c r="I144" s="281"/>
      <c r="J144" s="281"/>
      <c r="K144" s="282"/>
      <c r="L144" s="204"/>
      <c r="M144" s="250"/>
      <c r="N144" s="283"/>
      <c r="O144" s="252"/>
      <c r="P144" s="284"/>
      <c r="Q144" s="252"/>
      <c r="R144" s="242"/>
      <c r="S144" s="266"/>
      <c r="T144" s="266"/>
    </row>
    <row r="145" spans="1:21" ht="15.75">
      <c r="A145" s="892">
        <v>500</v>
      </c>
      <c r="B145" s="883" t="s">
        <v>55</v>
      </c>
      <c r="C145" s="439" t="s">
        <v>260</v>
      </c>
      <c r="D145" s="259">
        <f>мар19!D137+мар19!D138</f>
        <v>2816.82</v>
      </c>
      <c r="E145" s="41">
        <f>7.1994-7.4969</f>
        <v>-0.29750000000000032</v>
      </c>
      <c r="F145" s="41">
        <f t="shared" si="16"/>
        <v>-0.29750000000000032</v>
      </c>
      <c r="G145" s="214">
        <f>ROUND(D145*E145,2)</f>
        <v>-838</v>
      </c>
      <c r="H145" s="260"/>
      <c r="I145" s="261"/>
      <c r="J145" s="261"/>
      <c r="K145" s="262"/>
      <c r="L145" s="263">
        <f>SUM(G145:G147)</f>
        <v>17721.91</v>
      </c>
      <c r="M145" s="187">
        <v>17721.91</v>
      </c>
      <c r="N145" s="264"/>
      <c r="O145" s="229"/>
      <c r="P145" s="265"/>
      <c r="Q145" s="229"/>
      <c r="R145" s="242"/>
      <c r="S145" s="266"/>
      <c r="T145" s="266"/>
    </row>
    <row r="146" spans="1:21" ht="15.75">
      <c r="A146" s="893" t="s">
        <v>197</v>
      </c>
      <c r="B146" s="885"/>
      <c r="C146" s="48" t="s">
        <v>263</v>
      </c>
      <c r="D146" s="269">
        <v>27.29</v>
      </c>
      <c r="E146" s="41">
        <v>7.1993999999999998</v>
      </c>
      <c r="F146" s="41">
        <f t="shared" si="16"/>
        <v>7.1993999999999998</v>
      </c>
      <c r="G146" s="235">
        <f>ROUND(D146*E146,2)</f>
        <v>196.47</v>
      </c>
      <c r="H146" s="270"/>
      <c r="I146" s="41"/>
      <c r="J146" s="41"/>
      <c r="K146" s="271"/>
      <c r="L146" s="272"/>
      <c r="M146" s="273"/>
      <c r="N146" s="274"/>
      <c r="O146" s="237"/>
      <c r="P146" s="275"/>
      <c r="Q146" s="237"/>
      <c r="R146" s="242"/>
      <c r="S146" s="266"/>
      <c r="T146" s="266"/>
    </row>
    <row r="147" spans="1:21" ht="16.5" thickBot="1">
      <c r="A147" s="891"/>
      <c r="B147" s="887"/>
      <c r="C147" s="54" t="s">
        <v>29</v>
      </c>
      <c r="D147" s="279">
        <v>2550.69</v>
      </c>
      <c r="E147" s="56">
        <v>7.1993999999999998</v>
      </c>
      <c r="F147" s="57">
        <f t="shared" si="16"/>
        <v>7.1993999999999998</v>
      </c>
      <c r="G147" s="247">
        <f t="shared" ref="G147" si="31">ROUND(D147*E147,2)</f>
        <v>18363.439999999999</v>
      </c>
      <c r="H147" s="280"/>
      <c r="I147" s="281"/>
      <c r="J147" s="281"/>
      <c r="K147" s="282"/>
      <c r="L147" s="204"/>
      <c r="M147" s="250"/>
      <c r="N147" s="283"/>
      <c r="O147" s="252"/>
      <c r="P147" s="284"/>
      <c r="Q147" s="252"/>
      <c r="R147" s="242"/>
      <c r="S147" s="266"/>
      <c r="T147" s="266"/>
    </row>
    <row r="148" spans="1:21" ht="16.5" hidden="1" outlineLevel="1" thickBot="1">
      <c r="A148" s="892"/>
      <c r="B148" s="883" t="s">
        <v>57</v>
      </c>
      <c r="C148" s="439"/>
      <c r="D148" s="259"/>
      <c r="E148" s="21">
        <v>36.214199999999998</v>
      </c>
      <c r="F148" s="21">
        <v>42.4328</v>
      </c>
      <c r="G148" s="214">
        <f>ROUND(D148*(E148+F148),2)</f>
        <v>0</v>
      </c>
      <c r="H148" s="213">
        <v>0</v>
      </c>
      <c r="I148">
        <v>22.478999999999999</v>
      </c>
      <c r="J148" s="215">
        <f t="shared" ref="J148" si="32">H148*I148</f>
        <v>0</v>
      </c>
      <c r="K148" s="679">
        <v>42705</v>
      </c>
      <c r="L148" s="294">
        <f>SUM(G148:G152)+J148+J150</f>
        <v>0</v>
      </c>
      <c r="M148" s="227"/>
      <c r="N148" s="264"/>
      <c r="O148" s="229"/>
      <c r="P148" s="265"/>
      <c r="Q148" s="229"/>
      <c r="R148" s="242"/>
      <c r="S148" s="266"/>
      <c r="T148" s="266"/>
    </row>
    <row r="149" spans="1:21" ht="16.5" hidden="1" outlineLevel="1" thickBot="1">
      <c r="A149" s="891"/>
      <c r="B149" s="887"/>
      <c r="C149" s="54"/>
      <c r="D149" s="269"/>
      <c r="E149" s="38">
        <f>32.332-28.8628</f>
        <v>3.4692000000000007</v>
      </c>
      <c r="F149" s="38">
        <f>37.8898-33.8306</f>
        <v>4.0592000000000041</v>
      </c>
      <c r="G149" s="235">
        <f>ROUND(D149*(E149+F149),2)</f>
        <v>0</v>
      </c>
      <c r="H149" s="225"/>
      <c r="J149" s="194"/>
      <c r="K149" s="683"/>
      <c r="L149" s="294"/>
      <c r="M149" s="227"/>
      <c r="N149" s="264"/>
      <c r="O149" s="229"/>
      <c r="P149" s="265"/>
      <c r="Q149" s="229"/>
      <c r="R149" s="242"/>
      <c r="S149" s="266"/>
      <c r="T149" s="266"/>
    </row>
    <row r="150" spans="1:21" ht="15.75" hidden="1" outlineLevel="1" thickBot="1">
      <c r="A150" s="892"/>
      <c r="B150" s="883"/>
      <c r="C150" s="439" t="s">
        <v>170</v>
      </c>
      <c r="D150" s="296"/>
      <c r="E150" s="41">
        <f>7.0207-6.6426</f>
        <v>0.37809999999999988</v>
      </c>
      <c r="F150" s="41">
        <f>+E150</f>
        <v>0.37809999999999988</v>
      </c>
      <c r="G150" s="235">
        <f>ROUND(D150*E150,2)</f>
        <v>0</v>
      </c>
      <c r="H150" s="270"/>
      <c r="I150" s="41"/>
      <c r="J150" s="41"/>
      <c r="K150" s="684"/>
      <c r="L150" s="272"/>
      <c r="M150" s="273"/>
      <c r="N150" s="274"/>
      <c r="O150" s="237"/>
      <c r="P150" s="275"/>
      <c r="Q150" s="237"/>
      <c r="R150" s="242"/>
      <c r="S150" s="266"/>
      <c r="T150" s="266"/>
    </row>
    <row r="151" spans="1:21" ht="16.5" hidden="1" outlineLevel="1" thickBot="1">
      <c r="A151" s="891"/>
      <c r="B151" s="887"/>
      <c r="C151" s="54" t="s">
        <v>171</v>
      </c>
      <c r="D151" s="269"/>
      <c r="E151" s="41">
        <v>7.0206999999999997</v>
      </c>
      <c r="F151" s="41">
        <f>+E151</f>
        <v>7.0206999999999997</v>
      </c>
      <c r="G151" s="235">
        <f>ROUND(D151*E151,2)</f>
        <v>0</v>
      </c>
      <c r="H151" s="270"/>
      <c r="I151" s="41"/>
      <c r="J151" s="41"/>
      <c r="K151" s="684"/>
      <c r="L151" s="272"/>
      <c r="M151" s="273"/>
      <c r="N151" s="274"/>
      <c r="O151" s="237"/>
      <c r="P151" s="275"/>
      <c r="Q151" s="237"/>
      <c r="R151" s="242"/>
      <c r="S151" s="266"/>
      <c r="T151" s="266"/>
    </row>
    <row r="152" spans="1:21" ht="16.5" hidden="1" outlineLevel="1" thickBot="1">
      <c r="A152" s="892"/>
      <c r="B152" s="883"/>
      <c r="C152" s="439" t="s">
        <v>29</v>
      </c>
      <c r="D152" s="279"/>
      <c r="E152" s="56">
        <v>7.0206999999999997</v>
      </c>
      <c r="F152" s="57">
        <f>+E152</f>
        <v>7.0206999999999997</v>
      </c>
      <c r="G152" s="247">
        <f>ROUND(D152*E152,2)</f>
        <v>0</v>
      </c>
      <c r="H152" s="280"/>
      <c r="I152" s="281"/>
      <c r="J152" s="281"/>
      <c r="K152" s="682"/>
      <c r="L152" s="204"/>
      <c r="M152" s="250"/>
      <c r="N152" s="283"/>
      <c r="O152" s="252"/>
      <c r="P152" s="284"/>
      <c r="Q152" s="252"/>
      <c r="R152" s="242"/>
      <c r="S152" s="266"/>
      <c r="T152" s="266"/>
    </row>
    <row r="153" spans="1:21" ht="15.75" hidden="1" outlineLevel="1" thickBot="1">
      <c r="A153" s="892"/>
      <c r="B153" s="183" t="s">
        <v>145</v>
      </c>
      <c r="C153" s="439" t="s">
        <v>170</v>
      </c>
      <c r="D153" s="296"/>
      <c r="E153" s="41">
        <f>7.0207-6.6426</f>
        <v>0.37809999999999988</v>
      </c>
      <c r="F153" s="41">
        <f t="shared" ref="F153:F155" si="33">+E153</f>
        <v>0.37809999999999988</v>
      </c>
      <c r="G153" s="235">
        <f>ROUND(D153*E153,2)</f>
        <v>0</v>
      </c>
      <c r="H153" s="270"/>
      <c r="I153" s="41"/>
      <c r="J153" s="41"/>
      <c r="K153" s="271"/>
      <c r="L153" s="294">
        <f>SUM(G153:G155)</f>
        <v>0</v>
      </c>
      <c r="M153" s="227"/>
      <c r="N153" s="274"/>
      <c r="O153" s="237"/>
      <c r="P153" s="275"/>
      <c r="Q153" s="237"/>
      <c r="R153" s="242"/>
      <c r="S153" s="266"/>
      <c r="T153" s="266"/>
    </row>
    <row r="154" spans="1:21" ht="16.5" hidden="1" outlineLevel="1" thickBot="1">
      <c r="A154" s="891"/>
      <c r="B154" s="887"/>
      <c r="C154" s="54" t="s">
        <v>171</v>
      </c>
      <c r="D154" s="269"/>
      <c r="E154" s="41">
        <v>7.0206999999999997</v>
      </c>
      <c r="F154" s="41">
        <f t="shared" si="33"/>
        <v>7.0206999999999997</v>
      </c>
      <c r="G154" s="235">
        <f t="shared" ref="G154:G155" si="34">ROUND(D154*E154,2)</f>
        <v>0</v>
      </c>
      <c r="H154" s="270"/>
      <c r="I154" s="41"/>
      <c r="J154" s="41"/>
      <c r="K154" s="271"/>
      <c r="L154" s="272"/>
      <c r="M154" s="273"/>
      <c r="N154" s="274"/>
      <c r="O154" s="237"/>
      <c r="P154" s="275"/>
      <c r="Q154" s="237"/>
      <c r="R154" s="242"/>
      <c r="S154" s="266"/>
      <c r="T154" s="266"/>
    </row>
    <row r="155" spans="1:21" ht="16.5" hidden="1" outlineLevel="1" thickBot="1">
      <c r="A155" s="892"/>
      <c r="B155" s="183"/>
      <c r="C155" s="439" t="s">
        <v>29</v>
      </c>
      <c r="D155" s="279"/>
      <c r="E155" s="56">
        <v>7.0206999999999997</v>
      </c>
      <c r="F155" s="57">
        <f t="shared" si="33"/>
        <v>7.0206999999999997</v>
      </c>
      <c r="G155" s="247">
        <f t="shared" si="34"/>
        <v>0</v>
      </c>
      <c r="H155" s="280"/>
      <c r="I155" s="281"/>
      <c r="J155" s="281"/>
      <c r="K155" s="282"/>
      <c r="L155" s="204"/>
      <c r="M155" s="250"/>
      <c r="N155" s="283"/>
      <c r="O155" s="252"/>
      <c r="P155" s="284"/>
      <c r="Q155" s="252"/>
      <c r="R155" s="242"/>
      <c r="S155" s="266"/>
      <c r="T155" s="266"/>
    </row>
    <row r="156" spans="1:21" ht="16.5" collapsed="1" thickTop="1">
      <c r="A156" s="898"/>
      <c r="B156" s="321"/>
      <c r="C156" s="322"/>
      <c r="D156" s="323"/>
      <c r="E156" s="163"/>
      <c r="F156" s="324"/>
      <c r="G156" s="325"/>
      <c r="H156" s="163"/>
      <c r="I156" s="163"/>
      <c r="J156" s="163"/>
      <c r="K156" s="163"/>
      <c r="L156" s="163"/>
      <c r="M156" s="326"/>
      <c r="N156" s="327"/>
      <c r="O156" s="328"/>
      <c r="P156" s="329"/>
      <c r="Q156" s="328"/>
      <c r="R156" s="330"/>
      <c r="S156" s="331"/>
      <c r="T156" s="266"/>
    </row>
    <row r="157" spans="1:21" ht="21.75" thickBot="1">
      <c r="A157" s="171" t="s">
        <v>60</v>
      </c>
      <c r="B157" s="2"/>
      <c r="C157" s="3"/>
      <c r="D157" s="2"/>
      <c r="E157" s="2"/>
      <c r="F157" s="2"/>
      <c r="G157" s="332"/>
      <c r="H157" s="332"/>
      <c r="I157" s="332"/>
      <c r="J157" s="2"/>
      <c r="K157" s="2"/>
      <c r="L157" s="2"/>
      <c r="M157" s="3"/>
      <c r="N157" s="2"/>
      <c r="O157" s="2"/>
      <c r="P157" s="2"/>
      <c r="Q157" s="2"/>
      <c r="R157" s="2"/>
      <c r="S157" s="2"/>
    </row>
    <row r="158" spans="1:21" ht="15" customHeight="1" thickTop="1">
      <c r="A158" s="1553" t="s">
        <v>1</v>
      </c>
      <c r="B158" s="1516" t="s">
        <v>2</v>
      </c>
      <c r="C158" s="1518" t="s">
        <v>3</v>
      </c>
      <c r="D158" s="1532" t="s">
        <v>4</v>
      </c>
      <c r="E158" s="1532"/>
      <c r="F158" s="1532"/>
      <c r="G158" s="1532"/>
      <c r="H158" s="1533" t="s">
        <v>5</v>
      </c>
      <c r="I158" s="1534"/>
      <c r="J158" s="1534"/>
      <c r="K158" s="1534"/>
      <c r="L158" s="1524" t="s">
        <v>6</v>
      </c>
      <c r="M158" s="1537" t="s">
        <v>7</v>
      </c>
      <c r="N158" s="1538" t="s">
        <v>8</v>
      </c>
      <c r="O158" s="1538"/>
      <c r="P158" s="1538"/>
      <c r="Q158" s="1539"/>
      <c r="R158" s="5"/>
      <c r="S158" s="5"/>
      <c r="T158" s="5" t="s">
        <v>61</v>
      </c>
      <c r="U158" t="s">
        <v>21</v>
      </c>
    </row>
    <row r="159" spans="1:21" ht="27" customHeight="1" thickBot="1">
      <c r="A159" s="1531"/>
      <c r="B159" s="1517"/>
      <c r="C159" s="1519" t="s">
        <v>10</v>
      </c>
      <c r="D159" s="333" t="s">
        <v>11</v>
      </c>
      <c r="E159" s="7" t="s">
        <v>12</v>
      </c>
      <c r="F159" s="7" t="s">
        <v>13</v>
      </c>
      <c r="G159" s="334" t="s">
        <v>14</v>
      </c>
      <c r="H159" s="335" t="s">
        <v>11</v>
      </c>
      <c r="I159" s="333" t="s">
        <v>15</v>
      </c>
      <c r="J159" s="336" t="s">
        <v>14</v>
      </c>
      <c r="K159" s="11" t="s">
        <v>16</v>
      </c>
      <c r="L159" s="1525"/>
      <c r="M159" s="1511"/>
      <c r="N159" s="337" t="s">
        <v>62</v>
      </c>
      <c r="O159" s="338" t="s">
        <v>44</v>
      </c>
      <c r="P159" s="13" t="s">
        <v>18</v>
      </c>
      <c r="Q159" s="14" t="s">
        <v>19</v>
      </c>
    </row>
    <row r="160" spans="1:21" ht="14.25" customHeight="1">
      <c r="A160" s="339" t="s">
        <v>63</v>
      </c>
      <c r="B160" s="1143" t="s">
        <v>64</v>
      </c>
      <c r="C160" s="1200" t="s">
        <v>243</v>
      </c>
      <c r="D160" s="1201">
        <v>54</v>
      </c>
      <c r="E160" s="1146">
        <v>41.244</v>
      </c>
      <c r="F160" s="1146">
        <v>48.335999999999999</v>
      </c>
      <c r="G160" s="1202">
        <f>ROUND(D160*(E160+F160),2)</f>
        <v>4837.32</v>
      </c>
      <c r="H160" s="619"/>
      <c r="I160" s="1147"/>
      <c r="J160" s="1203"/>
      <c r="K160" s="1204"/>
      <c r="L160" s="1205">
        <f>SUM(G160:G165,J160:J164)</f>
        <v>307499.94</v>
      </c>
      <c r="M160" s="1206">
        <v>307499.94</v>
      </c>
      <c r="N160" s="345"/>
      <c r="O160" s="346">
        <v>7157.88</v>
      </c>
      <c r="P160" s="347" t="s">
        <v>24</v>
      </c>
      <c r="Q160" s="348" t="e">
        <f t="shared" ref="Q160:Q242" si="35">C160+G160+J160-M160-N160-O160</f>
        <v>#VALUE!</v>
      </c>
      <c r="R160" s="349" t="s">
        <v>65</v>
      </c>
      <c r="S160" s="350" t="s">
        <v>20</v>
      </c>
      <c r="T160" s="351" t="s">
        <v>21</v>
      </c>
      <c r="U160" s="352" t="e">
        <f>+L160-M160+C160</f>
        <v>#VALUE!</v>
      </c>
    </row>
    <row r="161" spans="1:21" ht="14.25" customHeight="1">
      <c r="A161" s="353"/>
      <c r="B161" s="1151" t="s">
        <v>221</v>
      </c>
      <c r="C161" s="1207" t="s">
        <v>26</v>
      </c>
      <c r="D161" s="401"/>
      <c r="E161" s="1153"/>
      <c r="F161" s="1153"/>
      <c r="G161" s="400">
        <f>ROUND(D161*(E161+F161),2)</f>
        <v>0</v>
      </c>
      <c r="H161" s="623"/>
      <c r="I161" s="1189"/>
      <c r="J161" s="1208"/>
      <c r="K161" s="1209"/>
      <c r="L161" s="1210"/>
      <c r="M161" s="1211"/>
      <c r="N161" s="357"/>
      <c r="O161" s="358"/>
      <c r="P161" s="359"/>
      <c r="Q161" s="358"/>
      <c r="R161" s="349"/>
      <c r="S161" s="350"/>
      <c r="T161" s="351"/>
      <c r="U161" s="352"/>
    </row>
    <row r="162" spans="1:21">
      <c r="A162" s="353"/>
      <c r="B162" s="1159"/>
      <c r="C162" s="1160"/>
      <c r="D162" s="623"/>
      <c r="E162" s="1155"/>
      <c r="F162" s="1155"/>
      <c r="G162" s="1161">
        <f>ROUND(D162*E162*70%+D162*F162*30%,2)</f>
        <v>0</v>
      </c>
      <c r="H162" s="623"/>
      <c r="I162" s="1189"/>
      <c r="J162" s="1155"/>
      <c r="K162" s="1209"/>
      <c r="L162" s="1210"/>
      <c r="M162" s="1211"/>
      <c r="N162" s="357"/>
      <c r="O162" s="358"/>
      <c r="P162" s="359"/>
      <c r="Q162" s="358"/>
      <c r="R162" s="349"/>
      <c r="S162" s="350"/>
      <c r="T162" s="351"/>
      <c r="U162" s="352"/>
    </row>
    <row r="163" spans="1:21">
      <c r="A163" s="353"/>
      <c r="B163" s="1159"/>
      <c r="C163" s="1160" t="s">
        <v>260</v>
      </c>
      <c r="D163" s="623"/>
      <c r="E163" s="1155"/>
      <c r="F163" s="1153"/>
      <c r="G163" s="1161">
        <f>ROUND(+D163*E163,2)</f>
        <v>0</v>
      </c>
      <c r="H163" s="623"/>
      <c r="I163" s="1189"/>
      <c r="J163" s="1155"/>
      <c r="K163" s="1209"/>
      <c r="L163" s="1210"/>
      <c r="M163" s="1211"/>
      <c r="N163" s="357"/>
      <c r="O163" s="358"/>
      <c r="P163" s="359"/>
      <c r="Q163" s="358"/>
      <c r="R163" s="349"/>
      <c r="S163" s="350"/>
      <c r="T163" s="351"/>
      <c r="U163" s="352"/>
    </row>
    <row r="164" spans="1:21">
      <c r="A164" s="353"/>
      <c r="B164" s="1159"/>
      <c r="C164" s="1160" t="s">
        <v>263</v>
      </c>
      <c r="D164" s="623">
        <f>66.64+19.94+8.64</f>
        <v>95.22</v>
      </c>
      <c r="E164" s="1155">
        <v>7.6098999999999997</v>
      </c>
      <c r="F164" s="1155">
        <f>+E164</f>
        <v>7.6098999999999997</v>
      </c>
      <c r="G164" s="1161">
        <f>ROUND(D164*E164,2)+0.01</f>
        <v>724.62</v>
      </c>
      <c r="H164" s="1212"/>
      <c r="I164" s="1213"/>
      <c r="J164" s="1214"/>
      <c r="K164" s="1215"/>
      <c r="L164" s="1216"/>
      <c r="M164" s="1217"/>
      <c r="N164" s="366"/>
      <c r="O164" s="367"/>
      <c r="P164" s="368"/>
      <c r="Q164" s="358"/>
      <c r="R164" s="349"/>
      <c r="S164" s="350"/>
      <c r="T164" s="351"/>
      <c r="U164" s="352"/>
    </row>
    <row r="165" spans="1:21" ht="15.75" thickBot="1">
      <c r="A165" s="369"/>
      <c r="B165" s="1163" t="s">
        <v>66</v>
      </c>
      <c r="C165" s="1164" t="s">
        <v>29</v>
      </c>
      <c r="D165" s="941">
        <f>27767+8310+3600</f>
        <v>39677</v>
      </c>
      <c r="E165" s="1165">
        <v>7.6098999999999997</v>
      </c>
      <c r="F165" s="1218">
        <f>+E165</f>
        <v>7.6098999999999997</v>
      </c>
      <c r="G165" s="1167">
        <f>ROUND(D165*E165,2)</f>
        <v>301938</v>
      </c>
      <c r="H165" s="1219"/>
      <c r="I165" s="1220"/>
      <c r="J165" s="1169"/>
      <c r="K165" s="1220"/>
      <c r="L165" s="1197"/>
      <c r="M165" s="1221"/>
      <c r="N165" s="372"/>
      <c r="O165" s="373">
        <v>165882.5</v>
      </c>
      <c r="P165" s="374" t="s">
        <v>24</v>
      </c>
      <c r="Q165" s="373">
        <f>G165+J165-M165-N165-O165</f>
        <v>136055.5</v>
      </c>
      <c r="R165" s="349" t="s">
        <v>65</v>
      </c>
      <c r="S165" s="375">
        <f>SUM(O160:O165)</f>
        <v>173040.38</v>
      </c>
      <c r="T165" s="375" t="e">
        <f>SUM(Q160:Q165)</f>
        <v>#VALUE!</v>
      </c>
    </row>
    <row r="166" spans="1:21" s="81" customFormat="1" ht="15" customHeight="1">
      <c r="A166" s="437">
        <v>101</v>
      </c>
      <c r="B166" s="438" t="s">
        <v>82</v>
      </c>
      <c r="C166" s="377" t="s">
        <v>73</v>
      </c>
      <c r="D166" s="378">
        <v>39</v>
      </c>
      <c r="E166" s="21">
        <v>41.244</v>
      </c>
      <c r="F166" s="21">
        <v>48.335999999999999</v>
      </c>
      <c r="G166" s="22">
        <f>+D166*(E166+F166)</f>
        <v>3493.62</v>
      </c>
      <c r="H166" s="303"/>
      <c r="I166" s="381"/>
      <c r="J166" s="381"/>
      <c r="K166" s="342"/>
      <c r="L166" s="263">
        <f>SUM(G166:G170,J166:J170)</f>
        <v>95587.58</v>
      </c>
      <c r="M166" s="26">
        <v>95587.58</v>
      </c>
      <c r="N166" s="421"/>
      <c r="O166" s="77"/>
      <c r="P166" s="77"/>
      <c r="Q166" s="384"/>
      <c r="R166" s="422"/>
      <c r="S166" s="399"/>
      <c r="T166" s="399"/>
    </row>
    <row r="167" spans="1:21" s="81" customFormat="1" ht="15" customHeight="1">
      <c r="A167" s="441"/>
      <c r="B167" s="442"/>
      <c r="C167" s="36" t="s">
        <v>26</v>
      </c>
      <c r="D167" s="37"/>
      <c r="E167" s="38"/>
      <c r="F167" s="38"/>
      <c r="G167" s="39">
        <f>ROUND(D167*(E167+F167),2)</f>
        <v>0</v>
      </c>
      <c r="H167" s="457"/>
      <c r="I167" s="392"/>
      <c r="J167" s="402"/>
      <c r="K167" s="393"/>
      <c r="L167" s="459"/>
      <c r="M167" s="44"/>
      <c r="N167" s="430"/>
      <c r="O167" s="435"/>
      <c r="P167" s="435"/>
      <c r="Q167" s="425"/>
      <c r="R167" s="422"/>
      <c r="S167" s="399"/>
      <c r="T167" s="399"/>
    </row>
    <row r="168" spans="1:21" s="81" customFormat="1" ht="15" customHeight="1">
      <c r="A168" s="441"/>
      <c r="B168" s="442"/>
      <c r="C168" s="48" t="s">
        <v>260</v>
      </c>
      <c r="D168" s="37">
        <f>мар19!D160+мар19!D161</f>
        <v>14371.41</v>
      </c>
      <c r="E168" s="41">
        <f>7.3771-7.5269</f>
        <v>-0.14979999999999993</v>
      </c>
      <c r="F168" s="38"/>
      <c r="G168" s="39">
        <f>ROUND(D168*(E168),2)-0.01</f>
        <v>-2152.8500000000004</v>
      </c>
      <c r="H168" s="270"/>
      <c r="I168" s="41"/>
      <c r="J168" s="41"/>
      <c r="K168" s="271"/>
      <c r="L168" s="272"/>
      <c r="M168" s="102"/>
      <c r="N168" s="430"/>
      <c r="O168" s="435"/>
      <c r="P168" s="435"/>
      <c r="Q168" s="425"/>
      <c r="R168" s="422"/>
      <c r="S168" s="399"/>
      <c r="T168" s="399"/>
    </row>
    <row r="169" spans="1:21" s="81" customFormat="1" ht="15" customHeight="1">
      <c r="A169" s="441"/>
      <c r="B169" s="442"/>
      <c r="C169" s="48" t="s">
        <v>263</v>
      </c>
      <c r="D169" s="37">
        <v>30.59</v>
      </c>
      <c r="E169" s="41">
        <v>7.3771000000000004</v>
      </c>
      <c r="F169" s="38"/>
      <c r="G169" s="39">
        <f>ROUND(D169*(E169),2)</f>
        <v>225.67</v>
      </c>
      <c r="H169" s="270"/>
      <c r="I169" s="41"/>
      <c r="J169" s="41"/>
      <c r="K169" s="271"/>
      <c r="L169" s="272"/>
      <c r="M169" s="102"/>
      <c r="N169" s="434"/>
      <c r="O169" s="435"/>
      <c r="P169" s="435"/>
      <c r="Q169" s="425"/>
      <c r="R169" s="422"/>
      <c r="S169" s="399"/>
      <c r="T169" s="399"/>
    </row>
    <row r="170" spans="1:21" s="81" customFormat="1" ht="15" customHeight="1" thickBot="1">
      <c r="A170" s="445"/>
      <c r="B170" s="446"/>
      <c r="C170" s="54" t="s">
        <v>29</v>
      </c>
      <c r="D170" s="413">
        <v>12745</v>
      </c>
      <c r="E170" s="56">
        <v>7.3771000000000004</v>
      </c>
      <c r="F170" s="281"/>
      <c r="G170" s="414">
        <f>ROUND(D170*(E170),2)</f>
        <v>94021.14</v>
      </c>
      <c r="H170" s="280"/>
      <c r="I170" s="281"/>
      <c r="J170" s="281"/>
      <c r="K170" s="282"/>
      <c r="L170" s="204"/>
      <c r="M170" s="371"/>
      <c r="N170" s="426"/>
      <c r="O170" s="416"/>
      <c r="P170" s="416"/>
      <c r="Q170" s="417"/>
      <c r="R170" s="899"/>
      <c r="S170" s="399"/>
      <c r="T170" s="399"/>
    </row>
    <row r="171" spans="1:21" s="81" customFormat="1" ht="15.75" customHeight="1">
      <c r="A171" s="902">
        <v>105</v>
      </c>
      <c r="B171" s="903" t="s">
        <v>256</v>
      </c>
      <c r="C171" s="439" t="s">
        <v>260</v>
      </c>
      <c r="D171" s="904">
        <f>мар19!D163+мар19!D164</f>
        <v>1585.8</v>
      </c>
      <c r="E171" s="23">
        <f>7.3771-7.5269</f>
        <v>-0.14979999999999993</v>
      </c>
      <c r="F171" s="905"/>
      <c r="G171" s="22">
        <f>ROUND(D171*E171,2)</f>
        <v>-237.55</v>
      </c>
      <c r="H171" s="303"/>
      <c r="I171" s="23"/>
      <c r="J171" s="23"/>
      <c r="K171" s="304"/>
      <c r="L171" s="263">
        <f>SUM(G171:G173)</f>
        <v>10514.5</v>
      </c>
      <c r="M171" s="26">
        <v>10514.5</v>
      </c>
      <c r="N171" s="421"/>
      <c r="O171" s="77"/>
      <c r="P171" s="77"/>
      <c r="Q171" s="384"/>
      <c r="R171" s="422"/>
      <c r="S171" s="399"/>
      <c r="T171" s="399"/>
    </row>
    <row r="172" spans="1:21" s="81" customFormat="1" ht="15.75" customHeight="1">
      <c r="A172" s="468"/>
      <c r="B172" s="469"/>
      <c r="C172" s="48" t="s">
        <v>263</v>
      </c>
      <c r="D172" s="471">
        <v>3.49</v>
      </c>
      <c r="E172" s="41">
        <v>7.3771000000000004</v>
      </c>
      <c r="F172" s="473"/>
      <c r="G172" s="449">
        <f>ROUND(D172*E172,2)</f>
        <v>25.75</v>
      </c>
      <c r="H172" s="260"/>
      <c r="I172" s="261"/>
      <c r="J172" s="261"/>
      <c r="K172" s="262"/>
      <c r="L172" s="286"/>
      <c r="M172" s="90"/>
      <c r="N172" s="423"/>
      <c r="O172" s="406"/>
      <c r="P172" s="406"/>
      <c r="Q172" s="407"/>
      <c r="R172" s="422"/>
      <c r="S172" s="399"/>
      <c r="T172" s="399"/>
    </row>
    <row r="173" spans="1:21" s="81" customFormat="1" ht="15.75" customHeight="1" thickBot="1">
      <c r="A173" s="858"/>
      <c r="B173" s="859"/>
      <c r="C173" s="54" t="s">
        <v>29</v>
      </c>
      <c r="D173" s="860">
        <v>1454</v>
      </c>
      <c r="E173" s="56">
        <v>7.3771000000000004</v>
      </c>
      <c r="F173" s="861"/>
      <c r="G173" s="414">
        <f t="shared" ref="G173" si="36">ROUND(D173*E173,2)</f>
        <v>10726.3</v>
      </c>
      <c r="H173" s="280"/>
      <c r="I173" s="281"/>
      <c r="J173" s="281"/>
      <c r="K173" s="282"/>
      <c r="L173" s="204"/>
      <c r="M173" s="371"/>
      <c r="N173" s="426"/>
      <c r="O173" s="416"/>
      <c r="P173" s="416"/>
      <c r="Q173" s="417"/>
      <c r="R173" s="422"/>
      <c r="S173" s="399"/>
      <c r="T173" s="399"/>
    </row>
    <row r="174" spans="1:21" s="81" customFormat="1" ht="15.75" hidden="1" customHeight="1">
      <c r="A174" s="902">
        <v>107</v>
      </c>
      <c r="B174" s="903" t="s">
        <v>239</v>
      </c>
      <c r="C174" s="439" t="s">
        <v>260</v>
      </c>
      <c r="D174" s="904"/>
      <c r="E174" s="23">
        <f>6.9835-7.2015</f>
        <v>-0.21799999999999997</v>
      </c>
      <c r="F174" s="905"/>
      <c r="G174" s="22">
        <f>ROUND(D174*E174,2)</f>
        <v>0</v>
      </c>
      <c r="H174" s="303"/>
      <c r="I174" s="23"/>
      <c r="J174" s="23"/>
      <c r="K174" s="304"/>
      <c r="L174" s="263">
        <f>SUM(G174:G176)</f>
        <v>0</v>
      </c>
      <c r="M174" s="26"/>
      <c r="N174" s="421"/>
      <c r="O174" s="77"/>
      <c r="P174" s="77"/>
      <c r="Q174" s="384"/>
      <c r="R174" s="422"/>
      <c r="S174" s="399"/>
      <c r="T174" s="399"/>
    </row>
    <row r="175" spans="1:21" s="81" customFormat="1" ht="15.75" hidden="1" customHeight="1">
      <c r="A175" s="468"/>
      <c r="B175" s="469"/>
      <c r="C175" s="48" t="s">
        <v>263</v>
      </c>
      <c r="D175" s="471"/>
      <c r="E175" s="41">
        <v>6.9835000000000003</v>
      </c>
      <c r="F175" s="473"/>
      <c r="G175" s="449">
        <f>ROUND(D175*E175,2)</f>
        <v>0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1" s="81" customFormat="1" ht="15.75" hidden="1" customHeight="1" thickBot="1">
      <c r="A176" s="858"/>
      <c r="B176" s="859"/>
      <c r="C176" s="54" t="s">
        <v>29</v>
      </c>
      <c r="D176" s="860"/>
      <c r="E176" s="56">
        <v>6.9835000000000003</v>
      </c>
      <c r="F176" s="861"/>
      <c r="G176" s="414">
        <f t="shared" ref="G176" si="37">ROUND(D176*E176,2)</f>
        <v>0</v>
      </c>
      <c r="H176" s="280"/>
      <c r="I176" s="281"/>
      <c r="J176" s="281"/>
      <c r="K176" s="282"/>
      <c r="L176" s="204"/>
      <c r="M176" s="371"/>
      <c r="N176" s="426"/>
      <c r="O176" s="416"/>
      <c r="P176" s="416"/>
      <c r="Q176" s="417"/>
      <c r="R176" s="422"/>
      <c r="S176" s="399"/>
      <c r="T176" s="399"/>
    </row>
    <row r="177" spans="1:20" s="81" customFormat="1" ht="15.75" customHeight="1">
      <c r="A177" s="447">
        <v>107</v>
      </c>
      <c r="B177" s="438" t="s">
        <v>325</v>
      </c>
      <c r="C177" s="439" t="s">
        <v>260</v>
      </c>
      <c r="D177" s="900">
        <f>мар19!D169+мар19!D170</f>
        <v>315.76</v>
      </c>
      <c r="E177" s="23">
        <f>7.3771-7.5269</f>
        <v>-0.14979999999999993</v>
      </c>
      <c r="F177" s="23"/>
      <c r="G177" s="22">
        <f>ROUND(D177*E177,2)</f>
        <v>-47.3</v>
      </c>
      <c r="H177" s="303"/>
      <c r="I177" s="23"/>
      <c r="J177" s="23"/>
      <c r="K177" s="304"/>
      <c r="L177" s="263">
        <f>SUM(G177:G179)</f>
        <v>3657.48</v>
      </c>
      <c r="M177" s="26">
        <v>3657.48</v>
      </c>
      <c r="N177" s="421"/>
      <c r="O177" s="77"/>
      <c r="P177" s="77"/>
      <c r="Q177" s="384"/>
      <c r="R177" s="422"/>
      <c r="S177" s="399"/>
      <c r="T177" s="399"/>
    </row>
    <row r="178" spans="1:20" s="81" customFormat="1" ht="15.75" customHeight="1">
      <c r="A178" s="450"/>
      <c r="B178" s="442"/>
      <c r="C178" s="48" t="s">
        <v>263</v>
      </c>
      <c r="D178" s="448">
        <v>1.2</v>
      </c>
      <c r="E178" s="41">
        <v>7.3771000000000004</v>
      </c>
      <c r="F178" s="261"/>
      <c r="G178" s="449">
        <f t="shared" ref="G178:G179" si="38">ROUND(D178*E178,2)</f>
        <v>8.85</v>
      </c>
      <c r="H178" s="260"/>
      <c r="I178" s="261"/>
      <c r="J178" s="261"/>
      <c r="K178" s="262"/>
      <c r="L178" s="286"/>
      <c r="M178" s="90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 thickBot="1">
      <c r="A179" s="451"/>
      <c r="B179" s="446"/>
      <c r="C179" s="54" t="s">
        <v>29</v>
      </c>
      <c r="D179" s="901">
        <v>501</v>
      </c>
      <c r="E179" s="56">
        <v>7.3771000000000004</v>
      </c>
      <c r="F179" s="281"/>
      <c r="G179" s="414">
        <f t="shared" si="38"/>
        <v>3695.93</v>
      </c>
      <c r="H179" s="280"/>
      <c r="I179" s="281"/>
      <c r="J179" s="281"/>
      <c r="K179" s="282"/>
      <c r="L179" s="204"/>
      <c r="M179" s="371"/>
      <c r="N179" s="426"/>
      <c r="O179" s="416"/>
      <c r="P179" s="416"/>
      <c r="Q179" s="417"/>
      <c r="R179" s="422"/>
      <c r="S179" s="399"/>
      <c r="T179" s="399"/>
    </row>
    <row r="180" spans="1:20" s="81" customFormat="1" ht="15.75" customHeight="1">
      <c r="A180" s="902">
        <v>108</v>
      </c>
      <c r="B180" s="903" t="s">
        <v>168</v>
      </c>
      <c r="C180" s="439" t="s">
        <v>260</v>
      </c>
      <c r="D180" s="904">
        <f>мар19!D172+мар19!D173</f>
        <v>316.76</v>
      </c>
      <c r="E180" s="23">
        <f>7.3771-7.5269</f>
        <v>-0.14979999999999993</v>
      </c>
      <c r="F180" s="905"/>
      <c r="G180" s="22">
        <f>ROUND(D180*E180,2)</f>
        <v>-47.45</v>
      </c>
      <c r="H180" s="303"/>
      <c r="I180" s="23"/>
      <c r="J180" s="23"/>
      <c r="K180" s="304"/>
      <c r="L180" s="263">
        <f>SUM(G180:G182)</f>
        <v>1904.75</v>
      </c>
      <c r="M180" s="26">
        <v>1904.75</v>
      </c>
      <c r="N180" s="421"/>
      <c r="O180" s="77"/>
      <c r="P180" s="77"/>
      <c r="Q180" s="384"/>
      <c r="R180" s="422"/>
      <c r="S180" s="399"/>
      <c r="T180" s="399"/>
    </row>
    <row r="181" spans="1:20" s="81" customFormat="1" ht="15.75" customHeight="1">
      <c r="A181" s="468"/>
      <c r="B181" s="469"/>
      <c r="C181" s="48" t="s">
        <v>263</v>
      </c>
      <c r="D181" s="471">
        <v>0.63</v>
      </c>
      <c r="E181" s="41">
        <v>7.3771000000000004</v>
      </c>
      <c r="F181" s="473"/>
      <c r="G181" s="449">
        <f>ROUND(D181*E181,2)</f>
        <v>4.6500000000000004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0" s="81" customFormat="1" ht="15.75" customHeight="1" thickBot="1">
      <c r="A182" s="858"/>
      <c r="B182" s="859"/>
      <c r="C182" s="520" t="s">
        <v>29</v>
      </c>
      <c r="D182" s="471">
        <v>264</v>
      </c>
      <c r="E182" s="876">
        <v>7.3771000000000004</v>
      </c>
      <c r="F182" s="473"/>
      <c r="G182" s="453">
        <f t="shared" ref="G182" si="39">ROUND(D182*E182,2)</f>
        <v>1947.55</v>
      </c>
      <c r="H182" s="432"/>
      <c r="I182" s="207"/>
      <c r="J182" s="207"/>
      <c r="K182" s="362"/>
      <c r="L182" s="433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.75" customHeight="1">
      <c r="A183" s="376">
        <v>109</v>
      </c>
      <c r="B183" s="924" t="s">
        <v>175</v>
      </c>
      <c r="C183" s="439" t="s">
        <v>260</v>
      </c>
      <c r="D183" s="378">
        <f>мар19!D175+мар19!D176</f>
        <v>1175.82</v>
      </c>
      <c r="E183" s="23">
        <f>7.3771-7.5269</f>
        <v>-0.14979999999999993</v>
      </c>
      <c r="F183" s="23"/>
      <c r="G183" s="22">
        <f>ROUND(D183*E183,2)</f>
        <v>-176.14</v>
      </c>
      <c r="H183" s="303"/>
      <c r="I183" s="23"/>
      <c r="J183" s="23"/>
      <c r="K183" s="185"/>
      <c r="L183" s="263">
        <f>SUM(G183:G187)+SUM(J183:J187)</f>
        <v>5607.46</v>
      </c>
      <c r="M183" s="877">
        <v>5607.46</v>
      </c>
      <c r="N183" s="443"/>
      <c r="O183" s="94"/>
      <c r="P183" s="94"/>
      <c r="Q183" s="396"/>
      <c r="R183" s="422"/>
      <c r="S183" s="399"/>
      <c r="T183" s="399"/>
    </row>
    <row r="184" spans="1:20" s="81" customFormat="1" ht="15.75" customHeight="1">
      <c r="A184" s="389"/>
      <c r="B184" s="920"/>
      <c r="C184" s="48" t="s">
        <v>263</v>
      </c>
      <c r="D184" s="37">
        <v>1.85</v>
      </c>
      <c r="E184" s="41">
        <v>7.3771000000000004</v>
      </c>
      <c r="F184" s="41"/>
      <c r="G184" s="39">
        <f>ROUND(D184*E184,2)</f>
        <v>13.65</v>
      </c>
      <c r="H184" s="270"/>
      <c r="I184" s="41"/>
      <c r="J184" s="41"/>
      <c r="K184" s="50"/>
      <c r="L184" s="272"/>
      <c r="M184" s="9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>
      <c r="A185" s="389"/>
      <c r="B185" s="920"/>
      <c r="C185" s="99" t="s">
        <v>29</v>
      </c>
      <c r="D185" s="37">
        <v>770</v>
      </c>
      <c r="E185" s="101">
        <v>7.3771000000000004</v>
      </c>
      <c r="F185" s="41"/>
      <c r="G185" s="39">
        <f t="shared" ref="G185" si="40">ROUND(D185*E185,2)</f>
        <v>5680.37</v>
      </c>
      <c r="H185" s="270"/>
      <c r="I185" s="41"/>
      <c r="J185" s="41"/>
      <c r="K185" s="50"/>
      <c r="L185" s="272"/>
      <c r="M185" s="990"/>
      <c r="N185" s="423"/>
      <c r="O185" s="406"/>
      <c r="P185" s="406"/>
      <c r="Q185" s="407"/>
      <c r="R185" s="422"/>
      <c r="S185" s="399"/>
      <c r="T185" s="399"/>
    </row>
    <row r="186" spans="1:20" s="81" customFormat="1" ht="15.75" customHeight="1" thickBot="1">
      <c r="A186" s="389"/>
      <c r="B186" s="920"/>
      <c r="C186" s="99" t="s">
        <v>73</v>
      </c>
      <c r="D186" s="37">
        <v>1</v>
      </c>
      <c r="E186" s="101">
        <v>41.244</v>
      </c>
      <c r="F186" s="41">
        <v>48.335999999999999</v>
      </c>
      <c r="G186" s="39">
        <f>+D186*(E186+F186)</f>
        <v>89.58</v>
      </c>
      <c r="H186" s="270"/>
      <c r="I186" s="41"/>
      <c r="J186" s="41"/>
      <c r="K186" s="50"/>
      <c r="L186" s="272"/>
      <c r="M186" s="880"/>
      <c r="N186" s="426"/>
      <c r="O186" s="416"/>
      <c r="P186" s="416"/>
      <c r="Q186" s="417"/>
      <c r="R186" s="422"/>
      <c r="S186" s="399"/>
      <c r="T186" s="399"/>
    </row>
    <row r="187" spans="1:20" s="81" customFormat="1" ht="15.75" customHeight="1" thickBot="1">
      <c r="A187" s="411"/>
      <c r="B187" s="921"/>
      <c r="C187" s="54" t="s">
        <v>264</v>
      </c>
      <c r="D187" s="413"/>
      <c r="E187" s="56"/>
      <c r="F187" s="281"/>
      <c r="G187" s="414">
        <f>+D187*(E187+F187)</f>
        <v>0</v>
      </c>
      <c r="H187" s="280"/>
      <c r="I187" s="281"/>
      <c r="J187" s="281"/>
      <c r="K187" s="58"/>
      <c r="L187" s="204"/>
      <c r="M187" s="880"/>
      <c r="N187" s="426"/>
      <c r="O187" s="416"/>
      <c r="P187" s="416"/>
      <c r="Q187" s="417"/>
      <c r="R187" s="422"/>
      <c r="S187" s="399"/>
      <c r="T187" s="399"/>
    </row>
    <row r="188" spans="1:20" s="81" customFormat="1" ht="15.75" customHeight="1">
      <c r="A188" s="376">
        <v>117</v>
      </c>
      <c r="B188" s="420" t="s">
        <v>72</v>
      </c>
      <c r="C188" s="390" t="s">
        <v>73</v>
      </c>
      <c r="D188" s="869">
        <v>132</v>
      </c>
      <c r="E188" s="86">
        <v>41.244</v>
      </c>
      <c r="F188" s="86">
        <v>48.335999999999999</v>
      </c>
      <c r="G188" s="449">
        <f>+D188*(E188+F188)</f>
        <v>11824.56</v>
      </c>
      <c r="H188" s="260"/>
      <c r="I188" s="392"/>
      <c r="J188" s="392"/>
      <c r="K188" s="870"/>
      <c r="L188" s="286">
        <f>SUM(G188:G192,J188:J192)</f>
        <v>223470.25999999998</v>
      </c>
      <c r="M188" s="26">
        <v>223470.26</v>
      </c>
      <c r="N188" s="421"/>
      <c r="O188" s="77"/>
      <c r="P188" s="77"/>
      <c r="Q188" s="384"/>
      <c r="R188" s="422"/>
      <c r="S188" s="399"/>
      <c r="T188" s="399"/>
    </row>
    <row r="189" spans="1:20" s="81" customFormat="1" ht="15.75" customHeight="1">
      <c r="A189" s="389"/>
      <c r="B189" s="83"/>
      <c r="C189" s="84" t="s">
        <v>26</v>
      </c>
      <c r="D189" s="37"/>
      <c r="E189" s="38"/>
      <c r="F189" s="38"/>
      <c r="G189" s="39">
        <f>ROUND(D189*(E189+F189),2)</f>
        <v>0</v>
      </c>
      <c r="H189" s="270"/>
      <c r="I189" s="392"/>
      <c r="J189" s="402"/>
      <c r="K189" s="393"/>
      <c r="L189" s="272"/>
      <c r="M189" s="102"/>
      <c r="N189" s="423"/>
      <c r="O189" s="406"/>
      <c r="P189" s="406"/>
      <c r="Q189" s="407"/>
      <c r="R189" s="422"/>
      <c r="S189" s="399"/>
      <c r="T189" s="399"/>
    </row>
    <row r="190" spans="1:20" s="81" customFormat="1" ht="15.75" customHeight="1">
      <c r="A190" s="389"/>
      <c r="B190" s="83"/>
      <c r="C190" s="48" t="s">
        <v>260</v>
      </c>
      <c r="D190" s="37">
        <f>мар19!D182+мар19!D183</f>
        <v>32537.9</v>
      </c>
      <c r="E190" s="41">
        <f>7.3771-7.5269</f>
        <v>-0.14979999999999993</v>
      </c>
      <c r="F190" s="38"/>
      <c r="G190" s="39">
        <f>ROUND(D190*(E190),2)</f>
        <v>-4874.18</v>
      </c>
      <c r="H190" s="270"/>
      <c r="I190" s="41"/>
      <c r="J190" s="41"/>
      <c r="K190" s="271"/>
      <c r="L190" s="272"/>
      <c r="M190" s="102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389"/>
      <c r="B191" s="83"/>
      <c r="C191" s="48" t="s">
        <v>263</v>
      </c>
      <c r="D191" s="37">
        <v>70.27</v>
      </c>
      <c r="E191" s="41">
        <v>7.3771000000000004</v>
      </c>
      <c r="F191" s="38"/>
      <c r="G191" s="39">
        <f>ROUND(D191*(E191),2)</f>
        <v>518.39</v>
      </c>
      <c r="H191" s="270"/>
      <c r="I191" s="41"/>
      <c r="J191" s="41"/>
      <c r="K191" s="271"/>
      <c r="L191" s="272"/>
      <c r="M191" s="102"/>
      <c r="N191" s="423"/>
      <c r="O191" s="406"/>
      <c r="P191" s="406"/>
      <c r="Q191" s="425"/>
      <c r="R191" s="422"/>
      <c r="S191" s="399"/>
      <c r="T191" s="399"/>
    </row>
    <row r="192" spans="1:20" s="81" customFormat="1" ht="15.75" customHeight="1" thickBot="1">
      <c r="A192" s="411"/>
      <c r="B192" s="412"/>
      <c r="C192" s="99" t="s">
        <v>29</v>
      </c>
      <c r="D192" s="413">
        <v>29280</v>
      </c>
      <c r="E192" s="56">
        <v>7.3771000000000004</v>
      </c>
      <c r="F192" s="281"/>
      <c r="G192" s="414">
        <f>ROUND(D192*(E192),2)</f>
        <v>216001.49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376">
        <v>118</v>
      </c>
      <c r="B193" s="924" t="s">
        <v>321</v>
      </c>
      <c r="C193" s="377" t="s">
        <v>73</v>
      </c>
      <c r="D193" s="378">
        <v>57</v>
      </c>
      <c r="E193" s="21">
        <v>41.244</v>
      </c>
      <c r="F193" s="21">
        <v>48.335999999999999</v>
      </c>
      <c r="G193" s="22">
        <f>+D193*(E193+F193)</f>
        <v>5106.0599999999995</v>
      </c>
      <c r="H193" s="303"/>
      <c r="I193" s="381"/>
      <c r="J193" s="41"/>
      <c r="K193" s="342"/>
      <c r="L193" s="263">
        <f>SUM(G193:G197,J193:J197)</f>
        <v>50162.58</v>
      </c>
      <c r="M193" s="26">
        <v>50162.58</v>
      </c>
      <c r="N193" s="421"/>
      <c r="O193" s="77"/>
      <c r="P193" s="77"/>
      <c r="Q193" s="384"/>
      <c r="R193" s="422"/>
      <c r="S193" s="399"/>
      <c r="T193" s="399"/>
    </row>
    <row r="194" spans="1:20" s="81" customFormat="1" ht="15.75" customHeight="1">
      <c r="A194" s="389"/>
      <c r="B194" s="920"/>
      <c r="C194" s="36" t="s">
        <v>26</v>
      </c>
      <c r="D194" s="37"/>
      <c r="E194" s="38"/>
      <c r="F194" s="38"/>
      <c r="G194" s="39">
        <f>ROUND(D194*(E194+F194),2)</f>
        <v>0</v>
      </c>
      <c r="H194" s="457"/>
      <c r="I194" s="392"/>
      <c r="J194" s="41"/>
      <c r="K194" s="393"/>
      <c r="L194" s="459"/>
      <c r="M194" s="44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389"/>
      <c r="B195" s="920"/>
      <c r="C195" s="48" t="s">
        <v>260</v>
      </c>
      <c r="D195" s="37">
        <f>мар19!D187+мар19!D188</f>
        <v>7009.78</v>
      </c>
      <c r="E195" s="41">
        <f>7.3771-7.5269</f>
        <v>-0.14979999999999993</v>
      </c>
      <c r="F195" s="38"/>
      <c r="G195" s="39">
        <f>ROUND(D195*(E195),2)+0.01</f>
        <v>-1050.06</v>
      </c>
      <c r="H195" s="270"/>
      <c r="I195" s="41"/>
      <c r="J195" s="41"/>
      <c r="K195" s="271"/>
      <c r="L195" s="272"/>
      <c r="M195" s="102"/>
      <c r="N195" s="430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389"/>
      <c r="B196" s="920"/>
      <c r="C196" s="48" t="s">
        <v>263</v>
      </c>
      <c r="D196" s="37">
        <v>14.96</v>
      </c>
      <c r="E196" s="41">
        <v>7.3771000000000004</v>
      </c>
      <c r="F196" s="38"/>
      <c r="G196" s="39">
        <f>ROUND(D196*(E196),2)</f>
        <v>110.36</v>
      </c>
      <c r="H196" s="270"/>
      <c r="I196" s="41"/>
      <c r="J196" s="41"/>
      <c r="K196" s="271"/>
      <c r="L196" s="272"/>
      <c r="M196" s="102"/>
      <c r="N196" s="434"/>
      <c r="O196" s="435"/>
      <c r="P196" s="435"/>
      <c r="Q196" s="425"/>
      <c r="R196" s="422"/>
      <c r="S196" s="399"/>
      <c r="T196" s="399"/>
    </row>
    <row r="197" spans="1:20" s="81" customFormat="1" ht="15.75" customHeight="1" thickBot="1">
      <c r="A197" s="411"/>
      <c r="B197" s="921"/>
      <c r="C197" s="54" t="s">
        <v>29</v>
      </c>
      <c r="D197" s="413">
        <v>6235</v>
      </c>
      <c r="E197" s="56">
        <v>7.3771000000000004</v>
      </c>
      <c r="F197" s="281"/>
      <c r="G197" s="414">
        <f>ROUND(D197*(E197),2)</f>
        <v>45996.22</v>
      </c>
      <c r="H197" s="432"/>
      <c r="I197" s="207"/>
      <c r="J197" s="207"/>
      <c r="K197" s="362"/>
      <c r="L197" s="433"/>
      <c r="M197" s="63"/>
      <c r="N197" s="434"/>
      <c r="O197" s="435"/>
      <c r="P197" s="435"/>
      <c r="Q197" s="425"/>
      <c r="R197" s="422"/>
      <c r="S197" s="399"/>
      <c r="T197" s="399"/>
    </row>
    <row r="198" spans="1:20" s="81" customFormat="1" ht="15.75" customHeight="1">
      <c r="A198" s="468">
        <v>121</v>
      </c>
      <c r="B198" s="699" t="s">
        <v>154</v>
      </c>
      <c r="C198" s="700" t="s">
        <v>260</v>
      </c>
      <c r="D198" s="471">
        <f>мар19!D190+мар19!D191</f>
        <v>337.81</v>
      </c>
      <c r="E198" s="261">
        <f>7.3771-7.5269</f>
        <v>-0.14979999999999993</v>
      </c>
      <c r="F198" s="473"/>
      <c r="G198" s="449">
        <f>ROUND(D198*E198,2)</f>
        <v>-50.6</v>
      </c>
      <c r="H198" s="303"/>
      <c r="I198" s="23"/>
      <c r="J198" s="23"/>
      <c r="K198" s="304"/>
      <c r="L198" s="263">
        <f>SUM(G198:G200)</f>
        <v>2130.8799999999997</v>
      </c>
      <c r="M198" s="26">
        <v>2130.88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263</v>
      </c>
      <c r="D199" s="471">
        <v>0.71</v>
      </c>
      <c r="E199" s="41">
        <v>7.3771000000000004</v>
      </c>
      <c r="F199" s="473"/>
      <c r="G199" s="449">
        <f>ROUND(D199*E199,2)</f>
        <v>5.24</v>
      </c>
      <c r="H199" s="260"/>
      <c r="I199" s="261"/>
      <c r="J199" s="261"/>
      <c r="K199" s="262"/>
      <c r="L199" s="28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858"/>
      <c r="B200" s="859"/>
      <c r="C200" s="54" t="s">
        <v>29</v>
      </c>
      <c r="D200" s="860">
        <v>295</v>
      </c>
      <c r="E200" s="56">
        <v>7.3771000000000004</v>
      </c>
      <c r="F200" s="861"/>
      <c r="G200" s="414">
        <f t="shared" ref="G200" si="41">ROUND(D200*E200,2)</f>
        <v>2176.2399999999998</v>
      </c>
      <c r="H200" s="280"/>
      <c r="I200" s="281"/>
      <c r="J200" s="281"/>
      <c r="K200" s="282"/>
      <c r="L200" s="204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customHeight="1">
      <c r="A201" s="376">
        <v>202</v>
      </c>
      <c r="B201" s="420" t="s">
        <v>74</v>
      </c>
      <c r="C201" s="377" t="s">
        <v>73</v>
      </c>
      <c r="D201" s="378">
        <v>14</v>
      </c>
      <c r="E201" s="21">
        <v>41.244</v>
      </c>
      <c r="F201" s="21">
        <v>48.335999999999999</v>
      </c>
      <c r="G201" s="22">
        <f>ROUND(D201*(E201+F201),2)</f>
        <v>1254.1199999999999</v>
      </c>
      <c r="H201" s="303"/>
      <c r="I201" s="381"/>
      <c r="J201" s="381"/>
      <c r="K201" s="342"/>
      <c r="L201" s="263">
        <f>SUM(G201:G207,J201:J207)</f>
        <v>22117.37</v>
      </c>
      <c r="M201" s="26">
        <v>22117.37</v>
      </c>
      <c r="N201" s="421"/>
      <c r="O201" s="77"/>
      <c r="P201" s="77"/>
      <c r="Q201" s="384"/>
      <c r="R201" s="422"/>
      <c r="S201" s="399"/>
      <c r="T201" s="399"/>
    </row>
    <row r="202" spans="1:20" s="81" customFormat="1" ht="15.75" customHeight="1">
      <c r="A202" s="389"/>
      <c r="B202" s="98"/>
      <c r="C202" s="84" t="s">
        <v>26</v>
      </c>
      <c r="D202" s="37"/>
      <c r="E202" s="38"/>
      <c r="F202" s="38"/>
      <c r="G202" s="39">
        <f>ROUND(D202*(E202+F202),2)</f>
        <v>0</v>
      </c>
      <c r="H202" s="270"/>
      <c r="I202" s="392"/>
      <c r="J202" s="402"/>
      <c r="K202" s="393"/>
      <c r="L202" s="272"/>
      <c r="M202" s="102"/>
      <c r="N202" s="423"/>
      <c r="O202" s="406"/>
      <c r="P202" s="406"/>
      <c r="Q202" s="407"/>
      <c r="R202" s="422"/>
      <c r="S202" s="399"/>
      <c r="T202" s="399"/>
    </row>
    <row r="203" spans="1:20" s="81" customFormat="1" ht="15.75" customHeight="1">
      <c r="A203" s="389"/>
      <c r="B203" s="98" t="s">
        <v>32</v>
      </c>
      <c r="C203" s="99" t="s">
        <v>33</v>
      </c>
      <c r="D203" s="428">
        <v>8</v>
      </c>
      <c r="E203" s="101">
        <v>343.14</v>
      </c>
      <c r="F203" s="38">
        <f>F201</f>
        <v>48.335999999999999</v>
      </c>
      <c r="G203" s="39">
        <f>ROUND(D203*(E203+F203),2)</f>
        <v>3131.81</v>
      </c>
      <c r="H203" s="270"/>
      <c r="I203" s="41"/>
      <c r="J203" s="41"/>
      <c r="K203" s="271"/>
      <c r="L203" s="272"/>
      <c r="M203" s="102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>
      <c r="A204" s="389"/>
      <c r="B204" s="83"/>
      <c r="C204" s="48" t="s">
        <v>76</v>
      </c>
      <c r="D204" s="37">
        <f>мар19!D194</f>
        <v>7</v>
      </c>
      <c r="E204" s="41">
        <f>343.14-330.21</f>
        <v>12.930000000000007</v>
      </c>
      <c r="F204" s="38">
        <f>F202</f>
        <v>0</v>
      </c>
      <c r="G204" s="39">
        <f>ROUND(D204*(E204+F204),2)</f>
        <v>90.51</v>
      </c>
      <c r="H204" s="270"/>
      <c r="I204" s="41"/>
      <c r="J204" s="41"/>
      <c r="K204" s="271"/>
      <c r="L204" s="272"/>
      <c r="M204" s="102"/>
      <c r="N204" s="423"/>
      <c r="O204" s="406"/>
      <c r="P204" s="406"/>
      <c r="Q204" s="407"/>
      <c r="R204" s="422"/>
      <c r="S204" s="399"/>
      <c r="T204" s="399"/>
    </row>
    <row r="205" spans="1:20" s="81" customFormat="1" ht="15.75" customHeight="1">
      <c r="A205" s="389"/>
      <c r="B205" s="83"/>
      <c r="C205" s="48" t="s">
        <v>260</v>
      </c>
      <c r="D205" s="37">
        <f>мар19!D197+мар19!D198</f>
        <v>2686.43</v>
      </c>
      <c r="E205" s="41">
        <f>7.3771-7.5269</f>
        <v>-0.14979999999999993</v>
      </c>
      <c r="F205" s="38"/>
      <c r="G205" s="39">
        <f>ROUND(D205*(E205+F205),2)+0.01</f>
        <v>-402.42</v>
      </c>
      <c r="H205" s="270"/>
      <c r="I205" s="41"/>
      <c r="J205" s="41"/>
      <c r="K205" s="271"/>
      <c r="L205" s="272"/>
      <c r="M205" s="102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>
      <c r="A206" s="389"/>
      <c r="B206" s="83"/>
      <c r="C206" s="48" t="s">
        <v>263</v>
      </c>
      <c r="D206" s="37">
        <v>5.86</v>
      </c>
      <c r="E206" s="41">
        <v>7.3771000000000004</v>
      </c>
      <c r="F206" s="38"/>
      <c r="G206" s="39">
        <f>ROUND(D206*E206,2)</f>
        <v>43.23</v>
      </c>
      <c r="H206" s="270"/>
      <c r="I206" s="41"/>
      <c r="J206" s="41"/>
      <c r="K206" s="271"/>
      <c r="L206" s="272"/>
      <c r="M206" s="102"/>
      <c r="N206" s="423"/>
      <c r="O206" s="406"/>
      <c r="P206" s="406"/>
      <c r="Q206" s="425"/>
      <c r="R206" s="422"/>
      <c r="S206" s="399"/>
      <c r="T206" s="399"/>
    </row>
    <row r="207" spans="1:20" s="81" customFormat="1" ht="15" customHeight="1" thickBot="1">
      <c r="A207" s="411"/>
      <c r="B207" s="412"/>
      <c r="C207" s="99" t="s">
        <v>29</v>
      </c>
      <c r="D207" s="413">
        <v>2440</v>
      </c>
      <c r="E207" s="56">
        <v>7.3771000000000004</v>
      </c>
      <c r="F207" s="281"/>
      <c r="G207" s="414">
        <f>ROUND(D207*(E207+F207),2)</f>
        <v>18000.12</v>
      </c>
      <c r="H207" s="280"/>
      <c r="I207" s="281"/>
      <c r="J207" s="281"/>
      <c r="K207" s="282"/>
      <c r="L207" s="204"/>
      <c r="M207" s="371"/>
      <c r="N207" s="426"/>
      <c r="O207" s="416"/>
      <c r="P207" s="416"/>
      <c r="Q207" s="417"/>
      <c r="R207" s="422"/>
      <c r="S207" s="399"/>
      <c r="T207" s="399"/>
    </row>
    <row r="208" spans="1:20" s="81" customFormat="1" ht="15.75" hidden="1" customHeight="1">
      <c r="A208" s="902">
        <v>203</v>
      </c>
      <c r="B208" s="903" t="s">
        <v>230</v>
      </c>
      <c r="C208" s="439" t="s">
        <v>260</v>
      </c>
      <c r="D208" s="904"/>
      <c r="E208" s="23">
        <f>7.3771-7.5269</f>
        <v>-0.14979999999999993</v>
      </c>
      <c r="F208" s="905"/>
      <c r="G208" s="22">
        <f>ROUND(D208*E208,2)</f>
        <v>0</v>
      </c>
      <c r="H208" s="303"/>
      <c r="I208" s="23"/>
      <c r="J208" s="23"/>
      <c r="K208" s="304"/>
      <c r="L208" s="263">
        <f>SUM(G208:G210)</f>
        <v>0</v>
      </c>
      <c r="M208" s="26"/>
      <c r="N208" s="421"/>
      <c r="O208" s="1013" t="s">
        <v>319</v>
      </c>
      <c r="P208" s="77"/>
      <c r="Q208" s="384"/>
      <c r="R208" s="422"/>
      <c r="S208" s="399"/>
      <c r="T208" s="399"/>
    </row>
    <row r="209" spans="1:20" s="81" customFormat="1" ht="15.75" hidden="1" customHeight="1">
      <c r="A209" s="468"/>
      <c r="B209" s="469" t="s">
        <v>291</v>
      </c>
      <c r="C209" s="48" t="s">
        <v>263</v>
      </c>
      <c r="D209" s="471"/>
      <c r="E209" s="41">
        <v>7.3771000000000004</v>
      </c>
      <c r="F209" s="473"/>
      <c r="G209" s="449">
        <f>ROUND(D209*E209,2)</f>
        <v>0</v>
      </c>
      <c r="H209" s="260"/>
      <c r="I209" s="261"/>
      <c r="J209" s="261"/>
      <c r="K209" s="262"/>
      <c r="L209" s="286"/>
      <c r="M209" s="90"/>
      <c r="N209" s="423"/>
      <c r="O209" s="406"/>
      <c r="P209" s="406"/>
      <c r="Q209" s="407"/>
      <c r="R209" s="422"/>
      <c r="S209" s="399"/>
      <c r="T209" s="399"/>
    </row>
    <row r="210" spans="1:20" s="81" customFormat="1" ht="15.75" hidden="1" customHeight="1" thickBot="1">
      <c r="A210" s="858"/>
      <c r="B210" s="859"/>
      <c r="C210" s="54" t="s">
        <v>29</v>
      </c>
      <c r="D210" s="860"/>
      <c r="E210" s="56">
        <v>7.3771000000000004</v>
      </c>
      <c r="F210" s="861"/>
      <c r="G210" s="414">
        <f t="shared" ref="G210" si="42">ROUND(D210*E210,2)</f>
        <v>0</v>
      </c>
      <c r="H210" s="280"/>
      <c r="I210" s="281"/>
      <c r="J210" s="207"/>
      <c r="K210" s="362"/>
      <c r="L210" s="433"/>
      <c r="M210" s="63"/>
      <c r="N210" s="426"/>
      <c r="O210" s="416"/>
      <c r="P210" s="416"/>
      <c r="Q210" s="417"/>
      <c r="R210" s="422"/>
      <c r="S210" s="399"/>
      <c r="T210" s="399"/>
    </row>
    <row r="211" spans="1:20" s="81" customFormat="1" ht="15.75" hidden="1" customHeight="1">
      <c r="A211" s="902">
        <v>204</v>
      </c>
      <c r="B211" s="903" t="s">
        <v>257</v>
      </c>
      <c r="C211" s="439" t="s">
        <v>260</v>
      </c>
      <c r="D211" s="904"/>
      <c r="E211" s="23">
        <f>7.3771-7.5269</f>
        <v>-0.14979999999999993</v>
      </c>
      <c r="F211" s="905"/>
      <c r="G211" s="22">
        <f>ROUND(D211*E211,2)</f>
        <v>0</v>
      </c>
      <c r="H211" s="303"/>
      <c r="I211" s="23"/>
      <c r="J211" s="23"/>
      <c r="K211" s="304"/>
      <c r="L211" s="263">
        <f>SUM(G211:G213)</f>
        <v>0</v>
      </c>
      <c r="M211" s="26"/>
      <c r="N211" s="421"/>
      <c r="O211" s="77"/>
      <c r="P211" s="77"/>
      <c r="Q211" s="384"/>
      <c r="R211" s="422"/>
      <c r="S211" s="399"/>
      <c r="T211" s="399"/>
    </row>
    <row r="212" spans="1:20" s="81" customFormat="1" ht="15.75" hidden="1" customHeight="1">
      <c r="A212" s="468"/>
      <c r="B212" s="469"/>
      <c r="C212" s="48" t="s">
        <v>263</v>
      </c>
      <c r="D212" s="471"/>
      <c r="E212" s="41">
        <v>7.3771000000000004</v>
      </c>
      <c r="F212" s="473"/>
      <c r="G212" s="449">
        <f>ROUND(D212*E212,2)</f>
        <v>0</v>
      </c>
      <c r="H212" s="260"/>
      <c r="I212" s="261"/>
      <c r="J212" s="261"/>
      <c r="K212" s="262"/>
      <c r="L212" s="286"/>
      <c r="M212" s="90"/>
      <c r="N212" s="423"/>
      <c r="O212" s="406"/>
      <c r="P212" s="406"/>
      <c r="Q212" s="407"/>
      <c r="R212" s="422"/>
      <c r="S212" s="399"/>
      <c r="T212" s="399"/>
    </row>
    <row r="213" spans="1:20" s="81" customFormat="1" ht="15.75" hidden="1" customHeight="1" thickBot="1">
      <c r="A213" s="858"/>
      <c r="B213" s="859"/>
      <c r="C213" s="54" t="s">
        <v>29</v>
      </c>
      <c r="D213" s="860"/>
      <c r="E213" s="56">
        <v>7.3771000000000004</v>
      </c>
      <c r="F213" s="861"/>
      <c r="G213" s="414">
        <f t="shared" ref="G213" si="43">ROUND(D213*E213,2)</f>
        <v>0</v>
      </c>
      <c r="H213" s="280"/>
      <c r="I213" s="281"/>
      <c r="J213" s="281"/>
      <c r="K213" s="282"/>
      <c r="L213" s="204"/>
      <c r="M213" s="371"/>
      <c r="N213" s="426"/>
      <c r="O213" s="416"/>
      <c r="P213" s="416"/>
      <c r="Q213" s="417"/>
      <c r="R213" s="422"/>
      <c r="S213" s="399"/>
      <c r="T213" s="399"/>
    </row>
    <row r="214" spans="1:20" s="81" customFormat="1" ht="15.75" customHeight="1">
      <c r="A214" s="902">
        <v>207</v>
      </c>
      <c r="B214" s="903" t="s">
        <v>248</v>
      </c>
      <c r="C214" s="439" t="s">
        <v>260</v>
      </c>
      <c r="D214" s="904">
        <f>мар19!D206+мар19!D207</f>
        <v>445.07</v>
      </c>
      <c r="E214" s="23">
        <f>7.3771-7.5269</f>
        <v>-0.14979999999999993</v>
      </c>
      <c r="F214" s="905"/>
      <c r="G214" s="22">
        <f>ROUND(D214*E214,2)</f>
        <v>-66.67</v>
      </c>
      <c r="H214" s="303"/>
      <c r="I214" s="23"/>
      <c r="J214" s="23"/>
      <c r="K214" s="304"/>
      <c r="L214" s="263">
        <f>SUM(G214:G216)</f>
        <v>2602.88</v>
      </c>
      <c r="M214" s="26">
        <v>2602.88</v>
      </c>
      <c r="N214" s="421"/>
      <c r="O214" s="77"/>
      <c r="P214" s="77"/>
      <c r="Q214" s="384"/>
      <c r="R214" s="422"/>
      <c r="S214" s="399"/>
      <c r="T214" s="399"/>
    </row>
    <row r="215" spans="1:20" s="81" customFormat="1" ht="15.75" customHeight="1">
      <c r="A215" s="468"/>
      <c r="B215" s="469"/>
      <c r="C215" s="48" t="s">
        <v>263</v>
      </c>
      <c r="D215" s="471">
        <v>0.87</v>
      </c>
      <c r="E215" s="41">
        <v>7.3771000000000004</v>
      </c>
      <c r="F215" s="473"/>
      <c r="G215" s="449">
        <f>ROUND(D215*E215,2)</f>
        <v>6.42</v>
      </c>
      <c r="H215" s="260"/>
      <c r="I215" s="261"/>
      <c r="J215" s="261"/>
      <c r="K215" s="262"/>
      <c r="L215" s="286"/>
      <c r="M215" s="90"/>
      <c r="N215" s="423"/>
      <c r="O215" s="406"/>
      <c r="P215" s="406"/>
      <c r="Q215" s="407"/>
      <c r="R215" s="422"/>
      <c r="S215" s="399"/>
      <c r="T215" s="399"/>
    </row>
    <row r="216" spans="1:20" s="81" customFormat="1" ht="15.75" customHeight="1" thickBot="1">
      <c r="A216" s="858"/>
      <c r="B216" s="859"/>
      <c r="C216" s="54" t="s">
        <v>29</v>
      </c>
      <c r="D216" s="860">
        <v>361</v>
      </c>
      <c r="E216" s="56">
        <v>7.3771000000000004</v>
      </c>
      <c r="F216" s="861"/>
      <c r="G216" s="414">
        <f t="shared" ref="G216" si="44">ROUND(D216*E216,2)</f>
        <v>2663.13</v>
      </c>
      <c r="H216" s="280"/>
      <c r="I216" s="281"/>
      <c r="J216" s="207"/>
      <c r="K216" s="362"/>
      <c r="L216" s="433"/>
      <c r="M216" s="63"/>
      <c r="N216" s="426"/>
      <c r="O216" s="416"/>
      <c r="P216" s="416"/>
      <c r="Q216" s="417"/>
      <c r="R216" s="422"/>
      <c r="S216" s="399"/>
      <c r="T216" s="399"/>
    </row>
    <row r="217" spans="1:20" s="81" customFormat="1" ht="15.75" customHeight="1">
      <c r="A217" s="906">
        <v>208</v>
      </c>
      <c r="B217" s="903" t="s">
        <v>316</v>
      </c>
      <c r="C217" s="48" t="s">
        <v>260</v>
      </c>
      <c r="D217" s="471">
        <f>мар19!D209+мар19!D210</f>
        <v>213.51</v>
      </c>
      <c r="E217" s="41">
        <f>7.3771-7.5269</f>
        <v>-0.14979999999999993</v>
      </c>
      <c r="F217" s="473"/>
      <c r="G217" s="862">
        <f>ROUND(D217*E217,2)</f>
        <v>-31.98</v>
      </c>
      <c r="H217" s="270"/>
      <c r="I217" s="41"/>
      <c r="J217" s="41"/>
      <c r="K217" s="271"/>
      <c r="L217" s="263">
        <f>SUM(G217:G219)</f>
        <v>2201.21</v>
      </c>
      <c r="M217" s="878">
        <v>2201.21</v>
      </c>
      <c r="N217" s="421"/>
      <c r="O217" s="406"/>
      <c r="P217" s="406"/>
      <c r="Q217" s="407"/>
      <c r="R217" s="422"/>
      <c r="S217" s="399"/>
      <c r="T217" s="399"/>
    </row>
    <row r="218" spans="1:20" s="81" customFormat="1" ht="15.75" customHeight="1">
      <c r="A218" s="468"/>
      <c r="B218" s="469"/>
      <c r="C218" s="48" t="s">
        <v>263</v>
      </c>
      <c r="D218" s="471">
        <v>0.72</v>
      </c>
      <c r="E218" s="41">
        <v>7.3771000000000004</v>
      </c>
      <c r="F218" s="473"/>
      <c r="G218" s="862">
        <f>ROUND(D218*E218,2)</f>
        <v>5.31</v>
      </c>
      <c r="H218" s="270"/>
      <c r="I218" s="41"/>
      <c r="J218" s="41"/>
      <c r="K218" s="271"/>
      <c r="L218" s="272"/>
      <c r="M218" s="878"/>
      <c r="N218" s="423"/>
      <c r="O218" s="406"/>
      <c r="P218" s="406"/>
      <c r="Q218" s="407"/>
      <c r="R218" s="422"/>
      <c r="S218" s="399"/>
      <c r="T218" s="399"/>
    </row>
    <row r="219" spans="1:20" s="81" customFormat="1" ht="15.75" customHeight="1" thickBot="1">
      <c r="A219" s="858"/>
      <c r="B219" s="859"/>
      <c r="C219" s="54" t="s">
        <v>29</v>
      </c>
      <c r="D219" s="860">
        <v>302</v>
      </c>
      <c r="E219" s="56">
        <v>7.3771000000000004</v>
      </c>
      <c r="F219" s="861"/>
      <c r="G219" s="866">
        <f t="shared" ref="G219" si="45">ROUND(D219*E219,2)</f>
        <v>2227.88</v>
      </c>
      <c r="H219" s="280"/>
      <c r="I219" s="281"/>
      <c r="J219" s="281"/>
      <c r="K219" s="282"/>
      <c r="L219" s="204"/>
      <c r="M219" s="880"/>
      <c r="N219" s="426"/>
      <c r="O219" s="416"/>
      <c r="P219" s="416"/>
      <c r="Q219" s="417"/>
      <c r="R219" s="422"/>
      <c r="S219" s="399"/>
      <c r="T219" s="399"/>
    </row>
    <row r="220" spans="1:20" s="81" customFormat="1" ht="15" customHeight="1">
      <c r="A220" s="376">
        <v>210</v>
      </c>
      <c r="B220" s="420" t="s">
        <v>77</v>
      </c>
      <c r="C220" s="377" t="s">
        <v>73</v>
      </c>
      <c r="D220" s="378">
        <v>1</v>
      </c>
      <c r="E220" s="21">
        <v>41.244</v>
      </c>
      <c r="F220" s="21">
        <v>48.335999999999999</v>
      </c>
      <c r="G220" s="22">
        <f t="shared" ref="G220:G226" si="46">ROUND(D220*(E220+F220),2)</f>
        <v>89.58</v>
      </c>
      <c r="H220" s="303"/>
      <c r="I220" s="381"/>
      <c r="J220" s="381"/>
      <c r="K220" s="342"/>
      <c r="L220" s="382">
        <f>+SUM(G220:G226,J220:J226)</f>
        <v>5512.45</v>
      </c>
      <c r="M220" s="26">
        <v>5512.45</v>
      </c>
      <c r="N220" s="421"/>
      <c r="O220" s="77"/>
      <c r="P220" s="77"/>
      <c r="Q220" s="384"/>
      <c r="R220" s="422"/>
      <c r="S220" s="399"/>
      <c r="T220" s="399"/>
    </row>
    <row r="221" spans="1:20" s="81" customFormat="1" ht="15" customHeight="1">
      <c r="A221" s="389"/>
      <c r="B221" s="83"/>
      <c r="C221" s="84" t="s">
        <v>26</v>
      </c>
      <c r="D221" s="37"/>
      <c r="E221" s="38"/>
      <c r="F221" s="38"/>
      <c r="G221" s="39">
        <f t="shared" si="46"/>
        <v>0</v>
      </c>
      <c r="H221" s="270"/>
      <c r="I221" s="392"/>
      <c r="J221" s="402"/>
      <c r="K221" s="393"/>
      <c r="L221" s="429"/>
      <c r="M221" s="102"/>
      <c r="N221" s="430"/>
      <c r="O221" s="406"/>
      <c r="P221" s="406"/>
      <c r="Q221" s="407"/>
      <c r="R221" s="422"/>
      <c r="S221" s="399"/>
      <c r="T221" s="399"/>
    </row>
    <row r="222" spans="1:20" s="81" customFormat="1" ht="15" customHeight="1">
      <c r="A222" s="389"/>
      <c r="B222" s="98" t="s">
        <v>32</v>
      </c>
      <c r="C222" s="99" t="s">
        <v>33</v>
      </c>
      <c r="D222" s="37">
        <v>3</v>
      </c>
      <c r="E222" s="101">
        <v>343.14</v>
      </c>
      <c r="F222" s="38">
        <f>F220</f>
        <v>48.335999999999999</v>
      </c>
      <c r="G222" s="39">
        <f t="shared" si="46"/>
        <v>1174.43</v>
      </c>
      <c r="H222" s="270"/>
      <c r="I222" s="41"/>
      <c r="J222" s="41"/>
      <c r="K222" s="271"/>
      <c r="L222" s="272"/>
      <c r="M222" s="102"/>
      <c r="N222" s="430"/>
      <c r="O222" s="406"/>
      <c r="P222" s="406"/>
      <c r="Q222" s="407"/>
      <c r="R222" s="422"/>
      <c r="S222" s="399"/>
      <c r="T222" s="399"/>
    </row>
    <row r="223" spans="1:20" s="81" customFormat="1" ht="15" customHeight="1">
      <c r="A223" s="389"/>
      <c r="B223" s="83"/>
      <c r="C223" s="48" t="s">
        <v>190</v>
      </c>
      <c r="D223" s="37">
        <f>мар19!D213</f>
        <v>4</v>
      </c>
      <c r="E223" s="41">
        <f>343.14-330.21</f>
        <v>12.930000000000007</v>
      </c>
      <c r="F223" s="38">
        <f>F221</f>
        <v>0</v>
      </c>
      <c r="G223" s="39">
        <f>ROUND(D223*(E223+F223),2)</f>
        <v>51.72</v>
      </c>
      <c r="H223" s="270"/>
      <c r="I223" s="41"/>
      <c r="J223" s="41"/>
      <c r="K223" s="271"/>
      <c r="L223" s="272"/>
      <c r="M223" s="102"/>
      <c r="N223" s="430"/>
      <c r="O223" s="406"/>
      <c r="P223" s="406"/>
      <c r="Q223" s="407"/>
      <c r="R223" s="422"/>
      <c r="S223" s="399"/>
      <c r="T223" s="399"/>
    </row>
    <row r="224" spans="1:20" s="81" customFormat="1" ht="15" customHeight="1">
      <c r="A224" s="389"/>
      <c r="B224" s="83"/>
      <c r="C224" s="48" t="s">
        <v>260</v>
      </c>
      <c r="D224" s="37">
        <f>мар19!D216+мар19!D217</f>
        <v>270.64999999999998</v>
      </c>
      <c r="E224" s="41">
        <f>7.3771-7.5269</f>
        <v>-0.14979999999999993</v>
      </c>
      <c r="F224" s="38"/>
      <c r="G224" s="39">
        <f>ROUND(D224*(E224+F224),2)</f>
        <v>-40.54</v>
      </c>
      <c r="H224" s="270"/>
      <c r="I224" s="41"/>
      <c r="J224" s="41"/>
      <c r="K224" s="271"/>
      <c r="L224" s="272"/>
      <c r="M224" s="102"/>
      <c r="N224" s="430"/>
      <c r="O224" s="406"/>
      <c r="P224" s="406"/>
      <c r="Q224" s="407"/>
      <c r="R224" s="899"/>
      <c r="S224" s="399"/>
      <c r="T224" s="399"/>
    </row>
    <row r="225" spans="1:20" s="81" customFormat="1" ht="15" customHeight="1">
      <c r="A225" s="389"/>
      <c r="B225" s="83"/>
      <c r="C225" s="48" t="s">
        <v>263</v>
      </c>
      <c r="D225" s="37">
        <v>1.38</v>
      </c>
      <c r="E225" s="41">
        <v>7.3771000000000004</v>
      </c>
      <c r="F225" s="38"/>
      <c r="G225" s="39">
        <f t="shared" si="46"/>
        <v>10.18</v>
      </c>
      <c r="H225" s="432"/>
      <c r="I225" s="207"/>
      <c r="J225" s="207"/>
      <c r="K225" s="362"/>
      <c r="L225" s="433"/>
      <c r="M225" s="63"/>
      <c r="N225" s="434"/>
      <c r="O225" s="435"/>
      <c r="P225" s="435"/>
      <c r="Q225" s="425"/>
      <c r="R225" s="899"/>
      <c r="S225" s="399"/>
      <c r="T225" s="399"/>
    </row>
    <row r="226" spans="1:20" s="81" customFormat="1" ht="15" customHeight="1" thickBot="1">
      <c r="A226" s="411"/>
      <c r="B226" s="412"/>
      <c r="C226" s="99" t="s">
        <v>29</v>
      </c>
      <c r="D226" s="413">
        <v>573</v>
      </c>
      <c r="E226" s="56">
        <v>7.3771000000000004</v>
      </c>
      <c r="F226" s="281"/>
      <c r="G226" s="414">
        <f t="shared" si="46"/>
        <v>4227.08</v>
      </c>
      <c r="H226" s="280"/>
      <c r="I226" s="281"/>
      <c r="J226" s="281"/>
      <c r="K226" s="282"/>
      <c r="L226" s="204"/>
      <c r="M226" s="371"/>
      <c r="N226" s="426"/>
      <c r="O226" s="416"/>
      <c r="P226" s="416"/>
      <c r="Q226" s="417"/>
      <c r="R226" s="899"/>
      <c r="S226" s="399"/>
      <c r="T226" s="399"/>
    </row>
    <row r="227" spans="1:20" s="81" customFormat="1" ht="15.75" customHeight="1">
      <c r="A227" s="447">
        <v>211</v>
      </c>
      <c r="B227" s="903" t="s">
        <v>231</v>
      </c>
      <c r="C227" s="439" t="s">
        <v>260</v>
      </c>
      <c r="D227" s="904">
        <f>мар19!D219+мар19!D220</f>
        <v>269.64999999999998</v>
      </c>
      <c r="E227" s="23">
        <f>7.3771-7.5269</f>
        <v>-0.14979999999999993</v>
      </c>
      <c r="F227" s="905"/>
      <c r="G227" s="22">
        <f>ROUND(D227*E227,2)-0.01</f>
        <v>-40.4</v>
      </c>
      <c r="H227" s="303"/>
      <c r="I227" s="23"/>
      <c r="J227" s="23"/>
      <c r="K227" s="304"/>
      <c r="L227" s="263">
        <f>SUM(G227:G229)</f>
        <v>1800.93</v>
      </c>
      <c r="M227" s="26">
        <v>1800.93</v>
      </c>
      <c r="N227" s="421"/>
      <c r="O227" s="77"/>
      <c r="P227" s="77"/>
      <c r="Q227" s="384"/>
      <c r="R227" s="422"/>
      <c r="S227" s="399"/>
      <c r="T227" s="399"/>
    </row>
    <row r="228" spans="1:20" s="81" customFormat="1" ht="15.75" customHeight="1">
      <c r="A228" s="450"/>
      <c r="B228" s="469"/>
      <c r="C228" s="48" t="s">
        <v>263</v>
      </c>
      <c r="D228" s="471">
        <v>0.6</v>
      </c>
      <c r="E228" s="41">
        <v>7.3771000000000004</v>
      </c>
      <c r="F228" s="473"/>
      <c r="G228" s="449">
        <f>ROUND(D228*E228,2)</f>
        <v>4.43</v>
      </c>
      <c r="H228" s="260"/>
      <c r="I228" s="261"/>
      <c r="J228" s="261"/>
      <c r="K228" s="262"/>
      <c r="L228" s="286"/>
      <c r="M228" s="90"/>
      <c r="N228" s="423"/>
      <c r="O228" s="406"/>
      <c r="P228" s="406"/>
      <c r="Q228" s="407"/>
      <c r="R228" s="422"/>
      <c r="S228" s="399"/>
      <c r="T228" s="399"/>
    </row>
    <row r="229" spans="1:20" s="81" customFormat="1" ht="15.75" customHeight="1" thickBot="1">
      <c r="A229" s="451"/>
      <c r="B229" s="859"/>
      <c r="C229" s="54" t="s">
        <v>29</v>
      </c>
      <c r="D229" s="860">
        <v>249</v>
      </c>
      <c r="E229" s="56">
        <v>7.3771000000000004</v>
      </c>
      <c r="F229" s="861"/>
      <c r="G229" s="414">
        <f t="shared" ref="G229" si="47">ROUND(D229*E229,2)</f>
        <v>1836.9</v>
      </c>
      <c r="H229" s="280"/>
      <c r="I229" s="281"/>
      <c r="J229" s="207"/>
      <c r="K229" s="362"/>
      <c r="L229" s="433"/>
      <c r="M229" s="63"/>
      <c r="N229" s="426"/>
      <c r="O229" s="416"/>
      <c r="P229" s="416"/>
      <c r="Q229" s="417"/>
      <c r="R229" s="422"/>
      <c r="S229" s="399"/>
      <c r="T229" s="399"/>
    </row>
    <row r="230" spans="1:20" s="81" customFormat="1" ht="15.75" customHeight="1">
      <c r="A230" s="447">
        <v>212</v>
      </c>
      <c r="B230" s="903" t="s">
        <v>140</v>
      </c>
      <c r="C230" s="439" t="s">
        <v>260</v>
      </c>
      <c r="D230" s="904">
        <f>мар19!D222+мар19!D223</f>
        <v>598.42999999999995</v>
      </c>
      <c r="E230" s="23">
        <f>7.3771-7.5269</f>
        <v>-0.14979999999999993</v>
      </c>
      <c r="F230" s="905"/>
      <c r="G230" s="22">
        <f>ROUND(D230*E230,2)</f>
        <v>-89.64</v>
      </c>
      <c r="H230" s="303"/>
      <c r="I230" s="23"/>
      <c r="J230" s="23"/>
      <c r="K230" s="304"/>
      <c r="L230" s="263">
        <f>SUM(G230:G232)</f>
        <v>3947.92</v>
      </c>
      <c r="M230" s="26">
        <v>3947.92</v>
      </c>
      <c r="N230" s="421"/>
      <c r="O230" s="77"/>
      <c r="P230" s="77"/>
      <c r="Q230" s="384"/>
      <c r="R230" s="422"/>
      <c r="S230" s="399"/>
      <c r="T230" s="399"/>
    </row>
    <row r="231" spans="1:20" s="81" customFormat="1" ht="15.75" customHeight="1">
      <c r="A231" s="450"/>
      <c r="B231" s="469"/>
      <c r="C231" s="48" t="s">
        <v>263</v>
      </c>
      <c r="D231" s="471">
        <v>1.31</v>
      </c>
      <c r="E231" s="41">
        <v>7.3771000000000004</v>
      </c>
      <c r="F231" s="473"/>
      <c r="G231" s="449">
        <f>ROUND(D231*E231,2)</f>
        <v>9.66</v>
      </c>
      <c r="H231" s="260"/>
      <c r="I231" s="261"/>
      <c r="J231" s="261"/>
      <c r="K231" s="262"/>
      <c r="L231" s="286"/>
      <c r="M231" s="90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451"/>
      <c r="B232" s="859"/>
      <c r="C232" s="54" t="s">
        <v>29</v>
      </c>
      <c r="D232" s="860">
        <v>546</v>
      </c>
      <c r="E232" s="56">
        <v>7.3771000000000004</v>
      </c>
      <c r="F232" s="861"/>
      <c r="G232" s="414">
        <f t="shared" ref="G232" si="48">ROUND(D232*E232,2)</f>
        <v>4027.9</v>
      </c>
      <c r="H232" s="280"/>
      <c r="I232" s="281"/>
      <c r="J232" s="207"/>
      <c r="K232" s="362"/>
      <c r="L232" s="433"/>
      <c r="M232" s="63"/>
      <c r="N232" s="426"/>
      <c r="O232" s="416"/>
      <c r="P232" s="416"/>
      <c r="Q232" s="417"/>
      <c r="R232" s="422"/>
      <c r="S232" s="399"/>
      <c r="T232" s="399"/>
    </row>
    <row r="233" spans="1:20" s="81" customFormat="1" ht="15.75" hidden="1" customHeight="1">
      <c r="A233" s="447">
        <v>213</v>
      </c>
      <c r="B233" s="903" t="s">
        <v>134</v>
      </c>
      <c r="C233" s="439" t="s">
        <v>260</v>
      </c>
      <c r="D233" s="904"/>
      <c r="E233" s="23">
        <f>7.0999-6.7991</f>
        <v>0.30079999999999973</v>
      </c>
      <c r="F233" s="905"/>
      <c r="G233" s="22">
        <f>ROUND(D233*E233,2)-0.01</f>
        <v>-0.01</v>
      </c>
      <c r="H233" s="303"/>
      <c r="I233" s="23"/>
      <c r="J233" s="23"/>
      <c r="K233" s="304"/>
      <c r="L233" s="263">
        <f>SUM(G233:G235)</f>
        <v>-0.01</v>
      </c>
      <c r="M233" s="26"/>
      <c r="N233" s="421"/>
      <c r="O233" s="77"/>
      <c r="P233" s="77"/>
      <c r="Q233" s="384"/>
      <c r="R233" s="422"/>
      <c r="S233" s="399"/>
      <c r="T233" s="399"/>
    </row>
    <row r="234" spans="1:20" s="81" customFormat="1" ht="15.75" hidden="1" customHeight="1">
      <c r="A234" s="450"/>
      <c r="B234" s="469"/>
      <c r="C234" s="48" t="s">
        <v>263</v>
      </c>
      <c r="D234" s="471"/>
      <c r="E234" s="41">
        <v>7.0998999999999999</v>
      </c>
      <c r="F234" s="473"/>
      <c r="G234" s="449">
        <f t="shared" ref="G234:G235" si="49">ROUND(D234*E234,2)</f>
        <v>0</v>
      </c>
      <c r="H234" s="260"/>
      <c r="I234" s="261"/>
      <c r="J234" s="261"/>
      <c r="K234" s="262"/>
      <c r="L234" s="286"/>
      <c r="M234" s="90"/>
      <c r="N234" s="423"/>
      <c r="O234" s="406"/>
      <c r="P234" s="406"/>
      <c r="Q234" s="407"/>
      <c r="R234" s="422"/>
      <c r="S234" s="399"/>
      <c r="T234" s="399"/>
    </row>
    <row r="235" spans="1:20" s="81" customFormat="1" ht="15.75" hidden="1" customHeight="1" thickBot="1">
      <c r="A235" s="451"/>
      <c r="B235" s="859"/>
      <c r="C235" s="54" t="s">
        <v>29</v>
      </c>
      <c r="D235" s="860"/>
      <c r="E235" s="56">
        <v>7.0998999999999999</v>
      </c>
      <c r="F235" s="861"/>
      <c r="G235" s="414">
        <f t="shared" si="49"/>
        <v>0</v>
      </c>
      <c r="H235" s="280"/>
      <c r="I235" s="281"/>
      <c r="J235" s="281"/>
      <c r="K235" s="282"/>
      <c r="L235" s="204"/>
      <c r="M235" s="371"/>
      <c r="N235" s="426"/>
      <c r="O235" s="416"/>
      <c r="P235" s="416"/>
      <c r="Q235" s="417"/>
      <c r="R235" s="422"/>
      <c r="S235" s="399"/>
      <c r="T235" s="399"/>
    </row>
    <row r="236" spans="1:20" s="81" customFormat="1" ht="15.75" customHeight="1">
      <c r="A236" s="447">
        <v>215</v>
      </c>
      <c r="B236" s="1222" t="s">
        <v>314</v>
      </c>
      <c r="C236" s="1223"/>
      <c r="D236" s="1224"/>
      <c r="E236" s="1147"/>
      <c r="F236" s="1225"/>
      <c r="G236" s="379">
        <f>ROUND(D236*E236,2)</f>
        <v>0</v>
      </c>
      <c r="H236" s="1226"/>
      <c r="I236" s="1147"/>
      <c r="J236" s="1147"/>
      <c r="K236" s="1227"/>
      <c r="L236" s="1228">
        <f>SUM(G236:G238)</f>
        <v>4332.7700000000004</v>
      </c>
      <c r="M236" s="1150">
        <v>4332.7700000000004</v>
      </c>
      <c r="N236" s="421"/>
      <c r="O236" s="77"/>
      <c r="P236" s="77"/>
      <c r="Q236" s="384"/>
      <c r="R236" s="422"/>
      <c r="S236" s="399"/>
      <c r="T236" s="399"/>
    </row>
    <row r="237" spans="1:20" s="81" customFormat="1" ht="15.75" customHeight="1">
      <c r="A237" s="450"/>
      <c r="B237" s="1151" t="s">
        <v>221</v>
      </c>
      <c r="C237" s="1160" t="s">
        <v>263</v>
      </c>
      <c r="D237" s="1229">
        <v>1.36</v>
      </c>
      <c r="E237" s="1155">
        <v>7.6098999999999997</v>
      </c>
      <c r="F237" s="1230"/>
      <c r="G237" s="1231">
        <f>ROUND(D237*E237,2)</f>
        <v>10.35</v>
      </c>
      <c r="H237" s="1232"/>
      <c r="I237" s="1233"/>
      <c r="J237" s="1233"/>
      <c r="K237" s="1234"/>
      <c r="L237" s="1235"/>
      <c r="M237" s="1236"/>
      <c r="N237" s="423"/>
      <c r="O237" s="406"/>
      <c r="P237" s="406"/>
      <c r="Q237" s="407"/>
      <c r="R237" s="422"/>
      <c r="S237" s="399"/>
      <c r="T237" s="399"/>
    </row>
    <row r="238" spans="1:20" s="81" customFormat="1" ht="15.75" customHeight="1" thickBot="1">
      <c r="A238" s="451"/>
      <c r="B238" s="1237"/>
      <c r="C238" s="1174" t="s">
        <v>29</v>
      </c>
      <c r="D238" s="1238">
        <v>568</v>
      </c>
      <c r="E238" s="1165">
        <v>7.6098999999999997</v>
      </c>
      <c r="F238" s="1239"/>
      <c r="G238" s="1240">
        <f t="shared" ref="G238" si="50">ROUND(D238*E238,2)</f>
        <v>4322.42</v>
      </c>
      <c r="H238" s="1194"/>
      <c r="I238" s="1195"/>
      <c r="J238" s="1195"/>
      <c r="K238" s="1196"/>
      <c r="L238" s="1197"/>
      <c r="M238" s="1221"/>
      <c r="N238" s="426"/>
      <c r="O238" s="416"/>
      <c r="P238" s="416"/>
      <c r="Q238" s="417"/>
      <c r="R238" s="422"/>
      <c r="S238" s="399"/>
      <c r="T238" s="399"/>
    </row>
    <row r="239" spans="1:20" s="81" customFormat="1" ht="15.75" customHeight="1">
      <c r="A239" s="902">
        <v>218</v>
      </c>
      <c r="B239" s="903" t="s">
        <v>329</v>
      </c>
      <c r="C239" s="439" t="s">
        <v>260</v>
      </c>
      <c r="D239" s="904"/>
      <c r="E239" s="23">
        <f>7.3771-7.5269</f>
        <v>-0.14979999999999993</v>
      </c>
      <c r="F239" s="905"/>
      <c r="G239" s="22">
        <f>ROUND(D239*E239,2)</f>
        <v>0</v>
      </c>
      <c r="H239" s="303"/>
      <c r="I239" s="23"/>
      <c r="J239" s="23"/>
      <c r="K239" s="304"/>
      <c r="L239" s="263">
        <f>SUM(G239:G241)</f>
        <v>983.51</v>
      </c>
      <c r="M239" s="26">
        <v>983.51</v>
      </c>
      <c r="N239" s="421"/>
      <c r="O239" s="77"/>
      <c r="P239" s="77"/>
      <c r="Q239" s="384"/>
      <c r="R239" s="422"/>
      <c r="S239" s="399"/>
      <c r="T239" s="399"/>
    </row>
    <row r="240" spans="1:20" s="81" customFormat="1" ht="15.75" customHeight="1">
      <c r="A240" s="468"/>
      <c r="B240" s="469"/>
      <c r="C240" s="48" t="s">
        <v>263</v>
      </c>
      <c r="D240" s="471">
        <v>0.32</v>
      </c>
      <c r="E240" s="41">
        <v>7.3771000000000004</v>
      </c>
      <c r="F240" s="473"/>
      <c r="G240" s="449">
        <f>ROUND(D240*E240,2)</f>
        <v>2.36</v>
      </c>
      <c r="H240" s="260"/>
      <c r="I240" s="261"/>
      <c r="J240" s="261"/>
      <c r="K240" s="262"/>
      <c r="L240" s="286"/>
      <c r="M240" s="90"/>
      <c r="N240" s="423"/>
      <c r="O240" s="406"/>
      <c r="P240" s="406"/>
      <c r="Q240" s="407"/>
      <c r="R240" s="422"/>
      <c r="S240" s="399"/>
      <c r="T240" s="399"/>
    </row>
    <row r="241" spans="1:21" s="81" customFormat="1" ht="15.75" customHeight="1" thickBot="1">
      <c r="A241" s="858"/>
      <c r="B241" s="859"/>
      <c r="C241" s="54" t="s">
        <v>29</v>
      </c>
      <c r="D241" s="860">
        <v>133</v>
      </c>
      <c r="E241" s="56">
        <v>7.3771000000000004</v>
      </c>
      <c r="F241" s="861"/>
      <c r="G241" s="414">
        <f t="shared" ref="G241" si="51">ROUND(D241*E241,2)</f>
        <v>981.15</v>
      </c>
      <c r="H241" s="280"/>
      <c r="I241" s="281"/>
      <c r="J241" s="281"/>
      <c r="K241" s="282"/>
      <c r="L241" s="204"/>
      <c r="M241" s="371"/>
      <c r="N241" s="426"/>
      <c r="O241" s="416"/>
      <c r="P241" s="416"/>
      <c r="Q241" s="417"/>
      <c r="R241" s="422"/>
      <c r="S241" s="399"/>
      <c r="T241" s="399"/>
    </row>
    <row r="242" spans="1:21" s="81" customFormat="1" ht="15" customHeight="1">
      <c r="A242" s="376">
        <v>301</v>
      </c>
      <c r="B242" s="70" t="s">
        <v>67</v>
      </c>
      <c r="C242" s="377" t="s">
        <v>243</v>
      </c>
      <c r="D242" s="378">
        <v>664</v>
      </c>
      <c r="E242" s="21">
        <v>41.244</v>
      </c>
      <c r="F242" s="21">
        <v>48.335999999999999</v>
      </c>
      <c r="G242" s="379">
        <f>ROUND(D242*(E242+F242),2)</f>
        <v>59481.120000000003</v>
      </c>
      <c r="H242" s="380"/>
      <c r="I242" s="381"/>
      <c r="J242" s="381"/>
      <c r="K242" s="342"/>
      <c r="L242" s="382">
        <f>+SUM(G242:G251,J242:J250)</f>
        <v>229468.22999999998</v>
      </c>
      <c r="M242" s="26">
        <v>229468.23</v>
      </c>
      <c r="N242" s="383"/>
      <c r="O242" s="77"/>
      <c r="P242" s="77" t="s">
        <v>68</v>
      </c>
      <c r="Q242" s="384" t="e">
        <f t="shared" si="35"/>
        <v>#VALUE!</v>
      </c>
      <c r="R242" s="385" t="s">
        <v>69</v>
      </c>
      <c r="S242" s="386"/>
      <c r="T242" s="387"/>
      <c r="U242" s="388"/>
    </row>
    <row r="243" spans="1:21" s="81" customFormat="1" ht="12.75">
      <c r="A243" s="389"/>
      <c r="B243" s="83"/>
      <c r="C243" s="390" t="s">
        <v>26</v>
      </c>
      <c r="D243" s="37"/>
      <c r="E243" s="38"/>
      <c r="F243" s="38"/>
      <c r="G243" s="39">
        <f>ROUND(D243*(E243+F243),2)</f>
        <v>0</v>
      </c>
      <c r="H243" s="391"/>
      <c r="I243" s="392"/>
      <c r="J243" s="402"/>
      <c r="K243" s="393"/>
      <c r="L243" s="394"/>
      <c r="M243" s="90"/>
      <c r="N243" s="395"/>
      <c r="O243" s="94"/>
      <c r="P243" s="94"/>
      <c r="Q243" s="396"/>
      <c r="R243" s="397"/>
      <c r="S243" s="398"/>
      <c r="T243" s="399"/>
    </row>
    <row r="244" spans="1:21" s="81" customFormat="1" ht="12.75">
      <c r="A244" s="389"/>
      <c r="B244" s="98" t="s">
        <v>32</v>
      </c>
      <c r="C244" s="99" t="s">
        <v>33</v>
      </c>
      <c r="D244" s="37">
        <f>66+133</f>
        <v>199</v>
      </c>
      <c r="E244" s="101">
        <v>343.14</v>
      </c>
      <c r="F244" s="38">
        <f>F242</f>
        <v>48.335999999999999</v>
      </c>
      <c r="G244" s="400">
        <f>ROUND(D244*(E244+F244),2)</f>
        <v>77903.72</v>
      </c>
      <c r="H244" s="401"/>
      <c r="I244" s="402"/>
      <c r="J244" s="402"/>
      <c r="K244" s="403"/>
      <c r="L244" s="404"/>
      <c r="M244" s="102"/>
      <c r="N244" s="405"/>
      <c r="O244" s="406"/>
      <c r="P244" s="406" t="s">
        <v>68</v>
      </c>
      <c r="Q244" s="407">
        <f>+G244+J244-M244-N244-O244</f>
        <v>77903.72</v>
      </c>
      <c r="R244" s="397" t="s">
        <v>69</v>
      </c>
      <c r="S244" s="398"/>
      <c r="T244" s="399"/>
    </row>
    <row r="245" spans="1:21" s="81" customFormat="1" ht="15" customHeight="1">
      <c r="A245" s="389"/>
      <c r="B245" s="98"/>
      <c r="C245" s="84" t="s">
        <v>26</v>
      </c>
      <c r="D245" s="37">
        <f>мар19!D232</f>
        <v>138</v>
      </c>
      <c r="E245" s="41">
        <f>343.14-330.21</f>
        <v>12.930000000000007</v>
      </c>
      <c r="F245" s="38">
        <f>F243</f>
        <v>0</v>
      </c>
      <c r="G245" s="400">
        <f>+D245*(E245+F245)</f>
        <v>1784.3400000000011</v>
      </c>
      <c r="H245" s="401"/>
      <c r="I245" s="402"/>
      <c r="J245" s="402"/>
      <c r="K245" s="408"/>
      <c r="L245" s="404"/>
      <c r="M245" s="102"/>
      <c r="N245" s="405"/>
      <c r="O245" s="406"/>
      <c r="P245" s="406"/>
      <c r="Q245" s="407"/>
      <c r="R245" s="397"/>
      <c r="S245" s="398"/>
      <c r="T245" s="399"/>
    </row>
    <row r="246" spans="1:21" s="81" customFormat="1" ht="15" customHeight="1">
      <c r="A246" s="389"/>
      <c r="B246" s="83"/>
      <c r="C246" s="84"/>
      <c r="D246" s="37"/>
      <c r="E246" s="41"/>
      <c r="F246" s="38"/>
      <c r="G246" s="400"/>
      <c r="H246" s="401"/>
      <c r="I246" s="402"/>
      <c r="J246" s="402"/>
      <c r="K246" s="408"/>
      <c r="L246" s="404"/>
      <c r="M246" s="102"/>
      <c r="N246" s="405"/>
      <c r="O246" s="406"/>
      <c r="P246" s="406"/>
      <c r="Q246" s="407"/>
      <c r="R246" s="397"/>
      <c r="S246" s="398"/>
      <c r="T246" s="399"/>
    </row>
    <row r="247" spans="1:21" s="81" customFormat="1" ht="15" customHeight="1">
      <c r="A247" s="389"/>
      <c r="B247" s="83" t="s">
        <v>70</v>
      </c>
      <c r="C247" s="84"/>
      <c r="D247" s="37"/>
      <c r="E247" s="41"/>
      <c r="F247" s="38"/>
      <c r="G247" s="400"/>
      <c r="H247" s="401"/>
      <c r="I247" s="402"/>
      <c r="J247" s="402"/>
      <c r="K247" s="408"/>
      <c r="L247" s="404"/>
      <c r="M247" s="102"/>
      <c r="N247" s="405"/>
      <c r="O247" s="406"/>
      <c r="P247" s="406"/>
      <c r="Q247" s="407"/>
      <c r="R247" s="397"/>
      <c r="S247" s="398"/>
      <c r="T247" s="399"/>
    </row>
    <row r="248" spans="1:21" s="81" customFormat="1" ht="15" customHeight="1">
      <c r="A248" s="389"/>
      <c r="B248" s="83"/>
      <c r="C248" s="48"/>
      <c r="D248" s="37"/>
      <c r="E248" s="41"/>
      <c r="F248" s="38"/>
      <c r="G248" s="39">
        <f>ROUND(D248*(E248+F248),2)</f>
        <v>0</v>
      </c>
      <c r="H248" s="37"/>
      <c r="I248" s="409"/>
      <c r="J248" s="409"/>
      <c r="K248" s="408"/>
      <c r="L248" s="404"/>
      <c r="M248" s="102"/>
      <c r="N248" s="405"/>
      <c r="O248" s="406"/>
      <c r="P248" s="406"/>
      <c r="Q248" s="407"/>
      <c r="R248" s="397"/>
      <c r="S248" s="398"/>
      <c r="T248" s="399"/>
    </row>
    <row r="249" spans="1:21" s="81" customFormat="1" ht="15" customHeight="1">
      <c r="A249" s="389"/>
      <c r="B249" s="83"/>
      <c r="C249" s="48" t="s">
        <v>260</v>
      </c>
      <c r="D249" s="37">
        <f>мар19!D238+мар19!D239</f>
        <v>13271.78</v>
      </c>
      <c r="E249" s="41">
        <f>7.3771-7.5269</f>
        <v>-0.14979999999999993</v>
      </c>
      <c r="F249" s="38">
        <f>+E249</f>
        <v>-0.14979999999999993</v>
      </c>
      <c r="G249" s="39">
        <f>ROUND(D249*E249,2)+0.01</f>
        <v>-1988.1</v>
      </c>
      <c r="H249" s="37"/>
      <c r="I249" s="409"/>
      <c r="J249" s="409"/>
      <c r="K249" s="408"/>
      <c r="L249" s="404"/>
      <c r="M249" s="102"/>
      <c r="N249" s="405"/>
      <c r="O249" s="406"/>
      <c r="P249" s="406"/>
      <c r="Q249" s="407"/>
      <c r="R249" s="397"/>
      <c r="S249" s="398"/>
      <c r="T249" s="399"/>
    </row>
    <row r="250" spans="1:21" s="81" customFormat="1" ht="15" customHeight="1">
      <c r="A250" s="389"/>
      <c r="B250" s="83"/>
      <c r="C250" s="48" t="s">
        <v>263</v>
      </c>
      <c r="D250" s="37">
        <v>29.95</v>
      </c>
      <c r="E250" s="41">
        <v>7.3771000000000004</v>
      </c>
      <c r="F250" s="41">
        <f>+E250</f>
        <v>7.3771000000000004</v>
      </c>
      <c r="G250" s="39">
        <f>ROUND(D250*E250,2)</f>
        <v>220.94</v>
      </c>
      <c r="H250" s="37"/>
      <c r="I250" s="409"/>
      <c r="J250" s="409"/>
      <c r="K250" s="410"/>
      <c r="L250" s="404"/>
      <c r="M250" s="102"/>
      <c r="N250" s="405"/>
      <c r="O250" s="406"/>
      <c r="P250" s="406"/>
      <c r="Q250" s="407"/>
      <c r="R250" s="397"/>
      <c r="S250" s="398"/>
      <c r="T250" s="399"/>
    </row>
    <row r="251" spans="1:21" s="81" customFormat="1" ht="15.75" customHeight="1" thickBot="1">
      <c r="A251" s="411"/>
      <c r="B251" s="412"/>
      <c r="C251" s="99" t="s">
        <v>29</v>
      </c>
      <c r="D251" s="413">
        <v>12480</v>
      </c>
      <c r="E251" s="56">
        <v>7.3771000000000004</v>
      </c>
      <c r="F251" s="41">
        <f>+E251</f>
        <v>7.3771000000000004</v>
      </c>
      <c r="G251" s="414">
        <f>ROUND(D251*E251,2)</f>
        <v>92066.21</v>
      </c>
      <c r="H251" s="248"/>
      <c r="I251" s="60"/>
      <c r="J251" s="60"/>
      <c r="K251" s="203"/>
      <c r="L251" s="204"/>
      <c r="M251" s="371"/>
      <c r="N251" s="415"/>
      <c r="O251" s="416"/>
      <c r="P251" s="416" t="s">
        <v>68</v>
      </c>
      <c r="Q251" s="417">
        <f>+G251+J251-M251-N251-O251</f>
        <v>92066.21</v>
      </c>
      <c r="R251" s="418" t="s">
        <v>69</v>
      </c>
      <c r="S251" s="419">
        <f>SUM(O242:O251)</f>
        <v>0</v>
      </c>
      <c r="T251" s="419" t="e">
        <f>SUM(Q242:Q251)</f>
        <v>#VALUE!</v>
      </c>
    </row>
    <row r="252" spans="1:21" s="81" customFormat="1" ht="15.75" hidden="1" customHeight="1">
      <c r="A252" s="902">
        <v>303</v>
      </c>
      <c r="B252" s="903" t="s">
        <v>227</v>
      </c>
      <c r="C252" s="439" t="s">
        <v>260</v>
      </c>
      <c r="D252" s="904"/>
      <c r="E252" s="23">
        <f>7.3681-6.9835</f>
        <v>0.38459999999999983</v>
      </c>
      <c r="F252" s="905"/>
      <c r="G252" s="22">
        <f>ROUND(D252*E252,2)</f>
        <v>0</v>
      </c>
      <c r="H252" s="303"/>
      <c r="I252" s="23"/>
      <c r="J252" s="23"/>
      <c r="K252" s="304"/>
      <c r="L252" s="263">
        <f>SUM(G252:G254)</f>
        <v>0</v>
      </c>
      <c r="M252" s="26"/>
      <c r="N252" s="421"/>
      <c r="O252" s="77"/>
      <c r="P252" s="77"/>
      <c r="Q252" s="384"/>
      <c r="R252" s="422"/>
      <c r="S252" s="399"/>
      <c r="T252" s="399"/>
    </row>
    <row r="253" spans="1:21" s="81" customFormat="1" ht="15.75" hidden="1" customHeight="1">
      <c r="A253" s="468"/>
      <c r="B253" s="469" t="s">
        <v>291</v>
      </c>
      <c r="C253" s="48" t="s">
        <v>263</v>
      </c>
      <c r="D253" s="471"/>
      <c r="E253" s="41">
        <v>7.3681000000000001</v>
      </c>
      <c r="F253" s="473"/>
      <c r="G253" s="449">
        <f>ROUND(D253*E253,2)</f>
        <v>0</v>
      </c>
      <c r="H253" s="260"/>
      <c r="I253" s="261"/>
      <c r="J253" s="261"/>
      <c r="K253" s="262"/>
      <c r="L253" s="286"/>
      <c r="M253" s="90"/>
      <c r="N253" s="423"/>
      <c r="O253" s="406"/>
      <c r="P253" s="406"/>
      <c r="Q253" s="407"/>
      <c r="R253" s="422"/>
      <c r="S253" s="399"/>
      <c r="T253" s="399"/>
    </row>
    <row r="254" spans="1:21" s="81" customFormat="1" ht="15.75" hidden="1" customHeight="1" thickBot="1">
      <c r="A254" s="858"/>
      <c r="B254" s="859"/>
      <c r="C254" s="54" t="s">
        <v>29</v>
      </c>
      <c r="D254" s="860"/>
      <c r="E254" s="56">
        <v>7.3681000000000001</v>
      </c>
      <c r="F254" s="861"/>
      <c r="G254" s="414">
        <f t="shared" ref="G254" si="52">ROUND(D254*E254,2)</f>
        <v>0</v>
      </c>
      <c r="H254" s="280"/>
      <c r="I254" s="281"/>
      <c r="J254" s="281"/>
      <c r="K254" s="282"/>
      <c r="L254" s="204"/>
      <c r="M254" s="371"/>
      <c r="N254" s="426"/>
      <c r="O254" s="416"/>
      <c r="P254" s="416"/>
      <c r="Q254" s="417"/>
      <c r="R254" s="422"/>
      <c r="S254" s="399"/>
      <c r="T254" s="399"/>
    </row>
    <row r="255" spans="1:21" s="81" customFormat="1" ht="15.75" customHeight="1">
      <c r="A255" s="447">
        <v>303</v>
      </c>
      <c r="B255" s="438" t="s">
        <v>324</v>
      </c>
      <c r="C255" s="439" t="s">
        <v>260</v>
      </c>
      <c r="D255" s="900">
        <f>мар19!D244+мар19!D245</f>
        <v>130.31</v>
      </c>
      <c r="E255" s="23">
        <f>7.3771-7.5269</f>
        <v>-0.14979999999999993</v>
      </c>
      <c r="F255" s="23"/>
      <c r="G255" s="22">
        <f>ROUND(D255*E255,2)</f>
        <v>-19.52</v>
      </c>
      <c r="H255" s="303"/>
      <c r="I255" s="23"/>
      <c r="J255" s="23"/>
      <c r="K255" s="304"/>
      <c r="L255" s="263">
        <f>SUM(G255:G257)</f>
        <v>7752.4</v>
      </c>
      <c r="M255" s="26">
        <v>7752.4</v>
      </c>
      <c r="N255" s="421"/>
      <c r="O255" s="77"/>
      <c r="P255" s="77"/>
      <c r="Q255" s="384"/>
      <c r="R255" s="422"/>
      <c r="S255" s="399"/>
      <c r="T255" s="399"/>
    </row>
    <row r="256" spans="1:21" s="81" customFormat="1" ht="15.75" customHeight="1">
      <c r="A256" s="450"/>
      <c r="B256" s="442"/>
      <c r="C256" s="48" t="s">
        <v>263</v>
      </c>
      <c r="D256" s="448">
        <v>2.52</v>
      </c>
      <c r="E256" s="41">
        <v>7.3771000000000004</v>
      </c>
      <c r="F256" s="261"/>
      <c r="G256" s="449">
        <f t="shared" ref="G256:G257" si="53">ROUND(D256*E256,2)</f>
        <v>18.59</v>
      </c>
      <c r="H256" s="260"/>
      <c r="I256" s="261"/>
      <c r="J256" s="261"/>
      <c r="K256" s="262"/>
      <c r="L256" s="286"/>
      <c r="M256" s="90"/>
      <c r="N256" s="423"/>
      <c r="O256" s="406"/>
      <c r="P256" s="406"/>
      <c r="Q256" s="407"/>
      <c r="R256" s="422"/>
      <c r="S256" s="399"/>
      <c r="T256" s="399"/>
    </row>
    <row r="257" spans="1:20" s="81" customFormat="1" ht="15.75" customHeight="1" thickBot="1">
      <c r="A257" s="451"/>
      <c r="B257" s="446"/>
      <c r="C257" s="54" t="s">
        <v>29</v>
      </c>
      <c r="D257" s="901">
        <v>1051</v>
      </c>
      <c r="E257" s="56">
        <v>7.3771000000000004</v>
      </c>
      <c r="F257" s="281"/>
      <c r="G257" s="414">
        <f t="shared" si="53"/>
        <v>7753.33</v>
      </c>
      <c r="H257" s="280"/>
      <c r="I257" s="281"/>
      <c r="J257" s="281"/>
      <c r="K257" s="282"/>
      <c r="L257" s="204"/>
      <c r="M257" s="371"/>
      <c r="N257" s="426"/>
      <c r="O257" s="416"/>
      <c r="P257" s="416"/>
      <c r="Q257" s="417"/>
      <c r="R257" s="422"/>
      <c r="S257" s="399"/>
      <c r="T257" s="399"/>
    </row>
    <row r="258" spans="1:20" s="81" customFormat="1" ht="15" customHeight="1">
      <c r="A258" s="437">
        <v>304</v>
      </c>
      <c r="B258" s="438" t="s">
        <v>83</v>
      </c>
      <c r="C258" s="377" t="s">
        <v>73</v>
      </c>
      <c r="D258" s="378">
        <v>0</v>
      </c>
      <c r="E258" s="21">
        <v>41.244</v>
      </c>
      <c r="F258" s="21">
        <v>48.335999999999999</v>
      </c>
      <c r="G258" s="22">
        <f>+D258*(E258+F258)</f>
        <v>0</v>
      </c>
      <c r="H258" s="303"/>
      <c r="I258" s="381"/>
      <c r="J258" s="381"/>
      <c r="K258" s="342"/>
      <c r="L258" s="263">
        <f>SUM(G258:G262,J258:J262)</f>
        <v>405.37</v>
      </c>
      <c r="M258" s="26">
        <v>405.37</v>
      </c>
      <c r="N258" s="421"/>
      <c r="O258" s="77"/>
      <c r="P258" s="77"/>
      <c r="Q258" s="384"/>
      <c r="R258" s="899"/>
      <c r="S258" s="399"/>
      <c r="T258" s="399"/>
    </row>
    <row r="259" spans="1:20" s="81" customFormat="1" ht="15" customHeight="1">
      <c r="A259" s="441"/>
      <c r="B259" s="442"/>
      <c r="C259" s="36" t="s">
        <v>26</v>
      </c>
      <c r="D259" s="37"/>
      <c r="E259" s="38"/>
      <c r="F259" s="38"/>
      <c r="G259" s="39">
        <f>ROUND(D259*(E259+F259),2)</f>
        <v>0</v>
      </c>
      <c r="H259" s="457"/>
      <c r="I259" s="392"/>
      <c r="J259" s="402"/>
      <c r="K259" s="393"/>
      <c r="L259" s="459"/>
      <c r="M259" s="44"/>
      <c r="N259" s="430"/>
      <c r="O259" s="435"/>
      <c r="P259" s="435"/>
      <c r="Q259" s="425"/>
      <c r="R259" s="422"/>
      <c r="S259" s="399"/>
      <c r="T259" s="399"/>
    </row>
    <row r="260" spans="1:20" s="81" customFormat="1" ht="15" customHeight="1">
      <c r="A260" s="441"/>
      <c r="B260" s="442"/>
      <c r="C260" s="48" t="s">
        <v>260</v>
      </c>
      <c r="D260" s="37">
        <f>мар19!D249+мар19!D250</f>
        <v>58.14</v>
      </c>
      <c r="E260" s="41">
        <f>7.3771-7.5269</f>
        <v>-0.14979999999999993</v>
      </c>
      <c r="F260" s="38"/>
      <c r="G260" s="39">
        <f>ROUND(D260*(E260),2)</f>
        <v>-8.7100000000000009</v>
      </c>
      <c r="H260" s="270"/>
      <c r="I260" s="41"/>
      <c r="J260" s="41"/>
      <c r="K260" s="271"/>
      <c r="L260" s="272"/>
      <c r="M260" s="102"/>
      <c r="N260" s="430"/>
      <c r="O260" s="435"/>
      <c r="P260" s="435"/>
      <c r="Q260" s="425"/>
      <c r="R260" s="422"/>
      <c r="S260" s="399"/>
      <c r="T260" s="399"/>
    </row>
    <row r="261" spans="1:20" s="81" customFormat="1" ht="15" customHeight="1">
      <c r="A261" s="441"/>
      <c r="B261" s="442"/>
      <c r="C261" s="48" t="s">
        <v>263</v>
      </c>
      <c r="D261" s="37">
        <v>0.13</v>
      </c>
      <c r="E261" s="41">
        <v>7.3771000000000004</v>
      </c>
      <c r="F261" s="38"/>
      <c r="G261" s="39">
        <f>ROUND(D261*(E261),2)</f>
        <v>0.96</v>
      </c>
      <c r="H261" s="270"/>
      <c r="I261" s="41"/>
      <c r="J261" s="41"/>
      <c r="K261" s="271"/>
      <c r="L261" s="272"/>
      <c r="M261" s="102"/>
      <c r="N261" s="434"/>
      <c r="O261" s="435"/>
      <c r="P261" s="435"/>
      <c r="Q261" s="425"/>
      <c r="R261" s="422"/>
      <c r="S261" s="399"/>
      <c r="T261" s="399"/>
    </row>
    <row r="262" spans="1:20" s="81" customFormat="1" ht="15.75" customHeight="1" thickBot="1">
      <c r="A262" s="445"/>
      <c r="B262" s="446"/>
      <c r="C262" s="54" t="s">
        <v>29</v>
      </c>
      <c r="D262" s="413">
        <v>56</v>
      </c>
      <c r="E262" s="56">
        <v>7.3771000000000004</v>
      </c>
      <c r="F262" s="281"/>
      <c r="G262" s="414">
        <f>ROUND(D262*(E262),2)</f>
        <v>413.12</v>
      </c>
      <c r="H262" s="280"/>
      <c r="I262" s="281"/>
      <c r="J262" s="281"/>
      <c r="K262" s="282"/>
      <c r="L262" s="204"/>
      <c r="M262" s="371"/>
      <c r="N262" s="426"/>
      <c r="O262" s="416"/>
      <c r="P262" s="416"/>
      <c r="Q262" s="417"/>
      <c r="R262" s="422"/>
      <c r="S262" s="399"/>
      <c r="T262" s="399"/>
    </row>
    <row r="263" spans="1:20" s="81" customFormat="1" ht="15" customHeight="1">
      <c r="A263" s="437">
        <v>305</v>
      </c>
      <c r="B263" s="438" t="s">
        <v>298</v>
      </c>
      <c r="C263" s="377" t="s">
        <v>73</v>
      </c>
      <c r="D263" s="378">
        <v>42</v>
      </c>
      <c r="E263" s="21">
        <v>41.244</v>
      </c>
      <c r="F263" s="21">
        <v>48.335999999999999</v>
      </c>
      <c r="G263" s="22">
        <f>+D263*(E263+F263)</f>
        <v>3762.36</v>
      </c>
      <c r="H263" s="303"/>
      <c r="I263" s="381"/>
      <c r="J263" s="381"/>
      <c r="K263" s="342"/>
      <c r="L263" s="263">
        <f>SUM(G263:G267,J263:J267)</f>
        <v>23346.25</v>
      </c>
      <c r="M263" s="26">
        <v>23346.25</v>
      </c>
      <c r="N263" s="421"/>
      <c r="O263" s="77"/>
      <c r="P263" s="77"/>
      <c r="Q263" s="384"/>
      <c r="R263" s="899"/>
      <c r="S263" s="399"/>
      <c r="T263" s="399"/>
    </row>
    <row r="264" spans="1:20" s="81" customFormat="1" ht="15" customHeight="1">
      <c r="A264" s="441"/>
      <c r="B264" s="442"/>
      <c r="C264" s="36" t="s">
        <v>26</v>
      </c>
      <c r="D264" s="37"/>
      <c r="E264" s="38"/>
      <c r="F264" s="38"/>
      <c r="G264" s="39">
        <f>ROUND(D264*(E264+F264),2)</f>
        <v>0</v>
      </c>
      <c r="H264" s="457"/>
      <c r="I264" s="392"/>
      <c r="J264" s="402"/>
      <c r="K264" s="393"/>
      <c r="L264" s="459"/>
      <c r="M264" s="44"/>
      <c r="N264" s="430"/>
      <c r="O264" s="435"/>
      <c r="P264" s="435"/>
      <c r="Q264" s="425"/>
      <c r="R264" s="422"/>
      <c r="S264" s="399"/>
      <c r="T264" s="399"/>
    </row>
    <row r="265" spans="1:20" s="81" customFormat="1" ht="15" customHeight="1">
      <c r="A265" s="441"/>
      <c r="B265" s="442"/>
      <c r="C265" s="48" t="s">
        <v>260</v>
      </c>
      <c r="D265" s="37">
        <f>мар19!D254+мар19!D255</f>
        <v>3342.01</v>
      </c>
      <c r="E265" s="41">
        <f>7.3771-7.5269</f>
        <v>-0.14979999999999993</v>
      </c>
      <c r="F265" s="38"/>
      <c r="G265" s="39">
        <f>ROUND(D265*(E265),2)</f>
        <v>-500.63</v>
      </c>
      <c r="H265" s="270"/>
      <c r="I265" s="41"/>
      <c r="J265" s="41"/>
      <c r="K265" s="271"/>
      <c r="L265" s="272"/>
      <c r="M265" s="102"/>
      <c r="N265" s="430"/>
      <c r="O265" s="435"/>
      <c r="P265" s="435"/>
      <c r="Q265" s="425"/>
      <c r="R265" s="422"/>
      <c r="S265" s="399"/>
      <c r="T265" s="399"/>
    </row>
    <row r="266" spans="1:20" s="81" customFormat="1" ht="15" customHeight="1">
      <c r="A266" s="441"/>
      <c r="B266" s="442"/>
      <c r="C266" s="48" t="s">
        <v>263</v>
      </c>
      <c r="D266" s="37">
        <f>5.33+1.02+0.2</f>
        <v>6.55</v>
      </c>
      <c r="E266" s="41">
        <v>7.3771000000000004</v>
      </c>
      <c r="F266" s="38"/>
      <c r="G266" s="39">
        <f>ROUND(D266*(E266),2)</f>
        <v>48.32</v>
      </c>
      <c r="H266" s="270"/>
      <c r="I266" s="41"/>
      <c r="J266" s="41"/>
      <c r="K266" s="271"/>
      <c r="L266" s="272"/>
      <c r="M266" s="102"/>
      <c r="N266" s="434"/>
      <c r="O266" s="435"/>
      <c r="P266" s="435"/>
      <c r="Q266" s="425"/>
      <c r="R266" s="422"/>
      <c r="S266" s="399"/>
      <c r="T266" s="399"/>
    </row>
    <row r="267" spans="1:20" s="81" customFormat="1" ht="15.75" customHeight="1" thickBot="1">
      <c r="A267" s="445"/>
      <c r="B267" s="446"/>
      <c r="C267" s="54" t="s">
        <v>29</v>
      </c>
      <c r="D267" s="413">
        <f>2220+423+73</f>
        <v>2716</v>
      </c>
      <c r="E267" s="56">
        <v>7.3771000000000004</v>
      </c>
      <c r="F267" s="281"/>
      <c r="G267" s="414">
        <f>ROUND(D267*(E267),2)</f>
        <v>20036.2</v>
      </c>
      <c r="H267" s="280"/>
      <c r="I267" s="281"/>
      <c r="J267" s="281"/>
      <c r="K267" s="282"/>
      <c r="L267" s="204"/>
      <c r="M267" s="371"/>
      <c r="N267" s="426"/>
      <c r="O267" s="416"/>
      <c r="P267" s="416"/>
      <c r="Q267" s="417"/>
      <c r="R267" s="422"/>
      <c r="S267" s="399"/>
      <c r="T267" s="399"/>
    </row>
    <row r="268" spans="1:20" s="81" customFormat="1" ht="15" customHeight="1">
      <c r="A268" s="447">
        <v>400</v>
      </c>
      <c r="B268" s="903" t="s">
        <v>238</v>
      </c>
      <c r="C268" s="377" t="s">
        <v>73</v>
      </c>
      <c r="D268" s="378">
        <v>20</v>
      </c>
      <c r="E268" s="21">
        <v>41.244</v>
      </c>
      <c r="F268" s="21">
        <v>48.335999999999999</v>
      </c>
      <c r="G268" s="22">
        <f>+D268*(E268+F268)</f>
        <v>1791.6</v>
      </c>
      <c r="H268" s="303"/>
      <c r="I268" s="381"/>
      <c r="J268" s="381"/>
      <c r="K268" s="342"/>
      <c r="L268" s="263">
        <f>SUM(G268:G272,J268:J272)</f>
        <v>65055.609999999993</v>
      </c>
      <c r="M268" s="26">
        <v>65055.61</v>
      </c>
      <c r="N268" s="421"/>
      <c r="O268" s="77"/>
      <c r="P268" s="77"/>
      <c r="Q268" s="384"/>
      <c r="R268" s="899"/>
      <c r="S268" s="399"/>
      <c r="T268" s="399"/>
    </row>
    <row r="269" spans="1:20" s="81" customFormat="1" ht="15" customHeight="1" thickBot="1">
      <c r="A269" s="450"/>
      <c r="B269" s="469"/>
      <c r="C269" s="36" t="s">
        <v>26</v>
      </c>
      <c r="D269" s="37"/>
      <c r="E269" s="38"/>
      <c r="F269" s="38"/>
      <c r="G269" s="39">
        <f>ROUND(D269*(E269+F269),2)</f>
        <v>0</v>
      </c>
      <c r="H269" s="457"/>
      <c r="I269" s="392"/>
      <c r="J269" s="402"/>
      <c r="K269" s="393"/>
      <c r="L269" s="459"/>
      <c r="M269" s="44"/>
      <c r="N269" s="430"/>
      <c r="O269" s="435"/>
      <c r="P269" s="435"/>
      <c r="Q269" s="425"/>
      <c r="R269" s="422"/>
      <c r="S269" s="399"/>
      <c r="T269" s="399"/>
    </row>
    <row r="270" spans="1:20" s="81" customFormat="1" ht="15.75" customHeight="1">
      <c r="A270" s="984"/>
      <c r="C270" s="439" t="s">
        <v>260</v>
      </c>
      <c r="D270" s="904">
        <f>мар19!D259+мар19!D260</f>
        <v>10061.08</v>
      </c>
      <c r="E270" s="23">
        <f>7.3771-7.5269</f>
        <v>-0.14979999999999993</v>
      </c>
      <c r="F270" s="905"/>
      <c r="G270" s="22">
        <f>ROUND(D270*E270,2)</f>
        <v>-1507.15</v>
      </c>
      <c r="H270" s="303"/>
      <c r="I270" s="23"/>
      <c r="J270" s="23"/>
      <c r="K270" s="304"/>
      <c r="L270" s="263"/>
      <c r="M270" s="26"/>
      <c r="N270" s="421"/>
      <c r="O270" s="77"/>
      <c r="P270" s="77"/>
      <c r="Q270" s="384"/>
      <c r="R270" s="422"/>
      <c r="S270" s="399"/>
      <c r="T270" s="399"/>
    </row>
    <row r="271" spans="1:20" s="81" customFormat="1" ht="15.75" customHeight="1">
      <c r="A271" s="450"/>
      <c r="B271" s="469"/>
      <c r="C271" s="48" t="s">
        <v>263</v>
      </c>
      <c r="D271" s="471">
        <f>15.31+1.36+4.36</f>
        <v>21.03</v>
      </c>
      <c r="E271" s="41">
        <v>7.3771000000000004</v>
      </c>
      <c r="F271" s="473"/>
      <c r="G271" s="449">
        <f>ROUND(D271*E271,2)</f>
        <v>155.13999999999999</v>
      </c>
      <c r="H271" s="260"/>
      <c r="I271" s="261"/>
      <c r="J271" s="261"/>
      <c r="K271" s="262"/>
      <c r="L271" s="286"/>
      <c r="M271" s="90"/>
      <c r="N271" s="423"/>
      <c r="O271" s="406"/>
      <c r="P271" s="406"/>
      <c r="Q271" s="407"/>
      <c r="R271" s="422"/>
      <c r="S271" s="399"/>
      <c r="T271" s="399"/>
    </row>
    <row r="272" spans="1:20" s="81" customFormat="1" ht="15.75" customHeight="1" thickBot="1">
      <c r="A272" s="451"/>
      <c r="B272" s="859"/>
      <c r="C272" s="54" t="s">
        <v>29</v>
      </c>
      <c r="D272" s="860">
        <f>6379+565+1815</f>
        <v>8759</v>
      </c>
      <c r="E272" s="56">
        <v>7.3771000000000004</v>
      </c>
      <c r="F272" s="861"/>
      <c r="G272" s="414">
        <f t="shared" ref="G272" si="54">ROUND(D272*E272,2)</f>
        <v>64616.02</v>
      </c>
      <c r="H272" s="280"/>
      <c r="I272" s="281"/>
      <c r="J272" s="281"/>
      <c r="K272" s="282"/>
      <c r="L272" s="204"/>
      <c r="M272" s="371"/>
      <c r="N272" s="426"/>
      <c r="O272" s="416"/>
      <c r="P272" s="416"/>
      <c r="Q272" s="417"/>
      <c r="R272" s="422"/>
      <c r="S272" s="399"/>
      <c r="T272" s="399"/>
    </row>
    <row r="273" spans="1:20" s="81" customFormat="1" ht="15" customHeight="1">
      <c r="A273" s="437">
        <v>402</v>
      </c>
      <c r="B273" s="438" t="s">
        <v>122</v>
      </c>
      <c r="C273" s="439"/>
      <c r="D273" s="378"/>
      <c r="E273" s="23"/>
      <c r="F273" s="23"/>
      <c r="G273" s="22"/>
      <c r="H273" s="303"/>
      <c r="I273" s="23"/>
      <c r="J273" s="23"/>
      <c r="K273" s="304"/>
      <c r="L273" s="382">
        <f>+SUM(G273:G276,J273:J276)</f>
        <v>1966.9</v>
      </c>
      <c r="M273" s="26">
        <v>1966.9</v>
      </c>
      <c r="N273" s="421"/>
      <c r="O273" s="77"/>
      <c r="P273" s="77"/>
      <c r="Q273" s="384"/>
      <c r="R273" s="899"/>
      <c r="S273" s="399"/>
      <c r="T273" s="399"/>
    </row>
    <row r="274" spans="1:20" s="81" customFormat="1" ht="15" customHeight="1" thickBot="1">
      <c r="A274" s="441"/>
      <c r="B274" s="442"/>
      <c r="C274" s="48" t="s">
        <v>260</v>
      </c>
      <c r="D274" s="37">
        <f>мар19!D263+мар19!D264</f>
        <v>247.59</v>
      </c>
      <c r="E274" s="41">
        <f>7.3771-7.5269</f>
        <v>-0.14979999999999993</v>
      </c>
      <c r="F274" s="41"/>
      <c r="G274" s="414">
        <f>ROUND(D274*E274,2)</f>
        <v>-37.090000000000003</v>
      </c>
      <c r="H274" s="260"/>
      <c r="I274" s="261"/>
      <c r="J274" s="261"/>
      <c r="K274" s="262"/>
      <c r="L274" s="394"/>
      <c r="M274" s="90"/>
      <c r="N274" s="443"/>
      <c r="O274" s="94"/>
      <c r="P274" s="94"/>
      <c r="Q274" s="396"/>
      <c r="R274" s="899"/>
      <c r="S274" s="399"/>
      <c r="T274" s="399"/>
    </row>
    <row r="275" spans="1:20" s="81" customFormat="1" ht="15" customHeight="1" thickBot="1">
      <c r="A275" s="441"/>
      <c r="B275" s="444"/>
      <c r="C275" s="48" t="s">
        <v>263</v>
      </c>
      <c r="D275" s="37">
        <v>0.65</v>
      </c>
      <c r="E275" s="41">
        <v>7.3771000000000004</v>
      </c>
      <c r="F275" s="41"/>
      <c r="G275" s="414">
        <f>ROUND(D275*E275,2)</f>
        <v>4.8</v>
      </c>
      <c r="H275" s="432"/>
      <c r="I275" s="207"/>
      <c r="J275" s="207"/>
      <c r="K275" s="362"/>
      <c r="L275" s="433"/>
      <c r="M275" s="63"/>
      <c r="N275" s="423"/>
      <c r="O275" s="406"/>
      <c r="P275" s="406"/>
      <c r="Q275" s="407"/>
      <c r="R275" s="899"/>
      <c r="S275" s="399"/>
      <c r="T275" s="399"/>
    </row>
    <row r="276" spans="1:20" s="81" customFormat="1" ht="15" customHeight="1" thickBot="1">
      <c r="A276" s="445"/>
      <c r="B276" s="446"/>
      <c r="C276" s="99" t="s">
        <v>29</v>
      </c>
      <c r="D276" s="413">
        <v>271</v>
      </c>
      <c r="E276" s="56">
        <v>7.3771000000000004</v>
      </c>
      <c r="F276" s="281"/>
      <c r="G276" s="414">
        <f>ROUND(D276*E276,2)</f>
        <v>1999.19</v>
      </c>
      <c r="H276" s="280"/>
      <c r="I276" s="281"/>
      <c r="J276" s="281"/>
      <c r="K276" s="282"/>
      <c r="L276" s="204"/>
      <c r="M276" s="371"/>
      <c r="N276" s="434"/>
      <c r="O276" s="435"/>
      <c r="P276" s="435"/>
      <c r="Q276" s="425"/>
      <c r="R276" s="899"/>
      <c r="S276" s="399"/>
      <c r="T276" s="399"/>
    </row>
    <row r="277" spans="1:20" s="81" customFormat="1" ht="15.75" customHeight="1">
      <c r="A277" s="447">
        <v>403</v>
      </c>
      <c r="B277" s="438" t="s">
        <v>126</v>
      </c>
      <c r="C277" s="439" t="s">
        <v>260</v>
      </c>
      <c r="D277" s="900">
        <f>мар19!D266+мар19!D267</f>
        <v>94.23</v>
      </c>
      <c r="E277" s="23">
        <f>7.3771-7.5269</f>
        <v>-0.14979999999999993</v>
      </c>
      <c r="F277" s="23"/>
      <c r="G277" s="22">
        <f>ROUND(D277*E277,2)</f>
        <v>-14.12</v>
      </c>
      <c r="H277" s="303"/>
      <c r="I277" s="23"/>
      <c r="J277" s="23"/>
      <c r="K277" s="304"/>
      <c r="L277" s="263">
        <f>SUM(G277:G279)</f>
        <v>592.28</v>
      </c>
      <c r="M277" s="26">
        <v>592.28</v>
      </c>
      <c r="N277" s="421"/>
      <c r="O277" s="77"/>
      <c r="P277" s="77"/>
      <c r="Q277" s="384"/>
      <c r="R277" s="422"/>
      <c r="S277" s="399"/>
      <c r="T277" s="399"/>
    </row>
    <row r="278" spans="1:20" s="81" customFormat="1" ht="15.75" customHeight="1">
      <c r="A278" s="450"/>
      <c r="B278" s="442"/>
      <c r="C278" s="48" t="s">
        <v>263</v>
      </c>
      <c r="D278" s="448">
        <v>0.2</v>
      </c>
      <c r="E278" s="41">
        <v>7.3771000000000004</v>
      </c>
      <c r="F278" s="261"/>
      <c r="G278" s="449">
        <f t="shared" ref="G278:G279" si="55">ROUND(D278*E278,2)</f>
        <v>1.48</v>
      </c>
      <c r="H278" s="260"/>
      <c r="I278" s="261"/>
      <c r="J278" s="261"/>
      <c r="K278" s="262"/>
      <c r="L278" s="286"/>
      <c r="M278" s="90"/>
      <c r="N278" s="423"/>
      <c r="O278" s="406"/>
      <c r="P278" s="406"/>
      <c r="Q278" s="407"/>
      <c r="R278" s="422"/>
      <c r="S278" s="399"/>
      <c r="T278" s="399"/>
    </row>
    <row r="279" spans="1:20" s="81" customFormat="1" ht="15.75" customHeight="1" thickBot="1">
      <c r="A279" s="451"/>
      <c r="B279" s="446"/>
      <c r="C279" s="54" t="s">
        <v>29</v>
      </c>
      <c r="D279" s="901">
        <v>82</v>
      </c>
      <c r="E279" s="56">
        <v>7.3771000000000004</v>
      </c>
      <c r="F279" s="281"/>
      <c r="G279" s="414">
        <f t="shared" si="55"/>
        <v>604.91999999999996</v>
      </c>
      <c r="H279" s="280"/>
      <c r="I279" s="281"/>
      <c r="J279" s="281"/>
      <c r="K279" s="282"/>
      <c r="L279" s="204"/>
      <c r="M279" s="371"/>
      <c r="N279" s="426"/>
      <c r="O279" s="416"/>
      <c r="P279" s="416"/>
      <c r="Q279" s="417"/>
      <c r="R279" s="422"/>
      <c r="S279" s="399"/>
      <c r="T279" s="399"/>
    </row>
    <row r="280" spans="1:20" s="81" customFormat="1" ht="15.75" customHeight="1">
      <c r="A280" s="906">
        <v>404</v>
      </c>
      <c r="B280" s="903" t="s">
        <v>191</v>
      </c>
      <c r="C280" s="48" t="s">
        <v>260</v>
      </c>
      <c r="D280" s="471">
        <f>мар19!D269+мар19!D270</f>
        <v>324.77999999999997</v>
      </c>
      <c r="E280" s="41">
        <f>7.3771-7.5269</f>
        <v>-0.14979999999999993</v>
      </c>
      <c r="F280" s="473"/>
      <c r="G280" s="862">
        <f>ROUND(D280*E280,2)</f>
        <v>-48.65</v>
      </c>
      <c r="H280" s="270"/>
      <c r="I280" s="41"/>
      <c r="J280" s="41"/>
      <c r="K280" s="271"/>
      <c r="L280" s="263">
        <f>SUM(G280:G282)</f>
        <v>890.45</v>
      </c>
      <c r="M280" s="878">
        <v>890.45</v>
      </c>
      <c r="N280" s="421"/>
      <c r="O280" s="406"/>
      <c r="P280" s="406"/>
      <c r="Q280" s="407"/>
      <c r="R280" s="422"/>
      <c r="S280" s="399"/>
      <c r="T280" s="399"/>
    </row>
    <row r="281" spans="1:20" s="81" customFormat="1" ht="15.75" customHeight="1">
      <c r="A281" s="468"/>
      <c r="B281" s="469"/>
      <c r="C281" s="48" t="s">
        <v>263</v>
      </c>
      <c r="D281" s="471">
        <v>0.3</v>
      </c>
      <c r="E281" s="41">
        <v>7.3771000000000004</v>
      </c>
      <c r="F281" s="473"/>
      <c r="G281" s="862">
        <f>ROUND(D281*E281,2)</f>
        <v>2.21</v>
      </c>
      <c r="H281" s="270"/>
      <c r="I281" s="41"/>
      <c r="J281" s="41"/>
      <c r="K281" s="271"/>
      <c r="L281" s="272"/>
      <c r="M281" s="878"/>
      <c r="N281" s="423"/>
      <c r="O281" s="406"/>
      <c r="P281" s="406"/>
      <c r="Q281" s="407"/>
      <c r="R281" s="422"/>
      <c r="S281" s="399"/>
      <c r="T281" s="399"/>
    </row>
    <row r="282" spans="1:20" s="81" customFormat="1" ht="15.75" customHeight="1" thickBot="1">
      <c r="A282" s="858"/>
      <c r="B282" s="859"/>
      <c r="C282" s="54" t="s">
        <v>29</v>
      </c>
      <c r="D282" s="860">
        <v>127</v>
      </c>
      <c r="E282" s="56">
        <v>7.3771000000000004</v>
      </c>
      <c r="F282" s="861"/>
      <c r="G282" s="866">
        <f t="shared" ref="G282" si="56">ROUND(D282*E282,2)</f>
        <v>936.89</v>
      </c>
      <c r="H282" s="280"/>
      <c r="I282" s="281"/>
      <c r="J282" s="281"/>
      <c r="K282" s="282"/>
      <c r="L282" s="204"/>
      <c r="M282" s="880"/>
      <c r="N282" s="426"/>
      <c r="O282" s="416"/>
      <c r="P282" s="416"/>
      <c r="Q282" s="417"/>
      <c r="R282" s="422"/>
      <c r="S282" s="399"/>
      <c r="T282" s="399"/>
    </row>
    <row r="283" spans="1:20" s="81" customFormat="1" ht="15.75" customHeight="1">
      <c r="A283" s="902">
        <v>405</v>
      </c>
      <c r="B283" s="903" t="s">
        <v>147</v>
      </c>
      <c r="C283" s="439" t="s">
        <v>260</v>
      </c>
      <c r="D283" s="904">
        <f>мар19!D272+мар19!D273</f>
        <v>178.43</v>
      </c>
      <c r="E283" s="23">
        <f>7.3771-7.5269</f>
        <v>-0.14979999999999993</v>
      </c>
      <c r="F283" s="905"/>
      <c r="G283" s="22">
        <f>ROUND(D283*E283,2)-0.01</f>
        <v>-26.740000000000002</v>
      </c>
      <c r="H283" s="303"/>
      <c r="I283" s="261"/>
      <c r="J283" s="261"/>
      <c r="K283" s="262"/>
      <c r="L283" s="286">
        <f>SUM(G283:G285)</f>
        <v>1171.23</v>
      </c>
      <c r="M283" s="90">
        <v>1171.23</v>
      </c>
      <c r="N283" s="421"/>
      <c r="O283" s="77"/>
      <c r="P283" s="77"/>
      <c r="Q283" s="384"/>
      <c r="R283" s="422"/>
      <c r="S283" s="399"/>
      <c r="T283" s="399"/>
    </row>
    <row r="284" spans="1:20" s="81" customFormat="1" ht="15.75" customHeight="1">
      <c r="A284" s="468"/>
      <c r="B284" s="469"/>
      <c r="C284" s="48" t="s">
        <v>263</v>
      </c>
      <c r="D284" s="471">
        <v>0.39</v>
      </c>
      <c r="E284" s="41">
        <v>7.3771000000000004</v>
      </c>
      <c r="F284" s="473"/>
      <c r="G284" s="449">
        <f>ROUND(D284*E284,2)</f>
        <v>2.88</v>
      </c>
      <c r="H284" s="260"/>
      <c r="I284" s="261"/>
      <c r="J284" s="261"/>
      <c r="K284" s="262"/>
      <c r="L284" s="286"/>
      <c r="M284" s="90"/>
      <c r="N284" s="423"/>
      <c r="O284" s="406"/>
      <c r="P284" s="406"/>
      <c r="Q284" s="407"/>
      <c r="R284" s="422"/>
      <c r="S284" s="399"/>
      <c r="T284" s="399"/>
    </row>
    <row r="285" spans="1:20" s="81" customFormat="1" ht="15.75" customHeight="1" thickBot="1">
      <c r="A285" s="701"/>
      <c r="B285" s="702"/>
      <c r="C285" s="99" t="s">
        <v>29</v>
      </c>
      <c r="D285" s="703">
        <v>162</v>
      </c>
      <c r="E285" s="56">
        <v>7.3771000000000004</v>
      </c>
      <c r="F285" s="704"/>
      <c r="G285" s="39">
        <f t="shared" ref="G285" si="57">ROUND(D285*E285,2)</f>
        <v>1195.0899999999999</v>
      </c>
      <c r="H285" s="280"/>
      <c r="I285" s="281"/>
      <c r="J285" s="281"/>
      <c r="K285" s="282"/>
      <c r="L285" s="204"/>
      <c r="M285" s="371"/>
      <c r="N285" s="426"/>
      <c r="O285" s="416"/>
      <c r="P285" s="416"/>
      <c r="Q285" s="417"/>
      <c r="R285" s="422"/>
      <c r="S285" s="399"/>
      <c r="T285" s="399"/>
    </row>
    <row r="286" spans="1:20" s="81" customFormat="1" ht="15.75" hidden="1" customHeight="1" outlineLevel="1" thickBot="1">
      <c r="A286" s="910"/>
      <c r="B286" s="911" t="s">
        <v>155</v>
      </c>
      <c r="C286" s="573" t="s">
        <v>115</v>
      </c>
      <c r="D286" s="912"/>
      <c r="E286" s="579">
        <f>7.0379-7.0426</f>
        <v>-4.7000000000005926E-3</v>
      </c>
      <c r="F286" s="580"/>
      <c r="G286" s="913">
        <f>ROUND(D286*E286,2)</f>
        <v>0</v>
      </c>
      <c r="H286" s="914"/>
      <c r="I286" s="23"/>
      <c r="J286" s="23"/>
      <c r="K286" s="304"/>
      <c r="L286" s="263">
        <f>SUM(G286:G288)</f>
        <v>0</v>
      </c>
      <c r="M286" s="26"/>
      <c r="N286" s="421"/>
      <c r="O286" s="77"/>
      <c r="P286" s="77"/>
      <c r="Q286" s="384"/>
      <c r="R286" s="422"/>
      <c r="S286" s="399"/>
      <c r="T286" s="399"/>
    </row>
    <row r="287" spans="1:20" s="81" customFormat="1" ht="15.75" hidden="1" customHeight="1" outlineLevel="1" thickBot="1">
      <c r="A287" s="910"/>
      <c r="B287" s="915"/>
      <c r="C287" s="573" t="s">
        <v>114</v>
      </c>
      <c r="D287" s="912"/>
      <c r="E287" s="579">
        <v>7.0378999999999996</v>
      </c>
      <c r="F287" s="580"/>
      <c r="G287" s="913">
        <f>ROUND(D287*E287,2)</f>
        <v>0</v>
      </c>
      <c r="H287" s="914"/>
      <c r="I287" s="261"/>
      <c r="J287" s="261"/>
      <c r="K287" s="262"/>
      <c r="L287" s="286"/>
      <c r="M287" s="90"/>
      <c r="N287" s="423"/>
      <c r="O287" s="406"/>
      <c r="P287" s="406"/>
      <c r="Q287" s="407"/>
      <c r="R287" s="422"/>
      <c r="S287" s="399"/>
      <c r="T287" s="399"/>
    </row>
    <row r="288" spans="1:20" s="81" customFormat="1" ht="15.75" hidden="1" customHeight="1" outlineLevel="1" thickBot="1">
      <c r="A288" s="910"/>
      <c r="B288" s="915"/>
      <c r="C288" s="916" t="s">
        <v>29</v>
      </c>
      <c r="D288" s="912"/>
      <c r="E288" s="917">
        <v>7.0378999999999996</v>
      </c>
      <c r="F288" s="580"/>
      <c r="G288" s="913">
        <f t="shared" ref="G288" si="58">ROUND(D288*E288,2)</f>
        <v>0</v>
      </c>
      <c r="H288" s="914"/>
      <c r="I288" s="281"/>
      <c r="J288" s="281"/>
      <c r="K288" s="282"/>
      <c r="L288" s="204"/>
      <c r="M288" s="371"/>
      <c r="N288" s="426"/>
      <c r="O288" s="416"/>
      <c r="P288" s="416"/>
      <c r="Q288" s="417"/>
      <c r="R288" s="422"/>
      <c r="S288" s="399"/>
      <c r="T288" s="399"/>
    </row>
    <row r="289" spans="1:20" s="81" customFormat="1" ht="15.75" customHeight="1" collapsed="1">
      <c r="A289" s="902">
        <v>406</v>
      </c>
      <c r="B289" s="903" t="s">
        <v>317</v>
      </c>
      <c r="C289" s="439" t="s">
        <v>260</v>
      </c>
      <c r="D289" s="904">
        <f>мар19!D278+мар19!D279</f>
        <v>19.05</v>
      </c>
      <c r="E289" s="23">
        <f>7.3771-7.5269</f>
        <v>-0.14979999999999993</v>
      </c>
      <c r="F289" s="905"/>
      <c r="G289" s="22">
        <f>ROUND(D289*E289,2)-0.01</f>
        <v>-2.86</v>
      </c>
      <c r="H289" s="303"/>
      <c r="I289" s="261"/>
      <c r="J289" s="261"/>
      <c r="K289" s="262"/>
      <c r="L289" s="286">
        <f>SUM(G289:G291)</f>
        <v>93.26</v>
      </c>
      <c r="M289" s="90">
        <v>93.26</v>
      </c>
      <c r="N289" s="421"/>
      <c r="O289" s="77"/>
      <c r="P289" s="77"/>
      <c r="Q289" s="384"/>
      <c r="R289" s="422"/>
      <c r="S289" s="399"/>
      <c r="T289" s="399"/>
    </row>
    <row r="290" spans="1:20" s="81" customFormat="1" ht="15.75" customHeight="1">
      <c r="A290" s="468"/>
      <c r="B290" s="469"/>
      <c r="C290" s="48" t="s">
        <v>263</v>
      </c>
      <c r="D290" s="471">
        <v>0.03</v>
      </c>
      <c r="E290" s="41">
        <v>7.3771000000000004</v>
      </c>
      <c r="F290" s="473"/>
      <c r="G290" s="449">
        <f>ROUND(D290*E290,2)</f>
        <v>0.22</v>
      </c>
      <c r="H290" s="260"/>
      <c r="I290" s="261"/>
      <c r="J290" s="261"/>
      <c r="K290" s="262"/>
      <c r="L290" s="286"/>
      <c r="M290" s="90"/>
      <c r="N290" s="423"/>
      <c r="O290" s="406"/>
      <c r="P290" s="406"/>
      <c r="Q290" s="407"/>
      <c r="R290" s="422"/>
      <c r="S290" s="399"/>
      <c r="T290" s="399"/>
    </row>
    <row r="291" spans="1:20" s="81" customFormat="1" ht="15.75" customHeight="1" thickBot="1">
      <c r="A291" s="701"/>
      <c r="B291" s="702"/>
      <c r="C291" s="99" t="s">
        <v>29</v>
      </c>
      <c r="D291" s="703">
        <v>13</v>
      </c>
      <c r="E291" s="56">
        <v>7.3771000000000004</v>
      </c>
      <c r="F291" s="704"/>
      <c r="G291" s="39">
        <f t="shared" ref="G291" si="59">ROUND(D291*E291,2)</f>
        <v>95.9</v>
      </c>
      <c r="H291" s="280"/>
      <c r="I291" s="281"/>
      <c r="J291" s="281"/>
      <c r="K291" s="282"/>
      <c r="L291" s="204"/>
      <c r="M291" s="371"/>
      <c r="N291" s="426"/>
      <c r="O291" s="416"/>
      <c r="P291" s="416"/>
      <c r="Q291" s="417"/>
      <c r="R291" s="422"/>
      <c r="S291" s="399"/>
      <c r="T291" s="399"/>
    </row>
    <row r="292" spans="1:20" s="81" customFormat="1" ht="15.75" customHeight="1" collapsed="1">
      <c r="A292" s="902">
        <v>407</v>
      </c>
      <c r="B292" s="903" t="s">
        <v>160</v>
      </c>
      <c r="C292" s="439" t="s">
        <v>260</v>
      </c>
      <c r="D292" s="904">
        <f>мар19!D281+мар19!D282</f>
        <v>28.07</v>
      </c>
      <c r="E292" s="23">
        <f>7.3771-7.5269</f>
        <v>-0.14979999999999993</v>
      </c>
      <c r="F292" s="905"/>
      <c r="G292" s="22">
        <f>ROUND(D292*E292,2)-0.01</f>
        <v>-4.21</v>
      </c>
      <c r="H292" s="303"/>
      <c r="I292" s="23"/>
      <c r="J292" s="23"/>
      <c r="K292" s="304"/>
      <c r="L292" s="263">
        <f>SUM(G292:G294)</f>
        <v>225</v>
      </c>
      <c r="M292" s="26">
        <v>225</v>
      </c>
      <c r="N292" s="421"/>
      <c r="O292" s="77"/>
      <c r="P292" s="77"/>
      <c r="Q292" s="384"/>
      <c r="R292" s="422"/>
      <c r="S292" s="399"/>
      <c r="T292" s="399"/>
    </row>
    <row r="293" spans="1:20" s="81" customFormat="1" ht="15.75" customHeight="1">
      <c r="A293" s="468"/>
      <c r="B293" s="469"/>
      <c r="C293" s="48" t="s">
        <v>263</v>
      </c>
      <c r="D293" s="471">
        <v>7.0000000000000007E-2</v>
      </c>
      <c r="E293" s="41">
        <v>7.3771000000000004</v>
      </c>
      <c r="F293" s="473"/>
      <c r="G293" s="449">
        <f>ROUND(D293*E293,2)</f>
        <v>0.52</v>
      </c>
      <c r="H293" s="260"/>
      <c r="I293" s="261"/>
      <c r="J293" s="261"/>
      <c r="K293" s="262"/>
      <c r="L293" s="286"/>
      <c r="M293" s="90"/>
      <c r="N293" s="423"/>
      <c r="O293" s="406"/>
      <c r="P293" s="406"/>
      <c r="Q293" s="407"/>
      <c r="R293" s="422"/>
      <c r="S293" s="399"/>
      <c r="T293" s="399"/>
    </row>
    <row r="294" spans="1:20" s="81" customFormat="1" ht="15.75" customHeight="1" thickBot="1">
      <c r="A294" s="858"/>
      <c r="B294" s="859"/>
      <c r="C294" s="54" t="s">
        <v>29</v>
      </c>
      <c r="D294" s="860">
        <v>31</v>
      </c>
      <c r="E294" s="56">
        <v>7.3771000000000004</v>
      </c>
      <c r="F294" s="861"/>
      <c r="G294" s="414">
        <f t="shared" ref="G294" si="60">ROUND(D294*E294,2)</f>
        <v>228.69</v>
      </c>
      <c r="H294" s="280"/>
      <c r="I294" s="281"/>
      <c r="J294" s="281"/>
      <c r="K294" s="282"/>
      <c r="L294" s="204"/>
      <c r="M294" s="371"/>
      <c r="N294" s="426"/>
      <c r="O294" s="416"/>
      <c r="P294" s="416"/>
      <c r="Q294" s="417"/>
      <c r="R294" s="422"/>
      <c r="S294" s="399"/>
      <c r="T294" s="399"/>
    </row>
    <row r="295" spans="1:20" s="81" customFormat="1" ht="15.75" customHeight="1">
      <c r="A295" s="906">
        <v>408</v>
      </c>
      <c r="B295" s="903" t="s">
        <v>253</v>
      </c>
      <c r="C295" s="382" t="s">
        <v>73</v>
      </c>
      <c r="D295" s="904">
        <v>35</v>
      </c>
      <c r="E295" s="907">
        <v>41.244</v>
      </c>
      <c r="F295" s="905">
        <v>48.335999999999999</v>
      </c>
      <c r="G295" s="908">
        <f>ROUND(D295*E295+D295*F295,2)</f>
        <v>3135.3</v>
      </c>
      <c r="H295" s="303"/>
      <c r="I295" s="23"/>
      <c r="J295" s="23"/>
      <c r="K295" s="304"/>
      <c r="L295" s="263">
        <f>SUM(G295:G299)</f>
        <v>12153.29</v>
      </c>
      <c r="M295" s="877">
        <v>12153.29</v>
      </c>
      <c r="N295" s="430"/>
      <c r="O295" s="77"/>
      <c r="P295" s="77"/>
      <c r="Q295" s="384"/>
      <c r="R295" s="422"/>
      <c r="S295" s="399"/>
      <c r="T295" s="399"/>
    </row>
    <row r="296" spans="1:20" s="81" customFormat="1" ht="15.75" customHeight="1" thickBot="1">
      <c r="A296" s="909"/>
      <c r="B296" s="469"/>
      <c r="C296" s="429" t="s">
        <v>26</v>
      </c>
      <c r="D296" s="471"/>
      <c r="E296" s="876"/>
      <c r="F296" s="473"/>
      <c r="G296" s="862">
        <f>ROUND(D296*E296+D296*F296,2)</f>
        <v>0</v>
      </c>
      <c r="H296" s="270"/>
      <c r="I296" s="41"/>
      <c r="J296" s="41"/>
      <c r="K296" s="271"/>
      <c r="L296" s="272"/>
      <c r="M296" s="878"/>
      <c r="N296" s="430"/>
      <c r="O296" s="406"/>
      <c r="P296" s="406"/>
      <c r="Q296" s="407"/>
      <c r="R296" s="422"/>
      <c r="S296" s="399"/>
      <c r="T296" s="399"/>
    </row>
    <row r="297" spans="1:20" s="81" customFormat="1" ht="15.75" customHeight="1">
      <c r="A297" s="468"/>
      <c r="B297" s="699"/>
      <c r="C297" s="48" t="s">
        <v>260</v>
      </c>
      <c r="D297" s="471">
        <f>мар19!D286+мар19!D287</f>
        <v>1357.25</v>
      </c>
      <c r="E297" s="41">
        <f>7.3771-7.5269</f>
        <v>-0.14979999999999993</v>
      </c>
      <c r="F297" s="473"/>
      <c r="G297" s="862">
        <f>ROUND(D297*E297,2)+0.01</f>
        <v>-203.31</v>
      </c>
      <c r="H297" s="270"/>
      <c r="I297" s="41"/>
      <c r="J297" s="41"/>
      <c r="K297" s="271"/>
      <c r="L297" s="272"/>
      <c r="M297" s="878"/>
      <c r="N297" s="421"/>
      <c r="O297" s="406"/>
      <c r="P297" s="406"/>
      <c r="Q297" s="407"/>
      <c r="R297" s="422"/>
      <c r="S297" s="399"/>
      <c r="T297" s="399"/>
    </row>
    <row r="298" spans="1:20" s="81" customFormat="1" ht="15.75" customHeight="1">
      <c r="A298" s="468"/>
      <c r="B298" s="469"/>
      <c r="C298" s="48" t="s">
        <v>263</v>
      </c>
      <c r="D298" s="471">
        <f>2.8+0.19</f>
        <v>2.9899999999999998</v>
      </c>
      <c r="E298" s="41">
        <v>7.3771000000000004</v>
      </c>
      <c r="F298" s="473"/>
      <c r="G298" s="862">
        <f>ROUND(D298*E298,2)</f>
        <v>22.06</v>
      </c>
      <c r="H298" s="270"/>
      <c r="I298" s="41"/>
      <c r="J298" s="41"/>
      <c r="K298" s="271"/>
      <c r="L298" s="272"/>
      <c r="M298" s="878"/>
      <c r="N298" s="423"/>
      <c r="O298" s="406"/>
      <c r="P298" s="406"/>
      <c r="Q298" s="407"/>
      <c r="R298" s="422"/>
      <c r="S298" s="399"/>
      <c r="T298" s="399"/>
    </row>
    <row r="299" spans="1:20" s="81" customFormat="1" ht="15.75" customHeight="1" thickBot="1">
      <c r="A299" s="858"/>
      <c r="B299" s="859"/>
      <c r="C299" s="54" t="s">
        <v>29</v>
      </c>
      <c r="D299" s="860">
        <f>1166+81</f>
        <v>1247</v>
      </c>
      <c r="E299" s="56">
        <v>7.3771000000000004</v>
      </c>
      <c r="F299" s="861"/>
      <c r="G299" s="866">
        <f t="shared" ref="G299" si="61">ROUND(D299*E299,2)</f>
        <v>9199.24</v>
      </c>
      <c r="H299" s="280"/>
      <c r="I299" s="281"/>
      <c r="J299" s="281"/>
      <c r="K299" s="282"/>
      <c r="L299" s="204"/>
      <c r="M299" s="880"/>
      <c r="N299" s="426"/>
      <c r="O299" s="416"/>
      <c r="P299" s="416"/>
      <c r="Q299" s="417"/>
      <c r="R299" s="422"/>
      <c r="S299" s="399"/>
      <c r="T299" s="399"/>
    </row>
    <row r="300" spans="1:20" s="81" customFormat="1" ht="15" hidden="1" customHeight="1">
      <c r="A300" s="437">
        <v>129</v>
      </c>
      <c r="B300" s="438" t="s">
        <v>38</v>
      </c>
      <c r="C300" s="439"/>
      <c r="D300" s="378"/>
      <c r="E300" s="23"/>
      <c r="F300" s="23"/>
      <c r="G300" s="22"/>
      <c r="H300" s="303"/>
      <c r="I300" s="23"/>
      <c r="J300" s="23"/>
      <c r="K300" s="304"/>
      <c r="L300" s="382">
        <f>+SUM(G300:G303,J300:J303)</f>
        <v>0</v>
      </c>
      <c r="M300" s="26"/>
      <c r="N300" s="421"/>
      <c r="O300" s="77"/>
      <c r="P300" s="77"/>
      <c r="Q300" s="384">
        <f>+L300-M300</f>
        <v>0</v>
      </c>
      <c r="R300" s="899"/>
      <c r="S300" s="399"/>
      <c r="T300" s="399"/>
    </row>
    <row r="301" spans="1:20" s="81" customFormat="1" ht="15" hidden="1" customHeight="1">
      <c r="A301" s="441"/>
      <c r="B301" s="442" t="s">
        <v>198</v>
      </c>
      <c r="C301" s="48" t="s">
        <v>118</v>
      </c>
      <c r="D301" s="37"/>
      <c r="E301" s="41">
        <f>6.8416-6.7432</f>
        <v>9.8399999999999821E-2</v>
      </c>
      <c r="F301" s="41"/>
      <c r="G301" s="39">
        <f>ROUND(D301*E301,2)</f>
        <v>0</v>
      </c>
      <c r="H301" s="260"/>
      <c r="I301" s="261"/>
      <c r="J301" s="261"/>
      <c r="K301" s="262"/>
      <c r="L301" s="394"/>
      <c r="M301" s="90"/>
      <c r="N301" s="443"/>
      <c r="O301" s="94"/>
      <c r="P301" s="94"/>
      <c r="Q301" s="396"/>
      <c r="R301" s="899"/>
      <c r="S301" s="399"/>
      <c r="T301" s="399"/>
    </row>
    <row r="302" spans="1:20" s="81" customFormat="1" ht="15.75" hidden="1" thickBot="1">
      <c r="A302" s="441"/>
      <c r="B302" s="444"/>
      <c r="C302" s="48" t="s">
        <v>119</v>
      </c>
      <c r="D302" s="37"/>
      <c r="E302" s="41">
        <v>6.8415999999999997</v>
      </c>
      <c r="F302" s="41"/>
      <c r="G302" s="39">
        <f t="shared" ref="G302:G303" si="62">ROUND(D302*E302,2)</f>
        <v>0</v>
      </c>
      <c r="H302" s="432"/>
      <c r="I302" s="207"/>
      <c r="J302" s="207"/>
      <c r="K302" s="362"/>
      <c r="L302" s="433"/>
      <c r="M302" s="63"/>
      <c r="N302" s="423"/>
      <c r="O302" s="406"/>
      <c r="P302" s="406"/>
      <c r="Q302" s="407"/>
      <c r="R302" s="899"/>
      <c r="S302" s="399"/>
      <c r="T302" s="399"/>
    </row>
    <row r="303" spans="1:20" s="81" customFormat="1" ht="15" hidden="1" customHeight="1" thickBot="1">
      <c r="A303" s="445"/>
      <c r="B303" s="446"/>
      <c r="C303" s="99" t="s">
        <v>29</v>
      </c>
      <c r="D303" s="413"/>
      <c r="E303" s="56">
        <v>6.8415999999999997</v>
      </c>
      <c r="F303" s="281"/>
      <c r="G303" s="414">
        <f t="shared" si="62"/>
        <v>0</v>
      </c>
      <c r="H303" s="280"/>
      <c r="I303" s="281"/>
      <c r="J303" s="281"/>
      <c r="K303" s="282"/>
      <c r="L303" s="204"/>
      <c r="M303" s="371"/>
      <c r="N303" s="434"/>
      <c r="O303" s="435"/>
      <c r="P303" s="435"/>
      <c r="Q303" s="425"/>
      <c r="R303" s="899"/>
      <c r="S303" s="399"/>
      <c r="T303" s="399"/>
    </row>
    <row r="304" spans="1:20" s="81" customFormat="1" ht="15.75" hidden="1" customHeight="1">
      <c r="A304" s="902">
        <v>118</v>
      </c>
      <c r="B304" s="924" t="s">
        <v>200</v>
      </c>
      <c r="C304" s="390" t="s">
        <v>73</v>
      </c>
      <c r="D304" s="869"/>
      <c r="E304" s="86">
        <v>36.214199999999998</v>
      </c>
      <c r="F304" s="86">
        <v>42.4328</v>
      </c>
      <c r="G304" s="449">
        <f>+D304*(E304+F304)</f>
        <v>0</v>
      </c>
      <c r="H304" s="260"/>
      <c r="I304" s="392"/>
      <c r="J304" s="41"/>
      <c r="K304" s="870"/>
      <c r="L304" s="286">
        <f>SUM(G304:G308,J304:J308)</f>
        <v>0</v>
      </c>
      <c r="M304" s="90"/>
      <c r="N304" s="443"/>
      <c r="O304" s="94"/>
      <c r="P304" s="94"/>
      <c r="Q304" s="396"/>
      <c r="R304" s="422"/>
      <c r="S304" s="399"/>
      <c r="T304" s="399"/>
    </row>
    <row r="305" spans="1:20" s="81" customFormat="1" ht="15.75" hidden="1" customHeight="1">
      <c r="A305" s="468"/>
      <c r="B305" s="920"/>
      <c r="C305" s="36" t="s">
        <v>26</v>
      </c>
      <c r="D305" s="37"/>
      <c r="E305" s="38"/>
      <c r="F305" s="38"/>
      <c r="G305" s="39">
        <f>ROUND(D305*(E305+F305),2)</f>
        <v>0</v>
      </c>
      <c r="H305" s="457"/>
      <c r="I305" s="392"/>
      <c r="J305" s="41"/>
      <c r="K305" s="393"/>
      <c r="L305" s="459"/>
      <c r="M305" s="44"/>
      <c r="N305" s="430"/>
      <c r="O305" s="406"/>
      <c r="P305" s="406"/>
      <c r="Q305" s="407"/>
      <c r="R305" s="422"/>
      <c r="S305" s="399"/>
      <c r="T305" s="399"/>
    </row>
    <row r="306" spans="1:20" s="81" customFormat="1" ht="15.75" hidden="1" customHeight="1">
      <c r="A306" s="468"/>
      <c r="B306" s="920"/>
      <c r="C306" s="48" t="s">
        <v>124</v>
      </c>
      <c r="D306" s="37"/>
      <c r="E306" s="41"/>
      <c r="F306" s="38"/>
      <c r="G306" s="39">
        <f>ROUND(D306*(E306),2)</f>
        <v>0</v>
      </c>
      <c r="H306" s="270"/>
      <c r="I306" s="41"/>
      <c r="J306" s="41"/>
      <c r="K306" s="271"/>
      <c r="L306" s="272"/>
      <c r="M306" s="102"/>
      <c r="N306" s="430"/>
      <c r="O306" s="406"/>
      <c r="P306" s="406"/>
      <c r="Q306" s="407"/>
      <c r="R306" s="422"/>
      <c r="S306" s="399"/>
      <c r="T306" s="399"/>
    </row>
    <row r="307" spans="1:20" s="81" customFormat="1" ht="15.75" hidden="1" customHeight="1">
      <c r="A307" s="468"/>
      <c r="B307" s="920"/>
      <c r="C307" s="48" t="s">
        <v>125</v>
      </c>
      <c r="D307" s="37"/>
      <c r="E307" s="41">
        <v>6.7431999999999999</v>
      </c>
      <c r="F307" s="38"/>
      <c r="G307" s="39">
        <f>ROUND(D307*(E307),2)</f>
        <v>0</v>
      </c>
      <c r="H307" s="270"/>
      <c r="I307" s="41"/>
      <c r="J307" s="41"/>
      <c r="K307" s="271"/>
      <c r="L307" s="272"/>
      <c r="M307" s="102"/>
      <c r="N307" s="434"/>
      <c r="O307" s="435"/>
      <c r="P307" s="435"/>
      <c r="Q307" s="425"/>
      <c r="R307" s="422"/>
      <c r="S307" s="399"/>
      <c r="T307" s="399"/>
    </row>
    <row r="308" spans="1:20" s="81" customFormat="1" ht="15.75" hidden="1" customHeight="1" thickBot="1">
      <c r="A308" s="858"/>
      <c r="B308" s="921"/>
      <c r="C308" s="54" t="s">
        <v>29</v>
      </c>
      <c r="D308" s="413"/>
      <c r="E308" s="56">
        <v>6.7431999999999999</v>
      </c>
      <c r="F308" s="281"/>
      <c r="G308" s="414">
        <f>ROUND(D308*(E308),2)</f>
        <v>0</v>
      </c>
      <c r="H308" s="280"/>
      <c r="I308" s="281"/>
      <c r="J308" s="281"/>
      <c r="K308" s="282"/>
      <c r="L308" s="204"/>
      <c r="M308" s="371"/>
      <c r="N308" s="426"/>
      <c r="O308" s="416"/>
      <c r="P308" s="416"/>
      <c r="Q308" s="417"/>
      <c r="R308" s="422"/>
      <c r="S308" s="399"/>
      <c r="T308" s="399"/>
    </row>
    <row r="309" spans="1:20" s="81" customFormat="1" ht="15.75" customHeight="1">
      <c r="A309" s="902" t="s">
        <v>258</v>
      </c>
      <c r="B309" s="903" t="s">
        <v>265</v>
      </c>
      <c r="C309" s="439" t="s">
        <v>260</v>
      </c>
      <c r="D309" s="904">
        <f>мар19!D298+мар19!D299</f>
        <v>999.39</v>
      </c>
      <c r="E309" s="23">
        <f>7.3771-7.5269</f>
        <v>-0.14979999999999993</v>
      </c>
      <c r="F309" s="905"/>
      <c r="G309" s="22">
        <f>ROUND(D309*E309,2)</f>
        <v>-149.71</v>
      </c>
      <c r="H309" s="303"/>
      <c r="I309" s="23"/>
      <c r="J309" s="23"/>
      <c r="K309" s="304"/>
      <c r="L309" s="263">
        <f>SUM(G309:G311)</f>
        <v>3200.16</v>
      </c>
      <c r="M309" s="26">
        <v>3200.16</v>
      </c>
      <c r="N309" s="421"/>
      <c r="O309" s="77"/>
      <c r="P309" s="77"/>
      <c r="Q309" s="384"/>
      <c r="R309" s="422"/>
      <c r="S309" s="399"/>
      <c r="T309" s="399"/>
    </row>
    <row r="310" spans="1:20" s="81" customFormat="1" ht="15.75" customHeight="1">
      <c r="A310" s="468"/>
      <c r="B310" s="469"/>
      <c r="C310" s="48" t="s">
        <v>263</v>
      </c>
      <c r="D310" s="471">
        <v>1.0900000000000001</v>
      </c>
      <c r="E310" s="41">
        <v>7.3771000000000004</v>
      </c>
      <c r="F310" s="473"/>
      <c r="G310" s="449">
        <f>ROUND(D310*E310,2)</f>
        <v>8.0399999999999991</v>
      </c>
      <c r="H310" s="260"/>
      <c r="I310" s="261"/>
      <c r="J310" s="261"/>
      <c r="K310" s="262"/>
      <c r="L310" s="286"/>
      <c r="M310" s="90"/>
      <c r="N310" s="423"/>
      <c r="O310" s="406"/>
      <c r="P310" s="406"/>
      <c r="Q310" s="407"/>
      <c r="R310" s="422"/>
      <c r="S310" s="399"/>
      <c r="T310" s="399"/>
    </row>
    <row r="311" spans="1:20" s="81" customFormat="1" ht="15.75" customHeight="1" thickBot="1">
      <c r="A311" s="858"/>
      <c r="B311" s="859"/>
      <c r="C311" s="54" t="s">
        <v>29</v>
      </c>
      <c r="D311" s="860">
        <v>453</v>
      </c>
      <c r="E311" s="56">
        <v>7.3771000000000004</v>
      </c>
      <c r="F311" s="861"/>
      <c r="G311" s="414">
        <f t="shared" ref="G311" si="63">ROUND(D311*E311,2)</f>
        <v>3341.83</v>
      </c>
      <c r="H311" s="280"/>
      <c r="I311" s="281"/>
      <c r="J311" s="281"/>
      <c r="K311" s="282"/>
      <c r="L311" s="204"/>
      <c r="M311" s="371"/>
      <c r="N311" s="426"/>
      <c r="O311" s="416"/>
      <c r="P311" s="416"/>
      <c r="Q311" s="417"/>
      <c r="R311" s="422"/>
      <c r="S311" s="399"/>
      <c r="T311" s="399"/>
    </row>
    <row r="312" spans="1:20" s="81" customFormat="1" ht="15.75" customHeight="1">
      <c r="A312" s="902" t="s">
        <v>258</v>
      </c>
      <c r="B312" s="903" t="s">
        <v>267</v>
      </c>
      <c r="C312" s="439" t="s">
        <v>260</v>
      </c>
      <c r="D312" s="904">
        <f>мар19!D301+мар19!D302</f>
        <v>175.42</v>
      </c>
      <c r="E312" s="23">
        <f>7.3771-7.5269</f>
        <v>-0.14979999999999993</v>
      </c>
      <c r="F312" s="905"/>
      <c r="G312" s="22">
        <f>ROUND(D312*E312,2)</f>
        <v>-26.28</v>
      </c>
      <c r="H312" s="303"/>
      <c r="I312" s="23"/>
      <c r="J312" s="23"/>
      <c r="K312" s="304"/>
      <c r="L312" s="263">
        <f>SUM(G312:G314)</f>
        <v>1511.8500000000001</v>
      </c>
      <c r="M312" s="26">
        <v>1511.85</v>
      </c>
      <c r="N312" s="421"/>
      <c r="O312" s="1561"/>
      <c r="P312" s="1562"/>
      <c r="Q312" s="1563"/>
      <c r="R312" s="422"/>
      <c r="S312" s="399"/>
      <c r="T312" s="399"/>
    </row>
    <row r="313" spans="1:20" s="81" customFormat="1" ht="15.75" customHeight="1">
      <c r="A313" s="468"/>
      <c r="B313" s="469"/>
      <c r="C313" s="48" t="s">
        <v>263</v>
      </c>
      <c r="D313" s="471">
        <v>0.5</v>
      </c>
      <c r="E313" s="41">
        <v>7.3771000000000004</v>
      </c>
      <c r="F313" s="473"/>
      <c r="G313" s="449">
        <f>ROUND(D313*E313,2)</f>
        <v>3.69</v>
      </c>
      <c r="H313" s="260"/>
      <c r="I313" s="261"/>
      <c r="J313" s="261"/>
      <c r="K313" s="262"/>
      <c r="L313" s="286"/>
      <c r="M313" s="90"/>
      <c r="N313" s="423"/>
      <c r="O313" s="406"/>
      <c r="P313" s="406"/>
      <c r="Q313" s="407"/>
      <c r="R313" s="422"/>
      <c r="S313" s="399"/>
      <c r="T313" s="399"/>
    </row>
    <row r="314" spans="1:20" s="81" customFormat="1" ht="15.75" customHeight="1" thickBot="1">
      <c r="A314" s="858"/>
      <c r="B314" s="859"/>
      <c r="C314" s="54" t="s">
        <v>29</v>
      </c>
      <c r="D314" s="860">
        <v>208</v>
      </c>
      <c r="E314" s="56">
        <v>7.3771000000000004</v>
      </c>
      <c r="F314" s="861"/>
      <c r="G314" s="414">
        <f t="shared" ref="G314" si="64">ROUND(D314*E314,2)</f>
        <v>1534.44</v>
      </c>
      <c r="H314" s="280"/>
      <c r="I314" s="281"/>
      <c r="J314" s="281"/>
      <c r="K314" s="282"/>
      <c r="L314" s="204"/>
      <c r="M314" s="371"/>
      <c r="N314" s="426"/>
      <c r="O314" s="416"/>
      <c r="P314" s="416"/>
      <c r="Q314" s="417"/>
      <c r="R314" s="422"/>
      <c r="S314" s="399"/>
      <c r="T314" s="399"/>
    </row>
    <row r="315" spans="1:20" s="81" customFormat="1" ht="15.75" customHeight="1">
      <c r="A315" s="926"/>
      <c r="B315" s="927"/>
      <c r="C315" s="928"/>
      <c r="D315" s="904"/>
      <c r="E315" s="929"/>
      <c r="F315" s="905"/>
      <c r="G315" s="930"/>
      <c r="H315" s="905"/>
      <c r="I315" s="905"/>
      <c r="J315" s="905"/>
      <c r="K315" s="905"/>
      <c r="L315" s="905"/>
      <c r="M315" s="931"/>
      <c r="N315" s="387"/>
      <c r="O315" s="387"/>
      <c r="P315" s="387"/>
      <c r="Q315" s="387"/>
      <c r="R315" s="422"/>
      <c r="S315" s="399"/>
      <c r="T315" s="399"/>
    </row>
    <row r="316" spans="1:20" s="81" customFormat="1" ht="15" customHeight="1">
      <c r="A316" s="686"/>
      <c r="B316" s="469"/>
      <c r="C316" s="932"/>
      <c r="D316" s="471"/>
      <c r="E316" s="473"/>
      <c r="F316" s="473"/>
      <c r="G316" s="474"/>
      <c r="H316" s="473"/>
      <c r="I316" s="473"/>
      <c r="J316" s="473"/>
      <c r="K316" s="473"/>
      <c r="L316" s="473"/>
      <c r="M316" s="470"/>
      <c r="N316" s="399"/>
      <c r="O316" s="399"/>
      <c r="P316" s="399"/>
      <c r="Q316" s="399"/>
      <c r="R316" s="422"/>
      <c r="S316" s="399"/>
      <c r="T316" s="399"/>
    </row>
    <row r="317" spans="1:20" ht="21.75" thickBot="1">
      <c r="A317" s="171" t="s">
        <v>84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  <c r="N317" s="2"/>
      <c r="O317" s="2"/>
      <c r="P317" s="2"/>
      <c r="Q317" s="2"/>
      <c r="R317" s="2"/>
      <c r="S317" s="2"/>
      <c r="T317" s="2"/>
    </row>
    <row r="318" spans="1:20" ht="15.75" customHeight="1" thickTop="1" thickBot="1">
      <c r="A318" s="1540" t="s">
        <v>1</v>
      </c>
      <c r="B318" s="1542" t="s">
        <v>2</v>
      </c>
      <c r="C318" s="1544" t="s">
        <v>3</v>
      </c>
      <c r="D318" s="1546" t="s">
        <v>4</v>
      </c>
      <c r="E318" s="1546"/>
      <c r="F318" s="1546"/>
      <c r="G318" s="1546"/>
      <c r="H318" s="1547" t="s">
        <v>5</v>
      </c>
      <c r="I318" s="1548"/>
      <c r="J318" s="1548"/>
      <c r="K318" s="1549"/>
      <c r="L318" s="1524" t="s">
        <v>6</v>
      </c>
      <c r="M318" s="1511" t="s">
        <v>7</v>
      </c>
      <c r="N318" s="1551" t="s">
        <v>8</v>
      </c>
      <c r="O318" s="1551"/>
      <c r="P318" s="1551"/>
      <c r="Q318" s="1552" t="s">
        <v>18</v>
      </c>
      <c r="R318" s="481" t="s">
        <v>85</v>
      </c>
      <c r="S318" s="482" t="s">
        <v>20</v>
      </c>
      <c r="T318" s="482" t="s">
        <v>21</v>
      </c>
    </row>
    <row r="319" spans="1:20" ht="40.5" customHeight="1" thickTop="1" thickBot="1">
      <c r="A319" s="1541"/>
      <c r="B319" s="1543"/>
      <c r="C319" s="1545" t="s">
        <v>10</v>
      </c>
      <c r="D319" s="483" t="s">
        <v>11</v>
      </c>
      <c r="E319" s="484" t="s">
        <v>12</v>
      </c>
      <c r="F319" s="484" t="s">
        <v>13</v>
      </c>
      <c r="G319" s="485" t="s">
        <v>14</v>
      </c>
      <c r="H319" s="483" t="s">
        <v>11</v>
      </c>
      <c r="I319" s="486" t="s">
        <v>15</v>
      </c>
      <c r="J319" s="485"/>
      <c r="K319" s="487" t="s">
        <v>16</v>
      </c>
      <c r="L319" s="1525"/>
      <c r="M319" s="1550"/>
      <c r="N319" s="488" t="s">
        <v>14</v>
      </c>
      <c r="O319" s="485"/>
      <c r="P319" s="489" t="s">
        <v>18</v>
      </c>
      <c r="Q319" s="490" t="s">
        <v>19</v>
      </c>
      <c r="R319" s="491"/>
      <c r="S319" s="492"/>
      <c r="T319" s="492"/>
    </row>
    <row r="320" spans="1:20">
      <c r="A320" s="961" t="s">
        <v>228</v>
      </c>
      <c r="B320" s="602" t="s">
        <v>186</v>
      </c>
      <c r="C320" s="439" t="s">
        <v>260</v>
      </c>
      <c r="D320" s="184">
        <f>мар19!D309+мар19!D310</f>
        <v>265.25</v>
      </c>
      <c r="E320" s="41">
        <f>7.1994-7.4969</f>
        <v>-0.29750000000000032</v>
      </c>
      <c r="F320" s="23"/>
      <c r="G320" s="185">
        <f>ROUND(D320*(E320),2)</f>
        <v>-78.91</v>
      </c>
      <c r="H320" s="620"/>
      <c r="I320" s="620"/>
      <c r="J320" s="620"/>
      <c r="K320" s="1022"/>
      <c r="L320" s="498">
        <f>SUM(G320:G322)</f>
        <v>1725.48</v>
      </c>
      <c r="M320" s="187">
        <v>1725.48</v>
      </c>
      <c r="N320" s="615"/>
      <c r="O320" s="615"/>
      <c r="P320" s="615"/>
      <c r="Q320" s="615"/>
    </row>
    <row r="321" spans="1:21">
      <c r="A321" s="934"/>
      <c r="B321" s="506"/>
      <c r="C321" s="48" t="s">
        <v>263</v>
      </c>
      <c r="D321" s="49">
        <v>10.63</v>
      </c>
      <c r="E321" s="41">
        <v>7.1993999999999998</v>
      </c>
      <c r="F321" s="41">
        <f>+E321</f>
        <v>7.1993999999999998</v>
      </c>
      <c r="G321" s="50">
        <f>ROUND(D321*(E321),2)</f>
        <v>76.53</v>
      </c>
      <c r="H321" s="296"/>
      <c r="I321" s="298"/>
      <c r="J321" s="298"/>
      <c r="K321" s="1021"/>
      <c r="L321" s="606"/>
      <c r="M321" s="935"/>
      <c r="N321" s="615"/>
      <c r="O321" s="615"/>
      <c r="P321" s="615"/>
      <c r="Q321" s="615"/>
    </row>
    <row r="322" spans="1:21" ht="15.75" thickBot="1">
      <c r="A322" s="934"/>
      <c r="B322" s="506"/>
      <c r="C322" s="54" t="s">
        <v>29</v>
      </c>
      <c r="D322" s="296">
        <v>240</v>
      </c>
      <c r="E322" s="56">
        <v>7.1993999999999998</v>
      </c>
      <c r="F322" s="41">
        <f>+E322</f>
        <v>7.1993999999999998</v>
      </c>
      <c r="G322" s="50">
        <f t="shared" ref="G322" si="65">ROUND(D322*(E322),2)</f>
        <v>1727.86</v>
      </c>
      <c r="H322" s="296"/>
      <c r="I322" s="298"/>
      <c r="J322" s="298"/>
      <c r="K322" s="1021"/>
      <c r="L322" s="614"/>
      <c r="M322" s="935"/>
      <c r="N322" s="615"/>
      <c r="O322" s="615"/>
      <c r="P322" s="615"/>
      <c r="Q322" s="615"/>
    </row>
    <row r="323" spans="1:21">
      <c r="A323" s="961" t="s">
        <v>207</v>
      </c>
      <c r="B323" s="602" t="s">
        <v>184</v>
      </c>
      <c r="C323" s="439" t="s">
        <v>260</v>
      </c>
      <c r="D323" s="184">
        <v>0</v>
      </c>
      <c r="E323" s="41">
        <f>7.1994-7.4969</f>
        <v>-0.29750000000000032</v>
      </c>
      <c r="F323" s="23">
        <f>+E323</f>
        <v>-0.29750000000000032</v>
      </c>
      <c r="G323" s="185">
        <f>ROUND(D323*(E323),2)</f>
        <v>0</v>
      </c>
      <c r="H323" s="620"/>
      <c r="I323" s="620"/>
      <c r="J323" s="620"/>
      <c r="K323" s="1022"/>
      <c r="L323" s="498">
        <f>SUM(G323:G325)</f>
        <v>0</v>
      </c>
      <c r="M323" s="187"/>
      <c r="N323" s="615"/>
      <c r="O323" s="962" t="s">
        <v>277</v>
      </c>
      <c r="P323" s="615"/>
      <c r="Q323" s="615"/>
    </row>
    <row r="324" spans="1:21">
      <c r="A324" s="934"/>
      <c r="B324" s="506"/>
      <c r="C324" s="48" t="s">
        <v>263</v>
      </c>
      <c r="D324" s="49">
        <v>0</v>
      </c>
      <c r="E324" s="41">
        <v>7.1993999999999998</v>
      </c>
      <c r="F324" s="41">
        <f>+E324</f>
        <v>7.1993999999999998</v>
      </c>
      <c r="G324" s="50">
        <f>ROUND(D324*(E324),2)</f>
        <v>0</v>
      </c>
      <c r="H324" s="296"/>
      <c r="I324" s="298"/>
      <c r="J324" s="298"/>
      <c r="K324" s="1021"/>
      <c r="L324" s="606"/>
      <c r="M324" s="935"/>
      <c r="N324" s="615"/>
      <c r="O324" s="615"/>
      <c r="P324" s="615"/>
      <c r="Q324" s="615"/>
    </row>
    <row r="325" spans="1:21" ht="15.75" thickBot="1">
      <c r="A325" s="934"/>
      <c r="B325" s="506"/>
      <c r="C325" s="54" t="s">
        <v>29</v>
      </c>
      <c r="D325" s="296">
        <v>0</v>
      </c>
      <c r="E325" s="56">
        <v>7.1993999999999998</v>
      </c>
      <c r="F325" s="41">
        <f>+E325</f>
        <v>7.1993999999999998</v>
      </c>
      <c r="G325" s="50">
        <f t="shared" ref="G325" si="66">ROUND(D325*(E325),2)</f>
        <v>0</v>
      </c>
      <c r="H325" s="296"/>
      <c r="I325" s="298"/>
      <c r="J325" s="298"/>
      <c r="K325" s="1021"/>
      <c r="L325" s="614"/>
      <c r="M325" s="935"/>
      <c r="N325" s="615"/>
      <c r="O325" s="615"/>
      <c r="P325" s="615"/>
      <c r="Q325" s="615"/>
    </row>
    <row r="326" spans="1:21" ht="16.5" hidden="1" thickTop="1" thickBot="1">
      <c r="A326" s="376">
        <v>100</v>
      </c>
      <c r="B326" s="494" t="s">
        <v>193</v>
      </c>
      <c r="C326" s="71" t="s">
        <v>243</v>
      </c>
      <c r="D326" s="495"/>
      <c r="E326" s="21">
        <v>40.556600000000003</v>
      </c>
      <c r="F326" s="21">
        <v>47.5304</v>
      </c>
      <c r="G326" s="185">
        <f>ROUND(D326*(E326+F326),2)</f>
        <v>0</v>
      </c>
      <c r="H326" s="496"/>
      <c r="I326" s="73"/>
      <c r="J326" s="73"/>
      <c r="K326" s="1022"/>
      <c r="L326" s="498">
        <f>SUM(G326:G333)+SUM(J326:J332)</f>
        <v>0</v>
      </c>
      <c r="M326" s="26"/>
      <c r="N326" s="499"/>
      <c r="O326" s="500"/>
      <c r="P326" s="501" t="s">
        <v>87</v>
      </c>
      <c r="Q326" s="595" t="e">
        <f t="shared" ref="Q326" si="67">C326+G326+J326-M326-N326-O326</f>
        <v>#VALUE!</v>
      </c>
    </row>
    <row r="327" spans="1:21" ht="15.75" hidden="1" thickBot="1">
      <c r="A327" s="389"/>
      <c r="B327" s="999" t="s">
        <v>302</v>
      </c>
      <c r="C327" s="507" t="s">
        <v>96</v>
      </c>
      <c r="D327" s="234"/>
      <c r="E327" s="38"/>
      <c r="F327" s="38"/>
      <c r="G327" s="235">
        <f>ROUND(D327*(E327+F327),2)</f>
        <v>0</v>
      </c>
      <c r="H327" s="448"/>
      <c r="I327" s="509"/>
      <c r="J327" s="199"/>
      <c r="K327" s="1023"/>
      <c r="L327" s="511"/>
      <c r="M327" s="512"/>
      <c r="N327" s="513"/>
      <c r="O327" s="514"/>
      <c r="P327" s="515"/>
      <c r="Q327" s="262"/>
      <c r="U327" s="33"/>
    </row>
    <row r="328" spans="1:21" ht="15.75" hidden="1" thickBot="1">
      <c r="A328" s="389"/>
      <c r="B328" s="516" t="s">
        <v>89</v>
      </c>
      <c r="C328" s="512" t="s">
        <v>90</v>
      </c>
      <c r="D328" s="508"/>
      <c r="E328" s="101"/>
      <c r="F328" s="38">
        <v>47.5304</v>
      </c>
      <c r="G328" s="50">
        <f>ROUND(D328*(E328+F328),2)</f>
        <v>0</v>
      </c>
      <c r="H328" s="270"/>
      <c r="I328" s="41"/>
      <c r="J328" s="207"/>
      <c r="K328" s="1023"/>
      <c r="L328" s="517"/>
      <c r="M328" s="99"/>
      <c r="N328" s="518"/>
      <c r="O328" s="519"/>
      <c r="P328" s="515" t="s">
        <v>87</v>
      </c>
      <c r="Q328" s="271">
        <f>+G328+J328-M328-N328-O328</f>
        <v>0</v>
      </c>
    </row>
    <row r="329" spans="1:21" ht="15.75" hidden="1" thickBot="1">
      <c r="A329" s="389"/>
      <c r="B329" s="541"/>
      <c r="C329" s="84" t="s">
        <v>97</v>
      </c>
      <c r="D329" s="508"/>
      <c r="E329" s="41"/>
      <c r="F329" s="38"/>
      <c r="G329" s="50">
        <f>ROUND(D329*(E329+F329),2)</f>
        <v>0</v>
      </c>
      <c r="H329" s="432"/>
      <c r="I329" s="362"/>
      <c r="J329" s="207"/>
      <c r="K329" s="1023"/>
      <c r="L329" s="517"/>
      <c r="M329" s="520"/>
      <c r="N329" s="521"/>
      <c r="O329" s="522"/>
      <c r="P329" s="523"/>
      <c r="Q329" s="362"/>
    </row>
    <row r="330" spans="1:21" ht="15.75" hidden="1" thickBot="1">
      <c r="A330" s="389"/>
      <c r="B330" s="1033" t="s">
        <v>194</v>
      </c>
      <c r="C330" s="84"/>
      <c r="D330" s="508"/>
      <c r="E330" s="41"/>
      <c r="F330" s="41"/>
      <c r="G330" s="50"/>
      <c r="H330" s="432"/>
      <c r="I330" s="362"/>
      <c r="J330" s="207"/>
      <c r="K330" s="1023"/>
      <c r="L330" s="517"/>
      <c r="M330" s="520"/>
      <c r="N330" s="521"/>
      <c r="O330" s="522"/>
      <c r="P330" s="523"/>
      <c r="Q330" s="362"/>
    </row>
    <row r="331" spans="1:21" ht="15.75" hidden="1" thickBot="1">
      <c r="A331" s="389"/>
      <c r="B331" s="506"/>
      <c r="C331" s="48" t="s">
        <v>260</v>
      </c>
      <c r="D331" s="37"/>
      <c r="E331" s="41"/>
      <c r="F331" s="41">
        <f>+E331</f>
        <v>0</v>
      </c>
      <c r="G331" s="39">
        <f>ROUND(D331*E331,2)</f>
        <v>0</v>
      </c>
      <c r="H331" s="432"/>
      <c r="I331" s="362"/>
      <c r="J331" s="207"/>
      <c r="K331" s="1023"/>
      <c r="L331" s="517"/>
      <c r="M331" s="520"/>
      <c r="N331" s="521"/>
      <c r="O331" s="522"/>
      <c r="P331" s="523"/>
      <c r="Q331" s="362"/>
    </row>
    <row r="332" spans="1:21" ht="15.75" hidden="1" thickBot="1">
      <c r="A332" s="389"/>
      <c r="B332" s="506"/>
      <c r="C332" s="48" t="s">
        <v>263</v>
      </c>
      <c r="D332" s="37"/>
      <c r="E332" s="41">
        <v>6.7838000000000003</v>
      </c>
      <c r="F332" s="41">
        <f>+E332</f>
        <v>6.7838000000000003</v>
      </c>
      <c r="G332" s="39">
        <f>ROUND(D332*E332,2)</f>
        <v>0</v>
      </c>
      <c r="H332" s="432"/>
      <c r="I332" s="362"/>
      <c r="J332" s="207"/>
      <c r="K332" s="1023"/>
      <c r="L332" s="517"/>
      <c r="M332" s="520"/>
      <c r="N332" s="521"/>
      <c r="O332" s="522"/>
      <c r="P332" s="523"/>
      <c r="Q332" s="362"/>
      <c r="U332" s="33"/>
    </row>
    <row r="333" spans="1:21" ht="15.75" hidden="1" thickBot="1">
      <c r="A333" s="411"/>
      <c r="B333" s="526"/>
      <c r="C333" s="99" t="s">
        <v>29</v>
      </c>
      <c r="D333" s="55"/>
      <c r="E333" s="1012">
        <v>6.7838000000000003</v>
      </c>
      <c r="F333" s="281">
        <f>+E333</f>
        <v>6.7838000000000003</v>
      </c>
      <c r="G333" s="58">
        <f>ROUND(D333*E333,2)</f>
        <v>0</v>
      </c>
      <c r="H333" s="248"/>
      <c r="I333" s="203"/>
      <c r="J333" s="60"/>
      <c r="K333" s="1024"/>
      <c r="L333" s="249"/>
      <c r="M333" s="54"/>
      <c r="N333" s="521"/>
      <c r="O333" s="528"/>
      <c r="P333" s="529" t="s">
        <v>87</v>
      </c>
      <c r="Q333" s="362">
        <f>+G333+J333-M333-N333-O333</f>
        <v>0</v>
      </c>
    </row>
    <row r="334" spans="1:21" ht="15.75" collapsed="1" thickTop="1">
      <c r="A334" s="389">
        <v>100</v>
      </c>
      <c r="B334" s="494" t="s">
        <v>303</v>
      </c>
      <c r="C334" s="71" t="s">
        <v>73</v>
      </c>
      <c r="D334" s="495">
        <v>2</v>
      </c>
      <c r="E334" s="21">
        <v>41.244</v>
      </c>
      <c r="F334" s="21">
        <v>48.335999999999999</v>
      </c>
      <c r="G334" s="185">
        <f>ROUND(D334*(E334+F334),2)</f>
        <v>179.16</v>
      </c>
      <c r="H334" s="496"/>
      <c r="I334" s="73"/>
      <c r="J334" s="73"/>
      <c r="K334" s="679"/>
      <c r="L334" s="498">
        <f>SUM(G334:G340)+SUM(J334:J339)</f>
        <v>3336.99</v>
      </c>
      <c r="M334" s="26">
        <v>3336.99</v>
      </c>
      <c r="N334" s="594"/>
      <c r="O334" s="535"/>
      <c r="P334" s="536" t="s">
        <v>87</v>
      </c>
      <c r="Q334" s="595" t="e">
        <f>C334+G334+J334-M334-N334-O334</f>
        <v>#VALUE!</v>
      </c>
      <c r="R334" s="502" t="s">
        <v>88</v>
      </c>
      <c r="S334" s="503"/>
      <c r="T334" s="504"/>
      <c r="U334" s="33">
        <f>+M334-L334</f>
        <v>0</v>
      </c>
    </row>
    <row r="335" spans="1:21">
      <c r="A335" s="389"/>
      <c r="B335" s="999"/>
      <c r="C335" s="542" t="s">
        <v>264</v>
      </c>
      <c r="D335" s="508"/>
      <c r="E335" s="38"/>
      <c r="F335" s="38"/>
      <c r="G335" s="50">
        <f>ROUND(D335*(E335+F335),2)</f>
        <v>0</v>
      </c>
      <c r="H335" s="596"/>
      <c r="I335" s="409"/>
      <c r="J335" s="509"/>
      <c r="K335" s="1025"/>
      <c r="L335" s="511"/>
      <c r="M335" s="99"/>
      <c r="N335" s="513"/>
      <c r="O335" s="514"/>
      <c r="P335" s="515"/>
      <c r="Q335" s="262"/>
      <c r="R335" s="502"/>
      <c r="S335" s="503"/>
      <c r="T335" s="504"/>
    </row>
    <row r="336" spans="1:21">
      <c r="A336" s="389"/>
      <c r="B336" s="516" t="s">
        <v>103</v>
      </c>
      <c r="C336" s="99" t="s">
        <v>90</v>
      </c>
      <c r="D336" s="508">
        <v>0</v>
      </c>
      <c r="E336" s="101">
        <v>343.14</v>
      </c>
      <c r="F336" s="38">
        <f>F334</f>
        <v>48.335999999999999</v>
      </c>
      <c r="G336" s="50">
        <f>ROUND(D336*(E336+F336),2)</f>
        <v>0</v>
      </c>
      <c r="H336" s="270"/>
      <c r="I336" s="41"/>
      <c r="J336" s="409"/>
      <c r="K336" s="1026"/>
      <c r="L336" s="597"/>
      <c r="M336" s="99"/>
      <c r="N336" s="518"/>
      <c r="O336" s="519"/>
      <c r="P336" s="515" t="s">
        <v>87</v>
      </c>
      <c r="Q336" s="271">
        <f>+G336+J336-M336-N336-O336</f>
        <v>0</v>
      </c>
      <c r="R336" s="502" t="s">
        <v>88</v>
      </c>
      <c r="S336" s="503"/>
      <c r="T336" s="504"/>
    </row>
    <row r="337" spans="1:21">
      <c r="A337" s="389"/>
      <c r="B337" s="506"/>
      <c r="C337" s="390" t="s">
        <v>97</v>
      </c>
      <c r="D337" s="508">
        <f>мар19!D324</f>
        <v>0</v>
      </c>
      <c r="E337" s="41">
        <f>343.14-330.21</f>
        <v>12.930000000000007</v>
      </c>
      <c r="F337" s="38">
        <f>F335</f>
        <v>0</v>
      </c>
      <c r="G337" s="50">
        <f>D337*(E337+F337)</f>
        <v>0</v>
      </c>
      <c r="H337" s="432"/>
      <c r="I337" s="362"/>
      <c r="J337" s="41"/>
      <c r="K337" s="1026"/>
      <c r="L337" s="597"/>
      <c r="M337" s="99"/>
      <c r="N337" s="521"/>
      <c r="O337" s="522"/>
      <c r="P337" s="523"/>
      <c r="Q337" s="362"/>
      <c r="R337" s="502"/>
      <c r="S337" s="503"/>
      <c r="T337" s="504"/>
    </row>
    <row r="338" spans="1:21">
      <c r="A338" s="389"/>
      <c r="B338" s="506"/>
      <c r="C338" s="48" t="s">
        <v>260</v>
      </c>
      <c r="D338" s="37">
        <f>мар19!D327+мар19!D328</f>
        <v>429.21</v>
      </c>
      <c r="E338" s="41">
        <f>7.1994-7.4969</f>
        <v>-0.29750000000000032</v>
      </c>
      <c r="F338" s="297">
        <f t="shared" ref="F338:F340" si="68">+E338</f>
        <v>-0.29750000000000032</v>
      </c>
      <c r="G338" s="39">
        <f>ROUND(D338*(E338+F338)/2,2)</f>
        <v>-127.69</v>
      </c>
      <c r="H338" s="432"/>
      <c r="I338" s="362"/>
      <c r="J338" s="41"/>
      <c r="K338" s="1026"/>
      <c r="L338" s="597"/>
      <c r="M338" s="99"/>
      <c r="N338" s="521"/>
      <c r="O338" s="522"/>
      <c r="P338" s="523"/>
      <c r="Q338" s="362"/>
      <c r="R338" s="502"/>
      <c r="S338" s="503"/>
      <c r="T338" s="504"/>
    </row>
    <row r="339" spans="1:21">
      <c r="A339" s="389"/>
      <c r="B339" s="506"/>
      <c r="C339" s="48" t="s">
        <v>263</v>
      </c>
      <c r="D339" s="37">
        <v>19.36</v>
      </c>
      <c r="E339" s="41">
        <v>7.1993999999999998</v>
      </c>
      <c r="F339" s="298">
        <f t="shared" si="68"/>
        <v>7.1993999999999998</v>
      </c>
      <c r="G339" s="39">
        <f>ROUND(D339*E339,2)</f>
        <v>139.38</v>
      </c>
      <c r="H339" s="432"/>
      <c r="I339" s="362"/>
      <c r="J339" s="41"/>
      <c r="K339" s="1026"/>
      <c r="L339" s="597"/>
      <c r="M339" s="99"/>
      <c r="N339" s="521"/>
      <c r="O339" s="522"/>
      <c r="P339" s="523"/>
      <c r="Q339" s="362"/>
      <c r="R339" s="502"/>
      <c r="S339" s="503"/>
      <c r="T339" s="504"/>
    </row>
    <row r="340" spans="1:21" ht="15.75" thickBot="1">
      <c r="A340" s="369"/>
      <c r="B340" s="526"/>
      <c r="C340" s="99" t="s">
        <v>29</v>
      </c>
      <c r="D340" s="55">
        <v>437</v>
      </c>
      <c r="E340" s="56">
        <v>7.1993999999999998</v>
      </c>
      <c r="F340" s="57">
        <f t="shared" si="68"/>
        <v>7.1993999999999998</v>
      </c>
      <c r="G340" s="414">
        <f>ROUND(D340*E340,2)</f>
        <v>3146.14</v>
      </c>
      <c r="H340" s="248"/>
      <c r="I340" s="203"/>
      <c r="J340" s="60"/>
      <c r="K340" s="1024"/>
      <c r="L340" s="249"/>
      <c r="M340" s="54"/>
      <c r="N340" s="527"/>
      <c r="O340" s="528"/>
      <c r="P340" s="529" t="s">
        <v>87</v>
      </c>
      <c r="Q340" s="58">
        <f>+G340+J340-M340-N340-O340</f>
        <v>3146.14</v>
      </c>
      <c r="R340" s="502" t="s">
        <v>88</v>
      </c>
      <c r="S340" s="598">
        <f>SUM(N334:N340)+O334:O340</f>
        <v>0</v>
      </c>
      <c r="T340" s="598" t="e">
        <f>SUM(Q334:Q340)</f>
        <v>#VALUE!</v>
      </c>
    </row>
    <row r="341" spans="1:21" ht="15.75" collapsed="1" thickTop="1">
      <c r="A341" s="389">
        <v>113</v>
      </c>
      <c r="B341" s="494" t="s">
        <v>250</v>
      </c>
      <c r="C341" s="71" t="s">
        <v>73</v>
      </c>
      <c r="D341" s="495">
        <v>25</v>
      </c>
      <c r="E341" s="21">
        <v>41.244</v>
      </c>
      <c r="F341" s="21">
        <v>48.335999999999999</v>
      </c>
      <c r="G341" s="185">
        <f>ROUND(D341*(E341+F341),2)</f>
        <v>2239.5</v>
      </c>
      <c r="H341" s="496"/>
      <c r="I341" s="73"/>
      <c r="J341" s="73"/>
      <c r="K341" s="679"/>
      <c r="L341" s="498">
        <f>SUM(G341:G347)+SUM(J341:J346)</f>
        <v>30434.410000000003</v>
      </c>
      <c r="M341" s="26">
        <v>30434.41</v>
      </c>
      <c r="N341" s="594"/>
      <c r="O341" s="535"/>
      <c r="P341" s="536" t="s">
        <v>87</v>
      </c>
      <c r="Q341" s="595" t="e">
        <f>C341+G341+J341-M341-N341-O341</f>
        <v>#VALUE!</v>
      </c>
      <c r="R341" s="502" t="s">
        <v>88</v>
      </c>
      <c r="S341" s="503"/>
      <c r="T341" s="504"/>
      <c r="U341" s="33">
        <f>+M341-L341</f>
        <v>0</v>
      </c>
    </row>
    <row r="342" spans="1:21">
      <c r="A342" s="389"/>
      <c r="B342" s="506"/>
      <c r="C342" s="542" t="s">
        <v>264</v>
      </c>
      <c r="D342" s="508"/>
      <c r="E342" s="38"/>
      <c r="F342" s="38"/>
      <c r="G342" s="50">
        <f>ROUND(D342*(E342+F342),2)</f>
        <v>0</v>
      </c>
      <c r="H342" s="596"/>
      <c r="I342" s="409"/>
      <c r="J342" s="509"/>
      <c r="K342" s="1025"/>
      <c r="L342" s="511"/>
      <c r="M342" s="99"/>
      <c r="N342" s="513"/>
      <c r="O342" s="514"/>
      <c r="P342" s="515"/>
      <c r="Q342" s="262"/>
      <c r="R342" s="502"/>
      <c r="S342" s="503"/>
      <c r="T342" s="504"/>
    </row>
    <row r="343" spans="1:21">
      <c r="A343" s="389"/>
      <c r="B343" s="516" t="s">
        <v>103</v>
      </c>
      <c r="C343" s="99" t="s">
        <v>90</v>
      </c>
      <c r="D343" s="508">
        <v>4</v>
      </c>
      <c r="E343" s="101">
        <v>343.14</v>
      </c>
      <c r="F343" s="38">
        <f>F341</f>
        <v>48.335999999999999</v>
      </c>
      <c r="G343" s="50">
        <f>ROUND(D343*(E343+F343),2)</f>
        <v>1565.9</v>
      </c>
      <c r="H343" s="270"/>
      <c r="I343" s="41"/>
      <c r="J343" s="409"/>
      <c r="K343" s="1026"/>
      <c r="L343" s="597"/>
      <c r="M343" s="99"/>
      <c r="N343" s="518"/>
      <c r="O343" s="519"/>
      <c r="P343" s="515" t="s">
        <v>87</v>
      </c>
      <c r="Q343" s="271">
        <f>+G343+J343-M343-N343-O343</f>
        <v>1565.9</v>
      </c>
      <c r="R343" s="502" t="s">
        <v>88</v>
      </c>
      <c r="S343" s="503"/>
      <c r="T343" s="504"/>
    </row>
    <row r="344" spans="1:21">
      <c r="A344" s="389"/>
      <c r="B344" s="506"/>
      <c r="C344" s="390" t="s">
        <v>97</v>
      </c>
      <c r="D344" s="508">
        <f>мар19!D331</f>
        <v>7</v>
      </c>
      <c r="E344" s="41">
        <f>343.14-330.21</f>
        <v>12.930000000000007</v>
      </c>
      <c r="F344" s="38">
        <f>F342</f>
        <v>0</v>
      </c>
      <c r="G344" s="50">
        <f>D344*(E344+F344)</f>
        <v>90.510000000000048</v>
      </c>
      <c r="H344" s="432"/>
      <c r="I344" s="362"/>
      <c r="J344" s="41"/>
      <c r="K344" s="1026"/>
      <c r="L344" s="597"/>
      <c r="M344" s="99"/>
      <c r="N344" s="521"/>
      <c r="O344" s="522"/>
      <c r="P344" s="523"/>
      <c r="Q344" s="362"/>
      <c r="R344" s="502"/>
      <c r="S344" s="503"/>
      <c r="T344" s="504"/>
    </row>
    <row r="345" spans="1:21">
      <c r="A345" s="389"/>
      <c r="B345" s="506"/>
      <c r="C345" s="48" t="s">
        <v>260</v>
      </c>
      <c r="D345" s="37">
        <f>мар19!D334+мар19!D335</f>
        <v>3036.82</v>
      </c>
      <c r="E345" s="41">
        <f>7.1994-7.4969</f>
        <v>-0.29750000000000032</v>
      </c>
      <c r="F345" s="297">
        <f t="shared" ref="F345:F347" si="69">+E345</f>
        <v>-0.29750000000000032</v>
      </c>
      <c r="G345" s="39">
        <f>ROUND(D345*(E345+F345)/2,2)</f>
        <v>-903.45</v>
      </c>
      <c r="H345" s="432"/>
      <c r="I345" s="362"/>
      <c r="J345" s="41"/>
      <c r="K345" s="1026"/>
      <c r="L345" s="597"/>
      <c r="M345" s="99"/>
      <c r="N345" s="521"/>
      <c r="O345" s="522"/>
      <c r="P345" s="523"/>
      <c r="Q345" s="362"/>
      <c r="R345" s="502"/>
      <c r="S345" s="503"/>
      <c r="T345" s="504"/>
    </row>
    <row r="346" spans="1:21">
      <c r="A346" s="389"/>
      <c r="B346" s="506"/>
      <c r="C346" s="48" t="s">
        <v>263</v>
      </c>
      <c r="D346" s="37">
        <f>58.92+102.78</f>
        <v>161.69999999999999</v>
      </c>
      <c r="E346" s="41">
        <v>7.1993999999999998</v>
      </c>
      <c r="F346" s="298">
        <f t="shared" si="69"/>
        <v>7.1993999999999998</v>
      </c>
      <c r="G346" s="39">
        <f>ROUND(D346*E346,2)</f>
        <v>1164.1400000000001</v>
      </c>
      <c r="H346" s="432"/>
      <c r="I346" s="362"/>
      <c r="J346" s="41"/>
      <c r="K346" s="1026"/>
      <c r="L346" s="597"/>
      <c r="M346" s="99"/>
      <c r="N346" s="521"/>
      <c r="O346" s="522"/>
      <c r="P346" s="523"/>
      <c r="Q346" s="362"/>
      <c r="R346" s="502"/>
      <c r="S346" s="503"/>
      <c r="T346" s="504"/>
    </row>
    <row r="347" spans="1:21" ht="15.75" thickBot="1">
      <c r="A347" s="369"/>
      <c r="B347" s="526"/>
      <c r="C347" s="99" t="s">
        <v>29</v>
      </c>
      <c r="D347" s="55">
        <f>1330+2320</f>
        <v>3650</v>
      </c>
      <c r="E347" s="56">
        <v>7.1993999999999998</v>
      </c>
      <c r="F347" s="57">
        <f t="shared" si="69"/>
        <v>7.1993999999999998</v>
      </c>
      <c r="G347" s="414">
        <f>ROUND(D347*E347,2)</f>
        <v>26277.81</v>
      </c>
      <c r="H347" s="248"/>
      <c r="I347" s="203"/>
      <c r="J347" s="60"/>
      <c r="K347" s="1024"/>
      <c r="L347" s="249"/>
      <c r="M347" s="54"/>
      <c r="N347" s="527"/>
      <c r="O347" s="528"/>
      <c r="P347" s="529" t="s">
        <v>87</v>
      </c>
      <c r="Q347" s="58">
        <f>+G347+J347-M347-N347-O347</f>
        <v>26277.81</v>
      </c>
      <c r="R347" s="502" t="s">
        <v>88</v>
      </c>
      <c r="S347" s="598">
        <f>SUM(N341:N347)+O341:O347</f>
        <v>0</v>
      </c>
      <c r="T347" s="598" t="e">
        <f>SUM(Q341:Q347)</f>
        <v>#VALUE!</v>
      </c>
    </row>
    <row r="348" spans="1:21">
      <c r="A348" s="376" t="s">
        <v>208</v>
      </c>
      <c r="B348" s="602" t="s">
        <v>213</v>
      </c>
      <c r="C348" s="439" t="s">
        <v>260</v>
      </c>
      <c r="D348" s="184">
        <f>мар19!D337+мар19!D338</f>
        <v>217.21</v>
      </c>
      <c r="E348" s="41">
        <f>7.1994-7.4969</f>
        <v>-0.29750000000000032</v>
      </c>
      <c r="F348" s="23">
        <f>+E348</f>
        <v>-0.29750000000000032</v>
      </c>
      <c r="G348" s="185">
        <f>ROUND(D348*(E348),2)</f>
        <v>-64.62</v>
      </c>
      <c r="H348" s="620"/>
      <c r="I348" s="620"/>
      <c r="J348" s="620"/>
      <c r="K348" s="1020"/>
      <c r="L348" s="603">
        <f>SUM(G348:G350)</f>
        <v>1303.7</v>
      </c>
      <c r="M348" s="187">
        <v>1303.7</v>
      </c>
      <c r="N348" s="615"/>
      <c r="O348" s="615"/>
      <c r="P348" s="615"/>
      <c r="Q348" s="615"/>
    </row>
    <row r="349" spans="1:21">
      <c r="A349" s="934"/>
      <c r="B349" s="506"/>
      <c r="C349" s="48" t="s">
        <v>263</v>
      </c>
      <c r="D349" s="49">
        <v>8.06</v>
      </c>
      <c r="E349" s="41">
        <v>7.1993999999999998</v>
      </c>
      <c r="F349" s="41">
        <f>+E349</f>
        <v>7.1993999999999998</v>
      </c>
      <c r="G349" s="50">
        <f>ROUND(D349*(E349),2)</f>
        <v>58.03</v>
      </c>
      <c r="H349" s="296"/>
      <c r="I349" s="298"/>
      <c r="J349" s="298"/>
      <c r="K349" s="1021"/>
      <c r="L349" s="606"/>
      <c r="M349" s="935"/>
      <c r="N349" s="615"/>
      <c r="O349" s="615"/>
      <c r="P349" s="615"/>
      <c r="Q349" s="615"/>
    </row>
    <row r="350" spans="1:21" ht="15.75" thickBot="1">
      <c r="A350" s="934"/>
      <c r="B350" s="506"/>
      <c r="C350" s="54" t="s">
        <v>29</v>
      </c>
      <c r="D350" s="296">
        <v>182</v>
      </c>
      <c r="E350" s="56">
        <v>7.1993999999999998</v>
      </c>
      <c r="F350" s="41">
        <f>+E350</f>
        <v>7.1993999999999998</v>
      </c>
      <c r="G350" s="50">
        <f t="shared" ref="G350" si="70">ROUND(D350*(E350),2)</f>
        <v>1310.29</v>
      </c>
      <c r="H350" s="296"/>
      <c r="I350" s="298"/>
      <c r="J350" s="298"/>
      <c r="K350" s="1021"/>
      <c r="L350" s="614"/>
      <c r="M350" s="935"/>
      <c r="N350" s="615"/>
      <c r="O350" s="615"/>
      <c r="P350" s="615"/>
      <c r="Q350" s="615"/>
    </row>
    <row r="351" spans="1:21" ht="15.75" hidden="1" thickBot="1">
      <c r="A351" s="376">
        <v>201</v>
      </c>
      <c r="B351" s="602" t="s">
        <v>107</v>
      </c>
      <c r="C351" s="618" t="s">
        <v>73</v>
      </c>
      <c r="D351" s="619"/>
      <c r="E351" s="21">
        <v>40.556600000000003</v>
      </c>
      <c r="F351" s="21">
        <v>47.5304</v>
      </c>
      <c r="G351" s="185">
        <f>ROUND(D351*(E351+F351),2)</f>
        <v>0</v>
      </c>
      <c r="H351" s="620"/>
      <c r="I351" s="620"/>
      <c r="J351" s="620"/>
      <c r="K351" s="454"/>
      <c r="L351" s="603">
        <f>SUM(G351:G355,J351:J355)</f>
        <v>0.01</v>
      </c>
      <c r="M351" s="187"/>
      <c r="N351" s="621"/>
      <c r="O351" s="621"/>
      <c r="P351" s="621"/>
      <c r="Q351" s="622"/>
    </row>
    <row r="352" spans="1:21" ht="15.75" hidden="1" thickBot="1">
      <c r="A352" s="936"/>
      <c r="B352" s="612"/>
      <c r="C352" s="542" t="s">
        <v>96</v>
      </c>
      <c r="D352" s="234"/>
      <c r="E352" s="38"/>
      <c r="F352" s="38"/>
      <c r="G352" s="235">
        <f>ROUND(D352*(E352+F352),2)</f>
        <v>0</v>
      </c>
      <c r="H352" s="298"/>
      <c r="I352" s="298"/>
      <c r="J352" s="298"/>
      <c r="K352" s="455"/>
      <c r="L352" s="606"/>
      <c r="M352" s="935"/>
      <c r="N352" s="615"/>
      <c r="O352" s="615"/>
      <c r="P352" s="615"/>
      <c r="Q352" s="616"/>
    </row>
    <row r="353" spans="1:17" ht="15.75" hidden="1" thickBot="1">
      <c r="A353" s="936"/>
      <c r="B353" s="612"/>
      <c r="C353" s="48" t="s">
        <v>260</v>
      </c>
      <c r="D353" s="623"/>
      <c r="E353" s="41">
        <f>7.332-6.6439</f>
        <v>0.68809999999999949</v>
      </c>
      <c r="F353" s="41">
        <f t="shared" ref="F353:F364" si="71">+E353</f>
        <v>0.68809999999999949</v>
      </c>
      <c r="G353" s="50">
        <f>ROUND(D353*(E353),2)+0.01</f>
        <v>0.01</v>
      </c>
      <c r="H353" s="298"/>
      <c r="I353" s="298"/>
      <c r="J353" s="298"/>
      <c r="K353" s="455"/>
      <c r="L353" s="614"/>
      <c r="M353" s="935"/>
      <c r="N353" s="615"/>
      <c r="O353" s="615"/>
      <c r="P353" s="615"/>
      <c r="Q353" s="616"/>
    </row>
    <row r="354" spans="1:17" ht="15.75" hidden="1" thickBot="1">
      <c r="A354" s="936"/>
      <c r="B354" s="612"/>
      <c r="C354" s="48" t="s">
        <v>263</v>
      </c>
      <c r="D354" s="623"/>
      <c r="E354" s="41">
        <v>7.3319999999999999</v>
      </c>
      <c r="F354" s="41">
        <f t="shared" si="71"/>
        <v>7.3319999999999999</v>
      </c>
      <c r="G354" s="39">
        <f t="shared" ref="G354:G367" si="72">ROUND(D354*(E354),2)</f>
        <v>0</v>
      </c>
      <c r="H354" s="298"/>
      <c r="I354" s="298"/>
      <c r="J354" s="298"/>
      <c r="K354" s="455"/>
      <c r="L354" s="614"/>
      <c r="M354" s="273"/>
      <c r="N354" s="615"/>
      <c r="O354" s="615"/>
      <c r="P354" s="615"/>
      <c r="Q354" s="616"/>
    </row>
    <row r="355" spans="1:17" ht="15.75" hidden="1" thickBot="1">
      <c r="A355" s="937"/>
      <c r="B355" s="526"/>
      <c r="C355" s="99" t="s">
        <v>29</v>
      </c>
      <c r="D355" s="625"/>
      <c r="E355" s="56">
        <v>7.3319999999999999</v>
      </c>
      <c r="F355" s="281">
        <f t="shared" si="71"/>
        <v>7.3319999999999999</v>
      </c>
      <c r="G355" s="414">
        <f t="shared" si="72"/>
        <v>0</v>
      </c>
      <c r="H355" s="41"/>
      <c r="I355" s="41"/>
      <c r="J355" s="281"/>
      <c r="K355" s="56"/>
      <c r="L355" s="784"/>
      <c r="M355" s="938"/>
      <c r="N355" s="626"/>
      <c r="O355" s="626"/>
      <c r="P355" s="626"/>
      <c r="Q355" s="627"/>
    </row>
    <row r="356" spans="1:17" hidden="1">
      <c r="A356" s="376">
        <v>203</v>
      </c>
      <c r="B356" s="602" t="s">
        <v>301</v>
      </c>
      <c r="C356" s="439" t="s">
        <v>260</v>
      </c>
      <c r="D356" s="184"/>
      <c r="E356" s="41">
        <f>7.1994-7.4969</f>
        <v>-0.29750000000000032</v>
      </c>
      <c r="F356" s="23">
        <f t="shared" si="71"/>
        <v>-0.29750000000000032</v>
      </c>
      <c r="G356" s="185">
        <f>ROUND(D356*(E356),2)+0.01</f>
        <v>0.01</v>
      </c>
      <c r="H356" s="620"/>
      <c r="I356" s="620"/>
      <c r="J356" s="620"/>
      <c r="K356" s="1020"/>
      <c r="L356" s="603">
        <f>SUM(G356:G358)</f>
        <v>0.01</v>
      </c>
      <c r="M356" s="187"/>
      <c r="N356" s="615"/>
      <c r="O356" s="615"/>
      <c r="P356" s="615"/>
      <c r="Q356" s="615"/>
    </row>
    <row r="357" spans="1:17" hidden="1">
      <c r="A357" s="934"/>
      <c r="B357" s="506"/>
      <c r="C357" s="48" t="s">
        <v>263</v>
      </c>
      <c r="D357" s="49"/>
      <c r="E357" s="41">
        <v>7.1993999999999998</v>
      </c>
      <c r="F357" s="41">
        <f t="shared" si="71"/>
        <v>7.1993999999999998</v>
      </c>
      <c r="G357" s="50">
        <f>ROUND(D357*(E357),2)</f>
        <v>0</v>
      </c>
      <c r="H357" s="296"/>
      <c r="I357" s="298"/>
      <c r="J357" s="298"/>
      <c r="K357" s="1021"/>
      <c r="L357" s="606"/>
      <c r="M357" s="935"/>
      <c r="N357" s="615"/>
      <c r="O357" s="615"/>
      <c r="P357" s="615"/>
      <c r="Q357" s="615"/>
    </row>
    <row r="358" spans="1:17" ht="15.75" hidden="1" thickBot="1">
      <c r="A358" s="934"/>
      <c r="B358" s="506"/>
      <c r="C358" s="54" t="s">
        <v>29</v>
      </c>
      <c r="D358" s="296"/>
      <c r="E358" s="56">
        <v>7.1993999999999998</v>
      </c>
      <c r="F358" s="41">
        <f t="shared" si="71"/>
        <v>7.1993999999999998</v>
      </c>
      <c r="G358" s="50">
        <f t="shared" ref="G358" si="73">ROUND(D358*(E358),2)</f>
        <v>0</v>
      </c>
      <c r="H358" s="296"/>
      <c r="I358" s="298"/>
      <c r="J358" s="298"/>
      <c r="K358" s="1021"/>
      <c r="L358" s="614"/>
      <c r="M358" s="935"/>
      <c r="N358" s="615"/>
      <c r="O358" s="615"/>
      <c r="P358" s="615"/>
      <c r="Q358" s="615"/>
    </row>
    <row r="359" spans="1:17">
      <c r="A359" s="376">
        <v>300</v>
      </c>
      <c r="B359" s="602" t="s">
        <v>326</v>
      </c>
      <c r="C359" s="48" t="s">
        <v>260</v>
      </c>
      <c r="D359" s="184">
        <f>мар19!D348+мар19!D349</f>
        <v>183.79</v>
      </c>
      <c r="E359" s="41">
        <f>7.1994-7.4969</f>
        <v>-0.29750000000000032</v>
      </c>
      <c r="F359" s="23">
        <f t="shared" si="71"/>
        <v>-0.29750000000000032</v>
      </c>
      <c r="G359" s="185">
        <f>ROUND(D359*(E359),2)</f>
        <v>-54.68</v>
      </c>
      <c r="H359" s="23"/>
      <c r="I359" s="23"/>
      <c r="J359" s="23"/>
      <c r="K359" s="341"/>
      <c r="L359" s="603">
        <f>SUM(G359:G361)</f>
        <v>10034.92</v>
      </c>
      <c r="M359" s="187"/>
      <c r="N359" s="604"/>
      <c r="O359" s="500" t="s">
        <v>330</v>
      </c>
      <c r="P359" s="501"/>
      <c r="Q359" s="605"/>
    </row>
    <row r="360" spans="1:17">
      <c r="A360" s="389"/>
      <c r="B360" s="506"/>
      <c r="C360" s="48" t="s">
        <v>263</v>
      </c>
      <c r="D360" s="49">
        <f>4.25+6.47+4.78+43.95</f>
        <v>59.45</v>
      </c>
      <c r="E360" s="41">
        <v>7.1993999999999998</v>
      </c>
      <c r="F360" s="41">
        <f t="shared" si="71"/>
        <v>7.1993999999999998</v>
      </c>
      <c r="G360" s="50">
        <f>ROUND(D360*(E360),2)+0.01</f>
        <v>428.01</v>
      </c>
      <c r="H360" s="41"/>
      <c r="I360" s="41"/>
      <c r="J360" s="41"/>
      <c r="K360" s="101"/>
      <c r="L360" s="606"/>
      <c r="M360" s="935"/>
      <c r="N360" s="607"/>
      <c r="O360" s="608"/>
      <c r="P360" s="609"/>
      <c r="Q360" s="610"/>
    </row>
    <row r="361" spans="1:17" ht="15.75" thickBot="1">
      <c r="A361" s="936"/>
      <c r="B361" s="612"/>
      <c r="C361" s="99" t="s">
        <v>29</v>
      </c>
      <c r="D361" s="613">
        <f>96+146+108+992</f>
        <v>1342</v>
      </c>
      <c r="E361" s="56">
        <v>7.1993999999999998</v>
      </c>
      <c r="F361" s="281">
        <f t="shared" si="71"/>
        <v>7.1993999999999998</v>
      </c>
      <c r="G361" s="58">
        <f t="shared" ref="G361" si="74">ROUND(D361*(E361),2)</f>
        <v>9661.59</v>
      </c>
      <c r="H361" s="57"/>
      <c r="I361" s="57"/>
      <c r="J361" s="57"/>
      <c r="K361" s="1018"/>
      <c r="L361" s="614"/>
      <c r="M361" s="935"/>
      <c r="N361" s="615"/>
      <c r="O361" s="615"/>
      <c r="P361" s="615"/>
      <c r="Q361" s="616"/>
    </row>
    <row r="362" spans="1:17">
      <c r="A362" s="376">
        <v>301</v>
      </c>
      <c r="B362" s="602" t="s">
        <v>106</v>
      </c>
      <c r="C362" s="48" t="s">
        <v>260</v>
      </c>
      <c r="D362" s="184">
        <f>мар19!D351+мар19!D352</f>
        <v>943</v>
      </c>
      <c r="E362" s="41">
        <f>7.1994-7.4969</f>
        <v>-0.29750000000000032</v>
      </c>
      <c r="F362" s="23">
        <f t="shared" si="71"/>
        <v>-0.29750000000000032</v>
      </c>
      <c r="G362" s="185">
        <f>ROUND(D362*(E362),2)-0.01</f>
        <v>-280.55</v>
      </c>
      <c r="H362" s="23"/>
      <c r="I362" s="23"/>
      <c r="J362" s="23"/>
      <c r="K362" s="341"/>
      <c r="L362" s="603">
        <f>SUM(G362:G364)</f>
        <v>6516.05</v>
      </c>
      <c r="M362" s="187">
        <v>6516.05</v>
      </c>
      <c r="N362" s="604"/>
      <c r="O362" s="500"/>
      <c r="P362" s="501"/>
      <c r="Q362" s="605"/>
    </row>
    <row r="363" spans="1:17">
      <c r="A363" s="389"/>
      <c r="B363" s="506"/>
      <c r="C363" s="48" t="s">
        <v>263</v>
      </c>
      <c r="D363" s="49">
        <v>40.049999999999997</v>
      </c>
      <c r="E363" s="41">
        <v>7.1993999999999998</v>
      </c>
      <c r="F363" s="41">
        <f t="shared" si="71"/>
        <v>7.1993999999999998</v>
      </c>
      <c r="G363" s="50">
        <f t="shared" si="72"/>
        <v>288.33999999999997</v>
      </c>
      <c r="H363" s="41"/>
      <c r="I363" s="41"/>
      <c r="J363" s="41"/>
      <c r="K363" s="101"/>
      <c r="L363" s="606"/>
      <c r="M363" s="935"/>
      <c r="N363" s="607"/>
      <c r="O363" s="608"/>
      <c r="P363" s="609"/>
      <c r="Q363" s="610"/>
    </row>
    <row r="364" spans="1:17" ht="15.75" thickBot="1">
      <c r="A364" s="936"/>
      <c r="B364" s="612"/>
      <c r="C364" s="99" t="s">
        <v>29</v>
      </c>
      <c r="D364" s="613">
        <v>904</v>
      </c>
      <c r="E364" s="56">
        <v>7.1993999999999998</v>
      </c>
      <c r="F364" s="281">
        <f t="shared" si="71"/>
        <v>7.1993999999999998</v>
      </c>
      <c r="G364" s="58">
        <f t="shared" si="72"/>
        <v>6508.26</v>
      </c>
      <c r="H364" s="57"/>
      <c r="I364" s="57"/>
      <c r="J364" s="57"/>
      <c r="K364" s="1018"/>
      <c r="L364" s="614"/>
      <c r="M364" s="935"/>
      <c r="N364" s="615"/>
      <c r="O364" s="615"/>
      <c r="P364" s="615"/>
      <c r="Q364" s="616"/>
    </row>
    <row r="365" spans="1:17" ht="15.75" hidden="1" thickBot="1">
      <c r="A365" s="447" t="s">
        <v>205</v>
      </c>
      <c r="B365" s="602" t="s">
        <v>183</v>
      </c>
      <c r="C365" s="439" t="s">
        <v>260</v>
      </c>
      <c r="D365" s="184"/>
      <c r="E365" s="41">
        <f>7.332-6.6439</f>
        <v>0.68809999999999949</v>
      </c>
      <c r="F365" s="23">
        <f>+E365</f>
        <v>0.68809999999999949</v>
      </c>
      <c r="G365" s="185">
        <f>ROUND(D365*(E365),2)-0.01</f>
        <v>-0.01</v>
      </c>
      <c r="H365" s="620"/>
      <c r="I365" s="620"/>
      <c r="J365" s="620"/>
      <c r="K365" s="1020"/>
      <c r="L365" s="603">
        <f>SUM(G365:G367)</f>
        <v>-0.01</v>
      </c>
      <c r="M365" s="187"/>
      <c r="N365" s="604"/>
      <c r="O365" s="635"/>
      <c r="P365" s="636"/>
      <c r="Q365" s="605"/>
    </row>
    <row r="366" spans="1:17" ht="15.75" hidden="1" thickBot="1">
      <c r="A366" s="450" t="s">
        <v>206</v>
      </c>
      <c r="B366" s="506"/>
      <c r="C366" s="48" t="s">
        <v>263</v>
      </c>
      <c r="D366" s="49"/>
      <c r="E366" s="41">
        <v>7.3319999999999999</v>
      </c>
      <c r="F366" s="41">
        <f>+E366</f>
        <v>7.3319999999999999</v>
      </c>
      <c r="G366" s="50">
        <f t="shared" si="72"/>
        <v>0</v>
      </c>
      <c r="H366" s="296"/>
      <c r="I366" s="298"/>
      <c r="J366" s="298"/>
      <c r="K366" s="1021"/>
      <c r="L366" s="606"/>
      <c r="M366" s="935"/>
      <c r="N366" s="607"/>
      <c r="O366" s="608"/>
      <c r="P366" s="609"/>
      <c r="Q366" s="610"/>
    </row>
    <row r="367" spans="1:17" ht="15.75" hidden="1" thickBot="1">
      <c r="A367" s="451">
        <v>305</v>
      </c>
      <c r="B367" s="506"/>
      <c r="C367" s="54" t="s">
        <v>29</v>
      </c>
      <c r="D367" s="296"/>
      <c r="E367" s="56">
        <v>7.3319999999999999</v>
      </c>
      <c r="F367" s="41">
        <f t="shared" ref="F367:F371" si="75">+E367</f>
        <v>7.3319999999999999</v>
      </c>
      <c r="G367" s="50">
        <f t="shared" si="72"/>
        <v>0</v>
      </c>
      <c r="H367" s="296"/>
      <c r="I367" s="298"/>
      <c r="J367" s="298"/>
      <c r="K367" s="1021"/>
      <c r="L367" s="614"/>
      <c r="M367" s="935"/>
      <c r="N367" s="615"/>
      <c r="O367" s="615"/>
      <c r="P367" s="615"/>
      <c r="Q367" s="616"/>
    </row>
    <row r="368" spans="1:17">
      <c r="A368" s="376">
        <v>304</v>
      </c>
      <c r="B368" s="602" t="s">
        <v>299</v>
      </c>
      <c r="C368" s="48" t="s">
        <v>260</v>
      </c>
      <c r="D368" s="184">
        <f>мар19!D357+мар19!D358</f>
        <v>38.64</v>
      </c>
      <c r="E368" s="41">
        <f>7.1994-7.4969</f>
        <v>-0.29750000000000032</v>
      </c>
      <c r="F368" s="23">
        <f t="shared" si="75"/>
        <v>-0.29750000000000032</v>
      </c>
      <c r="G368" s="185">
        <f>ROUND(D368*(E368),2)+0.01</f>
        <v>-11.49</v>
      </c>
      <c r="H368" s="23"/>
      <c r="I368" s="23"/>
      <c r="J368" s="23"/>
      <c r="K368" s="341"/>
      <c r="L368" s="603">
        <f>SUM(G368:G370)</f>
        <v>86.28</v>
      </c>
      <c r="M368" s="187">
        <v>86.28</v>
      </c>
      <c r="N368" s="604"/>
      <c r="O368" s="500"/>
      <c r="P368" s="501"/>
      <c r="Q368" s="605"/>
    </row>
    <row r="369" spans="1:17">
      <c r="A369" s="389"/>
      <c r="B369" s="506"/>
      <c r="C369" s="48" t="s">
        <v>263</v>
      </c>
      <c r="D369" s="49">
        <v>0.57999999999999996</v>
      </c>
      <c r="E369" s="41">
        <v>7.1993999999999998</v>
      </c>
      <c r="F369" s="41">
        <f t="shared" si="75"/>
        <v>7.1993999999999998</v>
      </c>
      <c r="G369" s="50">
        <f t="shared" ref="G369:G370" si="76">ROUND(D369*(E369),2)</f>
        <v>4.18</v>
      </c>
      <c r="H369" s="41"/>
      <c r="I369" s="41"/>
      <c r="J369" s="41"/>
      <c r="K369" s="101"/>
      <c r="L369" s="606"/>
      <c r="M369" s="935"/>
      <c r="N369" s="607"/>
      <c r="O369" s="608"/>
      <c r="P369" s="609"/>
      <c r="Q369" s="610"/>
    </row>
    <row r="370" spans="1:17" ht="15.75" thickBot="1">
      <c r="A370" s="936"/>
      <c r="B370" s="612"/>
      <c r="C370" s="99" t="s">
        <v>29</v>
      </c>
      <c r="D370" s="613">
        <v>13</v>
      </c>
      <c r="E370" s="56">
        <v>7.1993999999999998</v>
      </c>
      <c r="F370" s="281">
        <f t="shared" si="75"/>
        <v>7.1993999999999998</v>
      </c>
      <c r="G370" s="58">
        <f t="shared" si="76"/>
        <v>93.59</v>
      </c>
      <c r="H370" s="57"/>
      <c r="I370" s="57"/>
      <c r="J370" s="57"/>
      <c r="K370" s="1018"/>
      <c r="L370" s="614"/>
      <c r="M370" s="935"/>
      <c r="N370" s="615"/>
      <c r="O370" s="615"/>
      <c r="P370" s="615"/>
      <c r="Q370" s="616"/>
    </row>
    <row r="371" spans="1:17" collapsed="1">
      <c r="A371" s="376">
        <v>307</v>
      </c>
      <c r="B371" s="602" t="s">
        <v>251</v>
      </c>
      <c r="C371" s="439" t="s">
        <v>260</v>
      </c>
      <c r="D371" s="184">
        <f>мар19!D360+мар19!D361</f>
        <v>422.94</v>
      </c>
      <c r="E371" s="23">
        <f>7.1994-7.4969</f>
        <v>-0.29750000000000032</v>
      </c>
      <c r="F371" s="23">
        <f t="shared" si="75"/>
        <v>-0.29750000000000032</v>
      </c>
      <c r="G371" s="185">
        <f>ROUND(D371*(E371),2)</f>
        <v>-125.82</v>
      </c>
      <c r="H371" s="669"/>
      <c r="I371" s="620"/>
      <c r="J371" s="620"/>
      <c r="K371" s="1020"/>
      <c r="L371" s="603">
        <f>SUM(G371:G373)</f>
        <v>3370.21</v>
      </c>
      <c r="M371" s="187">
        <v>3370.21</v>
      </c>
      <c r="N371" s="604"/>
      <c r="O371" s="635"/>
      <c r="P371" s="636"/>
      <c r="Q371" s="605"/>
    </row>
    <row r="372" spans="1:17">
      <c r="A372" s="934"/>
      <c r="B372" s="506"/>
      <c r="C372" s="48" t="s">
        <v>263</v>
      </c>
      <c r="D372" s="49">
        <v>20.6</v>
      </c>
      <c r="E372" s="41">
        <v>7.1993999999999998</v>
      </c>
      <c r="F372" s="41">
        <f>+E372</f>
        <v>7.1993999999999998</v>
      </c>
      <c r="G372" s="50">
        <f>ROUND(D372*(E372),2)</f>
        <v>148.31</v>
      </c>
      <c r="H372" s="296"/>
      <c r="I372" s="298"/>
      <c r="J372" s="298"/>
      <c r="K372" s="1021"/>
      <c r="L372" s="606"/>
      <c r="M372" s="935"/>
      <c r="N372" s="607"/>
      <c r="O372" s="608"/>
      <c r="P372" s="609"/>
      <c r="Q372" s="610"/>
    </row>
    <row r="373" spans="1:17" ht="15.75" thickBot="1">
      <c r="A373" s="960"/>
      <c r="B373" s="506"/>
      <c r="C373" s="54" t="s">
        <v>29</v>
      </c>
      <c r="D373" s="296">
        <v>465</v>
      </c>
      <c r="E373" s="56">
        <v>7.1993999999999998</v>
      </c>
      <c r="F373" s="41">
        <f t="shared" ref="F373:F377" si="77">+E373</f>
        <v>7.1993999999999998</v>
      </c>
      <c r="G373" s="50">
        <f t="shared" ref="G373" si="78">ROUND(D373*(E373),2)</f>
        <v>3347.72</v>
      </c>
      <c r="H373" s="296"/>
      <c r="I373" s="298"/>
      <c r="J373" s="298"/>
      <c r="K373" s="1021"/>
      <c r="L373" s="614"/>
      <c r="M373" s="935"/>
      <c r="N373" s="615"/>
      <c r="O373" s="615"/>
      <c r="P373" s="615"/>
      <c r="Q373" s="616"/>
    </row>
    <row r="374" spans="1:17" collapsed="1">
      <c r="A374" s="376">
        <v>308</v>
      </c>
      <c r="B374" s="602" t="s">
        <v>247</v>
      </c>
      <c r="C374" s="439" t="s">
        <v>260</v>
      </c>
      <c r="D374" s="184">
        <f>мар19!D363+мар19!D364</f>
        <v>367.59</v>
      </c>
      <c r="E374" s="23">
        <f>7.1994-7.4969</f>
        <v>-0.29750000000000032</v>
      </c>
      <c r="F374" s="23">
        <f t="shared" si="77"/>
        <v>-0.29750000000000032</v>
      </c>
      <c r="G374" s="185">
        <f>ROUND(D374*(E374),2)+0.01</f>
        <v>-109.35</v>
      </c>
      <c r="H374" s="669"/>
      <c r="I374" s="620"/>
      <c r="J374" s="620"/>
      <c r="K374" s="1020"/>
      <c r="L374" s="603">
        <f>SUM(G374:G376)</f>
        <v>2852.83</v>
      </c>
      <c r="M374" s="187">
        <v>2852.83</v>
      </c>
      <c r="N374" s="604"/>
      <c r="O374" s="635"/>
      <c r="P374" s="636"/>
      <c r="Q374" s="605"/>
    </row>
    <row r="375" spans="1:17">
      <c r="A375" s="934"/>
      <c r="B375" s="506"/>
      <c r="C375" s="48" t="s">
        <v>263</v>
      </c>
      <c r="D375" s="49">
        <v>17.45</v>
      </c>
      <c r="E375" s="41">
        <v>7.1993999999999998</v>
      </c>
      <c r="F375" s="41">
        <f>+E375</f>
        <v>7.1993999999999998</v>
      </c>
      <c r="G375" s="50">
        <f>ROUND(D375*(E375),2)-0.01</f>
        <v>125.61999999999999</v>
      </c>
      <c r="H375" s="296"/>
      <c r="I375" s="298"/>
      <c r="J375" s="298"/>
      <c r="K375" s="1021"/>
      <c r="L375" s="606"/>
      <c r="M375" s="935"/>
      <c r="N375" s="607"/>
      <c r="O375" s="608"/>
      <c r="P375" s="609"/>
      <c r="Q375" s="610"/>
    </row>
    <row r="376" spans="1:17" ht="15.75" thickBot="1">
      <c r="A376" s="960"/>
      <c r="B376" s="506"/>
      <c r="C376" s="54" t="s">
        <v>29</v>
      </c>
      <c r="D376" s="296">
        <v>394</v>
      </c>
      <c r="E376" s="56">
        <v>7.1993999999999998</v>
      </c>
      <c r="F376" s="41">
        <f t="shared" ref="F376" si="79">+E376</f>
        <v>7.1993999999999998</v>
      </c>
      <c r="G376" s="50">
        <f t="shared" ref="G376" si="80">ROUND(D376*(E376),2)</f>
        <v>2836.56</v>
      </c>
      <c r="H376" s="296"/>
      <c r="I376" s="298"/>
      <c r="J376" s="298"/>
      <c r="K376" s="1021"/>
      <c r="L376" s="614"/>
      <c r="M376" s="935"/>
      <c r="N376" s="615"/>
      <c r="O376" s="615"/>
      <c r="P376" s="615"/>
      <c r="Q376" s="616"/>
    </row>
    <row r="377" spans="1:17" ht="15.75" hidden="1" collapsed="1" thickBot="1">
      <c r="A377" s="376" t="s">
        <v>254</v>
      </c>
      <c r="B377" s="602" t="s">
        <v>235</v>
      </c>
      <c r="C377" s="439" t="s">
        <v>260</v>
      </c>
      <c r="D377" s="184"/>
      <c r="E377" s="41">
        <f>7.0643-7.1352</f>
        <v>-7.0899999999999963E-2</v>
      </c>
      <c r="F377" s="23">
        <f t="shared" si="77"/>
        <v>-7.0899999999999963E-2</v>
      </c>
      <c r="G377" s="185">
        <f>ROUND(D377*(E377),2)-0.01</f>
        <v>-0.01</v>
      </c>
      <c r="H377" s="620"/>
      <c r="I377" s="620"/>
      <c r="J377" s="620"/>
      <c r="K377" s="1020"/>
      <c r="L377" s="603">
        <f>SUM(G377:G379)</f>
        <v>-0.01</v>
      </c>
      <c r="M377" s="187"/>
      <c r="N377" s="615"/>
      <c r="O377" s="615"/>
      <c r="P377" s="615"/>
      <c r="Q377" s="615"/>
    </row>
    <row r="378" spans="1:17" ht="15.75" hidden="1" thickBot="1">
      <c r="A378" s="934">
        <v>314</v>
      </c>
      <c r="B378" s="506"/>
      <c r="C378" s="48" t="s">
        <v>263</v>
      </c>
      <c r="D378" s="49"/>
      <c r="E378" s="41">
        <v>7.0643000000000002</v>
      </c>
      <c r="F378" s="41">
        <f>+E378</f>
        <v>7.0643000000000002</v>
      </c>
      <c r="G378" s="50">
        <f>ROUND(D378*(E378),2)</f>
        <v>0</v>
      </c>
      <c r="H378" s="296"/>
      <c r="I378" s="298"/>
      <c r="J378" s="298"/>
      <c r="K378" s="1021"/>
      <c r="L378" s="606"/>
      <c r="M378" s="935"/>
      <c r="N378" s="615"/>
      <c r="O378" s="615"/>
      <c r="P378" s="615"/>
      <c r="Q378" s="615"/>
    </row>
    <row r="379" spans="1:17" ht="15.75" hidden="1" thickBot="1">
      <c r="A379" s="934"/>
      <c r="B379" s="506"/>
      <c r="C379" s="54" t="s">
        <v>29</v>
      </c>
      <c r="D379" s="296"/>
      <c r="E379" s="56">
        <v>7.0643000000000002</v>
      </c>
      <c r="F379" s="41">
        <f t="shared" ref="F379:F382" si="81">+E379</f>
        <v>7.0643000000000002</v>
      </c>
      <c r="G379" s="50">
        <f t="shared" ref="G379" si="82">ROUND(D379*(E379),2)</f>
        <v>0</v>
      </c>
      <c r="H379" s="296"/>
      <c r="I379" s="298"/>
      <c r="J379" s="298"/>
      <c r="K379" s="1021"/>
      <c r="L379" s="614"/>
      <c r="M379" s="935"/>
      <c r="N379" s="615"/>
      <c r="O379" s="615"/>
      <c r="P379" s="615"/>
      <c r="Q379" s="615"/>
    </row>
    <row r="380" spans="1:17" ht="15.75" hidden="1" thickBot="1">
      <c r="A380" s="376">
        <v>311</v>
      </c>
      <c r="B380" s="602" t="s">
        <v>204</v>
      </c>
      <c r="C380" s="439" t="s">
        <v>260</v>
      </c>
      <c r="D380" s="184"/>
      <c r="E380" s="41">
        <f>6.7023-6.509</f>
        <v>0.19329999999999981</v>
      </c>
      <c r="F380" s="23">
        <f t="shared" si="81"/>
        <v>0.19329999999999981</v>
      </c>
      <c r="G380" s="185">
        <f>ROUND(D380*(E380),2)-0.01</f>
        <v>-0.01</v>
      </c>
      <c r="H380" s="620"/>
      <c r="I380" s="620"/>
      <c r="J380" s="620"/>
      <c r="K380" s="1020"/>
      <c r="L380" s="603">
        <f>SUM(G380:G383)</f>
        <v>-0.01</v>
      </c>
      <c r="M380" s="187"/>
      <c r="N380" s="604"/>
      <c r="O380" s="635" t="s">
        <v>274</v>
      </c>
      <c r="P380" s="636"/>
      <c r="Q380" s="605"/>
    </row>
    <row r="381" spans="1:17" ht="15.75" hidden="1" thickBot="1">
      <c r="A381" s="389"/>
      <c r="B381" s="939" t="s">
        <v>273</v>
      </c>
      <c r="C381" s="48" t="s">
        <v>263</v>
      </c>
      <c r="D381" s="49"/>
      <c r="E381" s="41">
        <v>6.7023000000000001</v>
      </c>
      <c r="F381" s="41">
        <f t="shared" si="81"/>
        <v>6.7023000000000001</v>
      </c>
      <c r="G381" s="50">
        <f>ROUND(D381*(E381),2)</f>
        <v>0</v>
      </c>
      <c r="H381" s="296"/>
      <c r="I381" s="298"/>
      <c r="J381" s="298"/>
      <c r="K381" s="1021"/>
      <c r="L381" s="606"/>
      <c r="M381" s="935"/>
      <c r="N381" s="607"/>
      <c r="O381" s="608"/>
      <c r="P381" s="609"/>
      <c r="Q381" s="610"/>
    </row>
    <row r="382" spans="1:17" ht="15.75" hidden="1" thickBot="1">
      <c r="A382" s="936"/>
      <c r="B382" s="506"/>
      <c r="C382" s="99" t="s">
        <v>29</v>
      </c>
      <c r="D382" s="296"/>
      <c r="E382" s="101">
        <v>6.7023000000000001</v>
      </c>
      <c r="F382" s="41">
        <f t="shared" si="81"/>
        <v>6.7023000000000001</v>
      </c>
      <c r="G382" s="50">
        <f>ROUND(D382*(E382),2)</f>
        <v>0</v>
      </c>
      <c r="H382" s="296"/>
      <c r="I382" s="298"/>
      <c r="J382" s="298"/>
      <c r="K382" s="1027"/>
      <c r="L382" s="614"/>
      <c r="M382" s="935"/>
      <c r="N382" s="615"/>
      <c r="O382" s="615"/>
      <c r="P382" s="615"/>
      <c r="Q382" s="616"/>
    </row>
    <row r="383" spans="1:17" ht="15.75" hidden="1" thickBot="1">
      <c r="A383" s="937"/>
      <c r="B383" s="278"/>
      <c r="C383" s="784"/>
      <c r="D383" s="941"/>
      <c r="E383" s="281"/>
      <c r="F383" s="57"/>
      <c r="G383" s="58">
        <f>ROUND(D383*(E383),2)</f>
        <v>0</v>
      </c>
      <c r="H383" s="613"/>
      <c r="I383" s="57"/>
      <c r="J383" s="57"/>
      <c r="K383" s="1028"/>
      <c r="L383" s="784"/>
      <c r="M383" s="938"/>
      <c r="N383" s="626"/>
      <c r="O383" s="626"/>
      <c r="P383" s="626"/>
      <c r="Q383" s="626"/>
    </row>
    <row r="384" spans="1:17" ht="15.75" hidden="1" collapsed="1" thickBot="1">
      <c r="A384" s="376">
        <v>311</v>
      </c>
      <c r="B384" s="602" t="s">
        <v>278</v>
      </c>
      <c r="C384" s="439" t="s">
        <v>260</v>
      </c>
      <c r="D384" s="184"/>
      <c r="E384" s="41">
        <f>7.2025-6.7838</f>
        <v>0.41869999999999941</v>
      </c>
      <c r="F384" s="23">
        <f t="shared" ref="F384" si="83">+E384</f>
        <v>0.41869999999999941</v>
      </c>
      <c r="G384" s="185">
        <f>ROUND(D384*(E384),2)</f>
        <v>0</v>
      </c>
      <c r="H384" s="620"/>
      <c r="I384" s="620"/>
      <c r="J384" s="620"/>
      <c r="K384" s="1020"/>
      <c r="L384" s="603">
        <f>SUM(G384:G386)</f>
        <v>0</v>
      </c>
      <c r="M384" s="187"/>
      <c r="N384" s="615"/>
      <c r="O384" s="615"/>
      <c r="P384" s="615"/>
      <c r="Q384" s="615"/>
    </row>
    <row r="385" spans="1:20" ht="15.75" hidden="1" thickBot="1">
      <c r="A385" s="934"/>
      <c r="B385" s="506"/>
      <c r="C385" s="48" t="s">
        <v>263</v>
      </c>
      <c r="D385" s="49"/>
      <c r="E385" s="41">
        <v>7.2024999999999997</v>
      </c>
      <c r="F385" s="41">
        <f>+E385</f>
        <v>7.2024999999999997</v>
      </c>
      <c r="G385" s="50">
        <f>ROUND(D385*(E385),2)</f>
        <v>0</v>
      </c>
      <c r="H385" s="296"/>
      <c r="I385" s="298"/>
      <c r="J385" s="298"/>
      <c r="K385" s="1021"/>
      <c r="L385" s="606"/>
      <c r="M385" s="935"/>
      <c r="N385" s="615"/>
      <c r="O385" s="615"/>
      <c r="P385" s="615"/>
      <c r="Q385" s="615"/>
    </row>
    <row r="386" spans="1:20" ht="15.75" hidden="1" thickBot="1">
      <c r="A386" s="934"/>
      <c r="B386" s="506"/>
      <c r="C386" s="54" t="s">
        <v>29</v>
      </c>
      <c r="D386" s="296"/>
      <c r="E386" s="56">
        <v>7.2024999999999997</v>
      </c>
      <c r="F386" s="41">
        <f t="shared" ref="F386" si="84">+E386</f>
        <v>7.2024999999999997</v>
      </c>
      <c r="G386" s="50">
        <f t="shared" ref="G386" si="85">ROUND(D386*(E386),2)</f>
        <v>0</v>
      </c>
      <c r="H386" s="296"/>
      <c r="I386" s="298"/>
      <c r="J386" s="298"/>
      <c r="K386" s="1021"/>
      <c r="L386" s="614"/>
      <c r="M386" s="935"/>
      <c r="N386" s="615"/>
      <c r="O386" s="615"/>
      <c r="P386" s="615"/>
      <c r="Q386" s="615"/>
    </row>
    <row r="387" spans="1:20">
      <c r="A387" s="376">
        <v>312</v>
      </c>
      <c r="B387" s="602" t="s">
        <v>112</v>
      </c>
      <c r="C387" s="439" t="s">
        <v>260</v>
      </c>
      <c r="D387" s="184">
        <f>мар19!D376+мар19!D377</f>
        <v>799.93</v>
      </c>
      <c r="E387" s="23">
        <f>7.1994-7.4969</f>
        <v>-0.29750000000000032</v>
      </c>
      <c r="F387" s="23">
        <f>+E387</f>
        <v>-0.29750000000000032</v>
      </c>
      <c r="G387" s="185">
        <f>ROUND(D387*(E387),2)</f>
        <v>-237.98</v>
      </c>
      <c r="H387" s="620"/>
      <c r="I387" s="620"/>
      <c r="J387" s="620"/>
      <c r="K387" s="1020"/>
      <c r="L387" s="603">
        <f>SUM(G387:G390)</f>
        <v>4611.32</v>
      </c>
      <c r="M387" s="187">
        <v>4611.32</v>
      </c>
      <c r="N387" s="604"/>
      <c r="O387" s="635"/>
      <c r="P387" s="636"/>
      <c r="Q387" s="605"/>
    </row>
    <row r="388" spans="1:20">
      <c r="A388" s="934"/>
      <c r="B388" s="506"/>
      <c r="C388" s="48" t="s">
        <v>263</v>
      </c>
      <c r="D388" s="49">
        <v>28.57</v>
      </c>
      <c r="E388" s="41">
        <v>7.1993999999999998</v>
      </c>
      <c r="F388" s="41">
        <f>+E388</f>
        <v>7.1993999999999998</v>
      </c>
      <c r="G388" s="50">
        <f t="shared" ref="G388:G389" si="86">ROUND(D388*(E388),2)</f>
        <v>205.69</v>
      </c>
      <c r="H388" s="296"/>
      <c r="I388" s="298"/>
      <c r="J388" s="298"/>
      <c r="K388" s="1021"/>
      <c r="L388" s="606"/>
      <c r="M388" s="935"/>
      <c r="N388" s="607"/>
      <c r="O388" s="608"/>
      <c r="P388" s="609"/>
      <c r="Q388" s="610"/>
    </row>
    <row r="389" spans="1:20">
      <c r="A389" s="934"/>
      <c r="B389" s="506"/>
      <c r="C389" s="99" t="s">
        <v>29</v>
      </c>
      <c r="D389" s="296">
        <v>645</v>
      </c>
      <c r="E389" s="101">
        <v>7.1993999999999998</v>
      </c>
      <c r="F389" s="41">
        <f>+E389</f>
        <v>7.1993999999999998</v>
      </c>
      <c r="G389" s="50">
        <f t="shared" si="86"/>
        <v>4643.6099999999997</v>
      </c>
      <c r="H389" s="296"/>
      <c r="I389" s="298"/>
      <c r="J389" s="298"/>
      <c r="K389" s="1021"/>
      <c r="L389" s="614"/>
      <c r="M389" s="935"/>
      <c r="N389" s="615"/>
      <c r="O389" s="615"/>
      <c r="P389" s="615"/>
      <c r="Q389" s="616"/>
    </row>
    <row r="390" spans="1:20" ht="15.75" thickBot="1">
      <c r="A390" s="942"/>
      <c r="B390" s="278"/>
      <c r="C390" s="54"/>
      <c r="D390" s="941"/>
      <c r="E390" s="281"/>
      <c r="F390" s="57"/>
      <c r="G390" s="58"/>
      <c r="H390" s="613"/>
      <c r="I390" s="57"/>
      <c r="J390" s="57"/>
      <c r="K390" s="1029"/>
      <c r="L390" s="784"/>
      <c r="M390" s="938"/>
      <c r="N390" s="615"/>
      <c r="O390" s="615"/>
      <c r="P390" s="615"/>
      <c r="Q390" s="615"/>
    </row>
    <row r="391" spans="1:20" ht="15.75" hidden="1" collapsed="1" thickBot="1">
      <c r="A391" s="376">
        <v>314</v>
      </c>
      <c r="B391" s="602" t="s">
        <v>235</v>
      </c>
      <c r="C391" s="439" t="s">
        <v>149</v>
      </c>
      <c r="D391" s="184"/>
      <c r="E391" s="41">
        <f>6.509-6.4709</f>
        <v>3.8100000000000023E-2</v>
      </c>
      <c r="F391" s="23">
        <f t="shared" ref="F391" si="87">+E391</f>
        <v>3.8100000000000023E-2</v>
      </c>
      <c r="G391" s="185">
        <f>ROUND(D391*(E391),2)</f>
        <v>0</v>
      </c>
      <c r="H391" s="620"/>
      <c r="I391" s="620"/>
      <c r="J391" s="620"/>
      <c r="K391" s="1020"/>
      <c r="L391" s="603">
        <f>SUM(G391:G393)</f>
        <v>0</v>
      </c>
      <c r="M391" s="187"/>
      <c r="N391" s="615"/>
      <c r="O391" s="967" t="s">
        <v>249</v>
      </c>
      <c r="P391" s="615"/>
      <c r="Q391" s="615"/>
    </row>
    <row r="392" spans="1:20" ht="15.75" hidden="1" thickBot="1">
      <c r="A392" s="934"/>
      <c r="B392" s="516" t="s">
        <v>246</v>
      </c>
      <c r="C392" s="48" t="s">
        <v>150</v>
      </c>
      <c r="D392" s="49"/>
      <c r="E392" s="41">
        <v>6.5090000000000003</v>
      </c>
      <c r="F392" s="41">
        <f>+E392</f>
        <v>6.5090000000000003</v>
      </c>
      <c r="G392" s="50">
        <f>ROUND(D392*(E392),2)</f>
        <v>0</v>
      </c>
      <c r="H392" s="296"/>
      <c r="I392" s="298"/>
      <c r="J392" s="298"/>
      <c r="K392" s="1021"/>
      <c r="L392" s="606"/>
      <c r="M392" s="935"/>
      <c r="N392" s="615"/>
      <c r="O392" s="615"/>
      <c r="P392" s="615"/>
      <c r="Q392" s="615"/>
    </row>
    <row r="393" spans="1:20" ht="15.75" hidden="1" thickBot="1">
      <c r="A393" s="942"/>
      <c r="B393" s="982"/>
      <c r="C393" s="54" t="s">
        <v>29</v>
      </c>
      <c r="D393" s="613"/>
      <c r="E393" s="56">
        <v>6.5090000000000003</v>
      </c>
      <c r="F393" s="281">
        <f t="shared" ref="F393:F394" si="88">+E393</f>
        <v>6.5090000000000003</v>
      </c>
      <c r="G393" s="58">
        <f t="shared" ref="G393" si="89">ROUND(D393*(E393),2)</f>
        <v>0</v>
      </c>
      <c r="H393" s="613"/>
      <c r="I393" s="57"/>
      <c r="J393" s="57"/>
      <c r="K393" s="1029"/>
      <c r="L393" s="783"/>
      <c r="M393" s="938"/>
      <c r="N393" s="615"/>
      <c r="O393" s="615"/>
      <c r="P393" s="615"/>
      <c r="Q393" s="615"/>
    </row>
    <row r="394" spans="1:20" collapsed="1">
      <c r="A394" s="376">
        <v>316</v>
      </c>
      <c r="B394" s="602" t="s">
        <v>288</v>
      </c>
      <c r="C394" s="439" t="s">
        <v>260</v>
      </c>
      <c r="D394" s="184">
        <f>мар19!D383+мар19!D384</f>
        <v>135.76</v>
      </c>
      <c r="E394" s="41">
        <f>7.1994-7.4969</f>
        <v>-0.29750000000000032</v>
      </c>
      <c r="F394" s="23">
        <f t="shared" si="88"/>
        <v>-0.29750000000000032</v>
      </c>
      <c r="G394" s="185">
        <f>ROUND(D394*(E394),2)</f>
        <v>-40.39</v>
      </c>
      <c r="H394" s="620"/>
      <c r="I394" s="620"/>
      <c r="J394" s="620"/>
      <c r="K394" s="1020"/>
      <c r="L394" s="603">
        <f>SUM(G394:G396)</f>
        <v>1109.93</v>
      </c>
      <c r="M394" s="187">
        <v>1109.93</v>
      </c>
      <c r="N394" s="615"/>
      <c r="O394" s="615"/>
      <c r="P394" s="615"/>
      <c r="Q394" s="615"/>
    </row>
    <row r="395" spans="1:20">
      <c r="A395" s="934"/>
      <c r="B395" s="506"/>
      <c r="C395" s="48" t="s">
        <v>263</v>
      </c>
      <c r="D395" s="49">
        <v>6.78</v>
      </c>
      <c r="E395" s="41">
        <v>7.1993999999999998</v>
      </c>
      <c r="F395" s="41">
        <f>+E395</f>
        <v>7.1993999999999998</v>
      </c>
      <c r="G395" s="50">
        <f>ROUND(D395*(E395),2)</f>
        <v>48.81</v>
      </c>
      <c r="H395" s="296"/>
      <c r="I395" s="298"/>
      <c r="J395" s="298"/>
      <c r="K395" s="1021"/>
      <c r="L395" s="606"/>
      <c r="M395" s="935"/>
      <c r="N395" s="615"/>
      <c r="O395" s="615"/>
      <c r="P395" s="615"/>
      <c r="Q395" s="615"/>
    </row>
    <row r="396" spans="1:20" ht="15.75" thickBot="1">
      <c r="A396" s="934"/>
      <c r="B396" s="506"/>
      <c r="C396" s="54" t="s">
        <v>29</v>
      </c>
      <c r="D396" s="296">
        <v>153</v>
      </c>
      <c r="E396" s="56">
        <v>7.1993999999999998</v>
      </c>
      <c r="F396" s="41">
        <f t="shared" ref="F396" si="90">+E396</f>
        <v>7.1993999999999998</v>
      </c>
      <c r="G396" s="50">
        <f t="shared" ref="G396" si="91">ROUND(D396*(E396),2)</f>
        <v>1101.51</v>
      </c>
      <c r="H396" s="296"/>
      <c r="I396" s="298"/>
      <c r="J396" s="298"/>
      <c r="K396" s="1021"/>
      <c r="L396" s="614"/>
      <c r="M396" s="935"/>
      <c r="N396" s="615"/>
      <c r="O396" s="615"/>
      <c r="P396" s="615"/>
      <c r="Q396" s="615"/>
    </row>
    <row r="397" spans="1:20">
      <c r="A397" s="376">
        <v>403</v>
      </c>
      <c r="B397" s="602" t="s">
        <v>279</v>
      </c>
      <c r="C397" s="618" t="s">
        <v>73</v>
      </c>
      <c r="D397" s="619">
        <v>2</v>
      </c>
      <c r="E397" s="21">
        <v>41.244</v>
      </c>
      <c r="F397" s="21">
        <v>48.335999999999999</v>
      </c>
      <c r="G397" s="185">
        <f>ROUND(D397*(E397+F397),2)</f>
        <v>179.16</v>
      </c>
      <c r="H397" s="620"/>
      <c r="I397" s="620"/>
      <c r="J397" s="620"/>
      <c r="K397" s="454"/>
      <c r="L397" s="603">
        <f>SUM(G397:G403,J397:J403)</f>
        <v>1783.1599999999999</v>
      </c>
      <c r="M397" s="187">
        <v>1783.16</v>
      </c>
      <c r="N397" s="621"/>
      <c r="O397" s="621"/>
      <c r="P397" s="621"/>
      <c r="Q397" s="622"/>
    </row>
    <row r="398" spans="1:20">
      <c r="A398" s="936"/>
      <c r="B398" s="612"/>
      <c r="C398" s="542" t="s">
        <v>96</v>
      </c>
      <c r="D398" s="234"/>
      <c r="E398" s="38"/>
      <c r="F398" s="38"/>
      <c r="G398" s="235">
        <f>ROUND(D398*(E398+F398),2)</f>
        <v>0</v>
      </c>
      <c r="H398" s="298"/>
      <c r="I398" s="298"/>
      <c r="J398" s="298"/>
      <c r="K398" s="455"/>
      <c r="L398" s="606"/>
      <c r="M398" s="935"/>
      <c r="N398" s="615"/>
      <c r="O398" s="615"/>
      <c r="P398" s="615"/>
      <c r="Q398" s="616"/>
    </row>
    <row r="399" spans="1:20">
      <c r="A399" s="389"/>
      <c r="B399" s="516"/>
      <c r="C399" s="99" t="s">
        <v>90</v>
      </c>
      <c r="D399" s="508">
        <v>2</v>
      </c>
      <c r="E399" s="101">
        <v>343.14</v>
      </c>
      <c r="F399" s="38">
        <f>F397</f>
        <v>48.335999999999999</v>
      </c>
      <c r="G399" s="50">
        <f>ROUND(D399*(E399+F399),2)</f>
        <v>782.95</v>
      </c>
      <c r="H399" s="270"/>
      <c r="I399" s="41"/>
      <c r="J399" s="409"/>
      <c r="K399" s="1026"/>
      <c r="L399" s="597"/>
      <c r="M399" s="99"/>
      <c r="N399" s="518"/>
      <c r="O399" s="519"/>
      <c r="P399" s="515"/>
      <c r="Q399" s="271"/>
      <c r="R399" s="502"/>
      <c r="S399" s="503"/>
      <c r="T399" s="504"/>
    </row>
    <row r="400" spans="1:20">
      <c r="A400" s="389"/>
      <c r="B400" s="506"/>
      <c r="C400" s="390" t="s">
        <v>97</v>
      </c>
      <c r="D400" s="508">
        <f>мар19!D387</f>
        <v>3</v>
      </c>
      <c r="E400" s="41">
        <f>343.14-330.21</f>
        <v>12.930000000000007</v>
      </c>
      <c r="F400" s="38">
        <f>F398</f>
        <v>0</v>
      </c>
      <c r="G400" s="50">
        <f>D400*(E400+F400)</f>
        <v>38.79000000000002</v>
      </c>
      <c r="H400" s="432"/>
      <c r="I400" s="362"/>
      <c r="J400" s="41"/>
      <c r="K400" s="1026"/>
      <c r="L400" s="597"/>
      <c r="M400" s="99"/>
      <c r="N400" s="521"/>
      <c r="O400" s="522"/>
      <c r="P400" s="523"/>
      <c r="Q400" s="362"/>
      <c r="R400" s="502"/>
      <c r="S400" s="503"/>
      <c r="T400" s="504"/>
    </row>
    <row r="401" spans="1:21">
      <c r="A401" s="936"/>
      <c r="B401" s="612"/>
      <c r="C401" s="48" t="s">
        <v>260</v>
      </c>
      <c r="D401" s="623">
        <f>мар19!D390+мар19!D391</f>
        <v>150.38</v>
      </c>
      <c r="E401" s="41">
        <f>7.1994-7.4969</f>
        <v>-0.29750000000000032</v>
      </c>
      <c r="F401" s="41">
        <f t="shared" ref="F401:F403" si="92">+E401</f>
        <v>-0.29750000000000032</v>
      </c>
      <c r="G401" s="50">
        <f>ROUND(D401*(E401),2)+0.01</f>
        <v>-44.730000000000004</v>
      </c>
      <c r="H401" s="298"/>
      <c r="I401" s="298"/>
      <c r="J401" s="298"/>
      <c r="K401" s="455"/>
      <c r="L401" s="614"/>
      <c r="M401" s="935"/>
      <c r="N401" s="615"/>
      <c r="O401" s="615"/>
      <c r="P401" s="615"/>
      <c r="Q401" s="616"/>
    </row>
    <row r="402" spans="1:21">
      <c r="A402" s="936"/>
      <c r="B402" s="612"/>
      <c r="C402" s="48" t="s">
        <v>263</v>
      </c>
      <c r="D402" s="623">
        <v>4.87</v>
      </c>
      <c r="E402" s="41">
        <v>7.1993999999999998</v>
      </c>
      <c r="F402" s="41">
        <f t="shared" si="92"/>
        <v>7.1993999999999998</v>
      </c>
      <c r="G402" s="39">
        <f>ROUND(D402*(E402),2)</f>
        <v>35.06</v>
      </c>
      <c r="H402" s="298"/>
      <c r="I402" s="298"/>
      <c r="J402" s="298"/>
      <c r="K402" s="455"/>
      <c r="L402" s="614"/>
      <c r="M402" s="273"/>
      <c r="N402" s="615"/>
      <c r="O402" s="615"/>
      <c r="P402" s="615"/>
      <c r="Q402" s="616"/>
    </row>
    <row r="403" spans="1:21" ht="15.75" thickBot="1">
      <c r="A403" s="937"/>
      <c r="B403" s="526"/>
      <c r="C403" s="99" t="s">
        <v>29</v>
      </c>
      <c r="D403" s="995">
        <v>110</v>
      </c>
      <c r="E403" s="56">
        <v>7.1993999999999998</v>
      </c>
      <c r="F403" s="281">
        <f t="shared" si="92"/>
        <v>7.1993999999999998</v>
      </c>
      <c r="G403" s="414">
        <f>ROUND(D403*(E403),2)</f>
        <v>791.93</v>
      </c>
      <c r="H403" s="41"/>
      <c r="I403" s="41"/>
      <c r="J403" s="281"/>
      <c r="K403" s="56"/>
      <c r="L403" s="784"/>
      <c r="M403" s="938"/>
      <c r="N403" s="626"/>
      <c r="O403" s="626"/>
      <c r="P403" s="626"/>
      <c r="Q403" s="627"/>
    </row>
    <row r="404" spans="1:21" collapsed="1">
      <c r="A404" s="353" t="s">
        <v>203</v>
      </c>
      <c r="B404" s="494" t="s">
        <v>104</v>
      </c>
      <c r="C404" s="71" t="s">
        <v>243</v>
      </c>
      <c r="D404" s="495">
        <v>58</v>
      </c>
      <c r="E404" s="21">
        <v>41.244</v>
      </c>
      <c r="F404" s="21">
        <v>48.335999999999999</v>
      </c>
      <c r="G404" s="185">
        <f>ROUND(D404*(E404+F404),2)</f>
        <v>5195.6400000000003</v>
      </c>
      <c r="H404" s="496"/>
      <c r="I404" s="73"/>
      <c r="J404" s="73"/>
      <c r="K404" s="679"/>
      <c r="L404" s="439">
        <f>SUM(G404:G411)+SUM(J404:J410)</f>
        <v>24904</v>
      </c>
      <c r="M404" s="26">
        <v>24904</v>
      </c>
      <c r="N404" s="499"/>
      <c r="O404" s="500"/>
      <c r="P404" s="501" t="s">
        <v>87</v>
      </c>
      <c r="Q404" s="185" t="e">
        <f t="shared" ref="Q404" si="93">C404+G404+J404-M404-N404-O404</f>
        <v>#VALUE!</v>
      </c>
      <c r="R404" s="502" t="s">
        <v>88</v>
      </c>
      <c r="S404" s="503"/>
      <c r="T404" s="504"/>
    </row>
    <row r="405" spans="1:21">
      <c r="A405" s="934">
        <v>417</v>
      </c>
      <c r="B405" s="506"/>
      <c r="C405" s="599" t="s">
        <v>96</v>
      </c>
      <c r="D405" s="234"/>
      <c r="E405" s="38"/>
      <c r="F405" s="38"/>
      <c r="G405" s="235">
        <f>ROUND(D405*(E405+F405),2)</f>
        <v>0</v>
      </c>
      <c r="H405" s="448"/>
      <c r="I405" s="509"/>
      <c r="J405" s="409"/>
      <c r="K405" s="1026"/>
      <c r="L405" s="48"/>
      <c r="M405" s="512"/>
      <c r="N405" s="513"/>
      <c r="O405" s="514"/>
      <c r="P405" s="515"/>
      <c r="Q405" s="262"/>
      <c r="R405" s="502"/>
      <c r="S405" s="503"/>
      <c r="T405" s="504"/>
    </row>
    <row r="406" spans="1:21">
      <c r="A406" s="934"/>
      <c r="B406" s="516" t="s">
        <v>89</v>
      </c>
      <c r="C406" s="512" t="s">
        <v>90</v>
      </c>
      <c r="D406" s="508">
        <v>4</v>
      </c>
      <c r="E406" s="101">
        <v>343.14</v>
      </c>
      <c r="F406" s="38">
        <f>F33</f>
        <v>48.335999999999999</v>
      </c>
      <c r="G406" s="50">
        <f>ROUND(D406*(E406+F406),2)</f>
        <v>1565.9</v>
      </c>
      <c r="H406" s="270"/>
      <c r="I406" s="41"/>
      <c r="J406" s="409"/>
      <c r="K406" s="1026"/>
      <c r="L406" s="600"/>
      <c r="M406" s="99"/>
      <c r="N406" s="518"/>
      <c r="O406" s="519"/>
      <c r="P406" s="515" t="s">
        <v>87</v>
      </c>
      <c r="Q406" s="271">
        <f>+G406+J406-M406-N406-O406</f>
        <v>1565.9</v>
      </c>
      <c r="R406" s="502" t="s">
        <v>88</v>
      </c>
      <c r="S406" s="503"/>
      <c r="T406" s="504"/>
    </row>
    <row r="407" spans="1:21">
      <c r="A407" s="934"/>
      <c r="B407" s="541"/>
      <c r="C407" s="84" t="s">
        <v>97</v>
      </c>
      <c r="D407" s="508">
        <f>мар19!D394</f>
        <v>0</v>
      </c>
      <c r="E407" s="41">
        <f>343.14-330.21</f>
        <v>12.930000000000007</v>
      </c>
      <c r="F407" s="38">
        <f>F405</f>
        <v>0</v>
      </c>
      <c r="G407" s="50">
        <f>ROUND(D407*(E407+F407),2)</f>
        <v>0</v>
      </c>
      <c r="H407" s="432"/>
      <c r="I407" s="362"/>
      <c r="J407" s="41"/>
      <c r="K407" s="1026"/>
      <c r="L407" s="600"/>
      <c r="M407" s="520"/>
      <c r="N407" s="521"/>
      <c r="O407" s="522"/>
      <c r="P407" s="523"/>
      <c r="Q407" s="362"/>
      <c r="R407" s="502"/>
      <c r="S407" s="503"/>
      <c r="T407" s="504"/>
    </row>
    <row r="408" spans="1:21">
      <c r="A408" s="934"/>
      <c r="B408" s="541"/>
      <c r="C408" s="84" t="s">
        <v>97</v>
      </c>
      <c r="D408" s="508"/>
      <c r="E408" s="41"/>
      <c r="F408" s="41"/>
      <c r="G408" s="50">
        <f>D408*(E408+F408)</f>
        <v>0</v>
      </c>
      <c r="H408" s="432"/>
      <c r="I408" s="362"/>
      <c r="J408" s="41"/>
      <c r="K408" s="1026"/>
      <c r="L408" s="600"/>
      <c r="M408" s="520"/>
      <c r="N408" s="521"/>
      <c r="O408" s="522"/>
      <c r="P408" s="523"/>
      <c r="Q408" s="362"/>
      <c r="R408" s="502"/>
      <c r="S408" s="503"/>
      <c r="T408" s="504"/>
    </row>
    <row r="409" spans="1:21">
      <c r="A409" s="934"/>
      <c r="B409" s="506"/>
      <c r="C409" s="48" t="s">
        <v>260</v>
      </c>
      <c r="D409" s="37">
        <f>мар19!D398+мар19!D399</f>
        <v>2322.52</v>
      </c>
      <c r="E409" s="41">
        <f>7.1994-7.4969</f>
        <v>-0.29750000000000032</v>
      </c>
      <c r="F409" s="297">
        <f t="shared" ref="F409:F411" si="94">+E409</f>
        <v>-0.29750000000000032</v>
      </c>
      <c r="G409" s="39">
        <f>ROUND(D409*(E409),2)-0.01</f>
        <v>-690.96</v>
      </c>
      <c r="H409" s="432"/>
      <c r="I409" s="362"/>
      <c r="J409" s="41"/>
      <c r="K409" s="1026"/>
      <c r="L409" s="600"/>
      <c r="M409" s="520"/>
      <c r="N409" s="521"/>
      <c r="O409" s="522"/>
      <c r="P409" s="523"/>
      <c r="Q409" s="362"/>
      <c r="R409" s="502"/>
      <c r="S409" s="503"/>
      <c r="T409" s="504"/>
    </row>
    <row r="410" spans="1:21">
      <c r="A410" s="934"/>
      <c r="B410" s="506"/>
      <c r="C410" s="48" t="s">
        <v>263</v>
      </c>
      <c r="D410" s="37">
        <v>110.97</v>
      </c>
      <c r="E410" s="41">
        <v>7.1993999999999998</v>
      </c>
      <c r="F410" s="298">
        <f t="shared" si="94"/>
        <v>7.1993999999999998</v>
      </c>
      <c r="G410" s="39">
        <f>ROUND(D410*(E410),2)</f>
        <v>798.92</v>
      </c>
      <c r="H410" s="432"/>
      <c r="I410" s="362"/>
      <c r="J410" s="41"/>
      <c r="K410" s="1026"/>
      <c r="L410" s="600"/>
      <c r="M410" s="520"/>
      <c r="N410" s="521"/>
      <c r="O410" s="522"/>
      <c r="P410" s="523"/>
      <c r="Q410" s="362"/>
      <c r="R410" s="502"/>
      <c r="S410" s="503"/>
      <c r="T410" s="504"/>
      <c r="U410" s="33"/>
    </row>
    <row r="411" spans="1:21" ht="15.75" thickBot="1">
      <c r="A411" s="934"/>
      <c r="B411" s="526"/>
      <c r="C411" s="99" t="s">
        <v>29</v>
      </c>
      <c r="D411" s="55">
        <v>2505</v>
      </c>
      <c r="E411" s="56">
        <v>7.1993999999999998</v>
      </c>
      <c r="F411" s="57">
        <f t="shared" si="94"/>
        <v>7.1993999999999998</v>
      </c>
      <c r="G411" s="414">
        <f>ROUND(D411*(E411),2)</f>
        <v>18034.5</v>
      </c>
      <c r="H411" s="248"/>
      <c r="I411" s="203"/>
      <c r="J411" s="60"/>
      <c r="K411" s="1024"/>
      <c r="L411" s="204"/>
      <c r="M411" s="54"/>
      <c r="N411" s="527"/>
      <c r="O411" s="528"/>
      <c r="P411" s="529" t="s">
        <v>87</v>
      </c>
      <c r="Q411" s="362">
        <f>+G411+J411-M411-N411-O411</f>
        <v>18034.5</v>
      </c>
      <c r="R411" s="502" t="s">
        <v>88</v>
      </c>
      <c r="S411" s="598">
        <f>SUM(N404:N411)+O404:O411</f>
        <v>0</v>
      </c>
      <c r="T411" s="598" t="e">
        <f>SUM(Q404:Q411)</f>
        <v>#VALUE!</v>
      </c>
    </row>
    <row r="412" spans="1:21">
      <c r="A412" s="376">
        <v>407</v>
      </c>
      <c r="B412" s="494" t="s">
        <v>108</v>
      </c>
      <c r="C412" s="71">
        <f>+[1]дек!U87</f>
        <v>0</v>
      </c>
      <c r="D412" s="495">
        <v>6</v>
      </c>
      <c r="E412" s="21">
        <v>41.244</v>
      </c>
      <c r="F412" s="21">
        <v>48.335999999999999</v>
      </c>
      <c r="G412" s="185">
        <f>ROUND(D412*(E412+F412),2)</f>
        <v>537.48</v>
      </c>
      <c r="H412" s="496"/>
      <c r="I412" s="73"/>
      <c r="J412" s="73"/>
      <c r="K412" s="679"/>
      <c r="L412" s="498">
        <f>SUM(G412:G418)+SUM(J412:J417)</f>
        <v>3399.7300000000005</v>
      </c>
      <c r="M412" s="26">
        <v>3399.73</v>
      </c>
      <c r="N412" s="499"/>
      <c r="O412" s="500"/>
      <c r="P412" s="501" t="s">
        <v>87</v>
      </c>
      <c r="Q412" s="304">
        <f t="shared" ref="Q412:Q414" si="95">C412+G412+J412-M412-N412-O412</f>
        <v>-2862.25</v>
      </c>
    </row>
    <row r="413" spans="1:21">
      <c r="A413" s="389"/>
      <c r="B413" s="506"/>
      <c r="C413" s="542" t="s">
        <v>96</v>
      </c>
      <c r="D413" s="234"/>
      <c r="E413" s="38"/>
      <c r="F413" s="38"/>
      <c r="G413" s="235">
        <f>ROUND(D413*(E413+F413),2)</f>
        <v>0</v>
      </c>
      <c r="H413" s="448"/>
      <c r="I413" s="509"/>
      <c r="J413" s="409"/>
      <c r="K413" s="1026"/>
      <c r="L413" s="632"/>
      <c r="M413" s="512"/>
      <c r="N413" s="513"/>
      <c r="O413" s="514"/>
      <c r="P413" s="515"/>
      <c r="Q413" s="262"/>
    </row>
    <row r="414" spans="1:21">
      <c r="A414" s="389"/>
      <c r="B414" s="516" t="s">
        <v>109</v>
      </c>
      <c r="C414" s="633"/>
      <c r="D414" s="508">
        <v>0</v>
      </c>
      <c r="E414" s="101">
        <v>343.14</v>
      </c>
      <c r="F414" s="38">
        <f>F412</f>
        <v>48.335999999999999</v>
      </c>
      <c r="G414" s="50">
        <f>D414*(E414+F414)</f>
        <v>0</v>
      </c>
      <c r="H414" s="270"/>
      <c r="I414" s="41"/>
      <c r="J414" s="409"/>
      <c r="K414" s="1026"/>
      <c r="L414" s="597"/>
      <c r="M414" s="99"/>
      <c r="N414" s="518"/>
      <c r="O414" s="519"/>
      <c r="P414" s="515" t="s">
        <v>87</v>
      </c>
      <c r="Q414" s="271">
        <f t="shared" si="95"/>
        <v>0</v>
      </c>
    </row>
    <row r="415" spans="1:21">
      <c r="A415" s="389"/>
      <c r="B415" s="541"/>
      <c r="C415" s="84" t="s">
        <v>97</v>
      </c>
      <c r="D415" s="508">
        <f>мар19!D402</f>
        <v>0</v>
      </c>
      <c r="E415" s="41">
        <f>343.14-330.21</f>
        <v>12.930000000000007</v>
      </c>
      <c r="F415" s="41">
        <f>F413</f>
        <v>0</v>
      </c>
      <c r="G415" s="50">
        <f>D415*(E415+F415)</f>
        <v>0</v>
      </c>
      <c r="H415" s="432"/>
      <c r="I415" s="362"/>
      <c r="J415" s="207"/>
      <c r="K415" s="1026"/>
      <c r="L415" s="597"/>
      <c r="M415" s="520"/>
      <c r="N415" s="521"/>
      <c r="O415" s="522"/>
      <c r="P415" s="523"/>
      <c r="Q415" s="362"/>
    </row>
    <row r="416" spans="1:21">
      <c r="A416" s="389"/>
      <c r="B416" s="506"/>
      <c r="C416" s="48" t="s">
        <v>260</v>
      </c>
      <c r="D416" s="37">
        <f>мар19!D405+мар19!D406</f>
        <v>487.69</v>
      </c>
      <c r="E416" s="41">
        <f>7.1994-7.4969</f>
        <v>-0.29750000000000032</v>
      </c>
      <c r="F416" s="41">
        <f>+E416</f>
        <v>-0.29750000000000032</v>
      </c>
      <c r="G416" s="39">
        <f>ROUND(D416*(E416),2)+0.01</f>
        <v>-145.08000000000001</v>
      </c>
      <c r="H416" s="432"/>
      <c r="I416" s="362"/>
      <c r="J416" s="207"/>
      <c r="K416" s="1026"/>
      <c r="L416" s="597"/>
      <c r="M416" s="520"/>
      <c r="N416" s="521"/>
      <c r="O416" s="522"/>
      <c r="P416" s="523"/>
      <c r="Q416" s="362"/>
    </row>
    <row r="417" spans="1:21">
      <c r="A417" s="389"/>
      <c r="B417" s="506"/>
      <c r="C417" s="48" t="s">
        <v>263</v>
      </c>
      <c r="D417" s="37">
        <v>17.72</v>
      </c>
      <c r="E417" s="41">
        <v>7.1993999999999998</v>
      </c>
      <c r="F417" s="41">
        <f>+E417</f>
        <v>7.1993999999999998</v>
      </c>
      <c r="G417" s="39">
        <f t="shared" ref="G417:G418" si="96">ROUND(D417*(E417),2)</f>
        <v>127.57</v>
      </c>
      <c r="H417" s="432"/>
      <c r="I417" s="362"/>
      <c r="J417" s="207"/>
      <c r="K417" s="1026"/>
      <c r="L417" s="597"/>
      <c r="M417" s="520"/>
      <c r="N417" s="521"/>
      <c r="O417" s="522"/>
      <c r="P417" s="523"/>
      <c r="Q417" s="362"/>
    </row>
    <row r="418" spans="1:21" ht="15.75" thickBot="1">
      <c r="A418" s="411"/>
      <c r="B418" s="526"/>
      <c r="C418" s="54" t="s">
        <v>29</v>
      </c>
      <c r="D418" s="55">
        <v>400</v>
      </c>
      <c r="E418" s="56">
        <v>7.1993999999999998</v>
      </c>
      <c r="F418" s="281">
        <f>+E418</f>
        <v>7.1993999999999998</v>
      </c>
      <c r="G418" s="414">
        <f t="shared" si="96"/>
        <v>2879.76</v>
      </c>
      <c r="H418" s="248"/>
      <c r="I418" s="203"/>
      <c r="J418" s="60"/>
      <c r="K418" s="1024"/>
      <c r="L418" s="249"/>
      <c r="M418" s="54"/>
      <c r="N418" s="527"/>
      <c r="O418" s="528"/>
      <c r="P418" s="529" t="s">
        <v>87</v>
      </c>
      <c r="Q418" s="282">
        <f>+G418+J418-M418-N418-O418</f>
        <v>2879.76</v>
      </c>
    </row>
    <row r="419" spans="1:21" collapsed="1">
      <c r="A419" s="376">
        <v>411</v>
      </c>
      <c r="B419" s="602" t="s">
        <v>127</v>
      </c>
      <c r="C419" s="439" t="s">
        <v>260</v>
      </c>
      <c r="D419" s="184">
        <f>мар19!D408+мар19!D409</f>
        <v>585.85</v>
      </c>
      <c r="E419" s="23">
        <f>7.1994-7.4969</f>
        <v>-0.29750000000000032</v>
      </c>
      <c r="F419" s="23">
        <f t="shared" ref="F419" si="97">+E419</f>
        <v>-0.29750000000000032</v>
      </c>
      <c r="G419" s="185">
        <f>ROUND(D419*(E419),2)</f>
        <v>-174.29</v>
      </c>
      <c r="H419" s="669"/>
      <c r="I419" s="620"/>
      <c r="J419" s="620"/>
      <c r="K419" s="1020"/>
      <c r="L419" s="603">
        <f>SUM(G419:G422)</f>
        <v>4441.96</v>
      </c>
      <c r="M419" s="187">
        <v>4441.96</v>
      </c>
      <c r="N419" s="604"/>
      <c r="O419" s="635"/>
      <c r="P419" s="636"/>
      <c r="Q419" s="605"/>
    </row>
    <row r="420" spans="1:21">
      <c r="A420" s="934"/>
      <c r="B420" s="506"/>
      <c r="C420" s="48" t="s">
        <v>263</v>
      </c>
      <c r="D420" s="49">
        <v>27.2</v>
      </c>
      <c r="E420" s="41">
        <v>7.1993999999999998</v>
      </c>
      <c r="F420" s="41">
        <f>+E420</f>
        <v>7.1993999999999998</v>
      </c>
      <c r="G420" s="50">
        <f>ROUND(D420*(E420),2)</f>
        <v>195.82</v>
      </c>
      <c r="H420" s="296"/>
      <c r="I420" s="298"/>
      <c r="J420" s="298"/>
      <c r="K420" s="1021"/>
      <c r="L420" s="606"/>
      <c r="M420" s="935"/>
      <c r="N420" s="607"/>
      <c r="O420" s="608"/>
      <c r="P420" s="609"/>
      <c r="Q420" s="610"/>
    </row>
    <row r="421" spans="1:21">
      <c r="A421" s="934"/>
      <c r="B421" s="506"/>
      <c r="C421" s="99" t="s">
        <v>29</v>
      </c>
      <c r="D421" s="296">
        <v>614</v>
      </c>
      <c r="E421" s="101">
        <v>7.1993999999999998</v>
      </c>
      <c r="F421" s="41">
        <f t="shared" ref="F421" si="98">+E421</f>
        <v>7.1993999999999998</v>
      </c>
      <c r="G421" s="50">
        <f t="shared" ref="G421" si="99">ROUND(D421*(E421),2)</f>
        <v>4420.43</v>
      </c>
      <c r="H421" s="296"/>
      <c r="I421" s="298"/>
      <c r="J421" s="298"/>
      <c r="K421" s="1021"/>
      <c r="L421" s="606"/>
      <c r="M421" s="935"/>
      <c r="N421" s="615"/>
      <c r="O421" s="615"/>
      <c r="P421" s="615"/>
      <c r="Q421" s="616"/>
    </row>
    <row r="422" spans="1:21" ht="15.75" thickBot="1">
      <c r="A422" s="942"/>
      <c r="B422" s="278"/>
      <c r="C422" s="784"/>
      <c r="D422" s="941"/>
      <c r="E422" s="281"/>
      <c r="F422" s="57"/>
      <c r="G422" s="58"/>
      <c r="H422" s="613"/>
      <c r="I422" s="57"/>
      <c r="J422" s="57"/>
      <c r="K422" s="1021"/>
      <c r="L422" s="606"/>
      <c r="M422" s="935"/>
      <c r="N422" s="615"/>
      <c r="O422" s="615"/>
      <c r="P422" s="615"/>
      <c r="Q422" s="615"/>
    </row>
    <row r="423" spans="1:21">
      <c r="A423" s="376">
        <v>501</v>
      </c>
      <c r="B423" s="494" t="s">
        <v>202</v>
      </c>
      <c r="C423" s="71"/>
      <c r="D423" s="495">
        <v>12</v>
      </c>
      <c r="E423" s="21">
        <v>41.244</v>
      </c>
      <c r="F423" s="21">
        <v>48.335999999999999</v>
      </c>
      <c r="G423" s="185">
        <f>ROUND(D423*(E423+F423),2)</f>
        <v>1074.96</v>
      </c>
      <c r="H423" s="496"/>
      <c r="I423" s="73"/>
      <c r="J423" s="73"/>
      <c r="K423" s="679"/>
      <c r="L423" s="498">
        <f>+SUM(G423:G430,C430)+SUM(J423:J430)</f>
        <v>12748.468000000001</v>
      </c>
      <c r="M423" s="26">
        <v>12748.47</v>
      </c>
      <c r="N423" s="499"/>
      <c r="O423" s="500"/>
      <c r="P423" s="501" t="s">
        <v>87</v>
      </c>
      <c r="Q423" s="304">
        <f t="shared" ref="Q423:Q440" si="100">C423+G423+J423-M423-N423-O423</f>
        <v>-11673.509999999998</v>
      </c>
      <c r="R423" s="502" t="s">
        <v>88</v>
      </c>
      <c r="S423" s="503"/>
      <c r="T423" s="504"/>
      <c r="U423" s="33"/>
    </row>
    <row r="424" spans="1:21">
      <c r="A424" s="389"/>
      <c r="B424" s="939" t="s">
        <v>328</v>
      </c>
      <c r="C424" s="507" t="s">
        <v>264</v>
      </c>
      <c r="D424" s="508"/>
      <c r="E424" s="38"/>
      <c r="F424" s="38"/>
      <c r="G424" s="50">
        <f>ROUND(D424*(E424+F424),2)</f>
        <v>0</v>
      </c>
      <c r="H424" s="448"/>
      <c r="I424" s="509"/>
      <c r="J424" s="409"/>
      <c r="K424" s="1026"/>
      <c r="L424" s="511"/>
      <c r="M424" s="512"/>
      <c r="N424" s="513"/>
      <c r="O424" s="514"/>
      <c r="P424" s="515"/>
      <c r="Q424" s="262"/>
      <c r="R424" s="502"/>
      <c r="S424" s="503"/>
      <c r="T424" s="504"/>
      <c r="U424" s="33"/>
    </row>
    <row r="425" spans="1:21">
      <c r="A425" s="389"/>
      <c r="B425" s="516" t="s">
        <v>89</v>
      </c>
      <c r="C425" s="512" t="s">
        <v>90</v>
      </c>
      <c r="D425" s="508">
        <v>3</v>
      </c>
      <c r="E425" s="101">
        <v>330.21</v>
      </c>
      <c r="F425" s="38">
        <f>F423</f>
        <v>48.335999999999999</v>
      </c>
      <c r="G425" s="50">
        <f>D425*(E425+F425)</f>
        <v>1135.6379999999999</v>
      </c>
      <c r="H425" s="270"/>
      <c r="I425" s="41"/>
      <c r="J425" s="409"/>
      <c r="K425" s="1026"/>
      <c r="L425" s="517"/>
      <c r="M425" s="99"/>
      <c r="N425" s="518"/>
      <c r="O425" s="519"/>
      <c r="P425" s="515" t="s">
        <v>87</v>
      </c>
      <c r="Q425" s="271">
        <f>+G425+J425-M425-N425-O425</f>
        <v>1135.6379999999999</v>
      </c>
      <c r="R425" s="502" t="s">
        <v>88</v>
      </c>
      <c r="S425" s="503"/>
      <c r="T425" s="504"/>
    </row>
    <row r="426" spans="1:21">
      <c r="A426" s="389"/>
      <c r="B426" s="506" t="s">
        <v>91</v>
      </c>
      <c r="C426" s="507"/>
      <c r="D426" s="508"/>
      <c r="E426" s="41"/>
      <c r="F426" s="38">
        <f>F424</f>
        <v>0</v>
      </c>
      <c r="G426" s="50">
        <f>ROUND(D426*(E426+F426),2)</f>
        <v>0</v>
      </c>
      <c r="H426" s="432"/>
      <c r="I426" s="362"/>
      <c r="J426" s="409"/>
      <c r="K426" s="1026"/>
      <c r="L426" s="517"/>
      <c r="M426" s="520"/>
      <c r="N426" s="521"/>
      <c r="O426" s="522"/>
      <c r="P426" s="523"/>
      <c r="Q426" s="362"/>
      <c r="R426" s="502"/>
      <c r="S426" s="503"/>
      <c r="T426" s="504"/>
    </row>
    <row r="427" spans="1:21">
      <c r="A427" s="389"/>
      <c r="B427" s="506" t="s">
        <v>91</v>
      </c>
      <c r="C427" s="507"/>
      <c r="D427" s="508"/>
      <c r="E427" s="38"/>
      <c r="F427" s="41"/>
      <c r="G427" s="50">
        <f>D427*(E427+F427)</f>
        <v>0</v>
      </c>
      <c r="H427" s="432"/>
      <c r="I427" s="362"/>
      <c r="J427" s="409"/>
      <c r="K427" s="1026"/>
      <c r="L427" s="517"/>
      <c r="M427" s="520"/>
      <c r="N427" s="521"/>
      <c r="O427" s="522"/>
      <c r="P427" s="523"/>
      <c r="Q427" s="362"/>
      <c r="R427" s="502"/>
      <c r="S427" s="503"/>
      <c r="T427" s="504"/>
    </row>
    <row r="428" spans="1:21">
      <c r="A428" s="389"/>
      <c r="B428" s="506" t="s">
        <v>92</v>
      </c>
      <c r="C428" s="48" t="s">
        <v>260</v>
      </c>
      <c r="D428" s="508"/>
      <c r="E428" s="41"/>
      <c r="F428" s="41">
        <f>+E428</f>
        <v>0</v>
      </c>
      <c r="G428" s="39">
        <f>ROUNDDOWN(D428*E428,2)</f>
        <v>0</v>
      </c>
      <c r="H428" s="432"/>
      <c r="I428" s="362"/>
      <c r="J428" s="41"/>
      <c r="K428" s="1026"/>
      <c r="L428" s="517"/>
      <c r="M428" s="520"/>
      <c r="N428" s="521"/>
      <c r="O428" s="522"/>
      <c r="P428" s="523"/>
      <c r="Q428" s="362"/>
      <c r="R428" s="502"/>
      <c r="S428" s="503"/>
      <c r="T428" s="504"/>
    </row>
    <row r="429" spans="1:21">
      <c r="A429" s="389"/>
      <c r="B429" s="506"/>
      <c r="C429" s="48" t="s">
        <v>263</v>
      </c>
      <c r="D429" s="508">
        <v>59.63</v>
      </c>
      <c r="E429" s="41">
        <v>7.4969000000000001</v>
      </c>
      <c r="F429" s="41">
        <f>+E429</f>
        <v>7.4969000000000001</v>
      </c>
      <c r="G429" s="39">
        <f>ROUND(D429*E429,2)</f>
        <v>447.04</v>
      </c>
      <c r="H429" s="432"/>
      <c r="I429" s="362"/>
      <c r="J429" s="207"/>
      <c r="K429" s="1030"/>
      <c r="L429" s="517"/>
      <c r="M429" s="520"/>
      <c r="N429" s="521"/>
      <c r="O429" s="522"/>
      <c r="P429" s="523"/>
      <c r="Q429" s="362"/>
      <c r="R429" s="502"/>
      <c r="S429" s="503"/>
      <c r="T429" s="504"/>
    </row>
    <row r="430" spans="1:21" ht="15.75" thickBot="1">
      <c r="A430" s="411"/>
      <c r="B430" s="526"/>
      <c r="C430" s="99" t="s">
        <v>29</v>
      </c>
      <c r="D430" s="55">
        <v>1346</v>
      </c>
      <c r="E430" s="56">
        <v>7.4969000000000001</v>
      </c>
      <c r="F430" s="57">
        <f>+E430</f>
        <v>7.4969000000000001</v>
      </c>
      <c r="G430" s="58">
        <f>ROUND(D430*E430,2)</f>
        <v>10090.83</v>
      </c>
      <c r="H430" s="248"/>
      <c r="I430" s="203"/>
      <c r="J430" s="60"/>
      <c r="K430" s="1024"/>
      <c r="L430" s="249"/>
      <c r="M430" s="54"/>
      <c r="N430" s="527"/>
      <c r="O430" s="528"/>
      <c r="P430" s="529" t="s">
        <v>87</v>
      </c>
      <c r="Q430" s="282">
        <f>+G430+J430-M430-N430-O430</f>
        <v>10090.83</v>
      </c>
      <c r="R430" s="530" t="s">
        <v>88</v>
      </c>
      <c r="S430" s="531">
        <f>SUM(N423:N430)+O423:O430</f>
        <v>0</v>
      </c>
      <c r="T430" s="531">
        <f>SUM(Q423:Q430)</f>
        <v>-447.04199999999946</v>
      </c>
      <c r="U430" s="33"/>
    </row>
    <row r="431" spans="1:21" ht="15.75" thickTop="1">
      <c r="A431" s="339">
        <v>502</v>
      </c>
      <c r="B431" s="532" t="s">
        <v>192</v>
      </c>
      <c r="C431" s="71">
        <f>+[1]дек!U51</f>
        <v>-6.0000000303261913E-4</v>
      </c>
      <c r="D431" s="213">
        <v>47</v>
      </c>
      <c r="E431" s="21">
        <v>41.244</v>
      </c>
      <c r="F431" s="21">
        <v>48.335999999999999</v>
      </c>
      <c r="G431" s="214">
        <f>ROUND(D431*(E431+F431),2)</f>
        <v>4210.26</v>
      </c>
      <c r="H431" s="496"/>
      <c r="I431" s="73"/>
      <c r="J431" s="73"/>
      <c r="K431" s="679"/>
      <c r="L431" s="533">
        <f>+SUM(G431:G438,)+SUM(J431:J438)</f>
        <v>61280.2</v>
      </c>
      <c r="M431" s="26">
        <v>61280.2</v>
      </c>
      <c r="N431" s="534"/>
      <c r="O431" s="535"/>
      <c r="P431" s="536" t="s">
        <v>87</v>
      </c>
      <c r="Q431" s="537">
        <f t="shared" si="100"/>
        <v>-57069.940600000002</v>
      </c>
      <c r="R431" s="538" t="s">
        <v>95</v>
      </c>
      <c r="S431" s="539"/>
      <c r="T431" s="540"/>
      <c r="U431" s="33"/>
    </row>
    <row r="432" spans="1:21">
      <c r="A432" s="353"/>
      <c r="B432" s="541"/>
      <c r="C432" s="542" t="s">
        <v>96</v>
      </c>
      <c r="D432" s="234"/>
      <c r="E432" s="38"/>
      <c r="F432" s="38"/>
      <c r="G432" s="235">
        <f>ROUND(D432*(E432+F432),2)</f>
        <v>0</v>
      </c>
      <c r="H432" s="448"/>
      <c r="I432" s="509"/>
      <c r="J432" s="509"/>
      <c r="K432" s="1025"/>
      <c r="L432" s="544"/>
      <c r="M432" s="545"/>
      <c r="N432" s="546"/>
      <c r="O432" s="547"/>
      <c r="P432" s="548"/>
      <c r="Q432" s="549"/>
      <c r="R432" s="550"/>
      <c r="S432" s="551"/>
      <c r="T432" s="552"/>
      <c r="U432" s="33"/>
    </row>
    <row r="433" spans="1:21">
      <c r="A433" s="353"/>
      <c r="B433" s="516" t="s">
        <v>32</v>
      </c>
      <c r="C433" s="99" t="s">
        <v>90</v>
      </c>
      <c r="D433" s="234">
        <v>33</v>
      </c>
      <c r="E433" s="101">
        <v>343.14</v>
      </c>
      <c r="F433" s="38">
        <f>F431</f>
        <v>48.335999999999999</v>
      </c>
      <c r="G433" s="235">
        <f>ROUND(D433*(E433+F433),2)</f>
        <v>12918.71</v>
      </c>
      <c r="H433" s="270"/>
      <c r="I433" s="41"/>
      <c r="J433" s="41"/>
      <c r="K433" s="1026"/>
      <c r="L433" s="553"/>
      <c r="M433" s="554"/>
      <c r="N433" s="555"/>
      <c r="O433" s="556"/>
      <c r="P433" s="557" t="s">
        <v>87</v>
      </c>
      <c r="Q433" s="558">
        <f>+G433+J433-M433-N433-O433</f>
        <v>12918.71</v>
      </c>
      <c r="R433" s="550" t="s">
        <v>95</v>
      </c>
      <c r="S433" s="551"/>
      <c r="T433" s="552"/>
    </row>
    <row r="434" spans="1:21">
      <c r="A434" s="353"/>
      <c r="B434" s="541"/>
      <c r="C434" s="84" t="s">
        <v>97</v>
      </c>
      <c r="D434" s="234">
        <f>мар19!D421</f>
        <v>27</v>
      </c>
      <c r="E434" s="41">
        <f>343.14-330.21</f>
        <v>12.930000000000007</v>
      </c>
      <c r="F434" s="38">
        <f>F432</f>
        <v>0</v>
      </c>
      <c r="G434" s="50">
        <f>ROUND(D434*(E434+F434),2)</f>
        <v>349.11</v>
      </c>
      <c r="H434" s="432"/>
      <c r="I434" s="362"/>
      <c r="J434" s="41"/>
      <c r="K434" s="1026"/>
      <c r="L434" s="559"/>
      <c r="M434" s="560"/>
      <c r="N434" s="561"/>
      <c r="O434" s="562"/>
      <c r="P434" s="563"/>
      <c r="Q434" s="564"/>
      <c r="R434" s="550"/>
      <c r="S434" s="551"/>
      <c r="T434" s="552"/>
    </row>
    <row r="435" spans="1:21">
      <c r="A435" s="353"/>
      <c r="B435" s="541"/>
      <c r="C435" s="84" t="s">
        <v>97</v>
      </c>
      <c r="D435" s="234"/>
      <c r="E435" s="38"/>
      <c r="F435" s="240"/>
      <c r="G435" s="50">
        <f>D435*(E435+F435)</f>
        <v>0</v>
      </c>
      <c r="H435" s="432"/>
      <c r="I435" s="362"/>
      <c r="J435" s="41"/>
      <c r="K435" s="1026"/>
      <c r="L435" s="559"/>
      <c r="M435" s="560"/>
      <c r="N435" s="561"/>
      <c r="O435" s="562"/>
      <c r="P435" s="563"/>
      <c r="Q435" s="564"/>
      <c r="R435" s="550"/>
      <c r="S435" s="551"/>
      <c r="T435" s="552"/>
    </row>
    <row r="436" spans="1:21">
      <c r="A436" s="353"/>
      <c r="B436" s="541"/>
      <c r="C436" s="48" t="s">
        <v>260</v>
      </c>
      <c r="D436" s="37">
        <f>мар19!D425+мар19!D426</f>
        <v>5558.81</v>
      </c>
      <c r="E436" s="41">
        <f>7.1994-7.4969</f>
        <v>-0.29750000000000032</v>
      </c>
      <c r="F436" s="41">
        <f>+E436</f>
        <v>-0.29750000000000032</v>
      </c>
      <c r="G436" s="235">
        <f>ROUND(D436*E436,2)+0.01</f>
        <v>-1653.74</v>
      </c>
      <c r="H436" s="565"/>
      <c r="I436" s="564"/>
      <c r="J436" s="566"/>
      <c r="K436" s="1031"/>
      <c r="L436" s="559"/>
      <c r="M436" s="560"/>
      <c r="N436" s="561"/>
      <c r="O436" s="562"/>
      <c r="P436" s="563"/>
      <c r="Q436" s="564"/>
      <c r="R436" s="550"/>
      <c r="S436" s="551"/>
      <c r="T436" s="552"/>
      <c r="U436" s="352"/>
    </row>
    <row r="437" spans="1:21">
      <c r="A437" s="353"/>
      <c r="B437" s="541"/>
      <c r="C437" s="48" t="s">
        <v>263</v>
      </c>
      <c r="D437" s="37">
        <v>267.83999999999997</v>
      </c>
      <c r="E437" s="41">
        <v>7.1993999999999998</v>
      </c>
      <c r="F437" s="41">
        <f>+E437</f>
        <v>7.1993999999999998</v>
      </c>
      <c r="G437" s="235">
        <f>ROUND(D437*E437,2)</f>
        <v>1928.29</v>
      </c>
      <c r="H437" s="565"/>
      <c r="I437" s="564"/>
      <c r="J437" s="566"/>
      <c r="K437" s="1031"/>
      <c r="L437" s="559"/>
      <c r="M437" s="560"/>
      <c r="N437" s="561"/>
      <c r="O437" s="562"/>
      <c r="P437" s="563"/>
      <c r="Q437" s="564"/>
      <c r="R437" s="550"/>
      <c r="S437" s="551"/>
      <c r="T437" s="552"/>
      <c r="U437" s="33"/>
    </row>
    <row r="438" spans="1:21" ht="15.75" thickBot="1">
      <c r="A438" s="369"/>
      <c r="B438" s="568"/>
      <c r="C438" s="99" t="s">
        <v>29</v>
      </c>
      <c r="D438" s="246">
        <v>6046</v>
      </c>
      <c r="E438" s="56">
        <v>7.1993999999999998</v>
      </c>
      <c r="F438" s="57">
        <f>+E438</f>
        <v>7.1993999999999998</v>
      </c>
      <c r="G438" s="247">
        <f>ROUND(D438*E438,2)</f>
        <v>43527.57</v>
      </c>
      <c r="H438" s="248"/>
      <c r="I438" s="203"/>
      <c r="J438" s="60"/>
      <c r="K438" s="61"/>
      <c r="L438" s="204"/>
      <c r="M438" s="560"/>
      <c r="N438" s="561"/>
      <c r="O438" s="528"/>
      <c r="P438" s="529" t="s">
        <v>87</v>
      </c>
      <c r="Q438" s="564">
        <f>+G438+J438-M438-N438-O438</f>
        <v>43527.57</v>
      </c>
      <c r="R438" s="550" t="s">
        <v>95</v>
      </c>
      <c r="S438" s="569">
        <f>SUM(N431:N438)+O431:O438</f>
        <v>0</v>
      </c>
      <c r="T438" s="570">
        <f>SUM(Q433:Q438)</f>
        <v>56446.28</v>
      </c>
    </row>
    <row r="439" spans="1:21" ht="15.75" hidden="1" outlineLevel="1" thickBot="1">
      <c r="A439" s="571"/>
      <c r="B439" s="572" t="s">
        <v>98</v>
      </c>
      <c r="C439" s="573" t="s">
        <v>99</v>
      </c>
      <c r="D439" s="574"/>
      <c r="E439" s="575">
        <f>3.193-2.9732</f>
        <v>0.21980000000000022</v>
      </c>
      <c r="F439" s="575">
        <f>3.193-2.9732</f>
        <v>0.21980000000000022</v>
      </c>
      <c r="G439" s="576">
        <f>D439*E439*70%+D439*F439*30%</f>
        <v>0</v>
      </c>
      <c r="H439" s="577"/>
      <c r="I439" s="578"/>
      <c r="J439" s="579"/>
      <c r="K439" s="579"/>
      <c r="L439" s="580"/>
      <c r="M439" s="581"/>
      <c r="N439" s="582"/>
      <c r="O439" s="535"/>
      <c r="P439" s="536"/>
      <c r="Q439" s="583"/>
      <c r="R439" s="584"/>
      <c r="S439" s="569"/>
      <c r="T439" s="585"/>
    </row>
    <row r="440" spans="1:21" s="81" customFormat="1" ht="16.5" hidden="1" customHeight="1" outlineLevel="1" thickBot="1">
      <c r="A440" s="933" t="s">
        <v>100</v>
      </c>
      <c r="B440" s="587" t="s">
        <v>98</v>
      </c>
      <c r="C440" s="588">
        <f>+[1]авг!C52</f>
        <v>0</v>
      </c>
      <c r="D440" s="589"/>
      <c r="E440" s="575">
        <v>3.1930000000000001</v>
      </c>
      <c r="F440" s="575">
        <f>+E440</f>
        <v>3.1930000000000001</v>
      </c>
      <c r="G440" s="576">
        <f>D440*E440*70%+D440*F440*30%</f>
        <v>0</v>
      </c>
      <c r="H440" s="579"/>
      <c r="I440" s="579"/>
      <c r="J440" s="579"/>
      <c r="K440" s="579"/>
      <c r="L440" s="579">
        <f>+C440+G440+G439</f>
        <v>0</v>
      </c>
      <c r="M440" s="590"/>
      <c r="N440" s="500"/>
      <c r="O440" s="528"/>
      <c r="P440" s="529" t="s">
        <v>87</v>
      </c>
      <c r="Q440" s="591">
        <f t="shared" si="100"/>
        <v>0</v>
      </c>
      <c r="R440" s="592" t="s">
        <v>101</v>
      </c>
      <c r="S440" s="77">
        <f>SUM(N440:N440)+SUM(O440:O440)</f>
        <v>0</v>
      </c>
      <c r="T440" s="593">
        <f>SUM(Q440:Q440)</f>
        <v>0</v>
      </c>
    </row>
    <row r="441" spans="1:21" ht="15.75" hidden="1" outlineLevel="1" thickBot="1">
      <c r="A441" s="944"/>
      <c r="B441" s="945" t="s">
        <v>128</v>
      </c>
      <c r="C441" s="573" t="s">
        <v>115</v>
      </c>
      <c r="D441" s="946"/>
      <c r="E441" s="579">
        <f>6.8021-6.8946</f>
        <v>-9.2499999999999361E-2</v>
      </c>
      <c r="F441" s="579">
        <f t="shared" ref="F441" si="101">+E441</f>
        <v>-9.2499999999999361E-2</v>
      </c>
      <c r="G441" s="947">
        <f>ROUND(D441*(E441),2)</f>
        <v>0</v>
      </c>
      <c r="H441" s="948"/>
      <c r="I441" s="949"/>
      <c r="J441" s="949"/>
      <c r="K441" s="950"/>
      <c r="L441" s="951"/>
      <c r="M441" s="952"/>
      <c r="N441" s="604"/>
      <c r="O441" s="635"/>
      <c r="P441" s="636"/>
      <c r="Q441" s="605"/>
    </row>
    <row r="442" spans="1:21" ht="15.75" hidden="1" outlineLevel="1" thickBot="1">
      <c r="A442" s="953"/>
      <c r="B442" s="954"/>
      <c r="C442" s="573" t="s">
        <v>114</v>
      </c>
      <c r="D442" s="946"/>
      <c r="E442" s="579">
        <v>6.8021000000000003</v>
      </c>
      <c r="F442" s="579">
        <f>+E442</f>
        <v>6.8021000000000003</v>
      </c>
      <c r="G442" s="947">
        <f>ROUND(D442*(E442),2)</f>
        <v>0</v>
      </c>
      <c r="H442" s="948"/>
      <c r="I442" s="949"/>
      <c r="J442" s="949"/>
      <c r="K442" s="950"/>
      <c r="L442" s="955"/>
      <c r="M442" s="956"/>
      <c r="N442" s="607"/>
      <c r="O442" s="608"/>
      <c r="P442" s="609"/>
      <c r="Q442" s="610"/>
    </row>
    <row r="443" spans="1:21" ht="15.75" hidden="1" outlineLevel="1" thickBot="1">
      <c r="A443" s="944"/>
      <c r="B443" s="954"/>
      <c r="C443" s="916" t="s">
        <v>29</v>
      </c>
      <c r="D443" s="948"/>
      <c r="E443" s="917">
        <v>6.8021000000000003</v>
      </c>
      <c r="F443" s="579">
        <f t="shared" ref="F443" si="102">+E443</f>
        <v>6.8021000000000003</v>
      </c>
      <c r="G443" s="947">
        <f t="shared" ref="G443" si="103">ROUND(D443*(E443),2)</f>
        <v>0</v>
      </c>
      <c r="H443" s="948"/>
      <c r="I443" s="949"/>
      <c r="J443" s="949"/>
      <c r="K443" s="950"/>
      <c r="L443" s="951"/>
      <c r="M443" s="956"/>
      <c r="N443" s="615"/>
      <c r="O443" s="615"/>
      <c r="P443" s="615"/>
      <c r="Q443" s="616"/>
    </row>
    <row r="444" spans="1:21" ht="15.75" hidden="1" outlineLevel="1" thickBot="1">
      <c r="A444" s="953"/>
      <c r="B444" s="955"/>
      <c r="C444" s="575"/>
      <c r="D444" s="957"/>
      <c r="E444" s="580"/>
      <c r="F444" s="575"/>
      <c r="G444" s="958"/>
      <c r="H444" s="959"/>
      <c r="I444" s="575"/>
      <c r="J444" s="575"/>
      <c r="K444" s="575"/>
      <c r="L444" s="955"/>
      <c r="M444" s="956"/>
      <c r="N444" s="615"/>
      <c r="O444" s="615"/>
      <c r="P444" s="615"/>
      <c r="Q444" s="615"/>
    </row>
    <row r="445" spans="1:21" collapsed="1">
      <c r="A445" s="963"/>
      <c r="B445" s="621"/>
      <c r="C445" s="621"/>
      <c r="D445" s="964"/>
      <c r="E445" s="905"/>
      <c r="F445" s="621"/>
      <c r="G445" s="905"/>
      <c r="H445" s="621"/>
      <c r="I445" s="621"/>
      <c r="J445" s="621"/>
      <c r="K445" s="621"/>
      <c r="L445" s="621"/>
      <c r="M445" s="965"/>
      <c r="N445" s="615"/>
      <c r="O445" s="615"/>
      <c r="P445" s="615"/>
      <c r="Q445" s="615"/>
    </row>
    <row r="446" spans="1:21" ht="15.75" thickBot="1">
      <c r="A446" s="966"/>
      <c r="B446" s="615"/>
      <c r="C446" s="615"/>
      <c r="D446" s="696"/>
      <c r="E446" s="473"/>
      <c r="F446" s="615"/>
      <c r="G446" s="473"/>
      <c r="H446" s="615"/>
      <c r="I446" s="615"/>
      <c r="J446" s="615"/>
      <c r="K446" s="615"/>
      <c r="L446" s="615"/>
      <c r="M446" s="967"/>
      <c r="N446" s="615"/>
      <c r="O446" s="615"/>
      <c r="P446" s="615"/>
      <c r="Q446" s="615"/>
    </row>
    <row r="447" spans="1:21" s="81" customFormat="1" ht="15" customHeight="1" thickTop="1">
      <c r="A447" s="476"/>
      <c r="B447" s="158"/>
      <c r="C447" s="322"/>
      <c r="D447" s="477"/>
      <c r="E447" s="163"/>
      <c r="F447" s="163"/>
      <c r="G447" s="478"/>
      <c r="H447" s="163"/>
      <c r="I447" s="163"/>
      <c r="J447" s="163"/>
      <c r="K447" s="163"/>
      <c r="L447" s="163"/>
      <c r="M447" s="164"/>
      <c r="N447" s="479"/>
      <c r="O447" s="479"/>
      <c r="P447" s="479"/>
      <c r="Q447" s="479"/>
      <c r="R447" s="422"/>
      <c r="S447"/>
      <c r="T447" s="399"/>
    </row>
    <row r="448" spans="1:21" ht="15.75" thickBot="1">
      <c r="A448" s="968" t="s">
        <v>113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2"/>
      <c r="O448" s="2"/>
      <c r="P448" s="2"/>
      <c r="Q448" s="2"/>
    </row>
    <row r="449" spans="1:20" ht="15.75" customHeight="1" thickTop="1" thickBot="1">
      <c r="A449" s="1559" t="s">
        <v>1</v>
      </c>
      <c r="B449" s="1543" t="s">
        <v>2</v>
      </c>
      <c r="C449" s="1545" t="s">
        <v>3</v>
      </c>
      <c r="D449" s="1546" t="s">
        <v>4</v>
      </c>
      <c r="E449" s="1546"/>
      <c r="F449" s="1546"/>
      <c r="G449" s="1546"/>
      <c r="H449" s="1547"/>
      <c r="I449" s="1548"/>
      <c r="J449" s="1548"/>
      <c r="K449" s="1549"/>
      <c r="L449" s="1524" t="s">
        <v>6</v>
      </c>
      <c r="M449" s="1511" t="s">
        <v>7</v>
      </c>
      <c r="N449" s="1551" t="s">
        <v>8</v>
      </c>
      <c r="O449" s="1551"/>
      <c r="P449" s="1551"/>
      <c r="Q449" s="1552"/>
      <c r="R449" s="481"/>
      <c r="S449" s="482" t="s">
        <v>20</v>
      </c>
      <c r="T449" s="482" t="s">
        <v>21</v>
      </c>
    </row>
    <row r="450" spans="1:20" ht="26.25" thickBot="1">
      <c r="A450" s="1560"/>
      <c r="B450" s="1557"/>
      <c r="C450" s="1558" t="s">
        <v>10</v>
      </c>
      <c r="D450" s="483" t="s">
        <v>11</v>
      </c>
      <c r="E450" s="649" t="s">
        <v>12</v>
      </c>
      <c r="F450" s="649" t="s">
        <v>13</v>
      </c>
      <c r="G450" s="650" t="s">
        <v>14</v>
      </c>
      <c r="H450" s="483" t="s">
        <v>11</v>
      </c>
      <c r="I450" s="486" t="s">
        <v>15</v>
      </c>
      <c r="J450" s="485"/>
      <c r="K450" s="1014" t="s">
        <v>16</v>
      </c>
      <c r="L450" s="1525"/>
      <c r="M450" s="1554"/>
      <c r="N450" s="655"/>
      <c r="O450" s="653"/>
      <c r="P450" s="656" t="s">
        <v>18</v>
      </c>
      <c r="Q450" s="657" t="s">
        <v>19</v>
      </c>
      <c r="R450" s="491"/>
      <c r="S450" s="492"/>
      <c r="T450" s="492"/>
    </row>
    <row r="451" spans="1:20">
      <c r="A451" s="961" t="s">
        <v>212</v>
      </c>
      <c r="B451" s="659" t="s">
        <v>116</v>
      </c>
      <c r="C451" s="668" t="s">
        <v>73</v>
      </c>
      <c r="D451" s="669">
        <v>9</v>
      </c>
      <c r="E451" s="21">
        <v>41.244</v>
      </c>
      <c r="F451" s="21">
        <v>48.335999999999999</v>
      </c>
      <c r="G451" s="214">
        <f>+D451*(E451+F451)</f>
        <v>806.22</v>
      </c>
      <c r="H451" s="1015">
        <f>янв19!D424</f>
        <v>7</v>
      </c>
      <c r="I451" s="1016">
        <v>9.61</v>
      </c>
      <c r="J451" s="620">
        <f>ROUND(H451*I451,2)</f>
        <v>67.27</v>
      </c>
      <c r="K451" s="1017">
        <v>43466</v>
      </c>
      <c r="L451" s="603">
        <f>SUM(G451:G457)+SUM(J451:J455)</f>
        <v>12852.550000000001</v>
      </c>
      <c r="M451" s="187">
        <v>12852.55</v>
      </c>
      <c r="N451" s="670"/>
      <c r="O451" s="670"/>
      <c r="P451" s="670"/>
      <c r="Q451" s="670"/>
    </row>
    <row r="452" spans="1:20">
      <c r="A452" s="970"/>
      <c r="B452" s="672"/>
      <c r="C452" s="48" t="s">
        <v>264</v>
      </c>
      <c r="D452" s="673"/>
      <c r="E452" s="41"/>
      <c r="F452" s="298"/>
      <c r="G452" s="235">
        <f>+D452*(E452+F452)</f>
        <v>0</v>
      </c>
      <c r="H452" s="687"/>
      <c r="I452" s="688"/>
      <c r="J452" s="670"/>
      <c r="K452" s="689"/>
      <c r="L452" s="606"/>
      <c r="M452" s="935"/>
      <c r="N452" s="298"/>
      <c r="O452" s="298"/>
      <c r="P452" s="298"/>
      <c r="Q452" s="298"/>
    </row>
    <row r="453" spans="1:20">
      <c r="A453" s="970"/>
      <c r="B453" s="442"/>
      <c r="C453" s="48"/>
      <c r="D453" s="673"/>
      <c r="E453" s="41"/>
      <c r="F453" s="298"/>
      <c r="G453" s="235">
        <f t="shared" ref="G453:G469" si="104">ROUND(D453*E453,2)</f>
        <v>0</v>
      </c>
      <c r="H453" s="687"/>
      <c r="I453" s="688"/>
      <c r="J453" s="670"/>
      <c r="K453" s="689"/>
      <c r="L453" s="614"/>
      <c r="M453" s="935"/>
      <c r="N453" s="298"/>
      <c r="O453" s="298"/>
      <c r="P453" s="298"/>
      <c r="Q453" s="298"/>
    </row>
    <row r="454" spans="1:20">
      <c r="A454" s="970"/>
      <c r="B454" s="35"/>
      <c r="C454" s="606"/>
      <c r="D454" s="673"/>
      <c r="E454" s="41"/>
      <c r="F454" s="298"/>
      <c r="G454" s="235">
        <f t="shared" si="104"/>
        <v>0</v>
      </c>
      <c r="H454" s="270"/>
      <c r="I454" s="688"/>
      <c r="J454" s="670"/>
      <c r="K454" s="689"/>
      <c r="L454" s="614"/>
      <c r="M454" s="273"/>
      <c r="N454" s="298"/>
      <c r="O454" s="298"/>
      <c r="P454" s="298"/>
      <c r="Q454" s="298"/>
    </row>
    <row r="455" spans="1:20" ht="15.75">
      <c r="A455" s="971"/>
      <c r="B455" s="672"/>
      <c r="C455" s="48" t="s">
        <v>260</v>
      </c>
      <c r="D455" s="269">
        <f>мар19!D444+мар19!D445</f>
        <v>1681.23</v>
      </c>
      <c r="E455" s="41">
        <f>7.1994-7.4969</f>
        <v>-0.29750000000000032</v>
      </c>
      <c r="F455" s="298">
        <f t="shared" ref="F455:F456" si="105">+E455</f>
        <v>-0.29750000000000032</v>
      </c>
      <c r="G455" s="235">
        <f>ROUND(D455*E455,2)+0.01</f>
        <v>-500.16</v>
      </c>
      <c r="H455" s="270"/>
      <c r="I455" s="41"/>
      <c r="J455" s="670"/>
      <c r="K455" s="689"/>
      <c r="L455" s="606"/>
      <c r="M455" s="935"/>
      <c r="N455" s="663"/>
      <c r="O455" s="237"/>
      <c r="P455" s="275"/>
      <c r="Q455" s="237"/>
    </row>
    <row r="456" spans="1:20" ht="15.75">
      <c r="A456" s="972"/>
      <c r="B456" s="35"/>
      <c r="C456" s="48" t="s">
        <v>263</v>
      </c>
      <c r="D456" s="269">
        <v>57.97</v>
      </c>
      <c r="E456" s="41">
        <v>7.1993999999999998</v>
      </c>
      <c r="F456" s="298">
        <f t="shared" si="105"/>
        <v>7.1993999999999998</v>
      </c>
      <c r="G456" s="235">
        <f t="shared" si="104"/>
        <v>417.35</v>
      </c>
      <c r="H456" s="270"/>
      <c r="I456" s="41"/>
      <c r="J456" s="41"/>
      <c r="K456" s="101"/>
      <c r="L456" s="614"/>
      <c r="M456" s="935"/>
      <c r="N456" s="663"/>
      <c r="O456" s="237"/>
      <c r="P456" s="275"/>
      <c r="Q456" s="237"/>
    </row>
    <row r="457" spans="1:20" ht="15.75" thickBot="1">
      <c r="A457" s="973"/>
      <c r="B457" s="665"/>
      <c r="C457" s="54" t="s">
        <v>29</v>
      </c>
      <c r="D457" s="613">
        <v>1675.4</v>
      </c>
      <c r="E457" s="56">
        <v>7.1993999999999998</v>
      </c>
      <c r="F457" s="57"/>
      <c r="G457" s="247">
        <f t="shared" si="104"/>
        <v>12061.87</v>
      </c>
      <c r="H457" s="613"/>
      <c r="I457" s="57"/>
      <c r="J457" s="57"/>
      <c r="K457" s="1018"/>
      <c r="L457" s="783"/>
      <c r="M457" s="250"/>
      <c r="N457" s="57"/>
      <c r="O457" s="57"/>
      <c r="P457" s="57"/>
      <c r="Q457" s="57"/>
      <c r="R457" s="615"/>
    </row>
    <row r="458" spans="1:20" ht="15.75">
      <c r="A458" s="658">
        <v>212</v>
      </c>
      <c r="B458" s="659" t="s">
        <v>148</v>
      </c>
      <c r="C458" s="786" t="s">
        <v>260</v>
      </c>
      <c r="D458" s="259">
        <f>мар19!D447+мар19!D448</f>
        <v>225.54</v>
      </c>
      <c r="E458" s="41">
        <f>7.1994-7.4969</f>
        <v>-0.29750000000000032</v>
      </c>
      <c r="F458" s="691">
        <f>+E458</f>
        <v>-0.29750000000000032</v>
      </c>
      <c r="G458" s="214">
        <f>ROUND(D458*E458,2)</f>
        <v>-67.099999999999994</v>
      </c>
      <c r="H458" s="303"/>
      <c r="I458" s="23"/>
      <c r="J458" s="23"/>
      <c r="K458" s="341"/>
      <c r="L458" s="603">
        <f>SUM(G458:G460)</f>
        <v>1611.08</v>
      </c>
      <c r="M458" s="187">
        <v>1611.08</v>
      </c>
      <c r="N458" s="660"/>
      <c r="O458" s="217"/>
      <c r="P458" s="661"/>
      <c r="Q458" s="219"/>
    </row>
    <row r="459" spans="1:20" ht="15.75">
      <c r="A459" s="662"/>
      <c r="B459" s="35"/>
      <c r="C459" s="48" t="s">
        <v>263</v>
      </c>
      <c r="D459" s="269">
        <v>7.8</v>
      </c>
      <c r="E459" s="41">
        <v>7.1993999999999998</v>
      </c>
      <c r="F459" s="298">
        <f t="shared" ref="F459" si="106">+E459</f>
        <v>7.1993999999999998</v>
      </c>
      <c r="G459" s="235">
        <f t="shared" si="104"/>
        <v>56.16</v>
      </c>
      <c r="H459" s="270"/>
      <c r="I459" s="41"/>
      <c r="J459" s="41"/>
      <c r="K459" s="101"/>
      <c r="L459" s="606"/>
      <c r="M459" s="935"/>
      <c r="N459" s="663"/>
      <c r="O459" s="237"/>
      <c r="P459" s="275"/>
      <c r="Q459" s="238"/>
    </row>
    <row r="460" spans="1:20" ht="15.75" thickBot="1">
      <c r="A460" s="975"/>
      <c r="B460" s="665"/>
      <c r="C460" s="99" t="s">
        <v>29</v>
      </c>
      <c r="D460" s="613">
        <v>225.3</v>
      </c>
      <c r="E460" s="56">
        <v>7.1993999999999998</v>
      </c>
      <c r="F460" s="57"/>
      <c r="G460" s="247">
        <f t="shared" si="104"/>
        <v>1622.02</v>
      </c>
      <c r="H460" s="613"/>
      <c r="I460" s="57"/>
      <c r="J460" s="57"/>
      <c r="K460" s="1018"/>
      <c r="L460" s="614"/>
      <c r="M460" s="606"/>
      <c r="N460" s="57"/>
      <c r="O460" s="57"/>
      <c r="P460" s="57"/>
      <c r="Q460" s="666"/>
    </row>
    <row r="461" spans="1:20" ht="16.5" hidden="1" thickBot="1">
      <c r="A461" s="658">
        <v>215</v>
      </c>
      <c r="B461" s="659" t="s">
        <v>292</v>
      </c>
      <c r="C461" s="786" t="s">
        <v>260</v>
      </c>
      <c r="D461" s="259"/>
      <c r="E461" s="41">
        <f>7.2025-6.7838</f>
        <v>0.41869999999999941</v>
      </c>
      <c r="F461" s="691">
        <f>+E461</f>
        <v>0.41869999999999941</v>
      </c>
      <c r="G461" s="214">
        <f>ROUND(D461*E461,2)</f>
        <v>0</v>
      </c>
      <c r="H461" s="303"/>
      <c r="I461" s="23"/>
      <c r="J461" s="23"/>
      <c r="K461" s="341"/>
      <c r="L461" s="603">
        <f>SUM(G461:G463)</f>
        <v>0</v>
      </c>
      <c r="M461" s="187"/>
      <c r="N461" s="660"/>
      <c r="O461" s="217"/>
      <c r="P461" s="661"/>
      <c r="Q461" s="219"/>
    </row>
    <row r="462" spans="1:20" ht="16.5" hidden="1" thickBot="1">
      <c r="A462" s="662"/>
      <c r="B462" s="35"/>
      <c r="C462" s="48" t="s">
        <v>263</v>
      </c>
      <c r="D462" s="269"/>
      <c r="E462" s="41">
        <v>7.2024999999999997</v>
      </c>
      <c r="F462" s="298">
        <f t="shared" ref="F462" si="107">+E462</f>
        <v>7.2024999999999997</v>
      </c>
      <c r="G462" s="235">
        <f>ROUND(D462*E462,2)</f>
        <v>0</v>
      </c>
      <c r="H462" s="270"/>
      <c r="I462" s="41"/>
      <c r="J462" s="41"/>
      <c r="K462" s="101"/>
      <c r="L462" s="606"/>
      <c r="M462" s="935"/>
      <c r="N462" s="663"/>
      <c r="O462" s="237"/>
      <c r="P462" s="275"/>
      <c r="Q462" s="238"/>
    </row>
    <row r="463" spans="1:20" ht="15.75" hidden="1" thickBot="1">
      <c r="A463" s="975"/>
      <c r="B463" s="665"/>
      <c r="C463" s="99" t="s">
        <v>29</v>
      </c>
      <c r="D463" s="613"/>
      <c r="E463" s="56">
        <v>7.2024999999999997</v>
      </c>
      <c r="F463" s="57"/>
      <c r="G463" s="247">
        <f t="shared" ref="G463" si="108">ROUND(D463*E463,2)</f>
        <v>0</v>
      </c>
      <c r="H463" s="613"/>
      <c r="I463" s="57"/>
      <c r="J463" s="57"/>
      <c r="K463" s="1018"/>
      <c r="L463" s="614"/>
      <c r="M463" s="606"/>
      <c r="N463" s="57"/>
      <c r="O463" s="57"/>
      <c r="P463" s="57"/>
      <c r="Q463" s="666"/>
    </row>
    <row r="464" spans="1:20" ht="16.5" hidden="1" thickBot="1">
      <c r="A464" s="658">
        <v>216</v>
      </c>
      <c r="B464" s="659" t="s">
        <v>240</v>
      </c>
      <c r="C464" s="786" t="s">
        <v>260</v>
      </c>
      <c r="D464" s="259"/>
      <c r="E464" s="41">
        <f>7.2025-6.7838</f>
        <v>0.41869999999999941</v>
      </c>
      <c r="F464" s="691">
        <f>+E464</f>
        <v>0.41869999999999941</v>
      </c>
      <c r="G464" s="214">
        <f>ROUND(D464*E464,2)-0.01</f>
        <v>-0.01</v>
      </c>
      <c r="H464" s="303"/>
      <c r="I464" s="23"/>
      <c r="J464" s="23"/>
      <c r="K464" s="341"/>
      <c r="L464" s="603">
        <f>SUM(G464:G466)</f>
        <v>-0.01</v>
      </c>
      <c r="M464" s="187"/>
      <c r="N464" s="660"/>
      <c r="O464" s="1036" t="s">
        <v>320</v>
      </c>
      <c r="P464" s="661"/>
      <c r="Q464" s="219"/>
    </row>
    <row r="465" spans="1:18" ht="16.5" hidden="1" thickBot="1">
      <c r="A465" s="662"/>
      <c r="B465" s="35"/>
      <c r="C465" s="48" t="s">
        <v>263</v>
      </c>
      <c r="D465" s="269"/>
      <c r="E465" s="41">
        <v>7.2024999999999997</v>
      </c>
      <c r="F465" s="298">
        <f t="shared" ref="F465" si="109">+E465</f>
        <v>7.2024999999999997</v>
      </c>
      <c r="G465" s="235">
        <f t="shared" ref="G465:G466" si="110">ROUND(D465*E465,2)</f>
        <v>0</v>
      </c>
      <c r="H465" s="270"/>
      <c r="I465" s="41"/>
      <c r="J465" s="41"/>
      <c r="K465" s="101"/>
      <c r="L465" s="606"/>
      <c r="M465" s="935"/>
      <c r="N465" s="663"/>
      <c r="O465" s="237"/>
      <c r="P465" s="275"/>
      <c r="Q465" s="238"/>
    </row>
    <row r="466" spans="1:18" ht="15.75" hidden="1" thickBot="1">
      <c r="A466" s="975"/>
      <c r="B466" s="665"/>
      <c r="C466" s="99" t="s">
        <v>29</v>
      </c>
      <c r="D466" s="1035"/>
      <c r="E466" s="56">
        <v>7.2024999999999997</v>
      </c>
      <c r="F466" s="57"/>
      <c r="G466" s="247">
        <f t="shared" si="110"/>
        <v>0</v>
      </c>
      <c r="H466" s="613"/>
      <c r="I466" s="57"/>
      <c r="J466" s="57"/>
      <c r="K466" s="1018"/>
      <c r="L466" s="614"/>
      <c r="M466" s="606"/>
      <c r="N466" s="57"/>
      <c r="O466" s="57"/>
      <c r="P466" s="57"/>
      <c r="Q466" s="666"/>
    </row>
    <row r="467" spans="1:18" ht="15.75">
      <c r="A467" s="658">
        <v>218</v>
      </c>
      <c r="B467" s="659" t="s">
        <v>117</v>
      </c>
      <c r="C467" s="439" t="s">
        <v>260</v>
      </c>
      <c r="D467" s="259">
        <f>мар19!D456+мар19!D457</f>
        <v>421.81</v>
      </c>
      <c r="E467" s="23">
        <f>7.1994-7.4969</f>
        <v>-0.29750000000000032</v>
      </c>
      <c r="F467" s="691">
        <f>+E467</f>
        <v>-0.29750000000000032</v>
      </c>
      <c r="G467" s="214">
        <f>ROUND(D467*E467,2)-0.01</f>
        <v>-125.5</v>
      </c>
      <c r="H467" s="303"/>
      <c r="I467" s="23"/>
      <c r="J467" s="23"/>
      <c r="K467" s="341"/>
      <c r="L467" s="603">
        <f>SUM(G467:G469)</f>
        <v>3154.8399999999997</v>
      </c>
      <c r="M467" s="187">
        <v>3154.84</v>
      </c>
      <c r="N467" s="660"/>
      <c r="O467" s="217"/>
      <c r="P467" s="661"/>
      <c r="Q467" s="219"/>
      <c r="R467" s="615"/>
    </row>
    <row r="468" spans="1:18" ht="15.75">
      <c r="A468" s="662"/>
      <c r="B468" s="506"/>
      <c r="C468" s="48" t="s">
        <v>263</v>
      </c>
      <c r="D468" s="773">
        <v>15.24</v>
      </c>
      <c r="E468" s="41">
        <v>7.1993999999999998</v>
      </c>
      <c r="F468" s="774">
        <f t="shared" ref="F468" si="111">+E468</f>
        <v>7.1993999999999998</v>
      </c>
      <c r="G468" s="775">
        <f t="shared" si="104"/>
        <v>109.72</v>
      </c>
      <c r="H468" s="432"/>
      <c r="I468" s="207"/>
      <c r="J468" s="207"/>
      <c r="K468" s="876"/>
      <c r="L468" s="776"/>
      <c r="M468" s="974"/>
      <c r="N468" s="777"/>
      <c r="O468" s="778"/>
      <c r="P468" s="779"/>
      <c r="Q468" s="780"/>
    </row>
    <row r="469" spans="1:18" ht="15.75" thickBot="1">
      <c r="A469" s="975"/>
      <c r="B469" s="278"/>
      <c r="C469" s="54" t="s">
        <v>29</v>
      </c>
      <c r="D469" s="613">
        <v>440.4</v>
      </c>
      <c r="E469" s="56">
        <v>7.1993999999999998</v>
      </c>
      <c r="F469" s="57"/>
      <c r="G469" s="247">
        <f t="shared" si="104"/>
        <v>3170.62</v>
      </c>
      <c r="H469" s="613"/>
      <c r="I469" s="57"/>
      <c r="J469" s="57"/>
      <c r="K469" s="1018"/>
      <c r="L469" s="783"/>
      <c r="M469" s="938"/>
      <c r="N469" s="57"/>
      <c r="O469" s="57"/>
      <c r="P469" s="57"/>
      <c r="Q469" s="666"/>
    </row>
    <row r="470" spans="1:18" ht="15.75">
      <c r="A470" s="658">
        <v>221</v>
      </c>
      <c r="B470" s="659" t="s">
        <v>284</v>
      </c>
      <c r="C470" s="786" t="s">
        <v>260</v>
      </c>
      <c r="D470" s="259">
        <f>мар19!D459+мар19!D460</f>
        <v>51.73</v>
      </c>
      <c r="E470" s="41">
        <f>7.1994-7.4969</f>
        <v>-0.29750000000000032</v>
      </c>
      <c r="F470" s="691">
        <f>+E470</f>
        <v>-0.29750000000000032</v>
      </c>
      <c r="G470" s="214">
        <f>ROUND(D470*E470,2)+0.01</f>
        <v>-15.38</v>
      </c>
      <c r="H470" s="303"/>
      <c r="I470" s="23"/>
      <c r="J470" s="23"/>
      <c r="K470" s="341"/>
      <c r="L470" s="603">
        <f>SUM(G470:G472)</f>
        <v>357.03000000000003</v>
      </c>
      <c r="M470" s="187">
        <v>357.03</v>
      </c>
      <c r="N470" s="660"/>
      <c r="O470" s="217"/>
      <c r="P470" s="661"/>
      <c r="Q470" s="219"/>
    </row>
    <row r="471" spans="1:18" ht="15.75">
      <c r="A471" s="662"/>
      <c r="B471" s="35"/>
      <c r="C471" s="48" t="s">
        <v>263</v>
      </c>
      <c r="D471" s="269">
        <v>1.73</v>
      </c>
      <c r="E471" s="41">
        <v>7.1993999999999998</v>
      </c>
      <c r="F471" s="298">
        <f t="shared" ref="F471" si="112">+E471</f>
        <v>7.1993999999999998</v>
      </c>
      <c r="G471" s="235">
        <f>ROUND(D471*E471,2)-0.01</f>
        <v>12.44</v>
      </c>
      <c r="H471" s="270"/>
      <c r="I471" s="41"/>
      <c r="J471" s="41"/>
      <c r="K471" s="101"/>
      <c r="L471" s="606"/>
      <c r="M471" s="935"/>
      <c r="N471" s="663"/>
      <c r="O471" s="237"/>
      <c r="P471" s="275"/>
      <c r="Q471" s="238"/>
    </row>
    <row r="472" spans="1:18" ht="15.75" thickBot="1">
      <c r="A472" s="975"/>
      <c r="B472" s="665"/>
      <c r="C472" s="99" t="s">
        <v>29</v>
      </c>
      <c r="D472" s="613">
        <v>50</v>
      </c>
      <c r="E472" s="56">
        <v>7.1993999999999998</v>
      </c>
      <c r="F472" s="57"/>
      <c r="G472" s="247">
        <f t="shared" ref="G472" si="113">ROUND(D472*E472,2)</f>
        <v>359.97</v>
      </c>
      <c r="H472" s="613"/>
      <c r="I472" s="57"/>
      <c r="J472" s="57"/>
      <c r="K472" s="1018"/>
      <c r="L472" s="614"/>
      <c r="M472" s="606"/>
      <c r="N472" s="57"/>
      <c r="O472" s="57"/>
      <c r="P472" s="57"/>
      <c r="Q472" s="666"/>
    </row>
    <row r="473" spans="1:18" ht="16.5" thickBot="1">
      <c r="A473" s="658">
        <v>311</v>
      </c>
      <c r="B473" s="602" t="s">
        <v>142</v>
      </c>
      <c r="C473" s="786" t="s">
        <v>73</v>
      </c>
      <c r="D473" s="787"/>
      <c r="E473" s="21">
        <v>41.244</v>
      </c>
      <c r="F473" s="21">
        <v>48.335999999999999</v>
      </c>
      <c r="G473" s="214">
        <f>+D473*(E473+F473)</f>
        <v>0</v>
      </c>
      <c r="H473" s="687"/>
      <c r="I473" s="688"/>
      <c r="J473" s="670"/>
      <c r="K473" s="689"/>
      <c r="L473" s="603">
        <f>SUM(G473:G477,J473:J477)</f>
        <v>0</v>
      </c>
      <c r="M473" s="187"/>
      <c r="N473" s="788"/>
      <c r="O473" s="789" t="s">
        <v>323</v>
      </c>
      <c r="P473" s="790"/>
      <c r="Q473" s="791"/>
    </row>
    <row r="474" spans="1:18" ht="15.75">
      <c r="A474" s="658"/>
      <c r="B474" s="602"/>
      <c r="C474" s="786" t="s">
        <v>264</v>
      </c>
      <c r="D474" s="787"/>
      <c r="E474" s="21"/>
      <c r="F474" s="21"/>
      <c r="G474" s="214">
        <f>+D474*(E474+F474)</f>
        <v>0</v>
      </c>
      <c r="H474" s="687"/>
      <c r="I474" s="688"/>
      <c r="J474" s="670"/>
      <c r="K474" s="689"/>
      <c r="L474" s="603"/>
      <c r="M474" s="187"/>
      <c r="N474" s="788"/>
      <c r="O474" s="789"/>
      <c r="P474" s="790"/>
      <c r="Q474" s="791"/>
    </row>
    <row r="475" spans="1:18" ht="15.75">
      <c r="A475" s="662"/>
      <c r="B475" s="939"/>
      <c r="C475" s="48" t="s">
        <v>260</v>
      </c>
      <c r="D475" s="269"/>
      <c r="E475" s="41">
        <f>7.1994-7.4969</f>
        <v>-0.29750000000000032</v>
      </c>
      <c r="F475" s="297">
        <f>+E475</f>
        <v>-0.29750000000000032</v>
      </c>
      <c r="G475" s="235">
        <f>ROUND(D475*E475,2)</f>
        <v>0</v>
      </c>
      <c r="H475" s="270"/>
      <c r="I475" s="688"/>
      <c r="J475" s="670"/>
      <c r="K475" s="689"/>
      <c r="L475" s="614"/>
      <c r="M475" s="273"/>
      <c r="N475" s="663"/>
      <c r="O475" s="237"/>
      <c r="P475" s="275"/>
      <c r="Q475" s="238"/>
    </row>
    <row r="476" spans="1:18" ht="15.75">
      <c r="A476" s="662"/>
      <c r="B476" s="506"/>
      <c r="C476" s="48" t="s">
        <v>263</v>
      </c>
      <c r="D476" s="269"/>
      <c r="E476" s="41">
        <v>7.1993999999999998</v>
      </c>
      <c r="F476" s="298">
        <f t="shared" ref="F476" si="114">+E476</f>
        <v>7.1993999999999998</v>
      </c>
      <c r="G476" s="235">
        <f t="shared" ref="G476:G483" si="115">ROUND(D476*E476,2)</f>
        <v>0</v>
      </c>
      <c r="H476" s="270"/>
      <c r="I476" s="41"/>
      <c r="J476" s="670"/>
      <c r="K476" s="689"/>
      <c r="L476" s="606"/>
      <c r="M476" s="935"/>
      <c r="N476" s="663"/>
      <c r="O476" s="237"/>
      <c r="P476" s="275"/>
      <c r="Q476" s="238"/>
    </row>
    <row r="477" spans="1:18" ht="15.75" thickBot="1">
      <c r="A477" s="975"/>
      <c r="B477" s="278"/>
      <c r="C477" s="54" t="s">
        <v>29</v>
      </c>
      <c r="D477" s="795"/>
      <c r="E477" s="56">
        <v>7.1993999999999998</v>
      </c>
      <c r="F477" s="797"/>
      <c r="G477" s="798">
        <f t="shared" si="115"/>
        <v>0</v>
      </c>
      <c r="H477" s="795"/>
      <c r="I477" s="797"/>
      <c r="J477" s="797"/>
      <c r="K477" s="1019"/>
      <c r="L477" s="799"/>
      <c r="M477" s="976"/>
      <c r="N477" s="797"/>
      <c r="O477" s="797"/>
      <c r="P477" s="797"/>
      <c r="Q477" s="800"/>
    </row>
    <row r="478" spans="1:18" ht="15.75">
      <c r="A478" s="658">
        <v>500</v>
      </c>
      <c r="B478" s="659" t="s">
        <v>55</v>
      </c>
      <c r="C478" s="48" t="s">
        <v>260</v>
      </c>
      <c r="D478" s="259">
        <f>мар19!D467+мар19!D468</f>
        <v>2543.2999999999997</v>
      </c>
      <c r="E478" s="41">
        <f>7.1994-7.4969</f>
        <v>-0.29750000000000032</v>
      </c>
      <c r="F478" s="691">
        <f>+E478</f>
        <v>-0.29750000000000032</v>
      </c>
      <c r="G478" s="214">
        <f>ROUND(D478*E478,2)+0.01</f>
        <v>-756.62</v>
      </c>
      <c r="H478" s="303"/>
      <c r="I478" s="23"/>
      <c r="J478" s="23"/>
      <c r="K478" s="341"/>
      <c r="L478" s="603">
        <f>SUM(G478:G480)</f>
        <v>19520.259999999998</v>
      </c>
      <c r="M478" s="187">
        <v>19520.259999999998</v>
      </c>
      <c r="N478" s="660"/>
      <c r="O478" s="217"/>
      <c r="P478" s="661"/>
      <c r="Q478" s="219"/>
    </row>
    <row r="479" spans="1:18" ht="15.75">
      <c r="A479" s="662" t="s">
        <v>211</v>
      </c>
      <c r="B479" s="35"/>
      <c r="C479" s="48" t="s">
        <v>263</v>
      </c>
      <c r="D479" s="269">
        <v>94.19</v>
      </c>
      <c r="E479" s="41">
        <v>7.1993999999999998</v>
      </c>
      <c r="F479" s="298">
        <f t="shared" ref="F479" si="116">+E479</f>
        <v>7.1993999999999998</v>
      </c>
      <c r="G479" s="235">
        <f>ROUND(D479*E479,2)-0.01</f>
        <v>678.1</v>
      </c>
      <c r="H479" s="270"/>
      <c r="I479" s="41"/>
      <c r="J479" s="41"/>
      <c r="K479" s="101"/>
      <c r="L479" s="606"/>
      <c r="M479" s="935"/>
      <c r="N479" s="663"/>
      <c r="O479" s="237"/>
      <c r="P479" s="275"/>
      <c r="Q479" s="238"/>
    </row>
    <row r="480" spans="1:18" ht="15.75" thickBot="1">
      <c r="A480" s="969"/>
      <c r="B480" s="665"/>
      <c r="C480" s="99" t="s">
        <v>29</v>
      </c>
      <c r="D480" s="613">
        <v>2722.28</v>
      </c>
      <c r="E480" s="56">
        <v>7.1993999999999998</v>
      </c>
      <c r="F480" s="57"/>
      <c r="G480" s="247">
        <f t="shared" si="115"/>
        <v>19598.78</v>
      </c>
      <c r="H480" s="613"/>
      <c r="I480" s="57"/>
      <c r="J480" s="57"/>
      <c r="K480" s="1018"/>
      <c r="L480" s="614"/>
      <c r="M480" s="935"/>
      <c r="N480" s="57"/>
      <c r="O480" s="57"/>
      <c r="P480" s="57"/>
      <c r="Q480" s="666"/>
    </row>
    <row r="481" spans="1:17" ht="15.75">
      <c r="A481" s="658">
        <v>501</v>
      </c>
      <c r="B481" s="659" t="s">
        <v>300</v>
      </c>
      <c r="C481" s="48" t="s">
        <v>260</v>
      </c>
      <c r="D481" s="259">
        <f>мар19!D470+мар19!D471</f>
        <v>2191.8000000000002</v>
      </c>
      <c r="E481" s="41">
        <f>7.1994-7.4969</f>
        <v>-0.29750000000000032</v>
      </c>
      <c r="F481" s="691">
        <f>+E481</f>
        <v>-0.29750000000000032</v>
      </c>
      <c r="G481" s="214">
        <f>ROUND(D481*E481,2)-0.01</f>
        <v>-652.06999999999994</v>
      </c>
      <c r="H481" s="303"/>
      <c r="I481" s="23"/>
      <c r="J481" s="23"/>
      <c r="K481" s="341"/>
      <c r="L481" s="603">
        <f>SUM(G481:G483)</f>
        <v>15458.1</v>
      </c>
      <c r="M481" s="187">
        <v>15458.1</v>
      </c>
      <c r="N481" s="660"/>
      <c r="O481" s="217"/>
      <c r="P481" s="661"/>
      <c r="Q481" s="219"/>
    </row>
    <row r="482" spans="1:17" ht="15.75">
      <c r="A482" s="662"/>
      <c r="B482" s="35"/>
      <c r="C482" s="48" t="s">
        <v>263</v>
      </c>
      <c r="D482" s="269">
        <v>74.84</v>
      </c>
      <c r="E482" s="41">
        <v>7.1993999999999998</v>
      </c>
      <c r="F482" s="298"/>
      <c r="G482" s="235">
        <f t="shared" si="115"/>
        <v>538.79999999999995</v>
      </c>
      <c r="H482" s="270"/>
      <c r="I482" s="41"/>
      <c r="J482" s="41"/>
      <c r="K482" s="101"/>
      <c r="L482" s="606"/>
      <c r="M482" s="935"/>
      <c r="N482" s="663"/>
      <c r="O482" s="237"/>
      <c r="P482" s="275"/>
      <c r="Q482" s="238"/>
    </row>
    <row r="483" spans="1:17" ht="15.75" thickBot="1">
      <c r="A483" s="969"/>
      <c r="B483" s="665"/>
      <c r="C483" s="99" t="s">
        <v>29</v>
      </c>
      <c r="D483" s="613">
        <v>2162.87</v>
      </c>
      <c r="E483" s="56">
        <v>7.1993999999999998</v>
      </c>
      <c r="F483" s="57"/>
      <c r="G483" s="247">
        <f t="shared" si="115"/>
        <v>15571.37</v>
      </c>
      <c r="H483" s="613"/>
      <c r="I483" s="57"/>
      <c r="J483" s="57"/>
      <c r="K483" s="1018"/>
      <c r="L483" s="614"/>
      <c r="M483" s="935"/>
      <c r="N483" s="57"/>
      <c r="O483" s="57"/>
      <c r="P483" s="57"/>
      <c r="Q483" s="666"/>
    </row>
    <row r="484" spans="1:17">
      <c r="A484" s="977"/>
    </row>
    <row r="485" spans="1:17">
      <c r="A485" s="977"/>
    </row>
    <row r="486" spans="1:17">
      <c r="A486" s="977"/>
    </row>
  </sheetData>
  <mergeCells count="41">
    <mergeCell ref="N318:Q318"/>
    <mergeCell ref="A449:A450"/>
    <mergeCell ref="B449:B450"/>
    <mergeCell ref="C449:C450"/>
    <mergeCell ref="D449:G449"/>
    <mergeCell ref="H449:K449"/>
    <mergeCell ref="L449:L450"/>
    <mergeCell ref="M449:M450"/>
    <mergeCell ref="N449:Q449"/>
    <mergeCell ref="M158:M159"/>
    <mergeCell ref="N158:Q158"/>
    <mergeCell ref="O312:Q312"/>
    <mergeCell ref="A318:A319"/>
    <mergeCell ref="B318:B319"/>
    <mergeCell ref="C318:C319"/>
    <mergeCell ref="D318:G318"/>
    <mergeCell ref="H318:K318"/>
    <mergeCell ref="L318:L319"/>
    <mergeCell ref="M318:M319"/>
    <mergeCell ref="A158:A159"/>
    <mergeCell ref="B158:B159"/>
    <mergeCell ref="C158:C159"/>
    <mergeCell ref="D158:G158"/>
    <mergeCell ref="H158:K158"/>
    <mergeCell ref="L158:L159"/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503"/>
  <sheetViews>
    <sheetView workbookViewId="0">
      <pane xSplit="3" topLeftCell="D1" activePane="topRight" state="frozen"/>
      <selection pane="topRight" activeCell="D430" sqref="D43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bestFit="1" customWidth="1"/>
    <col min="9" max="9" width="10.7109375" bestFit="1" customWidth="1"/>
    <col min="10" max="10" width="10.28515625" customWidth="1"/>
    <col min="11" max="11" width="13.140625" customWidth="1"/>
    <col min="12" max="12" width="12.28515625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33" t="s">
        <v>5</v>
      </c>
      <c r="I2" s="1534"/>
      <c r="J2" s="1534"/>
      <c r="K2" s="1535"/>
      <c r="L2" s="153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9" t="s">
        <v>11</v>
      </c>
      <c r="I3" s="6" t="s">
        <v>15</v>
      </c>
      <c r="J3" s="10" t="s">
        <v>14</v>
      </c>
      <c r="K3" s="11" t="s">
        <v>16</v>
      </c>
      <c r="L3" s="1525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143" t="s">
        <v>23</v>
      </c>
      <c r="C4" s="1144"/>
      <c r="D4" s="1145">
        <v>21</v>
      </c>
      <c r="E4" s="1146">
        <v>41.244</v>
      </c>
      <c r="F4" s="1146">
        <v>48.335999999999999</v>
      </c>
      <c r="G4" s="379">
        <f>ROUND(D4*(E4+F4),2)</f>
        <v>1881.18</v>
      </c>
      <c r="H4" s="1145"/>
      <c r="I4" s="1147"/>
      <c r="J4" s="1147"/>
      <c r="K4" s="1148"/>
      <c r="L4" s="1149">
        <f>SUM(G4:G8,J4:J7)</f>
        <v>103135.84</v>
      </c>
      <c r="M4" s="1150">
        <v>103135.84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151" t="s">
        <v>221</v>
      </c>
      <c r="C5" s="1152" t="s">
        <v>26</v>
      </c>
      <c r="D5" s="401"/>
      <c r="E5" s="1153"/>
      <c r="F5" s="1153"/>
      <c r="G5" s="400">
        <f>ROUND(D5*(E5+F5),2)</f>
        <v>0</v>
      </c>
      <c r="H5" s="1154"/>
      <c r="I5" s="1155"/>
      <c r="J5" s="1155"/>
      <c r="K5" s="1156"/>
      <c r="L5" s="1157"/>
      <c r="M5" s="1158"/>
      <c r="N5" s="45"/>
      <c r="O5" s="46"/>
      <c r="P5" s="47"/>
      <c r="Q5" s="46"/>
      <c r="R5" s="30"/>
      <c r="S5" s="31"/>
      <c r="T5" s="32"/>
    </row>
    <row r="6" spans="1:22">
      <c r="A6" s="34"/>
      <c r="B6" s="1159"/>
      <c r="C6" s="1160" t="s">
        <v>260</v>
      </c>
      <c r="D6" s="623"/>
      <c r="E6" s="1155"/>
      <c r="F6" s="1155">
        <f>+E6</f>
        <v>0</v>
      </c>
      <c r="G6" s="1161">
        <f>ROUND(D6*E6,2)</f>
        <v>0</v>
      </c>
      <c r="H6" s="1162"/>
      <c r="I6" s="1155"/>
      <c r="J6" s="1155"/>
      <c r="K6" s="1156"/>
      <c r="L6" s="1157"/>
      <c r="M6" s="1158"/>
      <c r="N6" s="45"/>
      <c r="O6" s="46"/>
      <c r="P6" s="47"/>
      <c r="Q6" s="46"/>
      <c r="R6" s="30">
        <f>+G7+G8</f>
        <v>101254.65999999999</v>
      </c>
      <c r="S6" s="31"/>
      <c r="T6" s="32"/>
    </row>
    <row r="7" spans="1:22">
      <c r="A7" s="34"/>
      <c r="B7" s="1159"/>
      <c r="C7" s="1160" t="s">
        <v>263</v>
      </c>
      <c r="D7" s="623">
        <f>309.21+103.9</f>
        <v>413.11</v>
      </c>
      <c r="E7" s="1155">
        <v>7.1388999999999996</v>
      </c>
      <c r="F7" s="1155">
        <f>+E7</f>
        <v>7.1388999999999996</v>
      </c>
      <c r="G7" s="1161">
        <f>ROUND(D7*E7,2)</f>
        <v>2949.15</v>
      </c>
      <c r="H7" s="1154"/>
      <c r="I7" s="1155"/>
      <c r="J7" s="1155"/>
      <c r="K7" s="1156"/>
      <c r="L7" s="1157"/>
      <c r="M7" s="1158"/>
      <c r="N7" s="45"/>
      <c r="O7" s="46"/>
      <c r="P7" s="47"/>
      <c r="Q7" s="46"/>
      <c r="R7" s="30"/>
      <c r="S7" s="31"/>
      <c r="T7" s="32"/>
      <c r="V7" s="33">
        <f>+G7+G8</f>
        <v>101254.65999999999</v>
      </c>
    </row>
    <row r="8" spans="1:22" ht="15.75" thickBot="1">
      <c r="A8" s="52"/>
      <c r="B8" s="1163"/>
      <c r="C8" s="1164" t="s">
        <v>29</v>
      </c>
      <c r="D8" s="941">
        <f>10307.1+3463.3</f>
        <v>13770.400000000001</v>
      </c>
      <c r="E8" s="1165">
        <v>7.1388999999999996</v>
      </c>
      <c r="F8" s="1166">
        <f>+E8</f>
        <v>7.1388999999999996</v>
      </c>
      <c r="G8" s="1167">
        <f>ROUND(D8*E8,2)</f>
        <v>98305.51</v>
      </c>
      <c r="H8" s="1168"/>
      <c r="I8" s="1169"/>
      <c r="J8" s="1169"/>
      <c r="K8" s="1170"/>
      <c r="L8" s="1171"/>
      <c r="M8" s="1172"/>
      <c r="N8" s="64"/>
      <c r="O8" s="65"/>
      <c r="P8" s="47" t="s">
        <v>24</v>
      </c>
      <c r="Q8" s="65">
        <f>+G8+J8-M8-N8-O8</f>
        <v>98305.51</v>
      </c>
      <c r="R8" s="66" t="s">
        <v>25</v>
      </c>
      <c r="S8" s="67">
        <f>SUM(O4:O8)</f>
        <v>0</v>
      </c>
      <c r="T8" s="68">
        <f>SUM(Q4:Q8)</f>
        <v>98305.51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20"/>
      <c r="I9" s="23"/>
      <c r="J9" s="23"/>
      <c r="K9" s="24"/>
      <c r="L9" s="25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40"/>
      <c r="I10" s="41"/>
      <c r="J10" s="41"/>
      <c r="K10" s="42"/>
      <c r="L10" s="43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51"/>
      <c r="I11" s="41"/>
      <c r="J11" s="41"/>
      <c r="K11" s="42"/>
      <c r="L11" s="43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40"/>
      <c r="I12" s="41"/>
      <c r="J12" s="41"/>
      <c r="K12" s="42"/>
      <c r="L12" s="768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122.848</v>
      </c>
      <c r="E13" s="21">
        <v>41.244</v>
      </c>
      <c r="F13" s="21">
        <v>48.335999999999999</v>
      </c>
      <c r="G13" s="22">
        <f>ROUND(D13*(E13+F13),2)</f>
        <v>11004.72</v>
      </c>
      <c r="H13" s="72"/>
      <c r="I13" s="21"/>
      <c r="J13" s="73"/>
      <c r="K13" s="24"/>
      <c r="L13" s="74">
        <f>SUM(G13:G20,J13:J19)</f>
        <v>53782.670000000006</v>
      </c>
      <c r="M13" s="26">
        <v>53782.67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85"/>
      <c r="I14" s="86"/>
      <c r="J14" s="87"/>
      <c r="K14" s="88"/>
      <c r="L14" s="89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0.49</v>
      </c>
      <c r="E15" s="101">
        <v>276.93</v>
      </c>
      <c r="F15" s="38">
        <f>F13</f>
        <v>48.335999999999999</v>
      </c>
      <c r="G15" s="39">
        <f>ROUND(D15*(E15+F15),2)</f>
        <v>159.38</v>
      </c>
      <c r="H15" s="100"/>
      <c r="I15" s="38"/>
      <c r="J15" s="87"/>
      <c r="K15" s="88"/>
      <c r="L15" s="89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апр.19!D15</f>
        <v>44</v>
      </c>
      <c r="E16" s="41">
        <f>276.93-343.14</f>
        <v>-66.20999999999998</v>
      </c>
      <c r="F16" s="38">
        <f>F14</f>
        <v>0</v>
      </c>
      <c r="G16" s="50">
        <f>+D16*(E16+F16)</f>
        <v>-2913.2399999999989</v>
      </c>
      <c r="H16" s="100"/>
      <c r="I16" s="87"/>
      <c r="J16" s="87"/>
      <c r="K16" s="88"/>
      <c r="L16" s="89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00"/>
      <c r="I17" s="87"/>
      <c r="J17" s="87"/>
      <c r="K17" s="88"/>
      <c r="L17" s="89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апр.19!D19+апр.19!D20</f>
        <v>5571.6799999999994</v>
      </c>
      <c r="E18" s="881">
        <f>7.4271-7.1994</f>
        <v>0.22770000000000046</v>
      </c>
      <c r="F18" s="41">
        <f>+E18</f>
        <v>0.22770000000000046</v>
      </c>
      <c r="G18" s="50">
        <f>ROUND(D18*E18*70%+D18*F18*30%,2)</f>
        <v>1268.67</v>
      </c>
      <c r="H18" s="100"/>
      <c r="I18" s="87"/>
      <c r="J18" s="87"/>
      <c r="K18" s="88"/>
      <c r="L18" s="89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12.63+156.09+4.86</f>
        <v>173.58</v>
      </c>
      <c r="E19" s="41">
        <v>7.4271000000000003</v>
      </c>
      <c r="F19" s="41">
        <f>E19</f>
        <v>7.4271000000000003</v>
      </c>
      <c r="G19" s="50">
        <f>ROUND(D19*E19*70%+D19*F19*30%,2)</f>
        <v>1289.2</v>
      </c>
      <c r="H19" s="100"/>
      <c r="I19" s="87"/>
      <c r="J19" s="87"/>
      <c r="K19" s="88"/>
      <c r="L19" s="89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421.1+5203+162</f>
        <v>5786.1</v>
      </c>
      <c r="E20" s="56">
        <v>7.4271000000000003</v>
      </c>
      <c r="F20" s="109">
        <f>+E20</f>
        <v>7.4271000000000003</v>
      </c>
      <c r="G20" s="110">
        <f>ROUND(D20*E20*70%+D20*F20*30%,2)</f>
        <v>42973.94</v>
      </c>
      <c r="H20" s="111"/>
      <c r="I20" s="112"/>
      <c r="J20" s="112"/>
      <c r="K20" s="113"/>
      <c r="L20" s="114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8">
        <v>0</v>
      </c>
      <c r="I21" s="129">
        <v>158.69999999999999</v>
      </c>
      <c r="J21" s="130">
        <f>ROUND(H21*I21,2)</f>
        <v>0</v>
      </c>
      <c r="K21" s="131"/>
      <c r="L21" s="132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8"/>
      <c r="I22" s="126"/>
      <c r="J22" s="141">
        <f>H22*I22</f>
        <v>0</v>
      </c>
      <c r="K22" s="142"/>
      <c r="L22" s="132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43"/>
      <c r="I23" s="144"/>
      <c r="J23" s="144"/>
      <c r="K23" s="145"/>
      <c r="L23" s="146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51"/>
      <c r="I24" s="150"/>
      <c r="J24" s="150"/>
      <c r="K24" s="150"/>
      <c r="L24" s="150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51"/>
      <c r="I25" s="150"/>
      <c r="J25" s="150"/>
      <c r="K25" s="150"/>
      <c r="L25" s="150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51"/>
      <c r="I26" s="150"/>
      <c r="J26" s="150"/>
      <c r="K26" s="150"/>
      <c r="L26" s="150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апр.19!D28+апр.19!D29</f>
        <v>2731.63</v>
      </c>
      <c r="E27" s="41">
        <f>7.4271-7.1994</f>
        <v>0.22770000000000046</v>
      </c>
      <c r="F27" s="691">
        <f>+E27</f>
        <v>0.22770000000000046</v>
      </c>
      <c r="G27" s="214">
        <f>ROUND(D27*E27,2)</f>
        <v>621.99</v>
      </c>
      <c r="H27" s="303"/>
      <c r="I27" s="23"/>
      <c r="J27" s="23"/>
      <c r="K27" s="23"/>
      <c r="L27" s="603">
        <f>SUM(G27:G29)</f>
        <v>19218.260000000002</v>
      </c>
      <c r="M27" s="187">
        <v>19218.259999999998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72.930000000000007</v>
      </c>
      <c r="E28" s="41">
        <v>7.4271000000000003</v>
      </c>
      <c r="F28" s="298">
        <f t="shared" ref="F28" si="0">+E28</f>
        <v>7.4271000000000003</v>
      </c>
      <c r="G28" s="235">
        <f>ROUND(D28*E28,2)</f>
        <v>541.66</v>
      </c>
      <c r="H28" s="270"/>
      <c r="I28" s="41"/>
      <c r="J28" s="41"/>
      <c r="K28" s="41"/>
      <c r="L28" s="60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2430.91</v>
      </c>
      <c r="E29" s="56">
        <v>7.4271000000000003</v>
      </c>
      <c r="F29" s="57"/>
      <c r="G29" s="247">
        <f>ROUND(D29*E29,2)</f>
        <v>18054.61</v>
      </c>
      <c r="H29" s="613"/>
      <c r="I29" s="57"/>
      <c r="J29" s="57"/>
      <c r="K29" s="57"/>
      <c r="L29" s="614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2"/>
      <c r="I30" s="2"/>
      <c r="J30" s="2"/>
      <c r="K30" s="2"/>
      <c r="L30" s="2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21" t="s">
        <v>5</v>
      </c>
      <c r="I31" s="1522"/>
      <c r="J31" s="1522"/>
      <c r="K31" s="1523"/>
      <c r="L31" s="1524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9" t="s">
        <v>11</v>
      </c>
      <c r="I32" s="6" t="s">
        <v>15</v>
      </c>
      <c r="J32" s="177" t="s">
        <v>14</v>
      </c>
      <c r="K32" s="11" t="s">
        <v>16</v>
      </c>
      <c r="L32" s="1525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 ht="15.75" thickBot="1">
      <c r="A33" s="888" t="s">
        <v>241</v>
      </c>
      <c r="B33" s="183" t="s">
        <v>242</v>
      </c>
      <c r="C33" s="439" t="s">
        <v>243</v>
      </c>
      <c r="D33" s="1008">
        <v>1.2</v>
      </c>
      <c r="E33" s="23">
        <v>41.244</v>
      </c>
      <c r="F33" s="23">
        <v>48.335999999999999</v>
      </c>
      <c r="G33" s="214">
        <f>ROUND(D33*(E33+F33),2)</f>
        <v>107.5</v>
      </c>
      <c r="H33" s="1001">
        <f>мар19!D33</f>
        <v>0.8</v>
      </c>
      <c r="I33" s="23">
        <v>0.34799999999999998</v>
      </c>
      <c r="J33" s="23">
        <f>ROUND(H33*I33,2)</f>
        <v>0.28000000000000003</v>
      </c>
      <c r="K33" s="1241">
        <v>43525</v>
      </c>
      <c r="L33" s="343">
        <f>SUM(G33:G37)+SUM(J33:J34)</f>
        <v>9605.4800000000014</v>
      </c>
      <c r="M33" s="187">
        <v>9605.48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002"/>
      <c r="I34" s="281"/>
      <c r="J34" s="23"/>
      <c r="K34" s="1242"/>
      <c r="L34" s="988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апр.19!D36+апр.19!D37</f>
        <v>1231.3399999999999</v>
      </c>
      <c r="E35" s="41">
        <f>7.4271-7.1994</f>
        <v>0.22770000000000046</v>
      </c>
      <c r="F35" s="41">
        <f t="shared" ref="F35:F70" si="1">+E35</f>
        <v>0.22770000000000046</v>
      </c>
      <c r="G35" s="50">
        <f>ROUND(D35*E35,2)-0.01</f>
        <v>280.37</v>
      </c>
      <c r="H35" s="1003"/>
      <c r="I35" s="194"/>
      <c r="J35" s="194"/>
      <c r="K35" s="195"/>
      <c r="L35" s="196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13.14</v>
      </c>
      <c r="E36" s="41">
        <v>7.4271000000000003</v>
      </c>
      <c r="F36" s="41">
        <f t="shared" si="1"/>
        <v>7.4271000000000003</v>
      </c>
      <c r="G36" s="50">
        <f>ROUND(D36*E36,2)</f>
        <v>97.59</v>
      </c>
      <c r="H36" s="1003"/>
      <c r="I36" s="194"/>
      <c r="J36" s="243"/>
      <c r="K36" s="195"/>
      <c r="L36" s="196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1227.9000000000001</v>
      </c>
      <c r="E37" s="56">
        <v>7.4271000000000003</v>
      </c>
      <c r="F37" s="57">
        <f t="shared" si="1"/>
        <v>7.4271000000000003</v>
      </c>
      <c r="G37" s="247">
        <f>ROUND(D37*E37*70%+D37*F37*30%,2)</f>
        <v>9119.74</v>
      </c>
      <c r="H37" s="1004"/>
      <c r="I37" s="203"/>
      <c r="J37" s="60"/>
      <c r="K37" s="61"/>
      <c r="L37" s="24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28.5+39</f>
        <v>67.5</v>
      </c>
      <c r="E38" s="21">
        <v>41.244</v>
      </c>
      <c r="F38" s="21">
        <v>48.335999999999999</v>
      </c>
      <c r="G38" s="214">
        <f>ROUND(D38*(E38+F38),2)</f>
        <v>6046.65</v>
      </c>
      <c r="H38" s="213">
        <f>мар19!D38</f>
        <v>76.539999999999992</v>
      </c>
      <c r="I38" s="41">
        <v>0.34799999999999998</v>
      </c>
      <c r="J38" s="23">
        <f>ROUND(H38*I38,2)</f>
        <v>26.64</v>
      </c>
      <c r="K38" s="679">
        <v>43525</v>
      </c>
      <c r="L38" s="294">
        <f>SUM(G38:G42)+SUM(J38:J41)</f>
        <v>50769.43</v>
      </c>
      <c r="M38" s="227">
        <v>50769.43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225"/>
      <c r="I39" s="41"/>
      <c r="J39" s="23"/>
      <c r="K39" s="295"/>
      <c r="L39" s="294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апр.19!D41+апр.19!D42</f>
        <v>5679.12</v>
      </c>
      <c r="E40" s="41">
        <f>7.4271-7.1994</f>
        <v>0.22770000000000046</v>
      </c>
      <c r="F40" s="41">
        <f t="shared" ref="F40:F42" si="2">+E40</f>
        <v>0.22770000000000046</v>
      </c>
      <c r="G40" s="235">
        <f>ROUND(D40*E40,2)</f>
        <v>1293.1400000000001</v>
      </c>
      <c r="H40" s="270"/>
      <c r="I40" s="41"/>
      <c r="J40" s="41"/>
      <c r="K40" s="271"/>
      <c r="L40" s="272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61.87</v>
      </c>
      <c r="E41" s="41">
        <v>7.4271000000000003</v>
      </c>
      <c r="F41" s="41">
        <f t="shared" si="2"/>
        <v>7.4271000000000003</v>
      </c>
      <c r="G41" s="235">
        <f t="shared" ref="G41:G42" si="3">ROUND(D41*E41,2)</f>
        <v>459.51</v>
      </c>
      <c r="H41" s="270"/>
      <c r="I41" s="41"/>
      <c r="J41" s="41"/>
      <c r="K41" s="271"/>
      <c r="L41" s="272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5782</v>
      </c>
      <c r="E42" s="56">
        <v>7.4271000000000003</v>
      </c>
      <c r="F42" s="57">
        <f t="shared" si="2"/>
        <v>7.4271000000000003</v>
      </c>
      <c r="G42" s="247">
        <f t="shared" si="3"/>
        <v>42943.49</v>
      </c>
      <c r="H42" s="280"/>
      <c r="I42" s="281"/>
      <c r="J42" s="281"/>
      <c r="K42" s="282"/>
      <c r="L42" s="204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1173" t="s">
        <v>312</v>
      </c>
      <c r="C43" s="1174" t="s">
        <v>59</v>
      </c>
      <c r="D43" s="1175">
        <v>9.9</v>
      </c>
      <c r="E43" s="1146">
        <v>41.244</v>
      </c>
      <c r="F43" s="1146">
        <v>48.335999999999999</v>
      </c>
      <c r="G43" s="1176">
        <f>ROUND(D43*(E43+F43),2)</f>
        <v>886.84</v>
      </c>
      <c r="H43" s="1177">
        <f>мар19!D43</f>
        <v>12.8</v>
      </c>
      <c r="I43" s="1155">
        <v>67.703999999999994</v>
      </c>
      <c r="J43" s="1178">
        <f>ROUND(H43*I43,2)</f>
        <v>866.61</v>
      </c>
      <c r="K43" s="1179">
        <v>43525</v>
      </c>
      <c r="L43" s="1180">
        <f>SUM(G43:G47)+SUM(J43:J47)</f>
        <v>36155.24</v>
      </c>
      <c r="M43" s="996">
        <v>36155.24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1199" t="s">
        <v>313</v>
      </c>
      <c r="C44" s="1182" t="s">
        <v>264</v>
      </c>
      <c r="D44" s="1183"/>
      <c r="E44" s="1153"/>
      <c r="F44" s="1153"/>
      <c r="G44" s="1184">
        <f>ROUND(D44*(E44+F44),2)</f>
        <v>0</v>
      </c>
      <c r="H44" s="1185"/>
      <c r="I44" s="1155"/>
      <c r="J44" s="1178"/>
      <c r="K44" s="1179"/>
      <c r="L44" s="1180"/>
      <c r="M44" s="996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1181"/>
      <c r="C45" s="1160" t="s">
        <v>260</v>
      </c>
      <c r="D45" s="673"/>
      <c r="E45" s="1155"/>
      <c r="F45" s="1155">
        <f t="shared" ref="F45:F50" si="4">+E45</f>
        <v>0</v>
      </c>
      <c r="G45" s="1184">
        <f>ROUND(D45*E45,2)</f>
        <v>0</v>
      </c>
      <c r="H45" s="1188"/>
      <c r="I45" s="1155"/>
      <c r="J45" s="1155"/>
      <c r="K45" s="1189"/>
      <c r="L45" s="1190"/>
      <c r="M45" s="1191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1181"/>
      <c r="C46" s="1160" t="s">
        <v>263</v>
      </c>
      <c r="D46" s="1183">
        <f>48.79+0.76+1.47</f>
        <v>51.019999999999996</v>
      </c>
      <c r="E46" s="1155">
        <v>7.1388999999999996</v>
      </c>
      <c r="F46" s="1155">
        <f t="shared" si="4"/>
        <v>7.1388999999999996</v>
      </c>
      <c r="G46" s="1184">
        <f>ROUND(D46*E46,2)</f>
        <v>364.23</v>
      </c>
      <c r="H46" s="1188"/>
      <c r="I46" s="1155"/>
      <c r="J46" s="1155"/>
      <c r="K46" s="1189"/>
      <c r="L46" s="1190"/>
      <c r="M46" s="1191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1173"/>
      <c r="C47" s="1174" t="s">
        <v>29</v>
      </c>
      <c r="D47" s="1192">
        <f>4560+70.7+137.2</f>
        <v>4767.8999999999996</v>
      </c>
      <c r="E47" s="1165">
        <v>7.1388999999999996</v>
      </c>
      <c r="F47" s="1166">
        <f t="shared" si="4"/>
        <v>7.1388999999999996</v>
      </c>
      <c r="G47" s="1193">
        <f t="shared" ref="G47" si="5">ROUND(D47*E47,2)</f>
        <v>34037.56</v>
      </c>
      <c r="H47" s="1194"/>
      <c r="I47" s="1195"/>
      <c r="J47" s="1195"/>
      <c r="K47" s="1196"/>
      <c r="L47" s="1197"/>
      <c r="M47" s="1198"/>
      <c r="N47" s="283"/>
      <c r="O47" s="252"/>
      <c r="P47" s="284"/>
      <c r="Q47" s="252"/>
      <c r="R47" s="242"/>
      <c r="S47" s="266"/>
      <c r="T47" s="266"/>
    </row>
    <row r="48" spans="1:21">
      <c r="A48" s="896">
        <v>111</v>
      </c>
      <c r="B48" s="192" t="s">
        <v>332</v>
      </c>
      <c r="C48" s="700" t="s">
        <v>260</v>
      </c>
      <c r="D48" s="985">
        <f>апр.19!D49+апр.19!D50</f>
        <v>521.02</v>
      </c>
      <c r="E48" s="261">
        <f>7.4271-7.1994</f>
        <v>0.22770000000000046</v>
      </c>
      <c r="F48" s="261">
        <f t="shared" si="4"/>
        <v>0.22770000000000046</v>
      </c>
      <c r="G48" s="195">
        <f>ROUND(D48*E48,2)-0.01</f>
        <v>118.63</v>
      </c>
      <c r="H48" s="260"/>
      <c r="I48" s="261"/>
      <c r="J48" s="261"/>
      <c r="K48" s="262"/>
      <c r="L48" s="294">
        <f>SUM(G48:G50)</f>
        <v>3579.89</v>
      </c>
      <c r="M48" s="227">
        <v>3579.89</v>
      </c>
      <c r="N48" s="274"/>
      <c r="O48" s="237"/>
      <c r="P48" s="275"/>
      <c r="Q48" s="237"/>
      <c r="R48" s="242"/>
      <c r="S48" s="266"/>
      <c r="T48" s="266"/>
    </row>
    <row r="49" spans="1:20" ht="15.75">
      <c r="A49" s="896"/>
      <c r="B49" s="192"/>
      <c r="C49" s="48" t="s">
        <v>263</v>
      </c>
      <c r="D49" s="269">
        <v>4.93</v>
      </c>
      <c r="E49" s="41">
        <v>7.4271000000000003</v>
      </c>
      <c r="F49" s="41">
        <f t="shared" si="4"/>
        <v>7.4271000000000003</v>
      </c>
      <c r="G49" s="235">
        <f t="shared" ref="G49:G50" si="6">ROUND(D49*E49,2)</f>
        <v>36.619999999999997</v>
      </c>
      <c r="H49" s="270"/>
      <c r="I49" s="41"/>
      <c r="J49" s="41"/>
      <c r="K49" s="271"/>
      <c r="L49" s="272"/>
      <c r="M49" s="273"/>
      <c r="N49" s="274"/>
      <c r="O49" s="237"/>
      <c r="P49" s="275"/>
      <c r="Q49" s="237"/>
      <c r="R49" s="242"/>
      <c r="S49" s="266"/>
      <c r="T49" s="266"/>
    </row>
    <row r="50" spans="1:20" ht="16.5" thickBot="1">
      <c r="A50" s="891"/>
      <c r="B50" s="887"/>
      <c r="C50" s="54" t="s">
        <v>29</v>
      </c>
      <c r="D50" s="279">
        <v>461.1</v>
      </c>
      <c r="E50" s="56">
        <v>7.4271000000000003</v>
      </c>
      <c r="F50" s="57">
        <f t="shared" si="4"/>
        <v>7.4271000000000003</v>
      </c>
      <c r="G50" s="247">
        <f t="shared" si="6"/>
        <v>3424.64</v>
      </c>
      <c r="H50" s="280"/>
      <c r="I50" s="281"/>
      <c r="J50" s="281"/>
      <c r="K50" s="282"/>
      <c r="L50" s="204"/>
      <c r="M50" s="250"/>
      <c r="N50" s="283"/>
      <c r="O50" s="252"/>
      <c r="P50" s="284"/>
      <c r="Q50" s="252"/>
      <c r="R50" s="242"/>
      <c r="S50" s="266"/>
      <c r="T50" s="266"/>
    </row>
    <row r="51" spans="1:20" ht="15.75" thickBot="1">
      <c r="A51" s="892">
        <v>112</v>
      </c>
      <c r="B51" s="183" t="s">
        <v>307</v>
      </c>
      <c r="C51" s="439" t="s">
        <v>243</v>
      </c>
      <c r="D51" s="1008">
        <v>0.3</v>
      </c>
      <c r="E51" s="23">
        <v>41.244</v>
      </c>
      <c r="F51" s="23">
        <v>48.335999999999999</v>
      </c>
      <c r="G51" s="214">
        <f>ROUND(D51*(E51+F51),2)</f>
        <v>26.87</v>
      </c>
      <c r="H51" s="1001">
        <f>мар19!D48</f>
        <v>0.3</v>
      </c>
      <c r="I51" s="23">
        <v>0.34799999999999998</v>
      </c>
      <c r="J51" s="23">
        <f>ROUND(H51*I51,2)</f>
        <v>0.1</v>
      </c>
      <c r="K51" s="1241">
        <v>43525</v>
      </c>
      <c r="L51" s="343">
        <f>SUM(G51:G55)+SUM(J51:J55)</f>
        <v>1313.1299999999999</v>
      </c>
      <c r="M51" s="187">
        <v>1313.13</v>
      </c>
      <c r="N51" s="274"/>
      <c r="O51" s="237"/>
      <c r="P51" s="275"/>
      <c r="Q51" s="237"/>
      <c r="R51" s="242"/>
      <c r="S51" s="266"/>
      <c r="T51" s="266"/>
    </row>
    <row r="52" spans="1:20" ht="15.75" thickBot="1">
      <c r="A52" s="896"/>
      <c r="B52" s="192"/>
      <c r="C52" s="48" t="s">
        <v>260</v>
      </c>
      <c r="D52" s="1009"/>
      <c r="E52" s="41"/>
      <c r="F52" s="41"/>
      <c r="G52" s="235">
        <f>ROUND(D52*(E52+F52),2)</f>
        <v>0</v>
      </c>
      <c r="H52" s="1002"/>
      <c r="I52" s="281"/>
      <c r="J52" s="23"/>
      <c r="K52" s="1242"/>
      <c r="L52" s="988"/>
      <c r="M52" s="989"/>
      <c r="N52" s="274"/>
      <c r="O52" s="237"/>
      <c r="P52" s="275"/>
      <c r="Q52" s="237"/>
      <c r="R52" s="242"/>
      <c r="S52" s="266"/>
      <c r="T52" s="266"/>
    </row>
    <row r="53" spans="1:20">
      <c r="A53" s="1034"/>
      <c r="C53" s="439" t="s">
        <v>260</v>
      </c>
      <c r="D53" s="296">
        <f>апр.19!D54+апр.19!D55</f>
        <v>123.31</v>
      </c>
      <c r="E53" s="41">
        <f>7.4271-7.1994</f>
        <v>0.22770000000000046</v>
      </c>
      <c r="F53" s="41">
        <f t="shared" si="1"/>
        <v>0.22770000000000046</v>
      </c>
      <c r="G53" s="235">
        <f>ROUND(D53*E53,2)+0.01</f>
        <v>28.09</v>
      </c>
      <c r="H53" s="270"/>
      <c r="I53" s="41"/>
      <c r="J53" s="41"/>
      <c r="K53" s="271"/>
      <c r="L53" s="294"/>
      <c r="M53" s="227"/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1.79</v>
      </c>
      <c r="E54" s="41">
        <v>7.4271000000000003</v>
      </c>
      <c r="F54" s="41">
        <f t="shared" si="1"/>
        <v>7.4271000000000003</v>
      </c>
      <c r="G54" s="235">
        <f>ROUND(D54*E54,2)</f>
        <v>13.29</v>
      </c>
      <c r="H54" s="270"/>
      <c r="I54" s="41"/>
      <c r="J54" s="41"/>
      <c r="K54" s="271"/>
      <c r="L54" s="272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202"/>
      <c r="C55" s="54" t="s">
        <v>29</v>
      </c>
      <c r="D55" s="279">
        <v>167.6</v>
      </c>
      <c r="E55" s="56">
        <v>7.4271000000000003</v>
      </c>
      <c r="F55" s="57">
        <f t="shared" si="1"/>
        <v>7.4271000000000003</v>
      </c>
      <c r="G55" s="247">
        <f t="shared" ref="G55" si="7">ROUND(D55*E55,2)</f>
        <v>1244.78</v>
      </c>
      <c r="H55" s="280"/>
      <c r="I55" s="281"/>
      <c r="J55" s="281"/>
      <c r="K55" s="282"/>
      <c r="L55" s="204"/>
      <c r="M55" s="250"/>
      <c r="N55" s="283"/>
      <c r="O55" s="252"/>
      <c r="P55" s="284"/>
      <c r="Q55" s="252"/>
      <c r="R55" s="242"/>
      <c r="S55" s="266"/>
      <c r="T55" s="266"/>
    </row>
    <row r="56" spans="1:20">
      <c r="A56" s="896">
        <v>202</v>
      </c>
      <c r="B56" s="192" t="s">
        <v>159</v>
      </c>
      <c r="C56" s="700" t="s">
        <v>260</v>
      </c>
      <c r="D56" s="985">
        <f>апр.19!D57+апр.19!D58</f>
        <v>130.18</v>
      </c>
      <c r="E56" s="261">
        <f>7.4271-7.1994</f>
        <v>0.22770000000000046</v>
      </c>
      <c r="F56" s="261">
        <f t="shared" si="1"/>
        <v>0.22770000000000046</v>
      </c>
      <c r="G56" s="195">
        <f>ROUND(D56*E56,2)-0.01</f>
        <v>29.63</v>
      </c>
      <c r="H56" s="260"/>
      <c r="I56" s="261"/>
      <c r="J56" s="261"/>
      <c r="K56" s="262"/>
      <c r="L56" s="294">
        <f>SUM(G56:G58)</f>
        <v>1067.05</v>
      </c>
      <c r="M56" s="227">
        <v>1067.05</v>
      </c>
      <c r="N56" s="274"/>
      <c r="O56" s="237"/>
      <c r="P56" s="275"/>
      <c r="Q56" s="237"/>
      <c r="R56" s="242"/>
      <c r="S56" s="266"/>
      <c r="T56" s="266"/>
    </row>
    <row r="57" spans="1:20" ht="15.75">
      <c r="A57" s="896"/>
      <c r="B57" s="192"/>
      <c r="C57" s="48" t="s">
        <v>263</v>
      </c>
      <c r="D57" s="269">
        <v>1.48</v>
      </c>
      <c r="E57" s="41">
        <v>7.4271000000000003</v>
      </c>
      <c r="F57" s="41">
        <f t="shared" si="1"/>
        <v>7.4271000000000003</v>
      </c>
      <c r="G57" s="235">
        <f t="shared" ref="G57:G58" si="8">ROUND(D57*E57,2)</f>
        <v>10.99</v>
      </c>
      <c r="H57" s="270"/>
      <c r="I57" s="41"/>
      <c r="J57" s="41"/>
      <c r="K57" s="271"/>
      <c r="L57" s="272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891"/>
      <c r="B58" s="887"/>
      <c r="C58" s="54" t="s">
        <v>29</v>
      </c>
      <c r="D58" s="279">
        <v>138.19999999999999</v>
      </c>
      <c r="E58" s="56">
        <v>7.4271000000000003</v>
      </c>
      <c r="F58" s="57">
        <f t="shared" si="1"/>
        <v>7.4271000000000003</v>
      </c>
      <c r="G58" s="247">
        <f t="shared" si="8"/>
        <v>1026.43</v>
      </c>
      <c r="H58" s="280"/>
      <c r="I58" s="281"/>
      <c r="J58" s="281"/>
      <c r="K58" s="282"/>
      <c r="L58" s="204"/>
      <c r="M58" s="250"/>
      <c r="N58" s="283"/>
      <c r="O58" s="252"/>
      <c r="P58" s="284"/>
      <c r="Q58" s="252"/>
      <c r="R58" s="242"/>
      <c r="S58" s="266"/>
      <c r="T58" s="266"/>
    </row>
    <row r="59" spans="1:20" ht="15.75" hidden="1" thickBot="1">
      <c r="A59" s="892">
        <v>204</v>
      </c>
      <c r="B59" s="183" t="s">
        <v>137</v>
      </c>
      <c r="C59" s="439" t="s">
        <v>260</v>
      </c>
      <c r="D59" s="296"/>
      <c r="E59" s="41">
        <f>6.6439-6.7023</f>
        <v>-5.8399999999999785E-2</v>
      </c>
      <c r="F59" s="41">
        <f t="shared" si="1"/>
        <v>-5.8399999999999785E-2</v>
      </c>
      <c r="G59" s="235">
        <f>ROUND(D59*E59,2)</f>
        <v>0</v>
      </c>
      <c r="H59" s="270"/>
      <c r="I59" s="41"/>
      <c r="J59" s="41"/>
      <c r="K59" s="271"/>
      <c r="L59" s="294">
        <f>SUM(G59:G61)</f>
        <v>0</v>
      </c>
      <c r="M59" s="227"/>
      <c r="N59" s="274"/>
      <c r="O59" s="237"/>
      <c r="P59" s="275"/>
      <c r="Q59" s="237"/>
      <c r="R59" s="242"/>
      <c r="S59" s="266"/>
      <c r="T59" s="266"/>
    </row>
    <row r="60" spans="1:20" ht="16.5" hidden="1" thickBot="1">
      <c r="A60" s="896"/>
      <c r="B60" s="991" t="s">
        <v>275</v>
      </c>
      <c r="C60" s="48" t="s">
        <v>263</v>
      </c>
      <c r="D60" s="269"/>
      <c r="E60" s="41">
        <v>6.6439000000000004</v>
      </c>
      <c r="F60" s="41">
        <f t="shared" si="1"/>
        <v>6.6439000000000004</v>
      </c>
      <c r="G60" s="235">
        <f>ROUND(D60*E60,2)</f>
        <v>0</v>
      </c>
      <c r="H60" s="270"/>
      <c r="I60" s="41"/>
      <c r="J60" s="41"/>
      <c r="K60" s="271"/>
      <c r="L60" s="272"/>
      <c r="M60" s="273"/>
      <c r="N60" s="274"/>
      <c r="O60" s="237"/>
      <c r="P60" s="275"/>
      <c r="Q60" s="237"/>
      <c r="R60" s="242"/>
      <c r="S60" s="266"/>
      <c r="T60" s="266"/>
    </row>
    <row r="61" spans="1:20" ht="16.5" hidden="1" thickBot="1">
      <c r="A61" s="891"/>
      <c r="B61" s="887"/>
      <c r="C61" s="54" t="s">
        <v>29</v>
      </c>
      <c r="D61" s="279"/>
      <c r="E61" s="56">
        <v>6.6439000000000004</v>
      </c>
      <c r="F61" s="57">
        <f t="shared" si="1"/>
        <v>6.6439000000000004</v>
      </c>
      <c r="G61" s="247">
        <f>ROUND(D61*E61,2)</f>
        <v>0</v>
      </c>
      <c r="H61" s="280"/>
      <c r="I61" s="281"/>
      <c r="J61" s="281"/>
      <c r="K61" s="282"/>
      <c r="L61" s="204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204</v>
      </c>
      <c r="B62" s="183" t="s">
        <v>289</v>
      </c>
      <c r="C62" s="439" t="s">
        <v>260</v>
      </c>
      <c r="D62" s="296">
        <f>апр.19!D63+апр.19!D64</f>
        <v>137.25</v>
      </c>
      <c r="E62" s="41">
        <f>7.4271-7.1994</f>
        <v>0.22770000000000046</v>
      </c>
      <c r="F62" s="41">
        <f t="shared" si="1"/>
        <v>0.22770000000000046</v>
      </c>
      <c r="G62" s="235">
        <f>ROUND(D62*E62,2)</f>
        <v>31.25</v>
      </c>
      <c r="H62" s="270"/>
      <c r="I62" s="41"/>
      <c r="J62" s="41"/>
      <c r="K62" s="271"/>
      <c r="L62" s="294">
        <f>SUM(G62:G64)</f>
        <v>928.3</v>
      </c>
      <c r="M62" s="227">
        <v>928.3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1.28</v>
      </c>
      <c r="E63" s="41">
        <v>7.4271000000000003</v>
      </c>
      <c r="F63" s="41">
        <f t="shared" si="1"/>
        <v>7.4271000000000003</v>
      </c>
      <c r="G63" s="235">
        <f>ROUND(D63*E63,2)</f>
        <v>9.51</v>
      </c>
      <c r="H63" s="270"/>
      <c r="I63" s="41"/>
      <c r="J63" s="41"/>
      <c r="K63" s="271"/>
      <c r="L63" s="272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119.5</v>
      </c>
      <c r="E64" s="56">
        <v>7.4271000000000003</v>
      </c>
      <c r="F64" s="57">
        <f t="shared" si="1"/>
        <v>7.4271000000000003</v>
      </c>
      <c r="G64" s="247">
        <f t="shared" ref="G64" si="9">ROUND(D64*E64,2)</f>
        <v>887.54</v>
      </c>
      <c r="H64" s="280"/>
      <c r="I64" s="281"/>
      <c r="J64" s="281"/>
      <c r="K64" s="282"/>
      <c r="L64" s="204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210</v>
      </c>
      <c r="B65" s="183" t="s">
        <v>245</v>
      </c>
      <c r="C65" s="439" t="s">
        <v>260</v>
      </c>
      <c r="D65" s="296">
        <f>апр.19!D66+апр.19!D67</f>
        <v>243.78</v>
      </c>
      <c r="E65" s="41">
        <f>7.4271-7.1994</f>
        <v>0.22770000000000046</v>
      </c>
      <c r="F65" s="41">
        <f t="shared" si="1"/>
        <v>0.22770000000000046</v>
      </c>
      <c r="G65" s="235">
        <f>ROUND(D65*E65,2)</f>
        <v>55.51</v>
      </c>
      <c r="H65" s="270"/>
      <c r="I65" s="41"/>
      <c r="J65" s="41"/>
      <c r="K65" s="271"/>
      <c r="L65" s="294">
        <f>SUM(G65:G67)</f>
        <v>2116.83</v>
      </c>
      <c r="M65" s="227">
        <v>2116.83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2.94</v>
      </c>
      <c r="E66" s="41">
        <v>7.4271000000000003</v>
      </c>
      <c r="F66" s="41">
        <f t="shared" si="1"/>
        <v>7.4271000000000003</v>
      </c>
      <c r="G66" s="235">
        <f>ROUND(D66*E66,2)</f>
        <v>21.84</v>
      </c>
      <c r="H66" s="270"/>
      <c r="I66" s="41"/>
      <c r="J66" s="41"/>
      <c r="K66" s="271"/>
      <c r="L66" s="272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274.60000000000002</v>
      </c>
      <c r="E67" s="56">
        <v>7.4271000000000003</v>
      </c>
      <c r="F67" s="57">
        <f t="shared" si="1"/>
        <v>7.4271000000000003</v>
      </c>
      <c r="G67" s="247">
        <f t="shared" ref="G67" si="10">ROUND(D67*E67,2)</f>
        <v>2039.48</v>
      </c>
      <c r="H67" s="280"/>
      <c r="I67" s="281"/>
      <c r="J67" s="281"/>
      <c r="K67" s="282"/>
      <c r="L67" s="204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213</v>
      </c>
      <c r="B68" s="183" t="s">
        <v>262</v>
      </c>
      <c r="C68" s="439" t="s">
        <v>260</v>
      </c>
      <c r="D68" s="296">
        <f>апр.19!D69+апр.19!D70</f>
        <v>135.13</v>
      </c>
      <c r="E68" s="41">
        <f>7.4271-7.1994</f>
        <v>0.22770000000000046</v>
      </c>
      <c r="F68" s="41">
        <f t="shared" si="1"/>
        <v>0.22770000000000046</v>
      </c>
      <c r="G68" s="235">
        <f>ROUND(D68*E68,2)</f>
        <v>30.77</v>
      </c>
      <c r="H68" s="270"/>
      <c r="I68" s="41"/>
      <c r="J68" s="41"/>
      <c r="K68" s="271"/>
      <c r="L68" s="294">
        <f>SUM(G68:G70)</f>
        <v>1155.23</v>
      </c>
      <c r="M68" s="227">
        <v>1155.23</v>
      </c>
      <c r="N68" s="274"/>
      <c r="O68" s="237"/>
      <c r="P68" s="275"/>
      <c r="Q68" s="237"/>
      <c r="R68" s="242"/>
      <c r="S68" s="266"/>
      <c r="T68" s="266"/>
    </row>
    <row r="69" spans="1:21" ht="15.75">
      <c r="A69" s="896"/>
      <c r="B69" s="192"/>
      <c r="C69" s="48" t="s">
        <v>263</v>
      </c>
      <c r="D69" s="269">
        <v>1.6</v>
      </c>
      <c r="E69" s="41">
        <v>7.4271000000000003</v>
      </c>
      <c r="F69" s="41">
        <f t="shared" si="1"/>
        <v>7.4271000000000003</v>
      </c>
      <c r="G69" s="235">
        <f>ROUND(D69*E69,2)</f>
        <v>11.88</v>
      </c>
      <c r="H69" s="270"/>
      <c r="I69" s="41"/>
      <c r="J69" s="41"/>
      <c r="K69" s="271"/>
      <c r="L69" s="272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891"/>
      <c r="B70" s="887"/>
      <c r="C70" s="54" t="s">
        <v>29</v>
      </c>
      <c r="D70" s="279">
        <v>149.80000000000001</v>
      </c>
      <c r="E70" s="56">
        <v>7.4271000000000003</v>
      </c>
      <c r="F70" s="57">
        <f t="shared" si="1"/>
        <v>7.4271000000000003</v>
      </c>
      <c r="G70" s="247">
        <f t="shared" ref="G70" si="11">ROUND(D70*E70,2)</f>
        <v>1112.58</v>
      </c>
      <c r="H70" s="280"/>
      <c r="I70" s="281"/>
      <c r="J70" s="281"/>
      <c r="K70" s="282"/>
      <c r="L70" s="204"/>
      <c r="M70" s="250"/>
      <c r="N70" s="283"/>
      <c r="O70" s="252"/>
      <c r="P70" s="284"/>
      <c r="Q70" s="252"/>
      <c r="R70" s="242"/>
      <c r="S70" s="266"/>
      <c r="T70" s="266"/>
    </row>
    <row r="71" spans="1:21" ht="15.75" thickBot="1">
      <c r="A71" s="892">
        <v>215</v>
      </c>
      <c r="B71" s="183" t="s">
        <v>189</v>
      </c>
      <c r="C71" s="71" t="s">
        <v>243</v>
      </c>
      <c r="D71" s="213">
        <v>3.423</v>
      </c>
      <c r="E71" s="21">
        <v>41.244</v>
      </c>
      <c r="F71" s="21">
        <v>48.335999999999999</v>
      </c>
      <c r="G71" s="214">
        <f>ROUND(D71*(E71+F71),2)</f>
        <v>306.63</v>
      </c>
      <c r="H71" s="213">
        <f>мар19!D68</f>
        <v>3.6240000000000001</v>
      </c>
      <c r="I71" s="194">
        <v>0.34799999999999998</v>
      </c>
      <c r="J71" s="23">
        <f>ROUND(H71*I71,2)</f>
        <v>1.26</v>
      </c>
      <c r="K71" s="679">
        <v>43525</v>
      </c>
      <c r="L71" s="216">
        <f>SUM(G71:G78)+SUM(J71:J78)</f>
        <v>5773.22</v>
      </c>
      <c r="M71" s="187">
        <v>5773.22</v>
      </c>
      <c r="N71" s="188"/>
      <c r="O71" s="217"/>
      <c r="P71" s="218"/>
      <c r="Q71" s="219"/>
      <c r="R71" s="220"/>
      <c r="S71" s="221"/>
      <c r="T71" s="222"/>
      <c r="U71" s="33"/>
    </row>
    <row r="72" spans="1:21">
      <c r="A72" s="890"/>
      <c r="B72" s="872"/>
      <c r="C72" s="84" t="s">
        <v>26</v>
      </c>
      <c r="D72" s="37"/>
      <c r="E72" s="38"/>
      <c r="F72" s="38"/>
      <c r="G72" s="39">
        <f>ROUND(D72*(E72+F72),2)</f>
        <v>0</v>
      </c>
      <c r="H72" s="225"/>
      <c r="I72" s="194"/>
      <c r="J72" s="23"/>
      <c r="K72" s="226"/>
      <c r="L72" s="196"/>
      <c r="M72" s="227"/>
      <c r="N72" s="228"/>
      <c r="O72" s="229"/>
      <c r="P72" s="230"/>
      <c r="Q72" s="231"/>
      <c r="R72" s="232"/>
      <c r="S72" s="233"/>
      <c r="T72" s="224"/>
      <c r="U72" s="33"/>
    </row>
    <row r="73" spans="1:21">
      <c r="A73" s="890"/>
      <c r="B73" s="873" t="s">
        <v>32</v>
      </c>
      <c r="C73" s="99" t="s">
        <v>33</v>
      </c>
      <c r="D73" s="234">
        <v>0</v>
      </c>
      <c r="E73" s="101">
        <v>106.5</v>
      </c>
      <c r="F73" s="38">
        <f>F71</f>
        <v>48.335999999999999</v>
      </c>
      <c r="G73" s="235">
        <f>ROUND(D73*(E73+F73),2)</f>
        <v>0</v>
      </c>
      <c r="H73" s="234"/>
      <c r="I73" s="194"/>
      <c r="J73" s="194"/>
      <c r="K73" s="195"/>
      <c r="L73" s="196"/>
      <c r="M73" s="227"/>
      <c r="N73" s="236"/>
      <c r="O73" s="237"/>
      <c r="P73" s="230"/>
      <c r="Q73" s="238"/>
      <c r="R73" s="232"/>
      <c r="S73" s="233"/>
      <c r="T73" s="224"/>
    </row>
    <row r="74" spans="1:21">
      <c r="A74" s="890"/>
      <c r="B74" s="872" t="s">
        <v>33</v>
      </c>
      <c r="C74" s="239" t="s">
        <v>26</v>
      </c>
      <c r="D74" s="234"/>
      <c r="E74" s="240"/>
      <c r="F74" s="240"/>
      <c r="G74" s="235">
        <f>+ROUND(D74*E74,2)</f>
        <v>0</v>
      </c>
      <c r="H74" s="241"/>
      <c r="I74" s="194"/>
      <c r="J74" s="194"/>
      <c r="K74" s="195"/>
      <c r="L74" s="196"/>
      <c r="M74" s="227"/>
      <c r="N74" s="236"/>
      <c r="O74" s="237"/>
      <c r="P74" s="230"/>
      <c r="Q74" s="238"/>
      <c r="R74" s="242"/>
      <c r="S74" s="233"/>
      <c r="T74" s="224"/>
    </row>
    <row r="75" spans="1:21">
      <c r="A75" s="890"/>
      <c r="B75" s="872"/>
      <c r="C75" s="239" t="s">
        <v>26</v>
      </c>
      <c r="D75" s="234"/>
      <c r="E75" s="240"/>
      <c r="F75" s="41"/>
      <c r="G75" s="235">
        <f>+ROUND(D75*F75,2)</f>
        <v>0</v>
      </c>
      <c r="H75" s="241"/>
      <c r="I75" s="194"/>
      <c r="J75" s="194"/>
      <c r="K75" s="195"/>
      <c r="L75" s="196"/>
      <c r="M75" s="227"/>
      <c r="N75" s="236"/>
      <c r="O75" s="237"/>
      <c r="P75" s="230"/>
      <c r="Q75" s="238"/>
      <c r="R75" s="242"/>
      <c r="S75" s="233"/>
      <c r="T75" s="224"/>
    </row>
    <row r="76" spans="1:21">
      <c r="A76" s="890"/>
      <c r="B76" s="872"/>
      <c r="C76" s="48" t="s">
        <v>260</v>
      </c>
      <c r="D76" s="49">
        <f>апр.19!D77+апр.19!D78</f>
        <v>374.87</v>
      </c>
      <c r="E76" s="41">
        <f>7.4271-7.1994</f>
        <v>0.22770000000000046</v>
      </c>
      <c r="F76" s="41">
        <f t="shared" ref="F76:F81" si="12">+E76</f>
        <v>0.22770000000000046</v>
      </c>
      <c r="G76" s="50">
        <f>ROUND(D76*E76,2)</f>
        <v>85.36</v>
      </c>
      <c r="H76" s="241"/>
      <c r="I76" s="194"/>
      <c r="J76" s="194"/>
      <c r="K76" s="195"/>
      <c r="L76" s="196"/>
      <c r="M76" s="227"/>
      <c r="N76" s="236"/>
      <c r="O76" s="237"/>
      <c r="P76" s="230"/>
      <c r="Q76" s="238"/>
      <c r="R76" s="242"/>
      <c r="S76" s="233"/>
      <c r="T76" s="224"/>
    </row>
    <row r="77" spans="1:21">
      <c r="A77" s="890"/>
      <c r="B77" s="872"/>
      <c r="C77" s="48" t="s">
        <v>263</v>
      </c>
      <c r="D77" s="49">
        <v>7.67</v>
      </c>
      <c r="E77" s="41">
        <v>7.4271000000000003</v>
      </c>
      <c r="F77" s="41">
        <f t="shared" si="12"/>
        <v>7.4271000000000003</v>
      </c>
      <c r="G77" s="50">
        <f>ROUND(D77*E77,2)</f>
        <v>56.97</v>
      </c>
      <c r="H77" s="241"/>
      <c r="I77" s="194"/>
      <c r="J77" s="243"/>
      <c r="K77" s="195"/>
      <c r="L77" s="196"/>
      <c r="M77" s="227"/>
      <c r="N77" s="236"/>
      <c r="O77" s="237"/>
      <c r="P77" s="230"/>
      <c r="Q77" s="238"/>
      <c r="R77" s="242"/>
      <c r="S77" s="233"/>
      <c r="T77" s="224"/>
      <c r="U77" s="33"/>
    </row>
    <row r="78" spans="1:21" ht="15.75" thickBot="1">
      <c r="A78" s="897"/>
      <c r="B78" s="875"/>
      <c r="C78" s="99" t="s">
        <v>29</v>
      </c>
      <c r="D78" s="246">
        <v>716.7</v>
      </c>
      <c r="E78" s="56">
        <v>7.4271000000000003</v>
      </c>
      <c r="F78" s="57">
        <f t="shared" si="12"/>
        <v>7.4271000000000003</v>
      </c>
      <c r="G78" s="247">
        <f>ROUND(D78*E78*70%+D78*F78*30%,2)</f>
        <v>5323</v>
      </c>
      <c r="H78" s="248"/>
      <c r="I78" s="203"/>
      <c r="J78" s="60"/>
      <c r="K78" s="61"/>
      <c r="L78" s="249"/>
      <c r="M78" s="250"/>
      <c r="N78" s="251"/>
      <c r="O78" s="252"/>
      <c r="P78" s="253"/>
      <c r="Q78" s="254"/>
      <c r="R78" s="255"/>
      <c r="S78" s="256"/>
      <c r="T78" s="256"/>
    </row>
    <row r="79" spans="1:21" ht="15.75" thickTop="1">
      <c r="A79" s="892">
        <v>217</v>
      </c>
      <c r="B79" s="183" t="s">
        <v>269</v>
      </c>
      <c r="C79" s="439" t="s">
        <v>260</v>
      </c>
      <c r="D79" s="296">
        <f>апр.19!D80+апр.19!D81</f>
        <v>35.169999999999995</v>
      </c>
      <c r="E79" s="41">
        <f>7.4271-7.1994</f>
        <v>0.22770000000000046</v>
      </c>
      <c r="F79" s="41">
        <f t="shared" si="12"/>
        <v>0.22770000000000046</v>
      </c>
      <c r="G79" s="235">
        <f>ROUND(D79*E79,2)-0.01</f>
        <v>8</v>
      </c>
      <c r="H79" s="270"/>
      <c r="I79" s="41"/>
      <c r="J79" s="41"/>
      <c r="K79" s="271"/>
      <c r="L79" s="294">
        <f>SUM(G79:G81)</f>
        <v>331.53000000000003</v>
      </c>
      <c r="M79" s="227">
        <v>331.53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192"/>
      <c r="C80" s="48" t="s">
        <v>263</v>
      </c>
      <c r="D80" s="269">
        <v>0.46</v>
      </c>
      <c r="E80" s="41">
        <v>7.4271000000000003</v>
      </c>
      <c r="F80" s="41">
        <f t="shared" si="12"/>
        <v>7.4271000000000003</v>
      </c>
      <c r="G80" s="235">
        <f>ROUND(D80*E80,2)</f>
        <v>3.42</v>
      </c>
      <c r="H80" s="270"/>
      <c r="I80" s="41"/>
      <c r="J80" s="41"/>
      <c r="K80" s="271"/>
      <c r="L80" s="272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43.1</v>
      </c>
      <c r="E81" s="56">
        <v>7.4271000000000003</v>
      </c>
      <c r="F81" s="57">
        <f t="shared" si="12"/>
        <v>7.4271000000000003</v>
      </c>
      <c r="G81" s="247">
        <f t="shared" ref="G81" si="13">ROUND(D81*E81,2)</f>
        <v>320.11</v>
      </c>
      <c r="H81" s="280"/>
      <c r="I81" s="281"/>
      <c r="J81" s="281"/>
      <c r="K81" s="282"/>
      <c r="L81" s="204"/>
      <c r="M81" s="250"/>
      <c r="N81" s="283"/>
      <c r="O81" s="252"/>
      <c r="P81" s="284"/>
      <c r="Q81" s="252"/>
      <c r="R81" s="242"/>
      <c r="S81" s="266"/>
      <c r="T81" s="266"/>
    </row>
    <row r="82" spans="1:21" ht="15.75" collapsed="1" thickBot="1">
      <c r="A82" s="891">
        <v>309</v>
      </c>
      <c r="B82" s="887" t="s">
        <v>251</v>
      </c>
      <c r="C82" s="54" t="s">
        <v>260</v>
      </c>
      <c r="D82" s="296">
        <f>апр.19!D83+апр.19!D84</f>
        <v>318.07</v>
      </c>
      <c r="E82" s="41">
        <f>7.4271-7.1994</f>
        <v>0.22770000000000046</v>
      </c>
      <c r="F82" s="41">
        <f>+E82</f>
        <v>0.22770000000000046</v>
      </c>
      <c r="G82" s="235">
        <f>ROUND(D82*E82,2)</f>
        <v>72.42</v>
      </c>
      <c r="H82" s="270"/>
      <c r="I82" s="41"/>
      <c r="J82" s="41"/>
      <c r="K82" s="271"/>
      <c r="L82" s="294">
        <f>SUM(G82:G84)</f>
        <v>2783.76</v>
      </c>
      <c r="M82" s="227">
        <v>2783.76</v>
      </c>
      <c r="N82" s="274"/>
      <c r="O82" s="237"/>
      <c r="P82" s="275"/>
      <c r="Q82" s="237"/>
      <c r="R82" s="242"/>
      <c r="S82" s="266"/>
      <c r="T82" s="266"/>
    </row>
    <row r="83" spans="1:21" ht="15.75">
      <c r="A83" s="896"/>
      <c r="B83" s="885"/>
      <c r="C83" s="48" t="s">
        <v>263</v>
      </c>
      <c r="D83" s="269">
        <v>3.86</v>
      </c>
      <c r="E83" s="41">
        <v>7.4271000000000003</v>
      </c>
      <c r="F83" s="41">
        <f>+E83</f>
        <v>7.4271000000000003</v>
      </c>
      <c r="G83" s="235">
        <f t="shared" ref="G83:G84" si="14">ROUND(D83*E83,2)</f>
        <v>28.67</v>
      </c>
      <c r="H83" s="270"/>
      <c r="I83" s="41"/>
      <c r="J83" s="41"/>
      <c r="K83" s="271"/>
      <c r="L83" s="272"/>
      <c r="M83" s="273"/>
      <c r="N83" s="274"/>
      <c r="O83" s="237"/>
      <c r="P83" s="275"/>
      <c r="Q83" s="237"/>
      <c r="R83" s="242"/>
      <c r="S83" s="266"/>
      <c r="T83" s="266"/>
    </row>
    <row r="84" spans="1:21" ht="16.5" thickBot="1">
      <c r="A84" s="891"/>
      <c r="B84" s="887"/>
      <c r="C84" s="54" t="s">
        <v>29</v>
      </c>
      <c r="D84" s="279">
        <v>361.2</v>
      </c>
      <c r="E84" s="56">
        <v>7.4271000000000003</v>
      </c>
      <c r="F84" s="57">
        <f>+E84</f>
        <v>7.4271000000000003</v>
      </c>
      <c r="G84" s="247">
        <f t="shared" si="14"/>
        <v>2682.67</v>
      </c>
      <c r="H84" s="280"/>
      <c r="I84" s="281"/>
      <c r="J84" s="281"/>
      <c r="K84" s="282"/>
      <c r="L84" s="204"/>
      <c r="M84" s="250"/>
      <c r="N84" s="283"/>
      <c r="O84" s="252"/>
      <c r="P84" s="284"/>
      <c r="Q84" s="252"/>
      <c r="R84" s="242"/>
      <c r="S84" s="266"/>
      <c r="T84" s="266"/>
    </row>
    <row r="85" spans="1:21" ht="15.75" thickBot="1">
      <c r="A85" s="888">
        <v>314</v>
      </c>
      <c r="B85" s="889" t="s">
        <v>52</v>
      </c>
      <c r="C85" s="71">
        <v>0</v>
      </c>
      <c r="D85" s="213">
        <v>306.69799999999998</v>
      </c>
      <c r="E85" s="21">
        <v>41.244</v>
      </c>
      <c r="F85" s="21">
        <v>48.335999999999999</v>
      </c>
      <c r="G85" s="214">
        <f>ROUND(D85*(E85+F85),2)</f>
        <v>27474.01</v>
      </c>
      <c r="H85" s="213">
        <f>мар19!D82</f>
        <v>195</v>
      </c>
      <c r="I85" s="194">
        <v>0.34799999999999998</v>
      </c>
      <c r="J85" s="23">
        <f>ROUND(H85*I85,2)</f>
        <v>67.86</v>
      </c>
      <c r="K85" s="679">
        <v>43525</v>
      </c>
      <c r="L85" s="216">
        <f>SUM(G85:G92)+SUM(J85:J92)</f>
        <v>117092.81000000001</v>
      </c>
      <c r="M85" s="187">
        <v>117092.81</v>
      </c>
      <c r="N85" s="188"/>
      <c r="O85" s="217">
        <v>4253.6899999999996</v>
      </c>
      <c r="P85" s="218" t="s">
        <v>47</v>
      </c>
      <c r="Q85" s="219">
        <f t="shared" ref="Q85" si="15">C85+G85+J85-M85-N85-O85</f>
        <v>-93804.63</v>
      </c>
      <c r="R85" s="220" t="s">
        <v>53</v>
      </c>
      <c r="S85" s="221"/>
      <c r="T85" s="222"/>
      <c r="U85" s="33">
        <f>+C85+L85-M85</f>
        <v>0</v>
      </c>
    </row>
    <row r="86" spans="1:21" ht="15.75" thickBot="1">
      <c r="A86" s="890"/>
      <c r="B86" s="872"/>
      <c r="C86" s="84" t="s">
        <v>26</v>
      </c>
      <c r="D86" s="37"/>
      <c r="E86" s="38"/>
      <c r="F86" s="38"/>
      <c r="G86" s="39">
        <f>ROUND(D86*(E86+F86),2)</f>
        <v>0</v>
      </c>
      <c r="H86" s="225"/>
      <c r="I86" s="194"/>
      <c r="J86" s="23"/>
      <c r="K86" s="226"/>
      <c r="L86" s="196"/>
      <c r="M86" s="227"/>
      <c r="N86" s="228"/>
      <c r="O86" s="229"/>
      <c r="P86" s="230"/>
      <c r="Q86" s="231"/>
      <c r="R86" s="232"/>
      <c r="S86" s="233"/>
      <c r="T86" s="224"/>
      <c r="U86" s="33"/>
    </row>
    <row r="87" spans="1:21">
      <c r="A87" s="890"/>
      <c r="B87" s="873" t="s">
        <v>32</v>
      </c>
      <c r="C87" s="99" t="s">
        <v>33</v>
      </c>
      <c r="D87" s="234">
        <v>0</v>
      </c>
      <c r="E87" s="101">
        <v>106.5</v>
      </c>
      <c r="F87" s="21">
        <f>F85</f>
        <v>48.335999999999999</v>
      </c>
      <c r="G87" s="235">
        <f>ROUND(D87*(E87+F87),2)</f>
        <v>0</v>
      </c>
      <c r="H87" s="234"/>
      <c r="I87" s="194"/>
      <c r="J87" s="194"/>
      <c r="K87" s="195"/>
      <c r="L87" s="196"/>
      <c r="M87" s="227"/>
      <c r="N87" s="236"/>
      <c r="O87" s="237">
        <v>5456.6</v>
      </c>
      <c r="P87" s="230" t="s">
        <v>47</v>
      </c>
      <c r="Q87" s="238">
        <f>+G87+J87-M87-N87-O87</f>
        <v>-5456.6</v>
      </c>
      <c r="R87" s="232"/>
      <c r="S87" s="233"/>
      <c r="T87" s="224"/>
    </row>
    <row r="88" spans="1:21">
      <c r="A88" s="890"/>
      <c r="B88" s="872" t="s">
        <v>33</v>
      </c>
      <c r="C88" s="239" t="s">
        <v>26</v>
      </c>
      <c r="D88" s="234"/>
      <c r="E88" s="240"/>
      <c r="F88" s="240">
        <f>F86</f>
        <v>0</v>
      </c>
      <c r="G88" s="235">
        <f>+ROUND(D88*E88,2)</f>
        <v>0</v>
      </c>
      <c r="H88" s="241"/>
      <c r="I88" s="194"/>
      <c r="J88" s="194"/>
      <c r="K88" s="195"/>
      <c r="L88" s="196"/>
      <c r="M88" s="227"/>
      <c r="N88" s="236"/>
      <c r="O88" s="237"/>
      <c r="P88" s="230"/>
      <c r="Q88" s="238"/>
      <c r="R88" s="242"/>
      <c r="S88" s="233"/>
      <c r="T88" s="224"/>
    </row>
    <row r="89" spans="1:21">
      <c r="A89" s="890"/>
      <c r="B89" s="872"/>
      <c r="C89" s="239" t="s">
        <v>26</v>
      </c>
      <c r="D89" s="234"/>
      <c r="E89" s="240"/>
      <c r="F89" s="41"/>
      <c r="G89" s="235">
        <f>+ROUND(D89*F89,2)</f>
        <v>0</v>
      </c>
      <c r="H89" s="241"/>
      <c r="I89" s="194"/>
      <c r="J89" s="194"/>
      <c r="K89" s="195"/>
      <c r="L89" s="196"/>
      <c r="M89" s="227"/>
      <c r="N89" s="236"/>
      <c r="O89" s="237"/>
      <c r="P89" s="230"/>
      <c r="Q89" s="238"/>
      <c r="R89" s="242"/>
      <c r="S89" s="233"/>
      <c r="T89" s="224"/>
    </row>
    <row r="90" spans="1:21">
      <c r="A90" s="890"/>
      <c r="B90" s="872"/>
      <c r="C90" s="48" t="s">
        <v>260</v>
      </c>
      <c r="D90" s="49">
        <f>апр.19!D91+апр.19!D92</f>
        <v>8791.57</v>
      </c>
      <c r="E90" s="41">
        <f>7.4271-7.1994</f>
        <v>0.22770000000000046</v>
      </c>
      <c r="F90" s="41">
        <f t="shared" ref="F90:F147" si="16">+E90</f>
        <v>0.22770000000000046</v>
      </c>
      <c r="G90" s="50">
        <f>ROUND(D90*E90,2)</f>
        <v>2001.84</v>
      </c>
      <c r="H90" s="241"/>
      <c r="I90" s="194"/>
      <c r="J90" s="194"/>
      <c r="K90" s="195"/>
      <c r="L90" s="196"/>
      <c r="M90" s="227"/>
      <c r="N90" s="236"/>
      <c r="O90" s="237"/>
      <c r="P90" s="230"/>
      <c r="Q90" s="238"/>
      <c r="R90" s="242"/>
      <c r="S90" s="233"/>
      <c r="T90" s="224"/>
    </row>
    <row r="91" spans="1:21">
      <c r="A91" s="890"/>
      <c r="B91" s="872"/>
      <c r="C91" s="48" t="s">
        <v>263</v>
      </c>
      <c r="D91" s="49">
        <v>124.79</v>
      </c>
      <c r="E91" s="41">
        <v>7.4271000000000003</v>
      </c>
      <c r="F91" s="41">
        <f t="shared" si="16"/>
        <v>7.4271000000000003</v>
      </c>
      <c r="G91" s="50">
        <f>ROUND(D91*E91,2)</f>
        <v>926.83</v>
      </c>
      <c r="H91" s="241"/>
      <c r="I91" s="194"/>
      <c r="J91" s="243"/>
      <c r="K91" s="195"/>
      <c r="L91" s="196"/>
      <c r="M91" s="227"/>
      <c r="N91" s="236"/>
      <c r="O91" s="237"/>
      <c r="P91" s="230"/>
      <c r="Q91" s="238"/>
      <c r="R91" s="242"/>
      <c r="S91" s="233"/>
      <c r="T91" s="224"/>
      <c r="U91" s="33"/>
    </row>
    <row r="92" spans="1:21" ht="15.75" thickBot="1">
      <c r="A92" s="891"/>
      <c r="B92" s="887"/>
      <c r="C92" s="54" t="s">
        <v>29</v>
      </c>
      <c r="D92" s="246">
        <v>11663</v>
      </c>
      <c r="E92" s="56">
        <v>7.4271000000000003</v>
      </c>
      <c r="F92" s="57">
        <f t="shared" si="16"/>
        <v>7.4271000000000003</v>
      </c>
      <c r="G92" s="247">
        <f>ROUND(D92*E92*70%+D92*F92*30%,2)</f>
        <v>86622.27</v>
      </c>
      <c r="H92" s="248"/>
      <c r="I92" s="203"/>
      <c r="J92" s="60"/>
      <c r="K92" s="61"/>
      <c r="L92" s="249"/>
      <c r="M92" s="250"/>
      <c r="N92" s="251"/>
      <c r="O92" s="252">
        <v>15777.9</v>
      </c>
      <c r="P92" s="253" t="s">
        <v>47</v>
      </c>
      <c r="Q92" s="254">
        <f>+G92+J92-M92-N92-O92</f>
        <v>70844.37000000001</v>
      </c>
      <c r="R92" s="255" t="s">
        <v>54</v>
      </c>
      <c r="S92" s="256">
        <f>SUM(O85:O92)</f>
        <v>25488.190000000002</v>
      </c>
      <c r="T92" s="256">
        <f>SUM(Q85:Q92)</f>
        <v>-28416.86</v>
      </c>
    </row>
    <row r="93" spans="1:21">
      <c r="A93" s="892">
        <v>315</v>
      </c>
      <c r="B93" s="183" t="s">
        <v>318</v>
      </c>
      <c r="C93" s="439" t="s">
        <v>260</v>
      </c>
      <c r="D93" s="296">
        <f>апр.19!D94+апр.19!D95</f>
        <v>222.35</v>
      </c>
      <c r="E93" s="41">
        <f>7.4271-7.1994</f>
        <v>0.22770000000000046</v>
      </c>
      <c r="F93" s="41">
        <f t="shared" si="16"/>
        <v>0.22770000000000046</v>
      </c>
      <c r="G93" s="235">
        <f>ROUND(D93*E93,2)+0.01</f>
        <v>50.64</v>
      </c>
      <c r="H93" s="270"/>
      <c r="I93" s="41"/>
      <c r="J93" s="41"/>
      <c r="K93" s="271"/>
      <c r="L93" s="294">
        <f>SUM(G93:G95)</f>
        <v>1696.85</v>
      </c>
      <c r="M93" s="227">
        <v>1696.85</v>
      </c>
      <c r="N93" s="274"/>
      <c r="O93" s="237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2.35</v>
      </c>
      <c r="E94" s="41">
        <v>7.4271000000000003</v>
      </c>
      <c r="F94" s="41">
        <f t="shared" si="16"/>
        <v>7.4271000000000003</v>
      </c>
      <c r="G94" s="235">
        <f t="shared" ref="G94:G95" si="17">ROUND(D94*E94,2)</f>
        <v>17.45</v>
      </c>
      <c r="H94" s="270"/>
      <c r="I94" s="41"/>
      <c r="J94" s="41"/>
      <c r="K94" s="271"/>
      <c r="L94" s="272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219.3</v>
      </c>
      <c r="E95" s="56">
        <v>7.4271000000000003</v>
      </c>
      <c r="F95" s="57">
        <f t="shared" si="16"/>
        <v>7.4271000000000003</v>
      </c>
      <c r="G95" s="247">
        <f t="shared" si="17"/>
        <v>1628.76</v>
      </c>
      <c r="H95" s="280"/>
      <c r="I95" s="281"/>
      <c r="J95" s="281"/>
      <c r="K95" s="282"/>
      <c r="L95" s="204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402</v>
      </c>
      <c r="B96" s="183" t="s">
        <v>178</v>
      </c>
      <c r="C96" s="439" t="s">
        <v>260</v>
      </c>
      <c r="D96" s="296">
        <f>апр.19!D97+апр.19!D98</f>
        <v>132.81</v>
      </c>
      <c r="E96" s="41">
        <f>7.4271-7.1994</f>
        <v>0.22770000000000046</v>
      </c>
      <c r="F96" s="41">
        <f t="shared" si="16"/>
        <v>0.22770000000000046</v>
      </c>
      <c r="G96" s="235">
        <f>ROUND(D96*E96,2)+0.01</f>
        <v>30.25</v>
      </c>
      <c r="H96" s="270"/>
      <c r="I96" s="41"/>
      <c r="J96" s="41"/>
      <c r="K96" s="271"/>
      <c r="L96" s="294">
        <f>SUM(G96:G98)</f>
        <v>1051.99</v>
      </c>
      <c r="M96" s="227">
        <v>1051.99</v>
      </c>
      <c r="N96" s="274"/>
      <c r="O96" s="237"/>
      <c r="P96" s="275"/>
      <c r="Q96" s="237"/>
      <c r="R96" s="242"/>
      <c r="S96" s="266"/>
      <c r="T96" s="266"/>
    </row>
    <row r="97" spans="1:20" ht="15.75">
      <c r="A97" s="896"/>
      <c r="B97" s="192"/>
      <c r="C97" s="48" t="s">
        <v>263</v>
      </c>
      <c r="D97" s="269">
        <v>1.46</v>
      </c>
      <c r="E97" s="41">
        <v>7.4271000000000003</v>
      </c>
      <c r="F97" s="41">
        <f t="shared" si="16"/>
        <v>7.4271000000000003</v>
      </c>
      <c r="G97" s="235">
        <f t="shared" ref="G97:G113" si="18">ROUND(D97*E97,2)</f>
        <v>10.84</v>
      </c>
      <c r="H97" s="270"/>
      <c r="I97" s="41"/>
      <c r="J97" s="41"/>
      <c r="K97" s="271"/>
      <c r="L97" s="272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202"/>
      <c r="C98" s="54" t="s">
        <v>29</v>
      </c>
      <c r="D98" s="279">
        <v>136.11000000000001</v>
      </c>
      <c r="E98" s="56">
        <v>7.4271000000000003</v>
      </c>
      <c r="F98" s="57">
        <f t="shared" si="16"/>
        <v>7.4271000000000003</v>
      </c>
      <c r="G98" s="247">
        <f t="shared" si="18"/>
        <v>1010.9</v>
      </c>
      <c r="H98" s="280"/>
      <c r="I98" s="281"/>
      <c r="J98" s="281"/>
      <c r="K98" s="282"/>
      <c r="L98" s="204"/>
      <c r="M98" s="250"/>
      <c r="N98" s="283"/>
      <c r="O98" s="252"/>
      <c r="P98" s="284"/>
      <c r="Q98" s="252"/>
      <c r="R98" s="242"/>
      <c r="S98" s="266"/>
      <c r="T98" s="266"/>
    </row>
    <row r="99" spans="1:20" ht="15.75" hidden="1" thickBot="1">
      <c r="A99" s="892">
        <v>403</v>
      </c>
      <c r="B99" s="183" t="s">
        <v>290</v>
      </c>
      <c r="C99" s="439" t="s">
        <v>260</v>
      </c>
      <c r="D99" s="296"/>
      <c r="E99" s="41">
        <f>7.1994-7.4969</f>
        <v>-0.29750000000000032</v>
      </c>
      <c r="F99" s="41">
        <f t="shared" si="16"/>
        <v>-0.29750000000000032</v>
      </c>
      <c r="G99" s="235">
        <f>ROUND(D99*E99,2)</f>
        <v>0</v>
      </c>
      <c r="H99" s="270"/>
      <c r="I99" s="41"/>
      <c r="J99" s="41"/>
      <c r="K99" s="271"/>
      <c r="L99" s="294">
        <f>SUM(G99:G101)</f>
        <v>0</v>
      </c>
      <c r="M99" s="996"/>
      <c r="N99" s="997"/>
      <c r="O99" s="998"/>
      <c r="P99" s="275"/>
      <c r="Q99" s="237"/>
      <c r="R99" s="242"/>
      <c r="S99" s="266"/>
      <c r="T99" s="266"/>
    </row>
    <row r="100" spans="1:20" ht="16.5" hidden="1" thickBot="1">
      <c r="A100" s="896"/>
      <c r="B100" s="192" t="s">
        <v>291</v>
      </c>
      <c r="C100" s="48" t="s">
        <v>263</v>
      </c>
      <c r="D100" s="269"/>
      <c r="E100" s="41">
        <v>7.1993999999999998</v>
      </c>
      <c r="F100" s="41">
        <f t="shared" si="16"/>
        <v>7.1993999999999998</v>
      </c>
      <c r="G100" s="235">
        <f>ROUND(D100*E100,2)</f>
        <v>0</v>
      </c>
      <c r="H100" s="270"/>
      <c r="I100" s="41"/>
      <c r="J100" s="41"/>
      <c r="K100" s="271"/>
      <c r="L100" s="272"/>
      <c r="M100" s="273"/>
      <c r="N100" s="274"/>
      <c r="O100" s="237"/>
      <c r="P100" s="275"/>
      <c r="Q100" s="237"/>
      <c r="R100" s="242"/>
      <c r="S100" s="266"/>
      <c r="T100" s="266"/>
    </row>
    <row r="101" spans="1:20" ht="16.5" hidden="1" thickBot="1">
      <c r="A101" s="891"/>
      <c r="B101" s="202"/>
      <c r="C101" s="54" t="s">
        <v>29</v>
      </c>
      <c r="D101" s="279"/>
      <c r="E101" s="56">
        <v>7.1993999999999998</v>
      </c>
      <c r="F101" s="57">
        <f t="shared" si="16"/>
        <v>7.1993999999999998</v>
      </c>
      <c r="G101" s="247">
        <f t="shared" ref="G101" si="19">ROUND(D101*E101,2)</f>
        <v>0</v>
      </c>
      <c r="H101" s="280"/>
      <c r="I101" s="281"/>
      <c r="J101" s="281"/>
      <c r="K101" s="282"/>
      <c r="L101" s="204"/>
      <c r="M101" s="250"/>
      <c r="N101" s="283"/>
      <c r="O101" s="252"/>
      <c r="P101" s="284"/>
      <c r="Q101" s="252"/>
      <c r="R101" s="242"/>
      <c r="S101" s="266"/>
      <c r="T101" s="266"/>
    </row>
    <row r="102" spans="1:20">
      <c r="A102" s="892">
        <v>403</v>
      </c>
      <c r="B102" s="183" t="s">
        <v>331</v>
      </c>
      <c r="C102" s="439" t="s">
        <v>260</v>
      </c>
      <c r="D102" s="296">
        <f>апр.19!D103+апр.19!D104</f>
        <v>116.63000000000001</v>
      </c>
      <c r="E102" s="41">
        <f>7.4271-7.1994</f>
        <v>0.22770000000000046</v>
      </c>
      <c r="F102" s="41">
        <f t="shared" si="16"/>
        <v>0.22770000000000046</v>
      </c>
      <c r="G102" s="235">
        <f>ROUND(D102*E102,2)-0.01</f>
        <v>26.549999999999997</v>
      </c>
      <c r="H102" s="270"/>
      <c r="I102" s="41"/>
      <c r="J102" s="41"/>
      <c r="K102" s="271"/>
      <c r="L102" s="294">
        <f>SUM(G102:G104)</f>
        <v>780.99</v>
      </c>
      <c r="M102" s="227">
        <v>780.99</v>
      </c>
      <c r="N102" s="274"/>
      <c r="O102" s="237"/>
      <c r="P102" s="275"/>
      <c r="Q102" s="237"/>
      <c r="R102" s="242"/>
      <c r="S102" s="266"/>
      <c r="T102" s="266"/>
    </row>
    <row r="103" spans="1:20" ht="15.75">
      <c r="A103" s="896"/>
      <c r="B103" s="192"/>
      <c r="C103" s="48" t="s">
        <v>263</v>
      </c>
      <c r="D103" s="269">
        <v>1.08</v>
      </c>
      <c r="E103" s="41">
        <v>7.4271000000000003</v>
      </c>
      <c r="F103" s="41">
        <f t="shared" si="16"/>
        <v>7.4271000000000003</v>
      </c>
      <c r="G103" s="235">
        <f t="shared" ref="G103:G104" si="20">ROUND(D103*E103,2)</f>
        <v>8.02</v>
      </c>
      <c r="H103" s="270"/>
      <c r="I103" s="41"/>
      <c r="J103" s="41"/>
      <c r="K103" s="271"/>
      <c r="L103" s="272"/>
      <c r="M103" s="273"/>
      <c r="N103" s="274"/>
      <c r="O103" s="237"/>
      <c r="P103" s="275"/>
      <c r="Q103" s="237"/>
      <c r="R103" s="242"/>
      <c r="S103" s="266"/>
      <c r="T103" s="266"/>
    </row>
    <row r="104" spans="1:20" ht="16.5" thickBot="1">
      <c r="A104" s="891"/>
      <c r="B104" s="202"/>
      <c r="C104" s="54" t="s">
        <v>29</v>
      </c>
      <c r="D104" s="279">
        <v>100.5</v>
      </c>
      <c r="E104" s="56">
        <v>7.4271000000000003</v>
      </c>
      <c r="F104" s="57">
        <f t="shared" si="16"/>
        <v>7.4271000000000003</v>
      </c>
      <c r="G104" s="247">
        <f t="shared" si="20"/>
        <v>746.42</v>
      </c>
      <c r="H104" s="280"/>
      <c r="I104" s="281"/>
      <c r="J104" s="281"/>
      <c r="K104" s="282"/>
      <c r="L104" s="204"/>
      <c r="M104" s="250"/>
      <c r="N104" s="283"/>
      <c r="O104" s="252"/>
      <c r="P104" s="284"/>
      <c r="Q104" s="252"/>
      <c r="R104" s="242"/>
      <c r="S104" s="266"/>
      <c r="T104" s="266"/>
    </row>
    <row r="105" spans="1:20">
      <c r="A105" s="892">
        <v>409</v>
      </c>
      <c r="B105" s="183" t="s">
        <v>218</v>
      </c>
      <c r="C105" s="439" t="s">
        <v>260</v>
      </c>
      <c r="D105" s="296">
        <f>апр.19!D106+апр.19!D107</f>
        <v>152.51000000000002</v>
      </c>
      <c r="E105" s="41">
        <f>7.4271-7.1994</f>
        <v>0.22770000000000046</v>
      </c>
      <c r="F105" s="41">
        <f t="shared" si="16"/>
        <v>0.22770000000000046</v>
      </c>
      <c r="G105" s="235">
        <f>ROUND(D105*E105,2)</f>
        <v>34.729999999999997</v>
      </c>
      <c r="H105" s="270"/>
      <c r="I105" s="41"/>
      <c r="J105" s="41"/>
      <c r="K105" s="271"/>
      <c r="L105" s="294">
        <f>SUM(G105:G107)</f>
        <v>999.29</v>
      </c>
      <c r="M105" s="227">
        <v>999.29</v>
      </c>
      <c r="N105" s="274"/>
      <c r="O105" s="237"/>
      <c r="P105" s="275"/>
      <c r="Q105" s="237"/>
      <c r="R105" s="242"/>
      <c r="S105" s="266"/>
      <c r="T105" s="266"/>
    </row>
    <row r="106" spans="1:20" ht="15.75">
      <c r="A106" s="896"/>
      <c r="B106" s="192"/>
      <c r="C106" s="48" t="s">
        <v>263</v>
      </c>
      <c r="D106" s="269">
        <v>1.37</v>
      </c>
      <c r="E106" s="41">
        <v>7.4271000000000003</v>
      </c>
      <c r="F106" s="41">
        <f t="shared" si="16"/>
        <v>7.4271000000000003</v>
      </c>
      <c r="G106" s="235">
        <f t="shared" si="18"/>
        <v>10.18</v>
      </c>
      <c r="H106" s="270"/>
      <c r="I106" s="41"/>
      <c r="J106" s="41"/>
      <c r="K106" s="271"/>
      <c r="L106" s="272"/>
      <c r="M106" s="273"/>
      <c r="N106" s="274"/>
      <c r="O106" s="237"/>
      <c r="P106" s="275"/>
      <c r="Q106" s="237"/>
      <c r="R106" s="242"/>
      <c r="S106" s="266"/>
      <c r="T106" s="266"/>
    </row>
    <row r="107" spans="1:20" ht="16.5" thickBot="1">
      <c r="A107" s="891"/>
      <c r="B107" s="887"/>
      <c r="C107" s="54" t="s">
        <v>29</v>
      </c>
      <c r="D107" s="279">
        <v>128.5</v>
      </c>
      <c r="E107" s="56">
        <v>7.4271000000000003</v>
      </c>
      <c r="F107" s="57">
        <f t="shared" si="16"/>
        <v>7.4271000000000003</v>
      </c>
      <c r="G107" s="247">
        <f t="shared" si="18"/>
        <v>954.38</v>
      </c>
      <c r="H107" s="280"/>
      <c r="I107" s="281"/>
      <c r="J107" s="281"/>
      <c r="K107" s="282"/>
      <c r="L107" s="204"/>
      <c r="M107" s="250"/>
      <c r="N107" s="283"/>
      <c r="O107" s="252"/>
      <c r="P107" s="284"/>
      <c r="Q107" s="252"/>
      <c r="R107" s="242"/>
      <c r="S107" s="266"/>
      <c r="T107" s="266"/>
    </row>
    <row r="108" spans="1:20">
      <c r="A108" s="892">
        <v>410</v>
      </c>
      <c r="B108" s="183" t="s">
        <v>138</v>
      </c>
      <c r="C108" s="439" t="s">
        <v>260</v>
      </c>
      <c r="D108" s="296">
        <f>апр.19!D109+апр.19!D110</f>
        <v>225.39</v>
      </c>
      <c r="E108" s="41">
        <f>7.4271-7.1994</f>
        <v>0.22770000000000046</v>
      </c>
      <c r="F108" s="41">
        <f t="shared" si="16"/>
        <v>0.22770000000000046</v>
      </c>
      <c r="G108" s="235">
        <f>ROUND(D108*E108,2)-0.01</f>
        <v>51.31</v>
      </c>
      <c r="H108" s="270"/>
      <c r="I108" s="41"/>
      <c r="J108" s="41"/>
      <c r="K108" s="271"/>
      <c r="L108" s="294">
        <f>SUM(G108:G110)</f>
        <v>1864.94</v>
      </c>
      <c r="M108" s="227">
        <v>1864.94</v>
      </c>
      <c r="N108" s="274"/>
      <c r="O108" s="237"/>
      <c r="P108" s="275"/>
      <c r="Q108" s="237"/>
      <c r="R108" s="242"/>
      <c r="S108" s="266"/>
      <c r="T108" s="266"/>
    </row>
    <row r="109" spans="1:20" ht="15.75">
      <c r="A109" s="896"/>
      <c r="B109" s="192"/>
      <c r="C109" s="48" t="s">
        <v>263</v>
      </c>
      <c r="D109" s="269">
        <v>2.59</v>
      </c>
      <c r="E109" s="41">
        <v>7.4271000000000003</v>
      </c>
      <c r="F109" s="41">
        <f t="shared" si="16"/>
        <v>7.4271000000000003</v>
      </c>
      <c r="G109" s="235">
        <f t="shared" si="18"/>
        <v>19.239999999999998</v>
      </c>
      <c r="H109" s="270"/>
      <c r="I109" s="41"/>
      <c r="J109" s="41"/>
      <c r="K109" s="271"/>
      <c r="L109" s="272"/>
      <c r="M109" s="273"/>
      <c r="N109" s="274"/>
      <c r="O109" s="237"/>
      <c r="P109" s="275"/>
      <c r="Q109" s="237"/>
      <c r="R109" s="242"/>
      <c r="S109" s="266"/>
      <c r="T109" s="266"/>
    </row>
    <row r="110" spans="1:20" ht="16.5" thickBot="1">
      <c r="A110" s="891"/>
      <c r="B110" s="887"/>
      <c r="C110" s="54" t="s">
        <v>29</v>
      </c>
      <c r="D110" s="279">
        <v>241.6</v>
      </c>
      <c r="E110" s="56">
        <v>7.4271000000000003</v>
      </c>
      <c r="F110" s="57">
        <f t="shared" si="16"/>
        <v>7.4271000000000003</v>
      </c>
      <c r="G110" s="247">
        <f t="shared" si="18"/>
        <v>1794.39</v>
      </c>
      <c r="H110" s="280"/>
      <c r="I110" s="281"/>
      <c r="J110" s="281"/>
      <c r="K110" s="282"/>
      <c r="L110" s="204"/>
      <c r="M110" s="250"/>
      <c r="N110" s="283"/>
      <c r="O110" s="252"/>
      <c r="P110" s="284"/>
      <c r="Q110" s="252"/>
      <c r="R110" s="242"/>
      <c r="S110" s="266"/>
      <c r="T110" s="266"/>
    </row>
    <row r="111" spans="1:20" ht="15.75" hidden="1" thickBot="1">
      <c r="A111" s="892">
        <v>411</v>
      </c>
      <c r="B111" s="183" t="s">
        <v>229</v>
      </c>
      <c r="C111" s="439" t="s">
        <v>260</v>
      </c>
      <c r="D111" s="296"/>
      <c r="E111" s="41">
        <f>6.6439-6.7023</f>
        <v>-5.8399999999999785E-2</v>
      </c>
      <c r="F111" s="41">
        <f t="shared" si="16"/>
        <v>-5.8399999999999785E-2</v>
      </c>
      <c r="G111" s="235">
        <f t="shared" si="18"/>
        <v>0</v>
      </c>
      <c r="H111" s="270"/>
      <c r="I111" s="41"/>
      <c r="J111" s="41"/>
      <c r="K111" s="271"/>
      <c r="L111" s="294">
        <f>SUM(G111:G113)</f>
        <v>0</v>
      </c>
      <c r="M111" s="227"/>
      <c r="N111" s="274"/>
      <c r="O111" s="983" t="s">
        <v>271</v>
      </c>
      <c r="P111" s="275"/>
      <c r="Q111" s="237"/>
      <c r="R111" s="242"/>
      <c r="S111" s="266"/>
      <c r="T111" s="266"/>
    </row>
    <row r="112" spans="1:20" ht="16.5" hidden="1" thickBot="1">
      <c r="A112" s="896"/>
      <c r="B112" s="192"/>
      <c r="C112" s="48" t="s">
        <v>263</v>
      </c>
      <c r="D112" s="269"/>
      <c r="E112" s="41">
        <v>6.6439000000000004</v>
      </c>
      <c r="F112" s="41">
        <f t="shared" si="16"/>
        <v>6.6439000000000004</v>
      </c>
      <c r="G112" s="235">
        <f>ROUND(D112*E112,2)</f>
        <v>0</v>
      </c>
      <c r="H112" s="270"/>
      <c r="I112" s="41"/>
      <c r="J112" s="41"/>
      <c r="K112" s="271"/>
      <c r="L112" s="272"/>
      <c r="M112" s="273"/>
      <c r="N112" s="274"/>
      <c r="O112" s="237"/>
      <c r="P112" s="275"/>
      <c r="Q112" s="237"/>
      <c r="R112" s="242"/>
      <c r="S112" s="266"/>
      <c r="T112" s="266"/>
    </row>
    <row r="113" spans="1:20" ht="16.5" hidden="1" thickBot="1">
      <c r="A113" s="891"/>
      <c r="B113" s="887"/>
      <c r="C113" s="54" t="s">
        <v>29</v>
      </c>
      <c r="D113" s="279"/>
      <c r="E113" s="56">
        <v>6.6439000000000004</v>
      </c>
      <c r="F113" s="57">
        <f t="shared" si="16"/>
        <v>6.6439000000000004</v>
      </c>
      <c r="G113" s="247">
        <f t="shared" si="18"/>
        <v>0</v>
      </c>
      <c r="H113" s="280"/>
      <c r="I113" s="281"/>
      <c r="J113" s="281"/>
      <c r="K113" s="282"/>
      <c r="L113" s="204"/>
      <c r="M113" s="250"/>
      <c r="N113" s="283"/>
      <c r="O113" s="252"/>
      <c r="P113" s="284"/>
      <c r="Q113" s="252"/>
      <c r="R113" s="242"/>
      <c r="S113" s="266"/>
      <c r="T113" s="266"/>
    </row>
    <row r="114" spans="1:20" ht="16.5" collapsed="1" thickBot="1">
      <c r="A114" s="891">
        <v>412</v>
      </c>
      <c r="B114" s="887" t="s">
        <v>58</v>
      </c>
      <c r="C114" s="54" t="s">
        <v>59</v>
      </c>
      <c r="D114" s="822">
        <v>0.82499999999999996</v>
      </c>
      <c r="E114" s="21">
        <v>41.244</v>
      </c>
      <c r="F114" s="21">
        <v>48.335999999999999</v>
      </c>
      <c r="G114" s="214">
        <f>ROUND(D114*(E114+F114),2)</f>
        <v>73.900000000000006</v>
      </c>
      <c r="H114" s="213">
        <f>мар19!D108</f>
        <v>0.71299999999999997</v>
      </c>
      <c r="I114" s="41">
        <v>0.34799999999999998</v>
      </c>
      <c r="J114" s="23">
        <f>ROUND(H114*I114,2)</f>
        <v>0.25</v>
      </c>
      <c r="K114" s="679">
        <v>43525</v>
      </c>
      <c r="L114" s="294">
        <f>SUM(G114:G118)+SUM(J114:J118)</f>
        <v>1513.3799999999999</v>
      </c>
      <c r="M114" s="227">
        <v>1513.38</v>
      </c>
      <c r="N114" s="264"/>
      <c r="O114" s="229"/>
      <c r="P114" s="265"/>
      <c r="Q114" s="229"/>
      <c r="R114" s="242"/>
      <c r="S114" s="266"/>
      <c r="T114" s="266"/>
    </row>
    <row r="115" spans="1:20" ht="15.75">
      <c r="A115" s="896"/>
      <c r="B115" s="885"/>
      <c r="C115" s="292" t="s">
        <v>264</v>
      </c>
      <c r="D115" s="269"/>
      <c r="E115" s="38"/>
      <c r="F115" s="38"/>
      <c r="G115" s="235">
        <f>ROUND(D115*(E115+F115),2)</f>
        <v>0</v>
      </c>
      <c r="H115" s="225"/>
      <c r="I115" s="41"/>
      <c r="J115" s="23"/>
      <c r="K115" s="295"/>
      <c r="L115" s="294"/>
      <c r="M115" s="227"/>
      <c r="N115" s="264"/>
      <c r="O115" s="229"/>
      <c r="P115" s="265"/>
      <c r="Q115" s="229"/>
      <c r="R115" s="242"/>
      <c r="S115" s="266"/>
      <c r="T115" s="266"/>
    </row>
    <row r="116" spans="1:20">
      <c r="A116" s="896"/>
      <c r="B116" s="885"/>
      <c r="C116" s="48" t="s">
        <v>260</v>
      </c>
      <c r="D116" s="296">
        <f>апр.19!D117+апр.19!D118</f>
        <v>155.95000000000002</v>
      </c>
      <c r="E116" s="41">
        <f>7.4271-7.1994</f>
        <v>0.22770000000000046</v>
      </c>
      <c r="F116" s="41">
        <f t="shared" ref="F116:F144" si="21">+E116</f>
        <v>0.22770000000000046</v>
      </c>
      <c r="G116" s="235">
        <f>ROUND(D116*E116,2)</f>
        <v>35.51</v>
      </c>
      <c r="H116" s="270"/>
      <c r="I116" s="41"/>
      <c r="J116" s="41"/>
      <c r="K116" s="271"/>
      <c r="L116" s="272"/>
      <c r="M116" s="273"/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885"/>
      <c r="C117" s="48" t="s">
        <v>263</v>
      </c>
      <c r="D117" s="269">
        <v>2</v>
      </c>
      <c r="E117" s="41">
        <v>7.4271000000000003</v>
      </c>
      <c r="F117" s="41">
        <f t="shared" si="21"/>
        <v>7.4271000000000003</v>
      </c>
      <c r="G117" s="235">
        <f t="shared" ref="G117:G118" si="22">ROUND(D117*E117,2)</f>
        <v>14.85</v>
      </c>
      <c r="H117" s="270"/>
      <c r="I117" s="41"/>
      <c r="J117" s="41"/>
      <c r="K117" s="271"/>
      <c r="L117" s="272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54" t="s">
        <v>29</v>
      </c>
      <c r="D118" s="279">
        <v>187</v>
      </c>
      <c r="E118" s="56">
        <v>7.4271000000000003</v>
      </c>
      <c r="F118" s="57">
        <f t="shared" si="21"/>
        <v>7.4271000000000003</v>
      </c>
      <c r="G118" s="247">
        <f t="shared" si="22"/>
        <v>1388.87</v>
      </c>
      <c r="H118" s="280"/>
      <c r="I118" s="281"/>
      <c r="J118" s="281"/>
      <c r="K118" s="282"/>
      <c r="L118" s="204"/>
      <c r="M118" s="250"/>
      <c r="N118" s="283"/>
      <c r="O118" s="252"/>
      <c r="P118" s="284"/>
      <c r="Q118" s="252"/>
      <c r="R118" s="242"/>
      <c r="S118" s="266"/>
      <c r="T118" s="266"/>
    </row>
    <row r="119" spans="1:20" ht="15" customHeight="1">
      <c r="A119" s="892">
        <v>413</v>
      </c>
      <c r="B119" s="883" t="s">
        <v>56</v>
      </c>
      <c r="C119" s="439" t="s">
        <v>260</v>
      </c>
      <c r="D119" s="894">
        <f>апр.19!D120+апр.19!D121</f>
        <v>233.88</v>
      </c>
      <c r="E119" s="41">
        <f>7.4271-7.1994</f>
        <v>0.22770000000000046</v>
      </c>
      <c r="F119" s="41">
        <f t="shared" si="21"/>
        <v>0.22770000000000046</v>
      </c>
      <c r="G119" s="214">
        <f>ROUND(D119*E119,2)</f>
        <v>53.25</v>
      </c>
      <c r="H119" s="260"/>
      <c r="I119" s="261"/>
      <c r="J119" s="261"/>
      <c r="K119" s="262"/>
      <c r="L119" s="286">
        <f>SUM(G119:G121)</f>
        <v>2200.13</v>
      </c>
      <c r="M119" s="227">
        <v>2200.13</v>
      </c>
      <c r="N119" s="264"/>
      <c r="O119" s="229"/>
      <c r="P119" s="265"/>
      <c r="Q119" s="229"/>
      <c r="R119" s="287"/>
      <c r="S119" s="288"/>
      <c r="T119" s="288"/>
    </row>
    <row r="120" spans="1:20" ht="15.75">
      <c r="A120" s="893"/>
      <c r="B120" s="885"/>
      <c r="C120" s="48" t="s">
        <v>263</v>
      </c>
      <c r="D120" s="895">
        <v>3.06</v>
      </c>
      <c r="E120" s="41">
        <v>7.4271000000000003</v>
      </c>
      <c r="F120" s="41">
        <f t="shared" si="21"/>
        <v>7.4271000000000003</v>
      </c>
      <c r="G120" s="235">
        <f t="shared" ref="G120:G124" si="23">ROUND(D120*E120,2)</f>
        <v>22.73</v>
      </c>
      <c r="H120" s="270"/>
      <c r="I120" s="41"/>
      <c r="J120" s="41"/>
      <c r="K120" s="271"/>
      <c r="L120" s="272"/>
      <c r="M120" s="273"/>
      <c r="N120" s="274"/>
      <c r="O120" s="237"/>
      <c r="P120" s="275"/>
      <c r="Q120" s="237"/>
      <c r="R120" s="287"/>
      <c r="S120" s="288"/>
      <c r="T120" s="288"/>
    </row>
    <row r="121" spans="1:20" ht="16.5" thickBot="1">
      <c r="A121" s="891"/>
      <c r="B121" s="887"/>
      <c r="C121" s="54" t="s">
        <v>29</v>
      </c>
      <c r="D121" s="279">
        <v>286</v>
      </c>
      <c r="E121" s="56">
        <v>7.4271000000000003</v>
      </c>
      <c r="F121" s="57">
        <f t="shared" si="21"/>
        <v>7.4271000000000003</v>
      </c>
      <c r="G121" s="247">
        <f t="shared" si="23"/>
        <v>2124.15</v>
      </c>
      <c r="H121" s="280"/>
      <c r="I121" s="281"/>
      <c r="J121" s="281"/>
      <c r="K121" s="682"/>
      <c r="L121" s="204"/>
      <c r="M121" s="250"/>
      <c r="N121" s="283"/>
      <c r="O121" s="252"/>
      <c r="P121" s="284"/>
      <c r="Q121" s="252"/>
      <c r="R121" s="287"/>
      <c r="S121" s="288"/>
      <c r="T121" s="288"/>
    </row>
    <row r="122" spans="1:20">
      <c r="A122" s="892">
        <v>414</v>
      </c>
      <c r="B122" s="183" t="s">
        <v>179</v>
      </c>
      <c r="C122" s="439" t="s">
        <v>260</v>
      </c>
      <c r="D122" s="296">
        <f>апр.19!D123+апр.19!D124</f>
        <v>53.260000000000005</v>
      </c>
      <c r="E122" s="41">
        <f>7.4271-7.1994</f>
        <v>0.22770000000000046</v>
      </c>
      <c r="F122" s="41">
        <f t="shared" si="21"/>
        <v>0.22770000000000046</v>
      </c>
      <c r="G122" s="235">
        <f>ROUND(D122*E122,2)</f>
        <v>12.13</v>
      </c>
      <c r="H122" s="270"/>
      <c r="I122" s="41"/>
      <c r="J122" s="41"/>
      <c r="K122" s="271"/>
      <c r="L122" s="294">
        <f>SUM(G122:G124)</f>
        <v>410.74</v>
      </c>
      <c r="M122" s="227">
        <v>410.74</v>
      </c>
      <c r="N122" s="274"/>
      <c r="O122" s="237"/>
      <c r="P122" s="275"/>
      <c r="Q122" s="237"/>
      <c r="R122" s="242"/>
      <c r="S122" s="266"/>
      <c r="T122" s="266"/>
    </row>
    <row r="123" spans="1:20" ht="15.75">
      <c r="A123" s="896"/>
      <c r="B123" s="192"/>
      <c r="C123" s="48" t="s">
        <v>263</v>
      </c>
      <c r="D123" s="269">
        <v>0.56999999999999995</v>
      </c>
      <c r="E123" s="41">
        <v>7.4271000000000003</v>
      </c>
      <c r="F123" s="41">
        <f t="shared" si="21"/>
        <v>7.4271000000000003</v>
      </c>
      <c r="G123" s="235">
        <f t="shared" si="23"/>
        <v>4.2300000000000004</v>
      </c>
      <c r="H123" s="270"/>
      <c r="I123" s="41"/>
      <c r="J123" s="41"/>
      <c r="K123" s="271"/>
      <c r="L123" s="272"/>
      <c r="M123" s="273"/>
      <c r="N123" s="274"/>
      <c r="O123" s="237"/>
      <c r="P123" s="275"/>
      <c r="Q123" s="237"/>
      <c r="R123" s="242"/>
      <c r="S123" s="266"/>
      <c r="T123" s="266"/>
    </row>
    <row r="124" spans="1:20" ht="16.5" thickBot="1">
      <c r="A124" s="891"/>
      <c r="B124" s="887"/>
      <c r="C124" s="99" t="s">
        <v>29</v>
      </c>
      <c r="D124" s="279">
        <v>53.1</v>
      </c>
      <c r="E124" s="56">
        <v>7.4271000000000003</v>
      </c>
      <c r="F124" s="57">
        <f t="shared" si="21"/>
        <v>7.4271000000000003</v>
      </c>
      <c r="G124" s="247">
        <f t="shared" si="23"/>
        <v>394.38</v>
      </c>
      <c r="H124" s="280"/>
      <c r="I124" s="281"/>
      <c r="J124" s="281"/>
      <c r="K124" s="282"/>
      <c r="L124" s="204"/>
      <c r="M124" s="250"/>
      <c r="N124" s="283"/>
      <c r="O124" s="252"/>
      <c r="P124" s="284"/>
      <c r="Q124" s="252"/>
      <c r="R124" s="242"/>
      <c r="S124" s="266"/>
      <c r="T124" s="266"/>
    </row>
    <row r="125" spans="1:20" collapsed="1">
      <c r="A125" s="892">
        <v>415</v>
      </c>
      <c r="B125" s="183" t="s">
        <v>166</v>
      </c>
      <c r="C125" s="439" t="s">
        <v>260</v>
      </c>
      <c r="D125" s="296">
        <f>апр.19!D126+апр.19!D127</f>
        <v>191.93</v>
      </c>
      <c r="E125" s="41">
        <f>7.4271-7.1994</f>
        <v>0.22770000000000046</v>
      </c>
      <c r="F125" s="41">
        <f t="shared" si="21"/>
        <v>0.22770000000000046</v>
      </c>
      <c r="G125" s="235">
        <f>ROUND(D125*E125,2)+0.01</f>
        <v>43.71</v>
      </c>
      <c r="H125" s="270"/>
      <c r="I125" s="41"/>
      <c r="J125" s="41"/>
      <c r="K125" s="271"/>
      <c r="L125" s="294">
        <f>SUM(G125:G127)</f>
        <v>1817.52</v>
      </c>
      <c r="M125" s="227">
        <v>1817.52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2.5299999999999998</v>
      </c>
      <c r="E126" s="41">
        <v>7.4271000000000003</v>
      </c>
      <c r="F126" s="41">
        <f t="shared" si="21"/>
        <v>7.4271000000000003</v>
      </c>
      <c r="G126" s="235">
        <f t="shared" ref="G126:G127" si="24">ROUND(D126*E126,2)</f>
        <v>18.79</v>
      </c>
      <c r="H126" s="270"/>
      <c r="I126" s="41"/>
      <c r="J126" s="41"/>
      <c r="K126" s="271"/>
      <c r="L126" s="272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887"/>
      <c r="C127" s="54" t="s">
        <v>29</v>
      </c>
      <c r="D127" s="279">
        <v>236.3</v>
      </c>
      <c r="E127" s="56">
        <v>7.4271000000000003</v>
      </c>
      <c r="F127" s="57">
        <f t="shared" si="21"/>
        <v>7.4271000000000003</v>
      </c>
      <c r="G127" s="247">
        <f t="shared" si="24"/>
        <v>1755.02</v>
      </c>
      <c r="H127" s="280"/>
      <c r="I127" s="281"/>
      <c r="J127" s="281"/>
      <c r="K127" s="282"/>
      <c r="L127" s="204"/>
      <c r="M127" s="250"/>
      <c r="N127" s="283"/>
      <c r="O127" s="252"/>
      <c r="P127" s="284"/>
      <c r="Q127" s="252"/>
      <c r="R127" s="242"/>
      <c r="S127" s="266"/>
      <c r="T127" s="266"/>
    </row>
    <row r="128" spans="1:20" ht="15.75" hidden="1" thickBot="1">
      <c r="A128" s="892">
        <v>416</v>
      </c>
      <c r="B128" s="183" t="s">
        <v>173</v>
      </c>
      <c r="C128" s="439" t="s">
        <v>260</v>
      </c>
      <c r="D128" s="296"/>
      <c r="E128" s="41">
        <f>6.7023-6.509</f>
        <v>0.19329999999999981</v>
      </c>
      <c r="F128" s="41">
        <f t="shared" si="21"/>
        <v>0.19329999999999981</v>
      </c>
      <c r="G128" s="235">
        <f>ROUND(D128*E128,2)+0.01</f>
        <v>0.01</v>
      </c>
      <c r="H128" s="270"/>
      <c r="I128" s="41"/>
      <c r="J128" s="41"/>
      <c r="K128" s="271"/>
      <c r="L128" s="294">
        <f>SUM(G128:G130)</f>
        <v>0.01</v>
      </c>
      <c r="M128" s="227"/>
      <c r="N128" s="274"/>
      <c r="O128" s="237"/>
      <c r="P128" s="275"/>
      <c r="Q128" s="237"/>
      <c r="R128" s="242"/>
      <c r="S128" s="266"/>
      <c r="T128" s="266"/>
    </row>
    <row r="129" spans="1:20" ht="16.5" hidden="1" thickBot="1">
      <c r="A129" s="896"/>
      <c r="B129" s="192"/>
      <c r="C129" s="48" t="s">
        <v>263</v>
      </c>
      <c r="D129" s="269"/>
      <c r="E129" s="41">
        <v>6.7023000000000001</v>
      </c>
      <c r="F129" s="41">
        <f t="shared" si="21"/>
        <v>6.7023000000000001</v>
      </c>
      <c r="G129" s="235">
        <f>ROUND(D129*E129,2)</f>
        <v>0</v>
      </c>
      <c r="H129" s="270"/>
      <c r="I129" s="41"/>
      <c r="J129" s="41"/>
      <c r="K129" s="271"/>
      <c r="L129" s="272"/>
      <c r="M129" s="273"/>
      <c r="N129" s="274"/>
      <c r="O129" s="237"/>
      <c r="P129" s="275"/>
      <c r="Q129" s="237"/>
      <c r="R129" s="242"/>
      <c r="S129" s="266"/>
      <c r="T129" s="266"/>
    </row>
    <row r="130" spans="1:20" ht="16.5" hidden="1" thickBot="1">
      <c r="A130" s="891"/>
      <c r="B130" s="887"/>
      <c r="C130" s="54" t="s">
        <v>29</v>
      </c>
      <c r="D130" s="279"/>
      <c r="E130" s="56">
        <v>6.7023000000000001</v>
      </c>
      <c r="F130" s="57">
        <f t="shared" si="21"/>
        <v>6.7023000000000001</v>
      </c>
      <c r="G130" s="247">
        <f>ROUND(D130*E130,2)</f>
        <v>0</v>
      </c>
      <c r="H130" s="280"/>
      <c r="I130" s="281"/>
      <c r="J130" s="281"/>
      <c r="K130" s="282"/>
      <c r="L130" s="204"/>
      <c r="M130" s="250"/>
      <c r="N130" s="283"/>
      <c r="O130" s="252"/>
      <c r="P130" s="284"/>
      <c r="Q130" s="252"/>
      <c r="R130" s="242"/>
      <c r="S130" s="266"/>
      <c r="T130" s="266"/>
    </row>
    <row r="131" spans="1:20">
      <c r="A131" s="892">
        <v>416</v>
      </c>
      <c r="B131" s="183" t="s">
        <v>295</v>
      </c>
      <c r="C131" s="439" t="s">
        <v>260</v>
      </c>
      <c r="D131" s="296">
        <f>апр.19!D133+апр.19!D132</f>
        <v>96.52</v>
      </c>
      <c r="E131" s="41">
        <f>7.4271-7.1994</f>
        <v>0.22770000000000046</v>
      </c>
      <c r="F131" s="41">
        <f t="shared" si="21"/>
        <v>0.22770000000000046</v>
      </c>
      <c r="G131" s="235">
        <f>ROUND(D131*E131,2)-0.01</f>
        <v>21.97</v>
      </c>
      <c r="H131" s="270"/>
      <c r="I131" s="41"/>
      <c r="J131" s="41"/>
      <c r="K131" s="271"/>
      <c r="L131" s="294">
        <f>SUM(G131:G133)</f>
        <v>617.25</v>
      </c>
      <c r="M131" s="227">
        <v>617.25</v>
      </c>
      <c r="N131" s="274"/>
      <c r="O131" s="237"/>
      <c r="P131" s="275"/>
      <c r="Q131" s="237"/>
      <c r="R131" s="242"/>
      <c r="S131" s="266"/>
      <c r="T131" s="266"/>
    </row>
    <row r="132" spans="1:20" ht="15.75">
      <c r="A132" s="896"/>
      <c r="B132" s="192"/>
      <c r="C132" s="48" t="s">
        <v>263</v>
      </c>
      <c r="D132" s="269">
        <v>0.85</v>
      </c>
      <c r="E132" s="41">
        <v>7.4271000000000003</v>
      </c>
      <c r="F132" s="41">
        <f t="shared" si="21"/>
        <v>7.4271000000000003</v>
      </c>
      <c r="G132" s="235">
        <f t="shared" ref="G132:G133" si="25">ROUND(D132*E132,2)</f>
        <v>6.31</v>
      </c>
      <c r="H132" s="270"/>
      <c r="I132" s="41"/>
      <c r="J132" s="41"/>
      <c r="K132" s="271"/>
      <c r="L132" s="272"/>
      <c r="M132" s="273"/>
      <c r="N132" s="274"/>
      <c r="O132" s="237"/>
      <c r="P132" s="275"/>
      <c r="Q132" s="237"/>
      <c r="R132" s="242"/>
      <c r="S132" s="266"/>
      <c r="T132" s="266"/>
    </row>
    <row r="133" spans="1:20" ht="16.5" thickBot="1">
      <c r="A133" s="891"/>
      <c r="B133" s="202"/>
      <c r="C133" s="54" t="s">
        <v>29</v>
      </c>
      <c r="D133" s="279">
        <v>79.3</v>
      </c>
      <c r="E133" s="56">
        <v>7.4271000000000003</v>
      </c>
      <c r="F133" s="57">
        <f t="shared" si="21"/>
        <v>7.4271000000000003</v>
      </c>
      <c r="G133" s="247">
        <f t="shared" si="25"/>
        <v>588.97</v>
      </c>
      <c r="H133" s="280"/>
      <c r="I133" s="281"/>
      <c r="J133" s="281"/>
      <c r="K133" s="282"/>
      <c r="L133" s="204"/>
      <c r="M133" s="250"/>
      <c r="N133" s="283"/>
      <c r="O133" s="252"/>
      <c r="P133" s="284"/>
      <c r="Q133" s="252"/>
      <c r="R133" s="242"/>
      <c r="S133" s="266"/>
      <c r="T133" s="266"/>
    </row>
    <row r="134" spans="1:20">
      <c r="A134" s="892">
        <v>417</v>
      </c>
      <c r="B134" s="183" t="s">
        <v>174</v>
      </c>
      <c r="C134" s="439" t="s">
        <v>260</v>
      </c>
      <c r="D134" s="296">
        <f>апр.19!D135+апр.19!D136</f>
        <v>80.349999999999994</v>
      </c>
      <c r="E134" s="41">
        <f>7.4271-7.1994</f>
        <v>0.22770000000000046</v>
      </c>
      <c r="F134" s="41">
        <f t="shared" si="21"/>
        <v>0.22770000000000046</v>
      </c>
      <c r="G134" s="235">
        <f>ROUND(D134*E134,2)-0.01</f>
        <v>18.29</v>
      </c>
      <c r="H134" s="270"/>
      <c r="I134" s="41"/>
      <c r="J134" s="41"/>
      <c r="K134" s="271"/>
      <c r="L134" s="294">
        <f>SUM(G134:G136)</f>
        <v>926.55</v>
      </c>
      <c r="M134" s="227">
        <v>926.55</v>
      </c>
      <c r="N134" s="274"/>
      <c r="O134" s="237"/>
      <c r="P134" s="275"/>
      <c r="Q134" s="237"/>
      <c r="R134" s="242"/>
      <c r="S134" s="266"/>
      <c r="T134" s="266"/>
    </row>
    <row r="135" spans="1:20" ht="15.75">
      <c r="A135" s="896"/>
      <c r="B135" s="192"/>
      <c r="C135" s="48" t="s">
        <v>263</v>
      </c>
      <c r="D135" s="269">
        <v>1.29</v>
      </c>
      <c r="E135" s="41">
        <v>7.4271000000000003</v>
      </c>
      <c r="F135" s="41">
        <f t="shared" si="21"/>
        <v>7.4271000000000003</v>
      </c>
      <c r="G135" s="235">
        <f t="shared" ref="G135:G136" si="26">ROUND(D135*E135,2)</f>
        <v>9.58</v>
      </c>
      <c r="H135" s="270"/>
      <c r="I135" s="41"/>
      <c r="J135" s="41"/>
      <c r="K135" s="271"/>
      <c r="L135" s="272"/>
      <c r="M135" s="273"/>
      <c r="N135" s="274"/>
      <c r="O135" s="237"/>
      <c r="P135" s="275"/>
      <c r="Q135" s="237"/>
      <c r="R135" s="242"/>
      <c r="S135" s="266"/>
      <c r="T135" s="266"/>
    </row>
    <row r="136" spans="1:20" ht="16.5" thickBot="1">
      <c r="A136" s="891"/>
      <c r="B136" s="202"/>
      <c r="C136" s="54" t="s">
        <v>29</v>
      </c>
      <c r="D136" s="279">
        <v>121</v>
      </c>
      <c r="E136" s="56">
        <v>7.4271000000000003</v>
      </c>
      <c r="F136" s="57">
        <f t="shared" si="21"/>
        <v>7.4271000000000003</v>
      </c>
      <c r="G136" s="247">
        <f t="shared" si="26"/>
        <v>898.68</v>
      </c>
      <c r="H136" s="280"/>
      <c r="I136" s="281"/>
      <c r="J136" s="281"/>
      <c r="K136" s="282"/>
      <c r="L136" s="204"/>
      <c r="M136" s="250"/>
      <c r="N136" s="283"/>
      <c r="O136" s="252"/>
      <c r="P136" s="284"/>
      <c r="Q136" s="252"/>
      <c r="R136" s="242"/>
      <c r="S136" s="266"/>
      <c r="T136" s="266"/>
    </row>
    <row r="137" spans="1:20" ht="15.75" thickBot="1">
      <c r="A137" s="892">
        <v>420</v>
      </c>
      <c r="B137" s="183" t="s">
        <v>306</v>
      </c>
      <c r="C137" s="439" t="s">
        <v>243</v>
      </c>
      <c r="D137" s="1008">
        <v>0.215</v>
      </c>
      <c r="E137" s="23">
        <v>41.244</v>
      </c>
      <c r="F137" s="23">
        <v>48.335999999999999</v>
      </c>
      <c r="G137" s="214">
        <f>ROUND(D137*(E137+F137),2)</f>
        <v>19.260000000000002</v>
      </c>
      <c r="H137" s="1001">
        <f>мар19!D131</f>
        <v>0.33600000000000002</v>
      </c>
      <c r="I137" s="23">
        <v>0.34799999999999998</v>
      </c>
      <c r="J137" s="23">
        <f>ROUND(H137*I137,2)</f>
        <v>0.12</v>
      </c>
      <c r="K137" s="1241">
        <v>43525</v>
      </c>
      <c r="L137" s="343">
        <f>SUM(G137:G141)+SUM(J137:J141)</f>
        <v>1095.3799999999999</v>
      </c>
      <c r="M137" s="187">
        <v>1095.3800000000001</v>
      </c>
      <c r="N137" s="274"/>
      <c r="O137" s="237"/>
      <c r="P137" s="275"/>
      <c r="Q137" s="237"/>
      <c r="R137" s="242"/>
      <c r="S137" s="266"/>
      <c r="T137" s="266"/>
    </row>
    <row r="138" spans="1:20" ht="15.75" thickBot="1">
      <c r="A138" s="892"/>
      <c r="B138" s="183"/>
      <c r="C138" s="48" t="s">
        <v>260</v>
      </c>
      <c r="D138" s="1009"/>
      <c r="E138" s="41"/>
      <c r="F138" s="41"/>
      <c r="G138" s="235">
        <f>ROUND(D138*(E138+F138),2)</f>
        <v>0</v>
      </c>
      <c r="H138" s="1002"/>
      <c r="I138" s="281"/>
      <c r="J138" s="23"/>
      <c r="K138" s="1242"/>
      <c r="L138" s="988"/>
      <c r="M138" s="989"/>
      <c r="N138" s="274"/>
      <c r="O138" s="237"/>
      <c r="P138" s="275"/>
      <c r="Q138" s="237"/>
      <c r="R138" s="242"/>
      <c r="S138" s="266"/>
      <c r="T138" s="266"/>
    </row>
    <row r="139" spans="1:20">
      <c r="A139" s="896"/>
      <c r="B139" s="192"/>
      <c r="C139" s="439" t="s">
        <v>260</v>
      </c>
      <c r="D139" s="296">
        <f>апр.19!D140+апр.19!D141</f>
        <v>195.87</v>
      </c>
      <c r="E139" s="41">
        <f>7.4271-7.1994</f>
        <v>0.22770000000000046</v>
      </c>
      <c r="F139" s="41">
        <f t="shared" si="21"/>
        <v>0.22770000000000046</v>
      </c>
      <c r="G139" s="235">
        <f>ROUND(D139*E139,2)</f>
        <v>44.6</v>
      </c>
      <c r="H139" s="270"/>
      <c r="I139" s="41"/>
      <c r="J139" s="41"/>
      <c r="K139" s="271"/>
      <c r="L139" s="294"/>
      <c r="M139" s="227"/>
      <c r="N139" s="274"/>
      <c r="O139" s="237"/>
      <c r="P139" s="275"/>
      <c r="Q139" s="237"/>
      <c r="R139" s="242"/>
      <c r="S139" s="266"/>
      <c r="T139" s="266"/>
    </row>
    <row r="140" spans="1:20" ht="15.75">
      <c r="A140" s="896"/>
      <c r="B140" s="192"/>
      <c r="C140" s="48" t="s">
        <v>263</v>
      </c>
      <c r="D140" s="269">
        <v>1.47</v>
      </c>
      <c r="E140" s="41">
        <v>7.4271000000000003</v>
      </c>
      <c r="F140" s="41">
        <f t="shared" si="21"/>
        <v>7.4271000000000003</v>
      </c>
      <c r="G140" s="235">
        <f>ROUND(D140*E140,2)</f>
        <v>10.92</v>
      </c>
      <c r="H140" s="270"/>
      <c r="I140" s="41"/>
      <c r="J140" s="41"/>
      <c r="K140" s="271"/>
      <c r="L140" s="272"/>
      <c r="M140" s="273"/>
      <c r="N140" s="274"/>
      <c r="O140" s="237"/>
      <c r="P140" s="275"/>
      <c r="Q140" s="237"/>
      <c r="R140" s="242"/>
      <c r="S140" s="266"/>
      <c r="T140" s="266"/>
    </row>
    <row r="141" spans="1:20" ht="16.5" thickBot="1">
      <c r="A141" s="891"/>
      <c r="B141" s="202"/>
      <c r="C141" s="54" t="s">
        <v>29</v>
      </c>
      <c r="D141" s="279">
        <v>137.4</v>
      </c>
      <c r="E141" s="56">
        <v>7.4271000000000003</v>
      </c>
      <c r="F141" s="57">
        <f t="shared" si="21"/>
        <v>7.4271000000000003</v>
      </c>
      <c r="G141" s="247">
        <f t="shared" ref="G141" si="27">ROUND(D141*E141,2)</f>
        <v>1020.48</v>
      </c>
      <c r="H141" s="280"/>
      <c r="I141" s="281"/>
      <c r="J141" s="281"/>
      <c r="K141" s="282"/>
      <c r="L141" s="204"/>
      <c r="M141" s="250"/>
      <c r="N141" s="283"/>
      <c r="O141" s="252"/>
      <c r="P141" s="284"/>
      <c r="Q141" s="252"/>
      <c r="R141" s="242"/>
      <c r="S141" s="266"/>
      <c r="T141" s="266"/>
    </row>
    <row r="142" spans="1:20">
      <c r="A142" s="892">
        <v>422</v>
      </c>
      <c r="B142" s="183" t="s">
        <v>333</v>
      </c>
      <c r="C142" s="439" t="s">
        <v>260</v>
      </c>
      <c r="D142" s="296">
        <f>апр.19!D143+апр.19!D144</f>
        <v>105.21</v>
      </c>
      <c r="E142" s="41">
        <f>7.4271-7.1994</f>
        <v>0.22770000000000046</v>
      </c>
      <c r="F142" s="41">
        <f t="shared" si="21"/>
        <v>0.22770000000000046</v>
      </c>
      <c r="G142" s="235">
        <f>ROUND(D142*E142,2)+0.01</f>
        <v>23.970000000000002</v>
      </c>
      <c r="H142" s="270"/>
      <c r="I142" s="41"/>
      <c r="J142" s="41"/>
      <c r="K142" s="271"/>
      <c r="L142" s="294">
        <f>SUM(G142:G144)</f>
        <v>819.63</v>
      </c>
      <c r="M142" s="227">
        <v>819.63</v>
      </c>
      <c r="N142" s="274"/>
      <c r="O142" s="237"/>
      <c r="P142" s="275"/>
      <c r="Q142" s="237"/>
      <c r="R142" s="242"/>
      <c r="S142" s="266"/>
      <c r="T142" s="266"/>
    </row>
    <row r="143" spans="1:20" ht="15.75">
      <c r="A143" s="896"/>
      <c r="B143" s="192"/>
      <c r="C143" s="48" t="s">
        <v>263</v>
      </c>
      <c r="D143" s="269">
        <v>1.1299999999999999</v>
      </c>
      <c r="E143" s="41">
        <v>7.4271000000000003</v>
      </c>
      <c r="F143" s="41">
        <f t="shared" si="21"/>
        <v>7.4271000000000003</v>
      </c>
      <c r="G143" s="235">
        <f t="shared" ref="G143:G144" si="28">ROUND(D143*E143,2)</f>
        <v>8.39</v>
      </c>
      <c r="H143" s="270"/>
      <c r="I143" s="41"/>
      <c r="J143" s="41"/>
      <c r="K143" s="271"/>
      <c r="L143" s="272"/>
      <c r="M143" s="273"/>
      <c r="N143" s="274"/>
      <c r="O143" s="237"/>
      <c r="P143" s="275"/>
      <c r="Q143" s="237"/>
      <c r="R143" s="242"/>
      <c r="S143" s="266"/>
      <c r="T143" s="266"/>
    </row>
    <row r="144" spans="1:20" ht="16.5" thickBot="1">
      <c r="A144" s="891"/>
      <c r="B144" s="202"/>
      <c r="C144" s="54" t="s">
        <v>29</v>
      </c>
      <c r="D144" s="279">
        <v>106</v>
      </c>
      <c r="E144" s="56">
        <v>7.4271000000000003</v>
      </c>
      <c r="F144" s="57">
        <f t="shared" si="21"/>
        <v>7.4271000000000003</v>
      </c>
      <c r="G144" s="247">
        <f t="shared" si="28"/>
        <v>787.27</v>
      </c>
      <c r="H144" s="280"/>
      <c r="I144" s="281"/>
      <c r="J144" s="281"/>
      <c r="K144" s="282"/>
      <c r="L144" s="204"/>
      <c r="M144" s="250"/>
      <c r="N144" s="283"/>
      <c r="O144" s="252"/>
      <c r="P144" s="284"/>
      <c r="Q144" s="252"/>
      <c r="R144" s="242"/>
      <c r="S144" s="266"/>
      <c r="T144" s="266"/>
    </row>
    <row r="145" spans="1:21" ht="15.75">
      <c r="A145" s="892">
        <v>500</v>
      </c>
      <c r="B145" s="883" t="s">
        <v>55</v>
      </c>
      <c r="C145" s="439" t="s">
        <v>260</v>
      </c>
      <c r="D145" s="259">
        <f>апр.19!D146+апр.19!D147</f>
        <v>2577.98</v>
      </c>
      <c r="E145" s="41">
        <f>7.4271-7.1994</f>
        <v>0.22770000000000046</v>
      </c>
      <c r="F145" s="41">
        <f t="shared" si="16"/>
        <v>0.22770000000000046</v>
      </c>
      <c r="G145" s="214">
        <f>ROUND(D145*E145,2)</f>
        <v>587.01</v>
      </c>
      <c r="H145" s="260"/>
      <c r="I145" s="261"/>
      <c r="J145" s="261"/>
      <c r="K145" s="262"/>
      <c r="L145" s="263">
        <f>SUM(G145:G147)</f>
        <v>22220.960000000003</v>
      </c>
      <c r="M145" s="187">
        <v>22220.959999999999</v>
      </c>
      <c r="N145" s="264"/>
      <c r="O145" s="229"/>
      <c r="P145" s="265"/>
      <c r="Q145" s="229"/>
      <c r="R145" s="242"/>
      <c r="S145" s="266"/>
      <c r="T145" s="266"/>
    </row>
    <row r="146" spans="1:21" ht="15.75">
      <c r="A146" s="893" t="s">
        <v>197</v>
      </c>
      <c r="B146" s="885"/>
      <c r="C146" s="48" t="s">
        <v>263</v>
      </c>
      <c r="D146" s="269">
        <v>30.84</v>
      </c>
      <c r="E146" s="41">
        <v>7.4271000000000003</v>
      </c>
      <c r="F146" s="41">
        <f t="shared" si="16"/>
        <v>7.4271000000000003</v>
      </c>
      <c r="G146" s="235">
        <f>ROUND(D146*E146,2)</f>
        <v>229.05</v>
      </c>
      <c r="H146" s="270"/>
      <c r="I146" s="41"/>
      <c r="J146" s="41"/>
      <c r="K146" s="271"/>
      <c r="L146" s="272"/>
      <c r="M146" s="273"/>
      <c r="N146" s="274"/>
      <c r="O146" s="237"/>
      <c r="P146" s="275"/>
      <c r="Q146" s="237"/>
      <c r="R146" s="242"/>
      <c r="S146" s="266"/>
      <c r="T146" s="266"/>
    </row>
    <row r="147" spans="1:21" ht="16.5" thickBot="1">
      <c r="A147" s="891"/>
      <c r="B147" s="887"/>
      <c r="C147" s="54" t="s">
        <v>29</v>
      </c>
      <c r="D147" s="279">
        <v>2882</v>
      </c>
      <c r="E147" s="56">
        <v>7.4271000000000003</v>
      </c>
      <c r="F147" s="57">
        <f t="shared" si="16"/>
        <v>7.4271000000000003</v>
      </c>
      <c r="G147" s="247">
        <f t="shared" ref="G147" si="29">ROUND(D147*E147,2)</f>
        <v>21404.9</v>
      </c>
      <c r="H147" s="280"/>
      <c r="I147" s="281"/>
      <c r="J147" s="281"/>
      <c r="K147" s="282"/>
      <c r="L147" s="204"/>
      <c r="M147" s="250"/>
      <c r="N147" s="283"/>
      <c r="O147" s="252"/>
      <c r="P147" s="284"/>
      <c r="Q147" s="252"/>
      <c r="R147" s="242"/>
      <c r="S147" s="266"/>
      <c r="T147" s="266"/>
    </row>
    <row r="148" spans="1:21" ht="16.5" hidden="1" outlineLevel="1" thickBot="1">
      <c r="A148" s="892"/>
      <c r="B148" s="883" t="s">
        <v>57</v>
      </c>
      <c r="C148" s="439"/>
      <c r="D148" s="259"/>
      <c r="E148" s="21">
        <v>36.214199999999998</v>
      </c>
      <c r="F148" s="21">
        <v>42.4328</v>
      </c>
      <c r="G148" s="214">
        <f>ROUND(D148*(E148+F148),2)</f>
        <v>0</v>
      </c>
      <c r="H148" s="213">
        <v>0</v>
      </c>
      <c r="I148">
        <v>22.478999999999999</v>
      </c>
      <c r="J148" s="215">
        <f t="shared" ref="J148" si="30">H148*I148</f>
        <v>0</v>
      </c>
      <c r="K148" s="679">
        <v>42705</v>
      </c>
      <c r="L148" s="294">
        <f>SUM(G148:G152)+J148+J150</f>
        <v>0</v>
      </c>
      <c r="M148" s="227"/>
      <c r="N148" s="264"/>
      <c r="O148" s="229"/>
      <c r="P148" s="265"/>
      <c r="Q148" s="229"/>
      <c r="R148" s="242"/>
      <c r="S148" s="266"/>
      <c r="T148" s="266"/>
    </row>
    <row r="149" spans="1:21" ht="16.5" hidden="1" outlineLevel="1" thickBot="1">
      <c r="A149" s="891"/>
      <c r="B149" s="887"/>
      <c r="C149" s="54"/>
      <c r="D149" s="269"/>
      <c r="E149" s="38">
        <f>32.332-28.8628</f>
        <v>3.4692000000000007</v>
      </c>
      <c r="F149" s="38">
        <f>37.8898-33.8306</f>
        <v>4.0592000000000041</v>
      </c>
      <c r="G149" s="235">
        <f>ROUND(D149*(E149+F149),2)</f>
        <v>0</v>
      </c>
      <c r="H149" s="225"/>
      <c r="J149" s="194"/>
      <c r="K149" s="683"/>
      <c r="L149" s="294"/>
      <c r="M149" s="227"/>
      <c r="N149" s="264"/>
      <c r="O149" s="229"/>
      <c r="P149" s="265"/>
      <c r="Q149" s="229"/>
      <c r="R149" s="242"/>
      <c r="S149" s="266"/>
      <c r="T149" s="266"/>
    </row>
    <row r="150" spans="1:21" ht="15.75" hidden="1" outlineLevel="1" thickBot="1">
      <c r="A150" s="892"/>
      <c r="B150" s="883"/>
      <c r="C150" s="439" t="s">
        <v>170</v>
      </c>
      <c r="D150" s="296"/>
      <c r="E150" s="41">
        <f>7.0207-6.6426</f>
        <v>0.37809999999999988</v>
      </c>
      <c r="F150" s="41">
        <f>+E150</f>
        <v>0.37809999999999988</v>
      </c>
      <c r="G150" s="235">
        <f>ROUND(D150*E150,2)</f>
        <v>0</v>
      </c>
      <c r="H150" s="270"/>
      <c r="I150" s="41"/>
      <c r="J150" s="41"/>
      <c r="K150" s="684"/>
      <c r="L150" s="272"/>
      <c r="M150" s="273"/>
      <c r="N150" s="274"/>
      <c r="O150" s="237"/>
      <c r="P150" s="275"/>
      <c r="Q150" s="237"/>
      <c r="R150" s="242"/>
      <c r="S150" s="266"/>
      <c r="T150" s="266"/>
    </row>
    <row r="151" spans="1:21" ht="16.5" hidden="1" outlineLevel="1" thickBot="1">
      <c r="A151" s="891"/>
      <c r="B151" s="887"/>
      <c r="C151" s="54" t="s">
        <v>171</v>
      </c>
      <c r="D151" s="269"/>
      <c r="E151" s="41">
        <v>7.0206999999999997</v>
      </c>
      <c r="F151" s="41">
        <f>+E151</f>
        <v>7.0206999999999997</v>
      </c>
      <c r="G151" s="235">
        <f>ROUND(D151*E151,2)</f>
        <v>0</v>
      </c>
      <c r="H151" s="270"/>
      <c r="I151" s="41"/>
      <c r="J151" s="41"/>
      <c r="K151" s="684"/>
      <c r="L151" s="272"/>
      <c r="M151" s="273"/>
      <c r="N151" s="274"/>
      <c r="O151" s="237"/>
      <c r="P151" s="275"/>
      <c r="Q151" s="237"/>
      <c r="R151" s="242"/>
      <c r="S151" s="266"/>
      <c r="T151" s="266"/>
    </row>
    <row r="152" spans="1:21" ht="16.5" hidden="1" outlineLevel="1" thickBot="1">
      <c r="A152" s="892"/>
      <c r="B152" s="883"/>
      <c r="C152" s="439" t="s">
        <v>29</v>
      </c>
      <c r="D152" s="279"/>
      <c r="E152" s="56">
        <v>7.0206999999999997</v>
      </c>
      <c r="F152" s="57">
        <f>+E152</f>
        <v>7.0206999999999997</v>
      </c>
      <c r="G152" s="247">
        <f>ROUND(D152*E152,2)</f>
        <v>0</v>
      </c>
      <c r="H152" s="280"/>
      <c r="I152" s="281"/>
      <c r="J152" s="281"/>
      <c r="K152" s="682"/>
      <c r="L152" s="204"/>
      <c r="M152" s="250"/>
      <c r="N152" s="283"/>
      <c r="O152" s="252"/>
      <c r="P152" s="284"/>
      <c r="Q152" s="252"/>
      <c r="R152" s="242"/>
      <c r="S152" s="266"/>
      <c r="T152" s="266"/>
    </row>
    <row r="153" spans="1:21" ht="15.75" hidden="1" outlineLevel="1" thickBot="1">
      <c r="A153" s="892"/>
      <c r="B153" s="183" t="s">
        <v>145</v>
      </c>
      <c r="C153" s="439" t="s">
        <v>170</v>
      </c>
      <c r="D153" s="296"/>
      <c r="E153" s="41">
        <f>7.0207-6.6426</f>
        <v>0.37809999999999988</v>
      </c>
      <c r="F153" s="41">
        <f t="shared" ref="F153:F155" si="31">+E153</f>
        <v>0.37809999999999988</v>
      </c>
      <c r="G153" s="235">
        <f>ROUND(D153*E153,2)</f>
        <v>0</v>
      </c>
      <c r="H153" s="270"/>
      <c r="I153" s="41"/>
      <c r="J153" s="41"/>
      <c r="K153" s="271"/>
      <c r="L153" s="294">
        <f>SUM(G153:G155)</f>
        <v>0</v>
      </c>
      <c r="M153" s="227"/>
      <c r="N153" s="274"/>
      <c r="O153" s="237"/>
      <c r="P153" s="275"/>
      <c r="Q153" s="237"/>
      <c r="R153" s="242"/>
      <c r="S153" s="266"/>
      <c r="T153" s="266"/>
    </row>
    <row r="154" spans="1:21" ht="16.5" hidden="1" outlineLevel="1" thickBot="1">
      <c r="A154" s="891"/>
      <c r="B154" s="887"/>
      <c r="C154" s="54" t="s">
        <v>171</v>
      </c>
      <c r="D154" s="269"/>
      <c r="E154" s="41">
        <v>7.0206999999999997</v>
      </c>
      <c r="F154" s="41">
        <f t="shared" si="31"/>
        <v>7.0206999999999997</v>
      </c>
      <c r="G154" s="235">
        <f t="shared" ref="G154:G155" si="32">ROUND(D154*E154,2)</f>
        <v>0</v>
      </c>
      <c r="H154" s="270"/>
      <c r="I154" s="41"/>
      <c r="J154" s="41"/>
      <c r="K154" s="271"/>
      <c r="L154" s="272"/>
      <c r="M154" s="273"/>
      <c r="N154" s="274"/>
      <c r="O154" s="237"/>
      <c r="P154" s="275"/>
      <c r="Q154" s="237"/>
      <c r="R154" s="242"/>
      <c r="S154" s="266"/>
      <c r="T154" s="266"/>
    </row>
    <row r="155" spans="1:21" ht="16.5" hidden="1" outlineLevel="1" thickBot="1">
      <c r="A155" s="892"/>
      <c r="B155" s="183"/>
      <c r="C155" s="439" t="s">
        <v>29</v>
      </c>
      <c r="D155" s="279"/>
      <c r="E155" s="56">
        <v>7.0206999999999997</v>
      </c>
      <c r="F155" s="57">
        <f t="shared" si="31"/>
        <v>7.0206999999999997</v>
      </c>
      <c r="G155" s="247">
        <f t="shared" si="32"/>
        <v>0</v>
      </c>
      <c r="H155" s="280"/>
      <c r="I155" s="281"/>
      <c r="J155" s="281"/>
      <c r="K155" s="282"/>
      <c r="L155" s="204"/>
      <c r="M155" s="250"/>
      <c r="N155" s="283"/>
      <c r="O155" s="252"/>
      <c r="P155" s="284"/>
      <c r="Q155" s="252"/>
      <c r="R155" s="242"/>
      <c r="S155" s="266"/>
      <c r="T155" s="266"/>
    </row>
    <row r="156" spans="1:21" ht="16.5" collapsed="1" thickTop="1">
      <c r="A156" s="898"/>
      <c r="B156" s="321"/>
      <c r="C156" s="322"/>
      <c r="D156" s="323"/>
      <c r="E156" s="163"/>
      <c r="F156" s="324"/>
      <c r="G156" s="325"/>
      <c r="H156" s="163"/>
      <c r="I156" s="163"/>
      <c r="J156" s="163"/>
      <c r="K156" s="163"/>
      <c r="L156" s="163"/>
      <c r="M156" s="326"/>
      <c r="N156" s="327"/>
      <c r="O156" s="328"/>
      <c r="P156" s="329"/>
      <c r="Q156" s="328"/>
      <c r="R156" s="330"/>
      <c r="S156" s="331"/>
      <c r="T156" s="266"/>
    </row>
    <row r="157" spans="1:21" ht="21.75" thickBot="1">
      <c r="A157" s="171" t="s">
        <v>60</v>
      </c>
      <c r="B157" s="2"/>
      <c r="C157" s="3"/>
      <c r="D157" s="2"/>
      <c r="E157" s="2"/>
      <c r="F157" s="2"/>
      <c r="G157" s="332"/>
      <c r="H157" s="332"/>
      <c r="I157" s="332"/>
      <c r="J157" s="2"/>
      <c r="K157" s="2"/>
      <c r="L157" s="2"/>
      <c r="M157" s="3"/>
      <c r="N157" s="2"/>
      <c r="O157" s="2"/>
      <c r="P157" s="2"/>
      <c r="Q157" s="2"/>
      <c r="R157" s="2"/>
      <c r="S157" s="2"/>
    </row>
    <row r="158" spans="1:21" ht="15" customHeight="1" thickTop="1">
      <c r="A158" s="1553" t="s">
        <v>1</v>
      </c>
      <c r="B158" s="1516" t="s">
        <v>2</v>
      </c>
      <c r="C158" s="1518" t="s">
        <v>3</v>
      </c>
      <c r="D158" s="1532" t="s">
        <v>4</v>
      </c>
      <c r="E158" s="1532"/>
      <c r="F158" s="1532"/>
      <c r="G158" s="1532"/>
      <c r="H158" s="1533" t="s">
        <v>5</v>
      </c>
      <c r="I158" s="1534"/>
      <c r="J158" s="1534"/>
      <c r="K158" s="1534"/>
      <c r="L158" s="1524" t="s">
        <v>6</v>
      </c>
      <c r="M158" s="1537" t="s">
        <v>7</v>
      </c>
      <c r="N158" s="1538" t="s">
        <v>8</v>
      </c>
      <c r="O158" s="1538"/>
      <c r="P158" s="1538"/>
      <c r="Q158" s="1539"/>
      <c r="R158" s="5"/>
      <c r="S158" s="5"/>
      <c r="T158" s="5" t="s">
        <v>61</v>
      </c>
      <c r="U158" t="s">
        <v>21</v>
      </c>
    </row>
    <row r="159" spans="1:21" ht="27" customHeight="1" thickBot="1">
      <c r="A159" s="1531"/>
      <c r="B159" s="1517"/>
      <c r="C159" s="1519" t="s">
        <v>10</v>
      </c>
      <c r="D159" s="333" t="s">
        <v>11</v>
      </c>
      <c r="E159" s="7" t="s">
        <v>12</v>
      </c>
      <c r="F159" s="7" t="s">
        <v>13</v>
      </c>
      <c r="G159" s="334" t="s">
        <v>14</v>
      </c>
      <c r="H159" s="335" t="s">
        <v>11</v>
      </c>
      <c r="I159" s="333" t="s">
        <v>15</v>
      </c>
      <c r="J159" s="336" t="s">
        <v>14</v>
      </c>
      <c r="K159" s="11" t="s">
        <v>16</v>
      </c>
      <c r="L159" s="1525"/>
      <c r="M159" s="1511"/>
      <c r="N159" s="337" t="s">
        <v>62</v>
      </c>
      <c r="O159" s="338" t="s">
        <v>44</v>
      </c>
      <c r="P159" s="13" t="s">
        <v>18</v>
      </c>
      <c r="Q159" s="14" t="s">
        <v>19</v>
      </c>
    </row>
    <row r="160" spans="1:21" ht="14.25" customHeight="1">
      <c r="A160" s="339" t="s">
        <v>63</v>
      </c>
      <c r="B160" s="1143" t="s">
        <v>64</v>
      </c>
      <c r="C160" s="1200" t="s">
        <v>243</v>
      </c>
      <c r="D160" s="1201">
        <v>52</v>
      </c>
      <c r="E160" s="1146">
        <v>41.244</v>
      </c>
      <c r="F160" s="1146">
        <v>48.335999999999999</v>
      </c>
      <c r="G160" s="1202">
        <f>ROUND(D160*(E160+F160),2)</f>
        <v>4658.16</v>
      </c>
      <c r="H160" s="619"/>
      <c r="I160" s="1147"/>
      <c r="J160" s="1203"/>
      <c r="K160" s="1204"/>
      <c r="L160" s="1205">
        <f>SUM(G160:G165,J160:J164)</f>
        <v>328530.02</v>
      </c>
      <c r="M160" s="1206">
        <v>328530.02</v>
      </c>
      <c r="N160" s="345"/>
      <c r="O160" s="346">
        <v>7157.88</v>
      </c>
      <c r="P160" s="347" t="s">
        <v>24</v>
      </c>
      <c r="Q160" s="348" t="e">
        <f t="shared" ref="Q160:Q245" si="33">C160+G160+J160-M160-N160-O160</f>
        <v>#VALUE!</v>
      </c>
      <c r="R160" s="349" t="s">
        <v>65</v>
      </c>
      <c r="S160" s="350" t="s">
        <v>20</v>
      </c>
      <c r="T160" s="351" t="s">
        <v>21</v>
      </c>
      <c r="U160" s="352" t="e">
        <f>+L160-M160+C160</f>
        <v>#VALUE!</v>
      </c>
    </row>
    <row r="161" spans="1:21" ht="14.25" customHeight="1">
      <c r="A161" s="353"/>
      <c r="B161" s="1151" t="s">
        <v>221</v>
      </c>
      <c r="C161" s="1207" t="s">
        <v>26</v>
      </c>
      <c r="D161" s="401"/>
      <c r="E161" s="1153"/>
      <c r="F161" s="1153"/>
      <c r="G161" s="400">
        <f>ROUND(D161*(E161+F161),2)</f>
        <v>0</v>
      </c>
      <c r="H161" s="623"/>
      <c r="I161" s="1189"/>
      <c r="J161" s="1208"/>
      <c r="K161" s="1209"/>
      <c r="L161" s="1210"/>
      <c r="M161" s="1211"/>
      <c r="N161" s="357"/>
      <c r="O161" s="358"/>
      <c r="P161" s="359"/>
      <c r="Q161" s="358"/>
      <c r="R161" s="349"/>
      <c r="S161" s="350"/>
      <c r="T161" s="351"/>
      <c r="U161" s="352"/>
    </row>
    <row r="162" spans="1:21">
      <c r="A162" s="353"/>
      <c r="B162" s="1159"/>
      <c r="C162" s="1160"/>
      <c r="D162" s="623"/>
      <c r="E162" s="1155"/>
      <c r="F162" s="1155"/>
      <c r="G162" s="1161">
        <f>ROUND(D162*E162*70%+D162*F162*30%,2)</f>
        <v>0</v>
      </c>
      <c r="H162" s="623"/>
      <c r="I162" s="1189"/>
      <c r="J162" s="1155"/>
      <c r="K162" s="1209"/>
      <c r="L162" s="1210"/>
      <c r="M162" s="1211"/>
      <c r="N162" s="357"/>
      <c r="O162" s="358"/>
      <c r="P162" s="359"/>
      <c r="Q162" s="358"/>
      <c r="R162" s="349"/>
      <c r="S162" s="350"/>
      <c r="T162" s="351"/>
      <c r="U162" s="352"/>
    </row>
    <row r="163" spans="1:21">
      <c r="A163" s="353"/>
      <c r="B163" s="1159"/>
      <c r="C163" s="1160" t="s">
        <v>260</v>
      </c>
      <c r="D163" s="623"/>
      <c r="E163" s="1155"/>
      <c r="F163" s="1153"/>
      <c r="G163" s="1161">
        <f>ROUND(+D163*E163,2)</f>
        <v>0</v>
      </c>
      <c r="H163" s="623"/>
      <c r="I163" s="1189"/>
      <c r="J163" s="1155"/>
      <c r="K163" s="1209"/>
      <c r="L163" s="1210"/>
      <c r="M163" s="1211"/>
      <c r="N163" s="357"/>
      <c r="O163" s="358"/>
      <c r="P163" s="359"/>
      <c r="Q163" s="358"/>
      <c r="R163" s="349"/>
      <c r="S163" s="350"/>
      <c r="T163" s="351"/>
      <c r="U163" s="352"/>
    </row>
    <row r="164" spans="1:21">
      <c r="A164" s="353"/>
      <c r="B164" s="1159"/>
      <c r="C164" s="1160" t="s">
        <v>263</v>
      </c>
      <c r="D164" s="623">
        <f>72.92+21.67+9.36</f>
        <v>103.95</v>
      </c>
      <c r="E164" s="1155">
        <v>7.4593999999999996</v>
      </c>
      <c r="F164" s="1155">
        <f>+E164</f>
        <v>7.4593999999999996</v>
      </c>
      <c r="G164" s="1161">
        <f>ROUND(D164*E164,2)+0.01</f>
        <v>775.41</v>
      </c>
      <c r="H164" s="1212"/>
      <c r="I164" s="1213"/>
      <c r="J164" s="1214"/>
      <c r="K164" s="1215"/>
      <c r="L164" s="1216"/>
      <c r="M164" s="1217"/>
      <c r="N164" s="366"/>
      <c r="O164" s="367"/>
      <c r="P164" s="368"/>
      <c r="Q164" s="358"/>
      <c r="R164" s="349"/>
      <c r="S164" s="350"/>
      <c r="T164" s="351"/>
      <c r="U164" s="352"/>
    </row>
    <row r="165" spans="1:21" ht="15.75" thickBot="1">
      <c r="A165" s="369"/>
      <c r="B165" s="1163" t="s">
        <v>66</v>
      </c>
      <c r="C165" s="1164" t="s">
        <v>29</v>
      </c>
      <c r="D165" s="941">
        <f>30384+9030+3900</f>
        <v>43314</v>
      </c>
      <c r="E165" s="1165">
        <v>7.4593999999999996</v>
      </c>
      <c r="F165" s="1218">
        <f>+E165</f>
        <v>7.4593999999999996</v>
      </c>
      <c r="G165" s="1167">
        <f>ROUND(D165*E165,2)</f>
        <v>323096.45</v>
      </c>
      <c r="H165" s="1219"/>
      <c r="I165" s="1220"/>
      <c r="J165" s="1169"/>
      <c r="K165" s="1220"/>
      <c r="L165" s="1197"/>
      <c r="M165" s="1221"/>
      <c r="N165" s="372"/>
      <c r="O165" s="373">
        <v>165882.5</v>
      </c>
      <c r="P165" s="374" t="s">
        <v>24</v>
      </c>
      <c r="Q165" s="373">
        <f>G165+J165-M165-N165-O165</f>
        <v>157213.95000000001</v>
      </c>
      <c r="R165" s="349" t="s">
        <v>65</v>
      </c>
      <c r="S165" s="375">
        <f>SUM(O160:O165)</f>
        <v>173040.38</v>
      </c>
      <c r="T165" s="375" t="e">
        <f>SUM(Q160:Q165)</f>
        <v>#VALUE!</v>
      </c>
    </row>
    <row r="166" spans="1:21" s="81" customFormat="1" ht="15" customHeight="1">
      <c r="A166" s="437">
        <v>101</v>
      </c>
      <c r="B166" s="438" t="s">
        <v>82</v>
      </c>
      <c r="C166" s="377" t="s">
        <v>73</v>
      </c>
      <c r="D166" s="378">
        <v>37</v>
      </c>
      <c r="E166" s="21">
        <v>41.244</v>
      </c>
      <c r="F166" s="21">
        <v>48.335999999999999</v>
      </c>
      <c r="G166" s="22">
        <f>+D166*(E166+F166)</f>
        <v>3314.46</v>
      </c>
      <c r="H166" s="303"/>
      <c r="I166" s="381"/>
      <c r="J166" s="381"/>
      <c r="K166" s="342"/>
      <c r="L166" s="263">
        <f>SUM(G166:G170,J166:J170)</f>
        <v>104707.15</v>
      </c>
      <c r="M166" s="26">
        <v>104707.15</v>
      </c>
      <c r="N166" s="421"/>
      <c r="O166" s="77"/>
      <c r="P166" s="77"/>
      <c r="Q166" s="384"/>
      <c r="R166" s="422"/>
      <c r="S166" s="399"/>
      <c r="T166" s="399"/>
    </row>
    <row r="167" spans="1:21" s="81" customFormat="1" ht="15" customHeight="1">
      <c r="A167" s="441"/>
      <c r="B167" s="442"/>
      <c r="C167" s="36" t="s">
        <v>26</v>
      </c>
      <c r="D167" s="37"/>
      <c r="E167" s="38"/>
      <c r="F167" s="38"/>
      <c r="G167" s="39">
        <f>ROUND(D167*(E167+F167),2)</f>
        <v>0</v>
      </c>
      <c r="H167" s="457"/>
      <c r="I167" s="392"/>
      <c r="J167" s="402"/>
      <c r="K167" s="393"/>
      <c r="L167" s="459"/>
      <c r="M167" s="44"/>
      <c r="N167" s="430"/>
      <c r="O167" s="435"/>
      <c r="P167" s="435"/>
      <c r="Q167" s="425"/>
      <c r="R167" s="422"/>
      <c r="S167" s="399"/>
      <c r="T167" s="399"/>
    </row>
    <row r="168" spans="1:21" s="81" customFormat="1" ht="15" customHeight="1">
      <c r="A168" s="441"/>
      <c r="B168" s="442"/>
      <c r="C168" s="48" t="s">
        <v>260</v>
      </c>
      <c r="D168" s="37">
        <f>апр.19!D169+апр.19!D170</f>
        <v>12775.59</v>
      </c>
      <c r="E168" s="41">
        <f>7.6099-7.3771</f>
        <v>0.23279999999999923</v>
      </c>
      <c r="F168" s="38"/>
      <c r="G168" s="39">
        <f>ROUND(D168*(E168),2)</f>
        <v>2974.16</v>
      </c>
      <c r="H168" s="270"/>
      <c r="I168" s="41"/>
      <c r="J168" s="41"/>
      <c r="K168" s="271"/>
      <c r="L168" s="272"/>
      <c r="M168" s="102"/>
      <c r="N168" s="430"/>
      <c r="O168" s="435"/>
      <c r="P168" s="435"/>
      <c r="Q168" s="425"/>
      <c r="R168" s="422"/>
      <c r="S168" s="399"/>
      <c r="T168" s="399"/>
    </row>
    <row r="169" spans="1:21" s="81" customFormat="1" ht="15" customHeight="1">
      <c r="A169" s="441"/>
      <c r="B169" s="442"/>
      <c r="C169" s="48" t="s">
        <v>263</v>
      </c>
      <c r="D169" s="37">
        <v>30.96</v>
      </c>
      <c r="E169" s="41">
        <v>7.6098999999999997</v>
      </c>
      <c r="F169" s="38"/>
      <c r="G169" s="39">
        <f>ROUND(D169*(E169),2)</f>
        <v>235.6</v>
      </c>
      <c r="H169" s="270"/>
      <c r="I169" s="41"/>
      <c r="J169" s="41"/>
      <c r="K169" s="271"/>
      <c r="L169" s="272"/>
      <c r="M169" s="102"/>
      <c r="N169" s="434"/>
      <c r="O169" s="435"/>
      <c r="P169" s="435"/>
      <c r="Q169" s="425"/>
      <c r="R169" s="422"/>
      <c r="S169" s="399"/>
      <c r="T169" s="399"/>
    </row>
    <row r="170" spans="1:21" s="81" customFormat="1" ht="15" customHeight="1" thickBot="1">
      <c r="A170" s="445"/>
      <c r="B170" s="446"/>
      <c r="C170" s="54" t="s">
        <v>29</v>
      </c>
      <c r="D170" s="413">
        <v>12902</v>
      </c>
      <c r="E170" s="56">
        <v>7.6098999999999997</v>
      </c>
      <c r="F170" s="281"/>
      <c r="G170" s="414">
        <f>ROUND(D170*(E170),2)</f>
        <v>98182.93</v>
      </c>
      <c r="H170" s="280"/>
      <c r="I170" s="281"/>
      <c r="J170" s="281"/>
      <c r="K170" s="282"/>
      <c r="L170" s="204"/>
      <c r="M170" s="371"/>
      <c r="N170" s="426"/>
      <c r="O170" s="416"/>
      <c r="P170" s="416"/>
      <c r="Q170" s="417"/>
      <c r="R170" s="899"/>
      <c r="S170" s="399"/>
      <c r="T170" s="399"/>
    </row>
    <row r="171" spans="1:21" s="81" customFormat="1" ht="15.75" customHeight="1">
      <c r="A171" s="902">
        <v>105</v>
      </c>
      <c r="B171" s="903" t="s">
        <v>256</v>
      </c>
      <c r="C171" s="439" t="s">
        <v>260</v>
      </c>
      <c r="D171" s="904">
        <f>апр.19!D172+апр.19!D173</f>
        <v>1457.49</v>
      </c>
      <c r="E171" s="23">
        <f>7.6099-7.3771</f>
        <v>0.23279999999999923</v>
      </c>
      <c r="F171" s="905"/>
      <c r="G171" s="22">
        <f>ROUND(D171*E171,2)</f>
        <v>339.3</v>
      </c>
      <c r="H171" s="303"/>
      <c r="I171" s="23"/>
      <c r="J171" s="23"/>
      <c r="K171" s="304"/>
      <c r="L171" s="263">
        <f>SUM(G171:G173)</f>
        <v>11758.640000000001</v>
      </c>
      <c r="M171" s="26">
        <v>11758.64</v>
      </c>
      <c r="N171" s="421"/>
      <c r="O171" s="77"/>
      <c r="P171" s="77"/>
      <c r="Q171" s="384"/>
      <c r="R171" s="422"/>
      <c r="S171" s="399"/>
      <c r="T171" s="399"/>
    </row>
    <row r="172" spans="1:21" s="81" customFormat="1" ht="15.75" customHeight="1">
      <c r="A172" s="468"/>
      <c r="B172" s="469"/>
      <c r="C172" s="48" t="s">
        <v>263</v>
      </c>
      <c r="D172" s="471">
        <v>3.59</v>
      </c>
      <c r="E172" s="41">
        <v>7.6098999999999997</v>
      </c>
      <c r="F172" s="473"/>
      <c r="G172" s="449">
        <f>ROUND(D172*E172,2)</f>
        <v>27.32</v>
      </c>
      <c r="H172" s="260"/>
      <c r="I172" s="261"/>
      <c r="J172" s="261"/>
      <c r="K172" s="262"/>
      <c r="L172" s="286"/>
      <c r="M172" s="90"/>
      <c r="N172" s="423"/>
      <c r="O172" s="406"/>
      <c r="P172" s="406"/>
      <c r="Q172" s="407"/>
      <c r="R172" s="422"/>
      <c r="S172" s="399"/>
      <c r="T172" s="399"/>
    </row>
    <row r="173" spans="1:21" s="81" customFormat="1" ht="15.75" customHeight="1" thickBot="1">
      <c r="A173" s="858"/>
      <c r="B173" s="859"/>
      <c r="C173" s="54" t="s">
        <v>29</v>
      </c>
      <c r="D173" s="860">
        <v>1497</v>
      </c>
      <c r="E173" s="56">
        <v>7.6098999999999997</v>
      </c>
      <c r="F173" s="861"/>
      <c r="G173" s="414">
        <f t="shared" ref="G173" si="34">ROUND(D173*E173,2)</f>
        <v>11392.02</v>
      </c>
      <c r="H173" s="280"/>
      <c r="I173" s="281"/>
      <c r="J173" s="281"/>
      <c r="K173" s="282"/>
      <c r="L173" s="204"/>
      <c r="M173" s="371"/>
      <c r="N173" s="426"/>
      <c r="O173" s="416"/>
      <c r="P173" s="416"/>
      <c r="Q173" s="417"/>
      <c r="R173" s="422"/>
      <c r="S173" s="399"/>
      <c r="T173" s="399"/>
    </row>
    <row r="174" spans="1:21" s="81" customFormat="1" ht="15.75" hidden="1" customHeight="1">
      <c r="A174" s="902">
        <v>107</v>
      </c>
      <c r="B174" s="903" t="s">
        <v>239</v>
      </c>
      <c r="C174" s="439" t="s">
        <v>260</v>
      </c>
      <c r="D174" s="904"/>
      <c r="E174" s="23">
        <f>6.9835-7.2015</f>
        <v>-0.21799999999999997</v>
      </c>
      <c r="F174" s="905"/>
      <c r="G174" s="22">
        <f>ROUND(D174*E174,2)</f>
        <v>0</v>
      </c>
      <c r="H174" s="303"/>
      <c r="I174" s="23"/>
      <c r="J174" s="23"/>
      <c r="K174" s="304"/>
      <c r="L174" s="263">
        <f>SUM(G174:G176)</f>
        <v>0</v>
      </c>
      <c r="M174" s="26"/>
      <c r="N174" s="421"/>
      <c r="O174" s="77"/>
      <c r="P174" s="77"/>
      <c r="Q174" s="384"/>
      <c r="R174" s="422"/>
      <c r="S174" s="399"/>
      <c r="T174" s="399"/>
    </row>
    <row r="175" spans="1:21" s="81" customFormat="1" ht="15.75" hidden="1" customHeight="1">
      <c r="A175" s="468"/>
      <c r="B175" s="469"/>
      <c r="C175" s="48" t="s">
        <v>263</v>
      </c>
      <c r="D175" s="471"/>
      <c r="E175" s="41">
        <v>6.9835000000000003</v>
      </c>
      <c r="F175" s="473"/>
      <c r="G175" s="449">
        <f>ROUND(D175*E175,2)</f>
        <v>0</v>
      </c>
      <c r="H175" s="260"/>
      <c r="I175" s="261"/>
      <c r="J175" s="261"/>
      <c r="K175" s="262"/>
      <c r="L175" s="286"/>
      <c r="M175" s="90"/>
      <c r="N175" s="423"/>
      <c r="O175" s="406"/>
      <c r="P175" s="406"/>
      <c r="Q175" s="407"/>
      <c r="R175" s="422"/>
      <c r="S175" s="399"/>
      <c r="T175" s="399"/>
    </row>
    <row r="176" spans="1:21" s="81" customFormat="1" ht="15.75" hidden="1" customHeight="1" thickBot="1">
      <c r="A176" s="858"/>
      <c r="B176" s="859"/>
      <c r="C176" s="54" t="s">
        <v>29</v>
      </c>
      <c r="D176" s="860"/>
      <c r="E176" s="56">
        <v>6.9835000000000003</v>
      </c>
      <c r="F176" s="861"/>
      <c r="G176" s="414">
        <f t="shared" ref="G176" si="35">ROUND(D176*E176,2)</f>
        <v>0</v>
      </c>
      <c r="H176" s="280"/>
      <c r="I176" s="281"/>
      <c r="J176" s="281"/>
      <c r="K176" s="282"/>
      <c r="L176" s="204"/>
      <c r="M176" s="371"/>
      <c r="N176" s="426"/>
      <c r="O176" s="416"/>
      <c r="P176" s="416"/>
      <c r="Q176" s="417"/>
      <c r="R176" s="422"/>
      <c r="S176" s="399"/>
      <c r="T176" s="399"/>
    </row>
    <row r="177" spans="1:20" s="81" customFormat="1" ht="15.75" customHeight="1">
      <c r="A177" s="447">
        <v>107</v>
      </c>
      <c r="B177" s="438" t="s">
        <v>325</v>
      </c>
      <c r="C177" s="439" t="s">
        <v>260</v>
      </c>
      <c r="D177" s="900">
        <f>апр.19!D178+апр.19!D179</f>
        <v>502.2</v>
      </c>
      <c r="E177" s="23">
        <f>7.6099-7.3771</f>
        <v>0.23279999999999923</v>
      </c>
      <c r="F177" s="23"/>
      <c r="G177" s="22">
        <f>ROUND(D177*E177,2)</f>
        <v>116.91</v>
      </c>
      <c r="H177" s="303"/>
      <c r="I177" s="23"/>
      <c r="J177" s="23"/>
      <c r="K177" s="304"/>
      <c r="L177" s="263">
        <f>SUM(G177:G179)</f>
        <v>4083.57</v>
      </c>
      <c r="M177" s="26">
        <v>4083.57</v>
      </c>
      <c r="N177" s="421"/>
      <c r="O177" s="77"/>
      <c r="P177" s="77"/>
      <c r="Q177" s="384"/>
      <c r="R177" s="422"/>
      <c r="S177" s="399"/>
      <c r="T177" s="399"/>
    </row>
    <row r="178" spans="1:20" s="81" customFormat="1" ht="15.75" customHeight="1">
      <c r="A178" s="450"/>
      <c r="B178" s="442"/>
      <c r="C178" s="48" t="s">
        <v>263</v>
      </c>
      <c r="D178" s="448">
        <v>1.25</v>
      </c>
      <c r="E178" s="41">
        <v>7.6098999999999997</v>
      </c>
      <c r="F178" s="261"/>
      <c r="G178" s="449">
        <f t="shared" ref="G178:G179" si="36">ROUND(D178*E178,2)</f>
        <v>9.51</v>
      </c>
      <c r="H178" s="260"/>
      <c r="I178" s="261"/>
      <c r="J178" s="261"/>
      <c r="K178" s="262"/>
      <c r="L178" s="286"/>
      <c r="M178" s="90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 thickBot="1">
      <c r="A179" s="451"/>
      <c r="B179" s="446"/>
      <c r="C179" s="54" t="s">
        <v>29</v>
      </c>
      <c r="D179" s="901">
        <v>520</v>
      </c>
      <c r="E179" s="56">
        <v>7.6098999999999997</v>
      </c>
      <c r="F179" s="281"/>
      <c r="G179" s="414">
        <f t="shared" si="36"/>
        <v>3957.15</v>
      </c>
      <c r="H179" s="280"/>
      <c r="I179" s="281"/>
      <c r="J179" s="281"/>
      <c r="K179" s="282"/>
      <c r="L179" s="204"/>
      <c r="M179" s="371"/>
      <c r="N179" s="426"/>
      <c r="O179" s="416"/>
      <c r="P179" s="416"/>
      <c r="Q179" s="417"/>
      <c r="R179" s="422"/>
      <c r="S179" s="399"/>
      <c r="T179" s="399"/>
    </row>
    <row r="180" spans="1:20" s="81" customFormat="1" ht="15.75" customHeight="1">
      <c r="A180" s="902">
        <v>108</v>
      </c>
      <c r="B180" s="903" t="s">
        <v>168</v>
      </c>
      <c r="C180" s="439" t="s">
        <v>260</v>
      </c>
      <c r="D180" s="904">
        <f>апр.19!D181+апр.19!D182</f>
        <v>264.63</v>
      </c>
      <c r="E180" s="23">
        <f>7.6099-7.3771</f>
        <v>0.23279999999999923</v>
      </c>
      <c r="F180" s="905"/>
      <c r="G180" s="22">
        <f>ROUND(D180*E180,2)</f>
        <v>61.61</v>
      </c>
      <c r="H180" s="303"/>
      <c r="I180" s="23"/>
      <c r="J180" s="23"/>
      <c r="K180" s="304"/>
      <c r="L180" s="263">
        <f>SUM(G180:G182)</f>
        <v>2182.2600000000002</v>
      </c>
      <c r="M180" s="26">
        <v>2182.2600000000002</v>
      </c>
      <c r="N180" s="421"/>
      <c r="O180" s="77"/>
      <c r="P180" s="77"/>
      <c r="Q180" s="384"/>
      <c r="R180" s="422"/>
      <c r="S180" s="399"/>
      <c r="T180" s="399"/>
    </row>
    <row r="181" spans="1:20" s="81" customFormat="1" ht="15.75" customHeight="1">
      <c r="A181" s="468"/>
      <c r="B181" s="469"/>
      <c r="C181" s="48" t="s">
        <v>263</v>
      </c>
      <c r="D181" s="471">
        <v>0.67</v>
      </c>
      <c r="E181" s="41">
        <v>7.6098999999999997</v>
      </c>
      <c r="F181" s="473"/>
      <c r="G181" s="449">
        <f>ROUND(D181*E181,2)</f>
        <v>5.0999999999999996</v>
      </c>
      <c r="H181" s="260"/>
      <c r="I181" s="261"/>
      <c r="J181" s="261"/>
      <c r="K181" s="262"/>
      <c r="L181" s="286"/>
      <c r="M181" s="90"/>
      <c r="N181" s="423"/>
      <c r="O181" s="406"/>
      <c r="P181" s="406"/>
      <c r="Q181" s="407"/>
      <c r="R181" s="422"/>
      <c r="S181" s="399"/>
      <c r="T181" s="399"/>
    </row>
    <row r="182" spans="1:20" s="81" customFormat="1" ht="15.75" customHeight="1" thickBot="1">
      <c r="A182" s="858"/>
      <c r="B182" s="859"/>
      <c r="C182" s="520" t="s">
        <v>29</v>
      </c>
      <c r="D182" s="471">
        <v>278</v>
      </c>
      <c r="E182" s="876">
        <v>7.6098999999999997</v>
      </c>
      <c r="F182" s="473"/>
      <c r="G182" s="453">
        <f t="shared" ref="G182" si="37">ROUND(D182*E182,2)</f>
        <v>2115.5500000000002</v>
      </c>
      <c r="H182" s="432"/>
      <c r="I182" s="207"/>
      <c r="J182" s="207"/>
      <c r="K182" s="362"/>
      <c r="L182" s="433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.75" customHeight="1">
      <c r="A183" s="376">
        <v>109</v>
      </c>
      <c r="B183" s="924" t="s">
        <v>175</v>
      </c>
      <c r="C183" s="439" t="s">
        <v>260</v>
      </c>
      <c r="D183" s="378">
        <f>апр.19!D184+апр.19!D185</f>
        <v>771.85</v>
      </c>
      <c r="E183" s="23">
        <f>7.6099-7.3771</f>
        <v>0.23279999999999923</v>
      </c>
      <c r="F183" s="23"/>
      <c r="G183" s="22">
        <f>ROUND(D183*E183,2)-0.01</f>
        <v>179.68</v>
      </c>
      <c r="H183" s="303"/>
      <c r="I183" s="23"/>
      <c r="J183" s="23"/>
      <c r="K183" s="185"/>
      <c r="L183" s="263">
        <f>SUM(G183:G187)+SUM(J183:J187)</f>
        <v>6079.97</v>
      </c>
      <c r="M183" s="877">
        <v>6079.97</v>
      </c>
      <c r="N183" s="443"/>
      <c r="O183" s="94"/>
      <c r="P183" s="94"/>
      <c r="Q183" s="396"/>
      <c r="R183" s="422"/>
      <c r="S183" s="399"/>
      <c r="T183" s="399"/>
    </row>
    <row r="184" spans="1:20" s="81" customFormat="1" ht="15.75" customHeight="1">
      <c r="A184" s="389"/>
      <c r="B184" s="920"/>
      <c r="C184" s="48" t="s">
        <v>263</v>
      </c>
      <c r="D184" s="37">
        <v>1.8</v>
      </c>
      <c r="E184" s="41">
        <v>7.6098999999999997</v>
      </c>
      <c r="F184" s="41"/>
      <c r="G184" s="39">
        <f>ROUND(D184*E184,2)</f>
        <v>13.7</v>
      </c>
      <c r="H184" s="270"/>
      <c r="I184" s="41"/>
      <c r="J184" s="41"/>
      <c r="K184" s="50"/>
      <c r="L184" s="272"/>
      <c r="M184" s="9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>
      <c r="A185" s="389"/>
      <c r="B185" s="920"/>
      <c r="C185" s="99" t="s">
        <v>29</v>
      </c>
      <c r="D185" s="37">
        <v>750</v>
      </c>
      <c r="E185" s="101">
        <v>7.6098999999999997</v>
      </c>
      <c r="F185" s="41"/>
      <c r="G185" s="39">
        <f t="shared" ref="G185" si="38">ROUND(D185*E185,2)</f>
        <v>5707.43</v>
      </c>
      <c r="H185" s="270"/>
      <c r="I185" s="41"/>
      <c r="J185" s="41"/>
      <c r="K185" s="50"/>
      <c r="L185" s="272"/>
      <c r="M185" s="990"/>
      <c r="N185" s="423"/>
      <c r="O185" s="406"/>
      <c r="P185" s="406"/>
      <c r="Q185" s="407"/>
      <c r="R185" s="422"/>
      <c r="S185" s="399"/>
      <c r="T185" s="399"/>
    </row>
    <row r="186" spans="1:20" s="81" customFormat="1" ht="15.75" customHeight="1" thickBot="1">
      <c r="A186" s="389"/>
      <c r="B186" s="920"/>
      <c r="C186" s="99" t="s">
        <v>73</v>
      </c>
      <c r="D186" s="37">
        <v>2</v>
      </c>
      <c r="E186" s="101">
        <v>41.244</v>
      </c>
      <c r="F186" s="41">
        <v>48.335999999999999</v>
      </c>
      <c r="G186" s="39">
        <f>+D186*(E186+F186)</f>
        <v>179.16</v>
      </c>
      <c r="H186" s="270"/>
      <c r="I186" s="41"/>
      <c r="J186" s="41"/>
      <c r="K186" s="50"/>
      <c r="L186" s="272"/>
      <c r="M186" s="880"/>
      <c r="N186" s="426"/>
      <c r="O186" s="416"/>
      <c r="P186" s="416"/>
      <c r="Q186" s="417"/>
      <c r="R186" s="422"/>
      <c r="S186" s="399"/>
      <c r="T186" s="399"/>
    </row>
    <row r="187" spans="1:20" s="81" customFormat="1" ht="15.75" customHeight="1" thickBot="1">
      <c r="A187" s="411"/>
      <c r="B187" s="921"/>
      <c r="C187" s="54" t="s">
        <v>264</v>
      </c>
      <c r="D187" s="413"/>
      <c r="E187" s="56"/>
      <c r="F187" s="281"/>
      <c r="G187" s="414">
        <f>+D187*(E187+F187)</f>
        <v>0</v>
      </c>
      <c r="H187" s="280"/>
      <c r="I187" s="281"/>
      <c r="J187" s="281"/>
      <c r="K187" s="58"/>
      <c r="L187" s="204"/>
      <c r="M187" s="880"/>
      <c r="N187" s="426"/>
      <c r="O187" s="416"/>
      <c r="P187" s="416"/>
      <c r="Q187" s="417"/>
      <c r="R187" s="422"/>
      <c r="S187" s="399"/>
      <c r="T187" s="399"/>
    </row>
    <row r="188" spans="1:20" s="81" customFormat="1" ht="15.75" customHeight="1">
      <c r="A188" s="376">
        <v>117</v>
      </c>
      <c r="B188" s="420" t="s">
        <v>72</v>
      </c>
      <c r="C188" s="390" t="s">
        <v>73</v>
      </c>
      <c r="D188" s="869">
        <v>178</v>
      </c>
      <c r="E188" s="86">
        <v>41.244</v>
      </c>
      <c r="F188" s="86">
        <v>48.335999999999999</v>
      </c>
      <c r="G188" s="449">
        <f>+D188*(E188+F188)</f>
        <v>15945.24</v>
      </c>
      <c r="H188" s="260"/>
      <c r="I188" s="392"/>
      <c r="J188" s="392"/>
      <c r="K188" s="870"/>
      <c r="L188" s="286">
        <f>SUM(G188:G192,J188:J192)</f>
        <v>260776.69</v>
      </c>
      <c r="M188" s="26">
        <v>260776.69</v>
      </c>
      <c r="N188" s="421"/>
      <c r="O188" s="77"/>
      <c r="P188" s="77"/>
      <c r="Q188" s="384"/>
      <c r="R188" s="422"/>
      <c r="S188" s="399"/>
      <c r="T188" s="399"/>
    </row>
    <row r="189" spans="1:20" s="81" customFormat="1" ht="15.75" customHeight="1">
      <c r="A189" s="389"/>
      <c r="B189" s="83"/>
      <c r="C189" s="84" t="s">
        <v>26</v>
      </c>
      <c r="D189" s="37"/>
      <c r="E189" s="38"/>
      <c r="F189" s="38"/>
      <c r="G189" s="39">
        <f>ROUND(D189*(E189+F189),2)</f>
        <v>0</v>
      </c>
      <c r="H189" s="270"/>
      <c r="I189" s="392"/>
      <c r="J189" s="402"/>
      <c r="K189" s="393"/>
      <c r="L189" s="272"/>
      <c r="M189" s="102"/>
      <c r="N189" s="423"/>
      <c r="O189" s="406"/>
      <c r="P189" s="406"/>
      <c r="Q189" s="407"/>
      <c r="R189" s="422"/>
      <c r="S189" s="399"/>
      <c r="T189" s="399"/>
    </row>
    <row r="190" spans="1:20" s="81" customFormat="1" ht="15.75" customHeight="1">
      <c r="A190" s="389"/>
      <c r="B190" s="83"/>
      <c r="C190" s="48" t="s">
        <v>260</v>
      </c>
      <c r="D190" s="37">
        <f>апр.19!D191+апр.19!D192</f>
        <v>29350.27</v>
      </c>
      <c r="E190" s="41">
        <f>7.6099-7.3771</f>
        <v>0.23279999999999923</v>
      </c>
      <c r="F190" s="38"/>
      <c r="G190" s="39">
        <f>ROUND(D190*(E190),2)</f>
        <v>6832.74</v>
      </c>
      <c r="H190" s="270"/>
      <c r="I190" s="41"/>
      <c r="J190" s="41"/>
      <c r="K190" s="271"/>
      <c r="L190" s="272"/>
      <c r="M190" s="102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389"/>
      <c r="B191" s="83"/>
      <c r="C191" s="48" t="s">
        <v>263</v>
      </c>
      <c r="D191" s="37">
        <v>74.88</v>
      </c>
      <c r="E191" s="41">
        <v>7.6098999999999997</v>
      </c>
      <c r="F191" s="38"/>
      <c r="G191" s="39">
        <f>ROUND(D191*(E191),2)</f>
        <v>569.83000000000004</v>
      </c>
      <c r="H191" s="270"/>
      <c r="I191" s="41"/>
      <c r="J191" s="41"/>
      <c r="K191" s="271"/>
      <c r="L191" s="272"/>
      <c r="M191" s="102"/>
      <c r="N191" s="423"/>
      <c r="O191" s="406"/>
      <c r="P191" s="406"/>
      <c r="Q191" s="425"/>
      <c r="R191" s="422"/>
      <c r="S191" s="399"/>
      <c r="T191" s="399"/>
    </row>
    <row r="192" spans="1:20" s="81" customFormat="1" ht="15.75" customHeight="1" thickBot="1">
      <c r="A192" s="411"/>
      <c r="B192" s="412"/>
      <c r="C192" s="99" t="s">
        <v>29</v>
      </c>
      <c r="D192" s="413">
        <v>31200</v>
      </c>
      <c r="E192" s="56">
        <v>7.6098999999999997</v>
      </c>
      <c r="F192" s="281"/>
      <c r="G192" s="414">
        <f>ROUND(D192*(E192),2)</f>
        <v>237428.88</v>
      </c>
      <c r="H192" s="280"/>
      <c r="I192" s="281"/>
      <c r="J192" s="281"/>
      <c r="K192" s="282"/>
      <c r="L192" s="204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376">
        <v>118</v>
      </c>
      <c r="B193" s="924" t="s">
        <v>321</v>
      </c>
      <c r="C193" s="377" t="s">
        <v>73</v>
      </c>
      <c r="D193" s="378">
        <v>61</v>
      </c>
      <c r="E193" s="21">
        <v>41.244</v>
      </c>
      <c r="F193" s="21">
        <v>48.335999999999999</v>
      </c>
      <c r="G193" s="22">
        <f>+D193*(E193+F193)</f>
        <v>5464.38</v>
      </c>
      <c r="H193" s="303"/>
      <c r="I193" s="381"/>
      <c r="J193" s="41"/>
      <c r="K193" s="342"/>
      <c r="L193" s="263">
        <f>SUM(G193:G197,J193:J197)</f>
        <v>55243.76</v>
      </c>
      <c r="M193" s="26">
        <v>55243.76</v>
      </c>
      <c r="N193" s="421"/>
      <c r="O193" s="77"/>
      <c r="P193" s="77"/>
      <c r="Q193" s="384"/>
      <c r="R193" s="422"/>
      <c r="S193" s="399"/>
      <c r="T193" s="399"/>
    </row>
    <row r="194" spans="1:20" s="81" customFormat="1" ht="15.75" customHeight="1">
      <c r="A194" s="389"/>
      <c r="B194" s="920"/>
      <c r="C194" s="36" t="s">
        <v>26</v>
      </c>
      <c r="D194" s="37"/>
      <c r="E194" s="38"/>
      <c r="F194" s="38"/>
      <c r="G194" s="39">
        <f>ROUND(D194*(E194+F194),2)</f>
        <v>0</v>
      </c>
      <c r="H194" s="457"/>
      <c r="I194" s="392"/>
      <c r="J194" s="41"/>
      <c r="K194" s="393"/>
      <c r="L194" s="459"/>
      <c r="M194" s="44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389"/>
      <c r="B195" s="920"/>
      <c r="C195" s="48" t="s">
        <v>260</v>
      </c>
      <c r="D195" s="37">
        <f>апр.19!D196+апр.19!D197</f>
        <v>6249.96</v>
      </c>
      <c r="E195" s="41">
        <f>7.6099-7.3771</f>
        <v>0.23279999999999923</v>
      </c>
      <c r="F195" s="38"/>
      <c r="G195" s="39">
        <f>ROUND(D195*(E195),2)</f>
        <v>1454.99</v>
      </c>
      <c r="H195" s="270"/>
      <c r="I195" s="41"/>
      <c r="J195" s="41"/>
      <c r="K195" s="271"/>
      <c r="L195" s="272"/>
      <c r="M195" s="102"/>
      <c r="N195" s="430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389"/>
      <c r="B196" s="920"/>
      <c r="C196" s="48" t="s">
        <v>263</v>
      </c>
      <c r="D196" s="37">
        <v>15.2</v>
      </c>
      <c r="E196" s="41">
        <v>7.6098999999999997</v>
      </c>
      <c r="F196" s="38"/>
      <c r="G196" s="39">
        <f>ROUND(D196*(E196),2)</f>
        <v>115.67</v>
      </c>
      <c r="H196" s="270"/>
      <c r="I196" s="41"/>
      <c r="J196" s="41"/>
      <c r="K196" s="271"/>
      <c r="L196" s="272"/>
      <c r="M196" s="102"/>
      <c r="N196" s="434"/>
      <c r="O196" s="435"/>
      <c r="P196" s="435"/>
      <c r="Q196" s="425"/>
      <c r="R196" s="422"/>
      <c r="S196" s="399"/>
      <c r="T196" s="399"/>
    </row>
    <row r="197" spans="1:20" s="81" customFormat="1" ht="15.75" customHeight="1" thickBot="1">
      <c r="A197" s="411"/>
      <c r="B197" s="921"/>
      <c r="C197" s="54" t="s">
        <v>29</v>
      </c>
      <c r="D197" s="413">
        <v>6335</v>
      </c>
      <c r="E197" s="56">
        <v>7.6098999999999997</v>
      </c>
      <c r="F197" s="281"/>
      <c r="G197" s="414">
        <f>ROUND(D197*(E197),2)</f>
        <v>48208.72</v>
      </c>
      <c r="H197" s="432"/>
      <c r="I197" s="207"/>
      <c r="J197" s="207"/>
      <c r="K197" s="362"/>
      <c r="L197" s="433"/>
      <c r="M197" s="63"/>
      <c r="N197" s="434"/>
      <c r="O197" s="435"/>
      <c r="P197" s="435"/>
      <c r="Q197" s="425"/>
      <c r="R197" s="422"/>
      <c r="S197" s="399"/>
      <c r="T197" s="399"/>
    </row>
    <row r="198" spans="1:20" s="81" customFormat="1" ht="15.75" customHeight="1">
      <c r="A198" s="468">
        <v>121</v>
      </c>
      <c r="B198" s="699" t="s">
        <v>154</v>
      </c>
      <c r="C198" s="700" t="s">
        <v>260</v>
      </c>
      <c r="D198" s="471">
        <f>апр.19!D199+апр.19!D200</f>
        <v>295.70999999999998</v>
      </c>
      <c r="E198" s="261">
        <f>7.6099-7.3771</f>
        <v>0.23279999999999923</v>
      </c>
      <c r="F198" s="473"/>
      <c r="G198" s="449">
        <f>ROUND(D198*E198,2)</f>
        <v>68.84</v>
      </c>
      <c r="H198" s="303"/>
      <c r="I198" s="23"/>
      <c r="J198" s="23"/>
      <c r="K198" s="304"/>
      <c r="L198" s="263">
        <f>SUM(G198:G200)</f>
        <v>2326.7700000000004</v>
      </c>
      <c r="M198" s="26">
        <v>2326.77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263</v>
      </c>
      <c r="D199" s="471">
        <v>0.71</v>
      </c>
      <c r="E199" s="41">
        <v>7.6098999999999997</v>
      </c>
      <c r="F199" s="473"/>
      <c r="G199" s="449">
        <f>ROUND(D199*E199,2)</f>
        <v>5.4</v>
      </c>
      <c r="H199" s="260"/>
      <c r="I199" s="261"/>
      <c r="J199" s="261"/>
      <c r="K199" s="262"/>
      <c r="L199" s="28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858"/>
      <c r="B200" s="859"/>
      <c r="C200" s="54" t="s">
        <v>29</v>
      </c>
      <c r="D200" s="860">
        <v>296</v>
      </c>
      <c r="E200" s="56">
        <v>7.6098999999999997</v>
      </c>
      <c r="F200" s="861"/>
      <c r="G200" s="414">
        <f t="shared" ref="G200" si="39">ROUND(D200*E200,2)</f>
        <v>2252.5300000000002</v>
      </c>
      <c r="H200" s="280"/>
      <c r="I200" s="281"/>
      <c r="J200" s="281"/>
      <c r="K200" s="282"/>
      <c r="L200" s="204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customHeight="1">
      <c r="A201" s="376">
        <v>202</v>
      </c>
      <c r="B201" s="420" t="s">
        <v>74</v>
      </c>
      <c r="C201" s="377" t="s">
        <v>73</v>
      </c>
      <c r="D201" s="378">
        <v>13</v>
      </c>
      <c r="E201" s="21">
        <v>41.244</v>
      </c>
      <c r="F201" s="21">
        <v>48.335999999999999</v>
      </c>
      <c r="G201" s="22">
        <f>ROUND(D201*(E201+F201),2)</f>
        <v>1164.54</v>
      </c>
      <c r="H201" s="303"/>
      <c r="I201" s="381"/>
      <c r="J201" s="381"/>
      <c r="K201" s="342"/>
      <c r="L201" s="263">
        <f>SUM(G201:G207,J201:J207)</f>
        <v>21509.179999999997</v>
      </c>
      <c r="M201" s="26">
        <v>21509.18</v>
      </c>
      <c r="N201" s="421"/>
      <c r="O201" s="77"/>
      <c r="P201" s="77"/>
      <c r="Q201" s="384"/>
      <c r="R201" s="422"/>
      <c r="S201" s="399"/>
      <c r="T201" s="399"/>
    </row>
    <row r="202" spans="1:20" s="81" customFormat="1" ht="15.75" customHeight="1">
      <c r="A202" s="389"/>
      <c r="B202" s="98"/>
      <c r="C202" s="84" t="s">
        <v>26</v>
      </c>
      <c r="D202" s="37"/>
      <c r="E202" s="38"/>
      <c r="F202" s="38"/>
      <c r="G202" s="39">
        <f>ROUND(D202*(E202+F202),2)</f>
        <v>0</v>
      </c>
      <c r="H202" s="270"/>
      <c r="I202" s="392"/>
      <c r="J202" s="402"/>
      <c r="K202" s="393"/>
      <c r="L202" s="272"/>
      <c r="M202" s="102"/>
      <c r="N202" s="423"/>
      <c r="O202" s="406"/>
      <c r="P202" s="406"/>
      <c r="Q202" s="407"/>
      <c r="R202" s="422"/>
      <c r="S202" s="399"/>
      <c r="T202" s="399"/>
    </row>
    <row r="203" spans="1:20" s="81" customFormat="1" ht="15.75" customHeight="1">
      <c r="A203" s="389"/>
      <c r="B203" s="98" t="s">
        <v>32</v>
      </c>
      <c r="C203" s="99" t="s">
        <v>33</v>
      </c>
      <c r="D203" s="428">
        <v>6</v>
      </c>
      <c r="E203" s="101">
        <v>276.93</v>
      </c>
      <c r="F203" s="38">
        <f>F201</f>
        <v>48.335999999999999</v>
      </c>
      <c r="G203" s="39">
        <f>ROUND(D203*(E203+F203),2)</f>
        <v>1951.6</v>
      </c>
      <c r="H203" s="270"/>
      <c r="I203" s="41"/>
      <c r="J203" s="41"/>
      <c r="K203" s="271"/>
      <c r="L203" s="272"/>
      <c r="M203" s="102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>
      <c r="A204" s="389"/>
      <c r="B204" s="83"/>
      <c r="C204" s="48" t="s">
        <v>76</v>
      </c>
      <c r="D204" s="37">
        <f>апр.19!D203</f>
        <v>8</v>
      </c>
      <c r="E204" s="41">
        <f>276.93-343.14</f>
        <v>-66.20999999999998</v>
      </c>
      <c r="F204" s="38">
        <f>F202</f>
        <v>0</v>
      </c>
      <c r="G204" s="39">
        <f>ROUND(D204*(E204+F204),2)</f>
        <v>-529.67999999999995</v>
      </c>
      <c r="H204" s="270"/>
      <c r="I204" s="41"/>
      <c r="J204" s="41"/>
      <c r="K204" s="271"/>
      <c r="L204" s="272"/>
      <c r="M204" s="102"/>
      <c r="N204" s="423"/>
      <c r="O204" s="406"/>
      <c r="P204" s="406"/>
      <c r="Q204" s="407"/>
      <c r="R204" s="422"/>
      <c r="S204" s="399"/>
      <c r="T204" s="399"/>
    </row>
    <row r="205" spans="1:20" s="81" customFormat="1" ht="15.75" customHeight="1">
      <c r="A205" s="389"/>
      <c r="B205" s="83"/>
      <c r="C205" s="48" t="s">
        <v>260</v>
      </c>
      <c r="D205" s="37">
        <f>апр.19!D206+апр.19!D207</f>
        <v>2445.86</v>
      </c>
      <c r="E205" s="41">
        <f>7.6099-7.3771</f>
        <v>0.23279999999999923</v>
      </c>
      <c r="F205" s="38"/>
      <c r="G205" s="39">
        <f>ROUND(D205*(E205+F205),2)-0.01</f>
        <v>569.39</v>
      </c>
      <c r="H205" s="270"/>
      <c r="I205" s="41"/>
      <c r="J205" s="41"/>
      <c r="K205" s="271"/>
      <c r="L205" s="272"/>
      <c r="M205" s="102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>
      <c r="A206" s="389"/>
      <c r="B206" s="83"/>
      <c r="C206" s="48" t="s">
        <v>263</v>
      </c>
      <c r="D206" s="37">
        <v>5.77</v>
      </c>
      <c r="E206" s="41">
        <v>7.6098999999999997</v>
      </c>
      <c r="F206" s="38"/>
      <c r="G206" s="39">
        <f>ROUND(D206*E206,2)</f>
        <v>43.91</v>
      </c>
      <c r="H206" s="270"/>
      <c r="I206" s="41"/>
      <c r="J206" s="41"/>
      <c r="K206" s="271"/>
      <c r="L206" s="272"/>
      <c r="M206" s="102"/>
      <c r="N206" s="423"/>
      <c r="O206" s="406"/>
      <c r="P206" s="406"/>
      <c r="Q206" s="425"/>
      <c r="R206" s="422"/>
      <c r="S206" s="399"/>
      <c r="T206" s="399"/>
    </row>
    <row r="207" spans="1:20" s="81" customFormat="1" ht="15" customHeight="1" thickBot="1">
      <c r="A207" s="411"/>
      <c r="B207" s="412"/>
      <c r="C207" s="99" t="s">
        <v>29</v>
      </c>
      <c r="D207" s="413">
        <v>2406</v>
      </c>
      <c r="E207" s="56">
        <v>7.6098999999999997</v>
      </c>
      <c r="F207" s="281"/>
      <c r="G207" s="414">
        <f>ROUND(D207*(E207+F207),2)</f>
        <v>18309.419999999998</v>
      </c>
      <c r="H207" s="280"/>
      <c r="I207" s="281"/>
      <c r="J207" s="281"/>
      <c r="K207" s="282"/>
      <c r="L207" s="204"/>
      <c r="M207" s="371"/>
      <c r="N207" s="426"/>
      <c r="O207" s="416"/>
      <c r="P207" s="416"/>
      <c r="Q207" s="417"/>
      <c r="R207" s="422"/>
      <c r="S207" s="399"/>
      <c r="T207" s="399"/>
    </row>
    <row r="208" spans="1:20" s="81" customFormat="1" ht="15.75" hidden="1" customHeight="1">
      <c r="A208" s="902">
        <v>203</v>
      </c>
      <c r="B208" s="903" t="s">
        <v>230</v>
      </c>
      <c r="C208" s="439" t="s">
        <v>260</v>
      </c>
      <c r="D208" s="904"/>
      <c r="E208" s="23">
        <f>7.3771-7.5269</f>
        <v>-0.14979999999999993</v>
      </c>
      <c r="F208" s="905"/>
      <c r="G208" s="22">
        <f>ROUND(D208*E208,2)</f>
        <v>0</v>
      </c>
      <c r="H208" s="303"/>
      <c r="I208" s="23"/>
      <c r="J208" s="23"/>
      <c r="K208" s="304"/>
      <c r="L208" s="263">
        <f>SUM(G208:G210)</f>
        <v>0</v>
      </c>
      <c r="M208" s="26"/>
      <c r="N208" s="421"/>
      <c r="O208" s="1013" t="s">
        <v>319</v>
      </c>
      <c r="P208" s="77"/>
      <c r="Q208" s="384"/>
      <c r="R208" s="422"/>
      <c r="S208" s="399"/>
      <c r="T208" s="399"/>
    </row>
    <row r="209" spans="1:20" s="81" customFormat="1" ht="15.75" hidden="1" customHeight="1">
      <c r="A209" s="468"/>
      <c r="B209" s="469" t="s">
        <v>291</v>
      </c>
      <c r="C209" s="48" t="s">
        <v>263</v>
      </c>
      <c r="D209" s="471"/>
      <c r="E209" s="41">
        <v>7.3771000000000004</v>
      </c>
      <c r="F209" s="473"/>
      <c r="G209" s="449">
        <f>ROUND(D209*E209,2)</f>
        <v>0</v>
      </c>
      <c r="H209" s="260"/>
      <c r="I209" s="261"/>
      <c r="J209" s="261"/>
      <c r="K209" s="262"/>
      <c r="L209" s="286"/>
      <c r="M209" s="90"/>
      <c r="N209" s="423"/>
      <c r="O209" s="406"/>
      <c r="P209" s="406"/>
      <c r="Q209" s="407"/>
      <c r="R209" s="422"/>
      <c r="S209" s="399"/>
      <c r="T209" s="399"/>
    </row>
    <row r="210" spans="1:20" s="81" customFormat="1" ht="15.75" hidden="1" customHeight="1" thickBot="1">
      <c r="A210" s="858"/>
      <c r="B210" s="859"/>
      <c r="C210" s="54" t="s">
        <v>29</v>
      </c>
      <c r="D210" s="860"/>
      <c r="E210" s="56">
        <v>7.3771000000000004</v>
      </c>
      <c r="F210" s="861"/>
      <c r="G210" s="414">
        <f t="shared" ref="G210" si="40">ROUND(D210*E210,2)</f>
        <v>0</v>
      </c>
      <c r="H210" s="280"/>
      <c r="I210" s="281"/>
      <c r="J210" s="207"/>
      <c r="K210" s="362"/>
      <c r="L210" s="433"/>
      <c r="M210" s="63"/>
      <c r="N210" s="426"/>
      <c r="O210" s="416"/>
      <c r="P210" s="416"/>
      <c r="Q210" s="417"/>
      <c r="R210" s="422"/>
      <c r="S210" s="399"/>
      <c r="T210" s="399"/>
    </row>
    <row r="211" spans="1:20" s="81" customFormat="1" ht="15.75" hidden="1" customHeight="1">
      <c r="A211" s="902">
        <v>204</v>
      </c>
      <c r="B211" s="903" t="s">
        <v>257</v>
      </c>
      <c r="C211" s="439" t="s">
        <v>260</v>
      </c>
      <c r="D211" s="904"/>
      <c r="E211" s="23">
        <f>7.3771-7.5269</f>
        <v>-0.14979999999999993</v>
      </c>
      <c r="F211" s="905"/>
      <c r="G211" s="22">
        <f>ROUND(D211*E211,2)</f>
        <v>0</v>
      </c>
      <c r="H211" s="303"/>
      <c r="I211" s="23"/>
      <c r="J211" s="23"/>
      <c r="K211" s="304"/>
      <c r="L211" s="263">
        <f>SUM(G211:G213)</f>
        <v>0</v>
      </c>
      <c r="M211" s="26"/>
      <c r="N211" s="421"/>
      <c r="O211" s="77"/>
      <c r="P211" s="77"/>
      <c r="Q211" s="384"/>
      <c r="R211" s="422"/>
      <c r="S211" s="399"/>
      <c r="T211" s="399"/>
    </row>
    <row r="212" spans="1:20" s="81" customFormat="1" ht="15.75" hidden="1" customHeight="1">
      <c r="A212" s="468"/>
      <c r="B212" s="469"/>
      <c r="C212" s="48" t="s">
        <v>263</v>
      </c>
      <c r="D212" s="471"/>
      <c r="E212" s="41">
        <v>7.3771000000000004</v>
      </c>
      <c r="F212" s="473"/>
      <c r="G212" s="449">
        <f>ROUND(D212*E212,2)</f>
        <v>0</v>
      </c>
      <c r="H212" s="260"/>
      <c r="I212" s="261"/>
      <c r="J212" s="261"/>
      <c r="K212" s="262"/>
      <c r="L212" s="286"/>
      <c r="M212" s="90"/>
      <c r="N212" s="423"/>
      <c r="O212" s="406"/>
      <c r="P212" s="406"/>
      <c r="Q212" s="407"/>
      <c r="R212" s="422"/>
      <c r="S212" s="399"/>
      <c r="T212" s="399"/>
    </row>
    <row r="213" spans="1:20" s="81" customFormat="1" ht="15.75" hidden="1" customHeight="1" thickBot="1">
      <c r="A213" s="858"/>
      <c r="B213" s="859"/>
      <c r="C213" s="54" t="s">
        <v>29</v>
      </c>
      <c r="D213" s="860"/>
      <c r="E213" s="56">
        <v>7.3771000000000004</v>
      </c>
      <c r="F213" s="861"/>
      <c r="G213" s="414">
        <f t="shared" ref="G213" si="41">ROUND(D213*E213,2)</f>
        <v>0</v>
      </c>
      <c r="H213" s="280"/>
      <c r="I213" s="281"/>
      <c r="J213" s="281"/>
      <c r="K213" s="282"/>
      <c r="L213" s="204"/>
      <c r="M213" s="371"/>
      <c r="N213" s="426"/>
      <c r="O213" s="416"/>
      <c r="P213" s="416"/>
      <c r="Q213" s="417"/>
      <c r="R213" s="422"/>
      <c r="S213" s="399"/>
      <c r="T213" s="399"/>
    </row>
    <row r="214" spans="1:20" s="81" customFormat="1" ht="15.75" customHeight="1">
      <c r="A214" s="447">
        <v>203</v>
      </c>
      <c r="B214" s="903" t="s">
        <v>336</v>
      </c>
      <c r="C214" s="439" t="s">
        <v>260</v>
      </c>
      <c r="D214" s="904"/>
      <c r="E214" s="23"/>
      <c r="F214" s="905"/>
      <c r="G214" s="22">
        <f>ROUND(D214*E214,2)</f>
        <v>0</v>
      </c>
      <c r="H214" s="303"/>
      <c r="I214" s="23"/>
      <c r="J214" s="23"/>
      <c r="K214" s="304"/>
      <c r="L214" s="263">
        <f>SUM(G214:G216)</f>
        <v>411.92</v>
      </c>
      <c r="M214" s="26">
        <v>411.92</v>
      </c>
      <c r="N214" s="421"/>
      <c r="O214" s="77"/>
      <c r="P214" s="77"/>
      <c r="Q214" s="384"/>
      <c r="R214" s="422"/>
      <c r="S214" s="399"/>
      <c r="T214" s="399"/>
    </row>
    <row r="215" spans="1:20" s="81" customFormat="1" ht="15.75" customHeight="1">
      <c r="A215" s="450"/>
      <c r="B215" s="469"/>
      <c r="C215" s="48" t="s">
        <v>263</v>
      </c>
      <c r="D215" s="471">
        <v>0.13</v>
      </c>
      <c r="E215" s="41">
        <v>7.6098999999999997</v>
      </c>
      <c r="F215" s="473"/>
      <c r="G215" s="449">
        <f>ROUND(D215*E215,2)</f>
        <v>0.99</v>
      </c>
      <c r="H215" s="260"/>
      <c r="I215" s="261"/>
      <c r="J215" s="261"/>
      <c r="K215" s="262"/>
      <c r="L215" s="286"/>
      <c r="M215" s="90"/>
      <c r="N215" s="423"/>
      <c r="O215" s="406"/>
      <c r="P215" s="406"/>
      <c r="Q215" s="407"/>
      <c r="R215" s="422"/>
      <c r="S215" s="399"/>
      <c r="T215" s="399"/>
    </row>
    <row r="216" spans="1:20" s="81" customFormat="1" ht="15.75" customHeight="1" thickBot="1">
      <c r="A216" s="451"/>
      <c r="B216" s="859"/>
      <c r="C216" s="54" t="s">
        <v>29</v>
      </c>
      <c r="D216" s="860">
        <v>54</v>
      </c>
      <c r="E216" s="56">
        <v>7.6098999999999997</v>
      </c>
      <c r="F216" s="861"/>
      <c r="G216" s="414">
        <f t="shared" ref="G216" si="42">ROUND(D216*E216,2)</f>
        <v>410.93</v>
      </c>
      <c r="H216" s="280"/>
      <c r="I216" s="281"/>
      <c r="J216" s="207"/>
      <c r="K216" s="362"/>
      <c r="L216" s="433"/>
      <c r="M216" s="63"/>
      <c r="N216" s="426"/>
      <c r="O216" s="416"/>
      <c r="P216" s="416"/>
      <c r="Q216" s="417"/>
      <c r="R216" s="422"/>
      <c r="S216" s="399"/>
      <c r="T216" s="399"/>
    </row>
    <row r="217" spans="1:20" s="81" customFormat="1" ht="15.75" customHeight="1">
      <c r="A217" s="902">
        <v>207</v>
      </c>
      <c r="B217" s="903" t="s">
        <v>248</v>
      </c>
      <c r="C217" s="439" t="s">
        <v>260</v>
      </c>
      <c r="D217" s="904">
        <f>апр.19!D215+апр.19!D216</f>
        <v>361.87</v>
      </c>
      <c r="E217" s="23">
        <f>7.6099-7.3771</f>
        <v>0.23279999999999923</v>
      </c>
      <c r="F217" s="905"/>
      <c r="G217" s="22">
        <f>ROUND(D217*E217,2)</f>
        <v>84.24</v>
      </c>
      <c r="H217" s="303"/>
      <c r="I217" s="23"/>
      <c r="J217" s="23"/>
      <c r="K217" s="304"/>
      <c r="L217" s="263">
        <f>SUM(G217:G219)</f>
        <v>2845.6400000000003</v>
      </c>
      <c r="M217" s="26">
        <v>2845.64</v>
      </c>
      <c r="N217" s="421"/>
      <c r="O217" s="77"/>
      <c r="P217" s="77"/>
      <c r="Q217" s="384"/>
      <c r="R217" s="422"/>
      <c r="S217" s="399"/>
      <c r="T217" s="399"/>
    </row>
    <row r="218" spans="1:20" s="81" customFormat="1" ht="15.75" customHeight="1">
      <c r="A218" s="468"/>
      <c r="B218" s="469"/>
      <c r="C218" s="48" t="s">
        <v>263</v>
      </c>
      <c r="D218" s="471">
        <v>0.87</v>
      </c>
      <c r="E218" s="41">
        <v>7.6098999999999997</v>
      </c>
      <c r="F218" s="473"/>
      <c r="G218" s="449">
        <f>ROUND(D218*E218,2)</f>
        <v>6.62</v>
      </c>
      <c r="H218" s="260"/>
      <c r="I218" s="261"/>
      <c r="J218" s="261"/>
      <c r="K218" s="262"/>
      <c r="L218" s="286"/>
      <c r="M218" s="90"/>
      <c r="N218" s="423"/>
      <c r="O218" s="406"/>
      <c r="P218" s="406"/>
      <c r="Q218" s="407"/>
      <c r="R218" s="422"/>
      <c r="S218" s="399"/>
      <c r="T218" s="399"/>
    </row>
    <row r="219" spans="1:20" s="81" customFormat="1" ht="15.75" customHeight="1" thickBot="1">
      <c r="A219" s="858"/>
      <c r="B219" s="859"/>
      <c r="C219" s="54" t="s">
        <v>29</v>
      </c>
      <c r="D219" s="860">
        <v>362</v>
      </c>
      <c r="E219" s="56">
        <v>7.6098999999999997</v>
      </c>
      <c r="F219" s="861"/>
      <c r="G219" s="414">
        <f t="shared" ref="G219" si="43">ROUND(D219*E219,2)</f>
        <v>2754.78</v>
      </c>
      <c r="H219" s="280"/>
      <c r="I219" s="281"/>
      <c r="J219" s="207"/>
      <c r="K219" s="362"/>
      <c r="L219" s="433"/>
      <c r="M219" s="63"/>
      <c r="N219" s="426"/>
      <c r="O219" s="416"/>
      <c r="P219" s="416"/>
      <c r="Q219" s="417"/>
      <c r="R219" s="422"/>
      <c r="S219" s="399"/>
      <c r="T219" s="399"/>
    </row>
    <row r="220" spans="1:20" s="81" customFormat="1" ht="15.75" customHeight="1">
      <c r="A220" s="906">
        <v>208</v>
      </c>
      <c r="B220" s="903" t="s">
        <v>316</v>
      </c>
      <c r="C220" s="48" t="s">
        <v>260</v>
      </c>
      <c r="D220" s="471">
        <f>апр.19!D218+апр.19!D219</f>
        <v>302.72000000000003</v>
      </c>
      <c r="E220" s="41">
        <f>7.6099-7.3771</f>
        <v>0.23279999999999923</v>
      </c>
      <c r="F220" s="473"/>
      <c r="G220" s="862">
        <f>ROUND(D220*E220,2)+0.01</f>
        <v>70.48</v>
      </c>
      <c r="H220" s="270"/>
      <c r="I220" s="41"/>
      <c r="J220" s="41"/>
      <c r="K220" s="271"/>
      <c r="L220" s="263">
        <f>SUM(G220:G222)</f>
        <v>2244.4700000000003</v>
      </c>
      <c r="M220" s="878">
        <v>2244.4699999999998</v>
      </c>
      <c r="N220" s="421"/>
      <c r="O220" s="406"/>
      <c r="P220" s="406"/>
      <c r="Q220" s="407"/>
      <c r="R220" s="422"/>
      <c r="S220" s="399"/>
      <c r="T220" s="399"/>
    </row>
    <row r="221" spans="1:20" s="81" customFormat="1" ht="15.75" customHeight="1">
      <c r="A221" s="468"/>
      <c r="B221" s="469"/>
      <c r="C221" s="48" t="s">
        <v>263</v>
      </c>
      <c r="D221" s="471">
        <v>0.68</v>
      </c>
      <c r="E221" s="41">
        <v>7.6098999999999997</v>
      </c>
      <c r="F221" s="473"/>
      <c r="G221" s="862">
        <f>ROUND(D221*E221,2)</f>
        <v>5.17</v>
      </c>
      <c r="H221" s="270"/>
      <c r="I221" s="41"/>
      <c r="J221" s="41"/>
      <c r="K221" s="271"/>
      <c r="L221" s="272"/>
      <c r="M221" s="878"/>
      <c r="N221" s="423"/>
      <c r="O221" s="406"/>
      <c r="P221" s="406"/>
      <c r="Q221" s="407"/>
      <c r="R221" s="422"/>
      <c r="S221" s="399"/>
      <c r="T221" s="399"/>
    </row>
    <row r="222" spans="1:20" s="81" customFormat="1" ht="15.75" customHeight="1" thickBot="1">
      <c r="A222" s="858"/>
      <c r="B222" s="859"/>
      <c r="C222" s="54" t="s">
        <v>29</v>
      </c>
      <c r="D222" s="860">
        <v>285</v>
      </c>
      <c r="E222" s="56">
        <v>7.6098999999999997</v>
      </c>
      <c r="F222" s="861"/>
      <c r="G222" s="866">
        <f t="shared" ref="G222" si="44">ROUND(D222*E222,2)</f>
        <v>2168.8200000000002</v>
      </c>
      <c r="H222" s="280"/>
      <c r="I222" s="281"/>
      <c r="J222" s="281"/>
      <c r="K222" s="282"/>
      <c r="L222" s="204"/>
      <c r="M222" s="880"/>
      <c r="N222" s="426"/>
      <c r="O222" s="416"/>
      <c r="P222" s="416"/>
      <c r="Q222" s="417"/>
      <c r="R222" s="422"/>
      <c r="S222" s="399"/>
      <c r="T222" s="399"/>
    </row>
    <row r="223" spans="1:20" s="81" customFormat="1" ht="15" customHeight="1">
      <c r="A223" s="376">
        <v>210</v>
      </c>
      <c r="B223" s="420" t="s">
        <v>77</v>
      </c>
      <c r="C223" s="377" t="s">
        <v>73</v>
      </c>
      <c r="D223" s="378">
        <v>2</v>
      </c>
      <c r="E223" s="21">
        <v>41.244</v>
      </c>
      <c r="F223" s="21">
        <v>48.335999999999999</v>
      </c>
      <c r="G223" s="22">
        <f t="shared" ref="G223:G229" si="45">ROUND(D223*(E223+F223),2)</f>
        <v>179.16</v>
      </c>
      <c r="H223" s="303"/>
      <c r="I223" s="381"/>
      <c r="J223" s="381"/>
      <c r="K223" s="342"/>
      <c r="L223" s="382">
        <f>+SUM(G223:G229,J223:J229)</f>
        <v>3706.4799999999996</v>
      </c>
      <c r="M223" s="26">
        <v>3706.48</v>
      </c>
      <c r="N223" s="421"/>
      <c r="O223" s="77"/>
      <c r="P223" s="77"/>
      <c r="Q223" s="384"/>
      <c r="R223" s="422"/>
      <c r="S223" s="399"/>
      <c r="T223" s="399"/>
    </row>
    <row r="224" spans="1:20" s="81" customFormat="1" ht="15" customHeight="1">
      <c r="A224" s="389"/>
      <c r="B224" s="83"/>
      <c r="C224" s="84" t="s">
        <v>26</v>
      </c>
      <c r="D224" s="37"/>
      <c r="E224" s="38"/>
      <c r="F224" s="38"/>
      <c r="G224" s="39">
        <f t="shared" si="45"/>
        <v>0</v>
      </c>
      <c r="H224" s="270"/>
      <c r="I224" s="392"/>
      <c r="J224" s="402"/>
      <c r="K224" s="393"/>
      <c r="L224" s="429"/>
      <c r="M224" s="102"/>
      <c r="N224" s="430"/>
      <c r="O224" s="406"/>
      <c r="P224" s="406"/>
      <c r="Q224" s="407"/>
      <c r="R224" s="422"/>
      <c r="S224" s="399"/>
      <c r="T224" s="399"/>
    </row>
    <row r="225" spans="1:20" s="81" customFormat="1" ht="15" customHeight="1">
      <c r="A225" s="389"/>
      <c r="B225" s="98" t="s">
        <v>32</v>
      </c>
      <c r="C225" s="99" t="s">
        <v>33</v>
      </c>
      <c r="D225" s="37">
        <v>3</v>
      </c>
      <c r="E225" s="101">
        <v>276.93</v>
      </c>
      <c r="F225" s="38">
        <f>F223</f>
        <v>48.335999999999999</v>
      </c>
      <c r="G225" s="39">
        <f t="shared" si="45"/>
        <v>975.8</v>
      </c>
      <c r="H225" s="270"/>
      <c r="I225" s="41"/>
      <c r="J225" s="41"/>
      <c r="K225" s="271"/>
      <c r="L225" s="272"/>
      <c r="M225" s="102"/>
      <c r="N225" s="430"/>
      <c r="O225" s="406"/>
      <c r="P225" s="406"/>
      <c r="Q225" s="407"/>
      <c r="R225" s="422"/>
      <c r="S225" s="399"/>
      <c r="T225" s="399"/>
    </row>
    <row r="226" spans="1:20" s="81" customFormat="1" ht="15" customHeight="1">
      <c r="A226" s="389"/>
      <c r="B226" s="83"/>
      <c r="C226" s="48" t="s">
        <v>190</v>
      </c>
      <c r="D226" s="37">
        <f>апр.19!D222</f>
        <v>3</v>
      </c>
      <c r="E226" s="41">
        <f>276.93-343.14</f>
        <v>-66.20999999999998</v>
      </c>
      <c r="F226" s="38">
        <f>F224</f>
        <v>0</v>
      </c>
      <c r="G226" s="39">
        <f>ROUND(D226*(E226+F226),2)</f>
        <v>-198.63</v>
      </c>
      <c r="H226" s="270"/>
      <c r="I226" s="41"/>
      <c r="J226" s="41"/>
      <c r="K226" s="271"/>
      <c r="L226" s="272"/>
      <c r="M226" s="102"/>
      <c r="N226" s="430"/>
      <c r="O226" s="406"/>
      <c r="P226" s="406"/>
      <c r="Q226" s="407"/>
      <c r="R226" s="422"/>
      <c r="S226" s="399"/>
      <c r="T226" s="399"/>
    </row>
    <row r="227" spans="1:20" s="81" customFormat="1" ht="15" customHeight="1">
      <c r="A227" s="389"/>
      <c r="B227" s="83"/>
      <c r="C227" s="48" t="s">
        <v>260</v>
      </c>
      <c r="D227" s="37">
        <f>апр.19!D225+апр.19!D226</f>
        <v>574.38</v>
      </c>
      <c r="E227" s="41">
        <f>7.6099-7.3771</f>
        <v>0.23279999999999923</v>
      </c>
      <c r="F227" s="38"/>
      <c r="G227" s="39">
        <f>ROUND(D227*(E227+F227),2)-0.01</f>
        <v>133.71</v>
      </c>
      <c r="H227" s="270"/>
      <c r="I227" s="41"/>
      <c r="J227" s="41"/>
      <c r="K227" s="271"/>
      <c r="L227" s="272"/>
      <c r="M227" s="102"/>
      <c r="N227" s="430"/>
      <c r="O227" s="406"/>
      <c r="P227" s="406"/>
      <c r="Q227" s="407"/>
      <c r="R227" s="899"/>
      <c r="S227" s="399"/>
      <c r="T227" s="399"/>
    </row>
    <row r="228" spans="1:20" s="81" customFormat="1" ht="15" customHeight="1">
      <c r="A228" s="389"/>
      <c r="B228" s="83"/>
      <c r="C228" s="48" t="s">
        <v>263</v>
      </c>
      <c r="D228" s="37">
        <v>0.82</v>
      </c>
      <c r="E228" s="41">
        <v>7.6098999999999997</v>
      </c>
      <c r="F228" s="38"/>
      <c r="G228" s="39">
        <f t="shared" si="45"/>
        <v>6.24</v>
      </c>
      <c r="H228" s="432"/>
      <c r="I228" s="207"/>
      <c r="J228" s="207"/>
      <c r="K228" s="362"/>
      <c r="L228" s="433"/>
      <c r="M228" s="63"/>
      <c r="N228" s="434"/>
      <c r="O228" s="435"/>
      <c r="P228" s="435"/>
      <c r="Q228" s="425"/>
      <c r="R228" s="899"/>
      <c r="S228" s="399"/>
      <c r="T228" s="399"/>
    </row>
    <row r="229" spans="1:20" s="81" customFormat="1" ht="15" customHeight="1" thickBot="1">
      <c r="A229" s="411"/>
      <c r="B229" s="412"/>
      <c r="C229" s="99" t="s">
        <v>29</v>
      </c>
      <c r="D229" s="413">
        <v>343</v>
      </c>
      <c r="E229" s="56">
        <v>7.6098999999999997</v>
      </c>
      <c r="F229" s="281"/>
      <c r="G229" s="414">
        <f t="shared" si="45"/>
        <v>2610.1999999999998</v>
      </c>
      <c r="H229" s="280"/>
      <c r="I229" s="281"/>
      <c r="J229" s="281"/>
      <c r="K229" s="282"/>
      <c r="L229" s="204"/>
      <c r="M229" s="371"/>
      <c r="N229" s="426"/>
      <c r="O229" s="416"/>
      <c r="P229" s="416"/>
      <c r="Q229" s="417"/>
      <c r="R229" s="899"/>
      <c r="S229" s="399"/>
      <c r="T229" s="399"/>
    </row>
    <row r="230" spans="1:20" s="81" customFormat="1" ht="15.75" customHeight="1">
      <c r="A230" s="447">
        <v>211</v>
      </c>
      <c r="B230" s="903" t="s">
        <v>231</v>
      </c>
      <c r="C230" s="439" t="s">
        <v>260</v>
      </c>
      <c r="D230" s="904">
        <f>апр.19!D228+апр.19!D229</f>
        <v>249.6</v>
      </c>
      <c r="E230" s="23">
        <f>7.6099-7.3771</f>
        <v>0.23279999999999923</v>
      </c>
      <c r="F230" s="905"/>
      <c r="G230" s="22">
        <f>ROUND(D230*E230,2)</f>
        <v>58.11</v>
      </c>
      <c r="H230" s="303"/>
      <c r="I230" s="23"/>
      <c r="J230" s="23"/>
      <c r="K230" s="304"/>
      <c r="L230" s="263">
        <f>SUM(G230:G232)</f>
        <v>2033.79</v>
      </c>
      <c r="M230" s="26">
        <v>2033.79</v>
      </c>
      <c r="N230" s="421"/>
      <c r="O230" s="77"/>
      <c r="P230" s="77"/>
      <c r="Q230" s="384"/>
      <c r="R230" s="422"/>
      <c r="S230" s="399"/>
      <c r="T230" s="399"/>
    </row>
    <row r="231" spans="1:20" s="81" customFormat="1" ht="15.75" customHeight="1">
      <c r="A231" s="450"/>
      <c r="B231" s="469"/>
      <c r="C231" s="48" t="s">
        <v>263</v>
      </c>
      <c r="D231" s="471">
        <v>0.62</v>
      </c>
      <c r="E231" s="41">
        <v>7.6098999999999997</v>
      </c>
      <c r="F231" s="473"/>
      <c r="G231" s="449">
        <f>ROUND(D231*E231,2)</f>
        <v>4.72</v>
      </c>
      <c r="H231" s="260"/>
      <c r="I231" s="261"/>
      <c r="J231" s="261"/>
      <c r="K231" s="262"/>
      <c r="L231" s="286"/>
      <c r="M231" s="90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451"/>
      <c r="B232" s="859"/>
      <c r="C232" s="54" t="s">
        <v>29</v>
      </c>
      <c r="D232" s="860">
        <v>259</v>
      </c>
      <c r="E232" s="56">
        <v>7.6098999999999997</v>
      </c>
      <c r="F232" s="861"/>
      <c r="G232" s="414">
        <f t="shared" ref="G232" si="46">ROUND(D232*E232,2)</f>
        <v>1970.96</v>
      </c>
      <c r="H232" s="280"/>
      <c r="I232" s="281"/>
      <c r="J232" s="207"/>
      <c r="K232" s="362"/>
      <c r="L232" s="433"/>
      <c r="M232" s="63"/>
      <c r="N232" s="426"/>
      <c r="O232" s="416"/>
      <c r="P232" s="416"/>
      <c r="Q232" s="417"/>
      <c r="R232" s="422"/>
      <c r="S232" s="399"/>
      <c r="T232" s="399"/>
    </row>
    <row r="233" spans="1:20" s="81" customFormat="1" ht="15.75" customHeight="1">
      <c r="A233" s="447">
        <v>212</v>
      </c>
      <c r="B233" s="903" t="s">
        <v>140</v>
      </c>
      <c r="C233" s="439" t="s">
        <v>260</v>
      </c>
      <c r="D233" s="904">
        <f>апр.19!D232+апр.19!D231</f>
        <v>547.30999999999995</v>
      </c>
      <c r="E233" s="23">
        <f>7.6099-7.3771</f>
        <v>0.23279999999999923</v>
      </c>
      <c r="F233" s="905"/>
      <c r="G233" s="22">
        <f>ROUND(D233*E233,2)</f>
        <v>127.41</v>
      </c>
      <c r="H233" s="303"/>
      <c r="I233" s="23"/>
      <c r="J233" s="23"/>
      <c r="K233" s="304"/>
      <c r="L233" s="263">
        <f>SUM(G233:G235)</f>
        <v>4628.0600000000004</v>
      </c>
      <c r="M233" s="26">
        <v>4628.0600000000004</v>
      </c>
      <c r="N233" s="421"/>
      <c r="O233" s="77"/>
      <c r="P233" s="77"/>
      <c r="Q233" s="384"/>
      <c r="R233" s="422"/>
      <c r="S233" s="399"/>
      <c r="T233" s="399"/>
    </row>
    <row r="234" spans="1:20" s="81" customFormat="1" ht="15.75" customHeight="1">
      <c r="A234" s="450"/>
      <c r="B234" s="469"/>
      <c r="C234" s="48" t="s">
        <v>263</v>
      </c>
      <c r="D234" s="471">
        <v>1.42</v>
      </c>
      <c r="E234" s="41">
        <v>7.6098999999999997</v>
      </c>
      <c r="F234" s="473"/>
      <c r="G234" s="449">
        <f>ROUND(D234*E234,2)</f>
        <v>10.81</v>
      </c>
      <c r="H234" s="260"/>
      <c r="I234" s="261"/>
      <c r="J234" s="261"/>
      <c r="K234" s="262"/>
      <c r="L234" s="286"/>
      <c r="M234" s="90"/>
      <c r="N234" s="423"/>
      <c r="O234" s="406"/>
      <c r="P234" s="406"/>
      <c r="Q234" s="407"/>
      <c r="R234" s="422"/>
      <c r="S234" s="399"/>
      <c r="T234" s="399"/>
    </row>
    <row r="235" spans="1:20" s="81" customFormat="1" ht="15.75" customHeight="1" thickBot="1">
      <c r="A235" s="451"/>
      <c r="B235" s="859"/>
      <c r="C235" s="54" t="s">
        <v>29</v>
      </c>
      <c r="D235" s="860">
        <v>590</v>
      </c>
      <c r="E235" s="56">
        <v>7.6098999999999997</v>
      </c>
      <c r="F235" s="861"/>
      <c r="G235" s="414">
        <f t="shared" ref="G235" si="47">ROUND(D235*E235,2)</f>
        <v>4489.84</v>
      </c>
      <c r="H235" s="280"/>
      <c r="I235" s="281"/>
      <c r="J235" s="207"/>
      <c r="K235" s="362"/>
      <c r="L235" s="433"/>
      <c r="M235" s="63"/>
      <c r="N235" s="426"/>
      <c r="O235" s="416"/>
      <c r="P235" s="416"/>
      <c r="Q235" s="417"/>
      <c r="R235" s="422"/>
      <c r="S235" s="399"/>
      <c r="T235" s="399"/>
    </row>
    <row r="236" spans="1:20" s="81" customFormat="1" ht="15.75" hidden="1" customHeight="1">
      <c r="A236" s="447">
        <v>213</v>
      </c>
      <c r="B236" s="903" t="s">
        <v>134</v>
      </c>
      <c r="C236" s="439" t="s">
        <v>260</v>
      </c>
      <c r="D236" s="904"/>
      <c r="E236" s="23">
        <f>7.0999-6.7991</f>
        <v>0.30079999999999973</v>
      </c>
      <c r="F236" s="905"/>
      <c r="G236" s="22">
        <f>ROUND(D236*E236,2)-0.01</f>
        <v>-0.01</v>
      </c>
      <c r="H236" s="303"/>
      <c r="I236" s="23"/>
      <c r="J236" s="23"/>
      <c r="K236" s="304"/>
      <c r="L236" s="263">
        <f>SUM(G236:G238)</f>
        <v>-0.01</v>
      </c>
      <c r="M236" s="26"/>
      <c r="N236" s="421"/>
      <c r="O236" s="77"/>
      <c r="P236" s="77"/>
      <c r="Q236" s="384"/>
      <c r="R236" s="422"/>
      <c r="S236" s="399"/>
      <c r="T236" s="399"/>
    </row>
    <row r="237" spans="1:20" s="81" customFormat="1" ht="15.75" hidden="1" customHeight="1">
      <c r="A237" s="450"/>
      <c r="B237" s="469"/>
      <c r="C237" s="48" t="s">
        <v>263</v>
      </c>
      <c r="D237" s="471"/>
      <c r="E237" s="41">
        <v>7.0998999999999999</v>
      </c>
      <c r="F237" s="473"/>
      <c r="G237" s="449">
        <f t="shared" ref="G237:G238" si="48">ROUND(D237*E237,2)</f>
        <v>0</v>
      </c>
      <c r="H237" s="260"/>
      <c r="I237" s="261"/>
      <c r="J237" s="261"/>
      <c r="K237" s="262"/>
      <c r="L237" s="286"/>
      <c r="M237" s="90"/>
      <c r="N237" s="423"/>
      <c r="O237" s="406"/>
      <c r="P237" s="406"/>
      <c r="Q237" s="407"/>
      <c r="R237" s="422"/>
      <c r="S237" s="399"/>
      <c r="T237" s="399"/>
    </row>
    <row r="238" spans="1:20" s="81" customFormat="1" ht="15.75" hidden="1" customHeight="1" thickBot="1">
      <c r="A238" s="451"/>
      <c r="B238" s="859"/>
      <c r="C238" s="54" t="s">
        <v>29</v>
      </c>
      <c r="D238" s="860"/>
      <c r="E238" s="56">
        <v>7.0998999999999999</v>
      </c>
      <c r="F238" s="861"/>
      <c r="G238" s="414">
        <f t="shared" si="48"/>
        <v>0</v>
      </c>
      <c r="H238" s="280"/>
      <c r="I238" s="281"/>
      <c r="J238" s="281"/>
      <c r="K238" s="282"/>
      <c r="L238" s="204"/>
      <c r="M238" s="371"/>
      <c r="N238" s="426"/>
      <c r="O238" s="416"/>
      <c r="P238" s="416"/>
      <c r="Q238" s="417"/>
      <c r="R238" s="422"/>
      <c r="S238" s="399"/>
      <c r="T238" s="399"/>
    </row>
    <row r="239" spans="1:20" s="81" customFormat="1" ht="15.75" customHeight="1">
      <c r="A239" s="447">
        <v>215</v>
      </c>
      <c r="B239" s="1222" t="s">
        <v>314</v>
      </c>
      <c r="C239" s="1223"/>
      <c r="D239" s="1224"/>
      <c r="E239" s="1147"/>
      <c r="F239" s="1225"/>
      <c r="G239" s="379">
        <f>ROUND(D239*E239,2)</f>
        <v>0</v>
      </c>
      <c r="H239" s="1226"/>
      <c r="I239" s="1147"/>
      <c r="J239" s="1147"/>
      <c r="K239" s="1227"/>
      <c r="L239" s="1228">
        <f>SUM(G239:G241)</f>
        <v>4374.1899999999996</v>
      </c>
      <c r="M239" s="1150">
        <v>4374.1899999999996</v>
      </c>
      <c r="N239" s="421"/>
      <c r="O239" s="77"/>
      <c r="P239" s="77"/>
      <c r="Q239" s="384"/>
      <c r="R239" s="422"/>
      <c r="S239" s="399"/>
      <c r="T239" s="399"/>
    </row>
    <row r="240" spans="1:20" s="81" customFormat="1" ht="15.75" customHeight="1">
      <c r="A240" s="450"/>
      <c r="B240" s="1151" t="s">
        <v>221</v>
      </c>
      <c r="C240" s="1160" t="s">
        <v>263</v>
      </c>
      <c r="D240" s="1229">
        <v>1.4</v>
      </c>
      <c r="E240" s="1155">
        <v>7.4593999999999996</v>
      </c>
      <c r="F240" s="1230"/>
      <c r="G240" s="1231">
        <f>ROUND(D240*E240,2)</f>
        <v>10.44</v>
      </c>
      <c r="H240" s="1232"/>
      <c r="I240" s="1233"/>
      <c r="J240" s="1233"/>
      <c r="K240" s="1234"/>
      <c r="L240" s="1235"/>
      <c r="M240" s="1236"/>
      <c r="N240" s="423"/>
      <c r="O240" s="406"/>
      <c r="P240" s="406"/>
      <c r="Q240" s="407"/>
      <c r="R240" s="422"/>
      <c r="S240" s="399"/>
      <c r="T240" s="399"/>
    </row>
    <row r="241" spans="1:21" s="81" customFormat="1" ht="15.75" customHeight="1" thickBot="1">
      <c r="A241" s="451"/>
      <c r="B241" s="1237"/>
      <c r="C241" s="1174" t="s">
        <v>29</v>
      </c>
      <c r="D241" s="1238">
        <v>585</v>
      </c>
      <c r="E241" s="1165">
        <v>7.4593999999999996</v>
      </c>
      <c r="F241" s="1239"/>
      <c r="G241" s="1240">
        <f t="shared" ref="G241" si="49">ROUND(D241*E241,2)</f>
        <v>4363.75</v>
      </c>
      <c r="H241" s="1194"/>
      <c r="I241" s="1195"/>
      <c r="J241" s="1195"/>
      <c r="K241" s="1196"/>
      <c r="L241" s="1197"/>
      <c r="M241" s="1221"/>
      <c r="N241" s="426"/>
      <c r="O241" s="416"/>
      <c r="P241" s="416"/>
      <c r="Q241" s="417"/>
      <c r="R241" s="422"/>
      <c r="S241" s="399"/>
      <c r="T241" s="399"/>
    </row>
    <row r="242" spans="1:21" s="81" customFormat="1" ht="15.75" customHeight="1">
      <c r="A242" s="902">
        <v>218</v>
      </c>
      <c r="B242" s="903" t="s">
        <v>329</v>
      </c>
      <c r="C242" s="439" t="s">
        <v>260</v>
      </c>
      <c r="D242" s="904">
        <f>апр.19!D240+апр.19!D241</f>
        <v>133.32</v>
      </c>
      <c r="E242" s="23">
        <f>7.6099-7.3771</f>
        <v>0.23279999999999923</v>
      </c>
      <c r="F242" s="905"/>
      <c r="G242" s="22">
        <f>ROUND(D242*E242,2)</f>
        <v>31.04</v>
      </c>
      <c r="H242" s="303"/>
      <c r="I242" s="23"/>
      <c r="J242" s="23"/>
      <c r="K242" s="304"/>
      <c r="L242" s="263">
        <f>SUM(G242:G244)</f>
        <v>1282.03</v>
      </c>
      <c r="M242" s="26">
        <v>1282.03</v>
      </c>
      <c r="N242" s="421"/>
      <c r="O242" s="77"/>
      <c r="P242" s="77"/>
      <c r="Q242" s="384"/>
      <c r="R242" s="422"/>
      <c r="S242" s="399"/>
      <c r="T242" s="399"/>
    </row>
    <row r="243" spans="1:21" s="81" customFormat="1" ht="15.75" customHeight="1">
      <c r="A243" s="468"/>
      <c r="B243" s="469"/>
      <c r="C243" s="48" t="s">
        <v>263</v>
      </c>
      <c r="D243" s="471">
        <v>0.39</v>
      </c>
      <c r="E243" s="41">
        <v>7.6098999999999997</v>
      </c>
      <c r="F243" s="473"/>
      <c r="G243" s="449">
        <f>ROUND(D243*E243,2)</f>
        <v>2.97</v>
      </c>
      <c r="H243" s="260"/>
      <c r="I243" s="261"/>
      <c r="J243" s="261"/>
      <c r="K243" s="262"/>
      <c r="L243" s="286"/>
      <c r="M243" s="90"/>
      <c r="N243" s="423"/>
      <c r="O243" s="406"/>
      <c r="P243" s="406"/>
      <c r="Q243" s="407"/>
      <c r="R243" s="422"/>
      <c r="S243" s="399"/>
      <c r="T243" s="399"/>
    </row>
    <row r="244" spans="1:21" s="81" customFormat="1" ht="15.75" customHeight="1" thickBot="1">
      <c r="A244" s="858"/>
      <c r="B244" s="859"/>
      <c r="C244" s="54" t="s">
        <v>29</v>
      </c>
      <c r="D244" s="860">
        <v>164</v>
      </c>
      <c r="E244" s="56">
        <v>7.6098999999999997</v>
      </c>
      <c r="F244" s="861"/>
      <c r="G244" s="414">
        <f t="shared" ref="G244" si="50">ROUND(D244*E244,2)</f>
        <v>1248.02</v>
      </c>
      <c r="H244" s="280"/>
      <c r="I244" s="281"/>
      <c r="J244" s="281"/>
      <c r="K244" s="282"/>
      <c r="L244" s="204"/>
      <c r="M244" s="371"/>
      <c r="N244" s="426"/>
      <c r="O244" s="416"/>
      <c r="P244" s="416"/>
      <c r="Q244" s="417"/>
      <c r="R244" s="422"/>
      <c r="S244" s="399"/>
      <c r="T244" s="399"/>
    </row>
    <row r="245" spans="1:21" s="81" customFormat="1" ht="15" customHeight="1">
      <c r="A245" s="376">
        <v>301</v>
      </c>
      <c r="B245" s="70" t="s">
        <v>67</v>
      </c>
      <c r="C245" s="377" t="s">
        <v>243</v>
      </c>
      <c r="D245" s="378">
        <v>674</v>
      </c>
      <c r="E245" s="21">
        <v>41.244</v>
      </c>
      <c r="F245" s="21">
        <v>48.335999999999999</v>
      </c>
      <c r="G245" s="379">
        <f>ROUND(D245*(E245+F245),2)</f>
        <v>60376.92</v>
      </c>
      <c r="H245" s="380"/>
      <c r="I245" s="381"/>
      <c r="J245" s="381"/>
      <c r="K245" s="342"/>
      <c r="L245" s="382">
        <f>+SUM(G245:G254,J245:J253)</f>
        <v>161540.01</v>
      </c>
      <c r="M245" s="26">
        <v>161540.01</v>
      </c>
      <c r="N245" s="383"/>
      <c r="O245" s="77"/>
      <c r="P245" s="77" t="s">
        <v>68</v>
      </c>
      <c r="Q245" s="384" t="e">
        <f t="shared" si="33"/>
        <v>#VALUE!</v>
      </c>
      <c r="R245" s="385" t="s">
        <v>69</v>
      </c>
      <c r="S245" s="386"/>
      <c r="T245" s="387"/>
      <c r="U245" s="388"/>
    </row>
    <row r="246" spans="1:21" s="81" customFormat="1" ht="12.75">
      <c r="A246" s="389"/>
      <c r="B246" s="83"/>
      <c r="C246" s="390" t="s">
        <v>26</v>
      </c>
      <c r="D246" s="37"/>
      <c r="E246" s="38"/>
      <c r="F246" s="38"/>
      <c r="G246" s="39">
        <f>ROUND(D246*(E246+F246),2)</f>
        <v>0</v>
      </c>
      <c r="H246" s="391"/>
      <c r="I246" s="392"/>
      <c r="J246" s="402"/>
      <c r="K246" s="393"/>
      <c r="L246" s="394"/>
      <c r="M246" s="90"/>
      <c r="N246" s="395"/>
      <c r="O246" s="94"/>
      <c r="P246" s="94"/>
      <c r="Q246" s="396"/>
      <c r="R246" s="397"/>
      <c r="S246" s="398"/>
      <c r="T246" s="399"/>
    </row>
    <row r="247" spans="1:21" s="81" customFormat="1" ht="12.75">
      <c r="A247" s="389"/>
      <c r="B247" s="98" t="s">
        <v>32</v>
      </c>
      <c r="C247" s="99" t="s">
        <v>33</v>
      </c>
      <c r="D247" s="37">
        <v>91</v>
      </c>
      <c r="E247" s="101">
        <v>276.93</v>
      </c>
      <c r="F247" s="38">
        <f>F245</f>
        <v>48.335999999999999</v>
      </c>
      <c r="G247" s="400">
        <f>ROUND(D247*(E247+F247),2)</f>
        <v>29599.21</v>
      </c>
      <c r="H247" s="401"/>
      <c r="I247" s="402"/>
      <c r="J247" s="402"/>
      <c r="K247" s="403"/>
      <c r="L247" s="404"/>
      <c r="M247" s="102"/>
      <c r="N247" s="405"/>
      <c r="O247" s="406"/>
      <c r="P247" s="406" t="s">
        <v>68</v>
      </c>
      <c r="Q247" s="407">
        <f>+G247+J247-M247-N247-O247</f>
        <v>29599.21</v>
      </c>
      <c r="R247" s="397" t="s">
        <v>69</v>
      </c>
      <c r="S247" s="398"/>
      <c r="T247" s="399"/>
    </row>
    <row r="248" spans="1:21" s="81" customFormat="1" ht="15" customHeight="1">
      <c r="A248" s="389"/>
      <c r="B248" s="98"/>
      <c r="C248" s="84" t="s">
        <v>26</v>
      </c>
      <c r="D248" s="37">
        <f>апр.19!D244</f>
        <v>199</v>
      </c>
      <c r="E248" s="41">
        <f>276.93-343.14</f>
        <v>-66.20999999999998</v>
      </c>
      <c r="F248" s="38">
        <f>F246</f>
        <v>0</v>
      </c>
      <c r="G248" s="400">
        <f>+D248*(E248+F248)</f>
        <v>-13175.789999999995</v>
      </c>
      <c r="H248" s="401"/>
      <c r="I248" s="402"/>
      <c r="J248" s="402"/>
      <c r="K248" s="408"/>
      <c r="L248" s="404"/>
      <c r="M248" s="102"/>
      <c r="N248" s="405"/>
      <c r="O248" s="406"/>
      <c r="P248" s="406"/>
      <c r="Q248" s="407"/>
      <c r="R248" s="397"/>
      <c r="S248" s="398"/>
      <c r="T248" s="399"/>
    </row>
    <row r="249" spans="1:21" s="81" customFormat="1" ht="15" customHeight="1">
      <c r="A249" s="389"/>
      <c r="B249" s="83"/>
      <c r="C249" s="84"/>
      <c r="D249" s="37"/>
      <c r="E249" s="41"/>
      <c r="F249" s="38"/>
      <c r="G249" s="400"/>
      <c r="H249" s="401"/>
      <c r="I249" s="402"/>
      <c r="J249" s="402"/>
      <c r="K249" s="408"/>
      <c r="L249" s="404"/>
      <c r="M249" s="102"/>
      <c r="N249" s="405"/>
      <c r="O249" s="406"/>
      <c r="P249" s="406"/>
      <c r="Q249" s="407"/>
      <c r="R249" s="397"/>
      <c r="S249" s="398"/>
      <c r="T249" s="399"/>
    </row>
    <row r="250" spans="1:21" s="81" customFormat="1" ht="15" customHeight="1">
      <c r="A250" s="389"/>
      <c r="B250" s="83" t="s">
        <v>70</v>
      </c>
      <c r="C250" s="84"/>
      <c r="D250" s="37"/>
      <c r="E250" s="41"/>
      <c r="F250" s="38"/>
      <c r="G250" s="400"/>
      <c r="H250" s="401"/>
      <c r="I250" s="402"/>
      <c r="J250" s="402"/>
      <c r="K250" s="408"/>
      <c r="L250" s="404"/>
      <c r="M250" s="102"/>
      <c r="N250" s="405"/>
      <c r="O250" s="406"/>
      <c r="P250" s="406"/>
      <c r="Q250" s="407"/>
      <c r="R250" s="397"/>
      <c r="S250" s="398"/>
      <c r="T250" s="399"/>
    </row>
    <row r="251" spans="1:21" s="81" customFormat="1" ht="15" customHeight="1">
      <c r="A251" s="389"/>
      <c r="B251" s="83"/>
      <c r="C251" s="48"/>
      <c r="D251" s="37"/>
      <c r="E251" s="41"/>
      <c r="F251" s="38"/>
      <c r="G251" s="39">
        <f>ROUND(D251*(E251+F251),2)</f>
        <v>0</v>
      </c>
      <c r="H251" s="37"/>
      <c r="I251" s="409"/>
      <c r="J251" s="409"/>
      <c r="K251" s="408"/>
      <c r="L251" s="404"/>
      <c r="M251" s="102"/>
      <c r="N251" s="405"/>
      <c r="O251" s="406"/>
      <c r="P251" s="406"/>
      <c r="Q251" s="407"/>
      <c r="R251" s="397"/>
      <c r="S251" s="398"/>
      <c r="T251" s="399"/>
    </row>
    <row r="252" spans="1:21" s="81" customFormat="1" ht="15" customHeight="1">
      <c r="A252" s="389"/>
      <c r="B252" s="83"/>
      <c r="C252" s="48" t="s">
        <v>260</v>
      </c>
      <c r="D252" s="37">
        <f>апр.19!D250+апр.19!D251</f>
        <v>12509.95</v>
      </c>
      <c r="E252" s="41">
        <f>7.6099-7.3771</f>
        <v>0.23279999999999923</v>
      </c>
      <c r="F252" s="38">
        <f>+E252</f>
        <v>0.23279999999999923</v>
      </c>
      <c r="G252" s="39">
        <f>ROUND(D252*E252,2)</f>
        <v>2912.32</v>
      </c>
      <c r="H252" s="37"/>
      <c r="I252" s="409"/>
      <c r="J252" s="409"/>
      <c r="K252" s="408"/>
      <c r="L252" s="404"/>
      <c r="M252" s="102"/>
      <c r="N252" s="405"/>
      <c r="O252" s="406"/>
      <c r="P252" s="406"/>
      <c r="Q252" s="407"/>
      <c r="R252" s="397"/>
      <c r="S252" s="398"/>
      <c r="T252" s="399"/>
    </row>
    <row r="253" spans="1:21" s="81" customFormat="1" ht="15" customHeight="1">
      <c r="A253" s="389"/>
      <c r="B253" s="83"/>
      <c r="C253" s="48" t="s">
        <v>263</v>
      </c>
      <c r="D253" s="37">
        <v>25.75</v>
      </c>
      <c r="E253" s="41">
        <v>7.6098999999999997</v>
      </c>
      <c r="F253" s="41">
        <f>+E253</f>
        <v>7.6098999999999997</v>
      </c>
      <c r="G253" s="39">
        <f>ROUND(D253*E253,2)</f>
        <v>195.95</v>
      </c>
      <c r="H253" s="37"/>
      <c r="I253" s="409"/>
      <c r="J253" s="409"/>
      <c r="K253" s="410"/>
      <c r="L253" s="404"/>
      <c r="M253" s="102"/>
      <c r="N253" s="405"/>
      <c r="O253" s="406"/>
      <c r="P253" s="406"/>
      <c r="Q253" s="407"/>
      <c r="R253" s="397"/>
      <c r="S253" s="398"/>
      <c r="T253" s="399"/>
    </row>
    <row r="254" spans="1:21" s="81" customFormat="1" ht="15.75" customHeight="1" thickBot="1">
      <c r="A254" s="411"/>
      <c r="B254" s="412"/>
      <c r="C254" s="99" t="s">
        <v>29</v>
      </c>
      <c r="D254" s="413">
        <v>10727</v>
      </c>
      <c r="E254" s="56">
        <v>7.6098999999999997</v>
      </c>
      <c r="F254" s="41">
        <f>+E254</f>
        <v>7.6098999999999997</v>
      </c>
      <c r="G254" s="414">
        <f>ROUND(D254*E254,2)</f>
        <v>81631.399999999994</v>
      </c>
      <c r="H254" s="248"/>
      <c r="I254" s="60"/>
      <c r="J254" s="60"/>
      <c r="K254" s="203"/>
      <c r="L254" s="204"/>
      <c r="M254" s="371"/>
      <c r="N254" s="415"/>
      <c r="O254" s="416"/>
      <c r="P254" s="416" t="s">
        <v>68</v>
      </c>
      <c r="Q254" s="417">
        <f>+G254+J254-M254-N254-O254</f>
        <v>81631.399999999994</v>
      </c>
      <c r="R254" s="418" t="s">
        <v>69</v>
      </c>
      <c r="S254" s="419">
        <f>SUM(O245:O254)</f>
        <v>0</v>
      </c>
      <c r="T254" s="419" t="e">
        <f>SUM(Q245:Q254)</f>
        <v>#VALUE!</v>
      </c>
    </row>
    <row r="255" spans="1:21" s="81" customFormat="1" ht="15.75" hidden="1" customHeight="1">
      <c r="A255" s="902">
        <v>303</v>
      </c>
      <c r="B255" s="903" t="s">
        <v>227</v>
      </c>
      <c r="C255" s="439" t="s">
        <v>260</v>
      </c>
      <c r="D255" s="904"/>
      <c r="E255" s="23">
        <f>7.3681-6.9835</f>
        <v>0.38459999999999983</v>
      </c>
      <c r="F255" s="905"/>
      <c r="G255" s="22">
        <f>ROUND(D255*E255,2)</f>
        <v>0</v>
      </c>
      <c r="H255" s="303"/>
      <c r="I255" s="23"/>
      <c r="J255" s="23"/>
      <c r="K255" s="304"/>
      <c r="L255" s="263">
        <f>SUM(G255:G257)</f>
        <v>0</v>
      </c>
      <c r="M255" s="26"/>
      <c r="N255" s="421"/>
      <c r="O255" s="77"/>
      <c r="P255" s="77"/>
      <c r="Q255" s="384"/>
      <c r="R255" s="422"/>
      <c r="S255" s="399"/>
      <c r="T255" s="399"/>
    </row>
    <row r="256" spans="1:21" s="81" customFormat="1" ht="15.75" hidden="1" customHeight="1">
      <c r="A256" s="468"/>
      <c r="B256" s="469" t="s">
        <v>291</v>
      </c>
      <c r="C256" s="48" t="s">
        <v>263</v>
      </c>
      <c r="D256" s="471"/>
      <c r="E256" s="41">
        <v>7.3681000000000001</v>
      </c>
      <c r="F256" s="473"/>
      <c r="G256" s="449">
        <f>ROUND(D256*E256,2)</f>
        <v>0</v>
      </c>
      <c r="H256" s="260"/>
      <c r="I256" s="261"/>
      <c r="J256" s="261"/>
      <c r="K256" s="262"/>
      <c r="L256" s="286"/>
      <c r="M256" s="90"/>
      <c r="N256" s="423"/>
      <c r="O256" s="406"/>
      <c r="P256" s="406"/>
      <c r="Q256" s="407"/>
      <c r="R256" s="422"/>
      <c r="S256" s="399"/>
      <c r="T256" s="399"/>
    </row>
    <row r="257" spans="1:20" s="81" customFormat="1" ht="15.75" hidden="1" customHeight="1" thickBot="1">
      <c r="A257" s="858"/>
      <c r="B257" s="859"/>
      <c r="C257" s="54" t="s">
        <v>29</v>
      </c>
      <c r="D257" s="860"/>
      <c r="E257" s="56">
        <v>7.3681000000000001</v>
      </c>
      <c r="F257" s="861"/>
      <c r="G257" s="414">
        <f t="shared" ref="G257" si="51">ROUND(D257*E257,2)</f>
        <v>0</v>
      </c>
      <c r="H257" s="280"/>
      <c r="I257" s="281"/>
      <c r="J257" s="281"/>
      <c r="K257" s="282"/>
      <c r="L257" s="204"/>
      <c r="M257" s="371"/>
      <c r="N257" s="426"/>
      <c r="O257" s="416"/>
      <c r="P257" s="416"/>
      <c r="Q257" s="417"/>
      <c r="R257" s="422"/>
      <c r="S257" s="399"/>
      <c r="T257" s="399"/>
    </row>
    <row r="258" spans="1:20" s="81" customFormat="1" ht="15.75" customHeight="1">
      <c r="A258" s="447">
        <v>302</v>
      </c>
      <c r="B258" s="438" t="s">
        <v>298</v>
      </c>
      <c r="C258" s="439" t="s">
        <v>260</v>
      </c>
      <c r="D258" s="900"/>
      <c r="E258" s="23"/>
      <c r="F258" s="23"/>
      <c r="G258" s="22">
        <f>ROUND(D258*E258,2)+0.01</f>
        <v>0.01</v>
      </c>
      <c r="H258" s="303"/>
      <c r="I258" s="23"/>
      <c r="J258" s="23"/>
      <c r="K258" s="304"/>
      <c r="L258" s="263">
        <f>SUM(G258:G260)</f>
        <v>1197.6500000000001</v>
      </c>
      <c r="M258" s="26">
        <v>1197.6500000000001</v>
      </c>
      <c r="N258" s="421"/>
      <c r="O258" s="77"/>
      <c r="P258" s="77"/>
      <c r="Q258" s="384"/>
      <c r="R258" s="422"/>
      <c r="S258" s="399"/>
      <c r="T258" s="399"/>
    </row>
    <row r="259" spans="1:20" s="81" customFormat="1" ht="15.75" customHeight="1">
      <c r="A259" s="450"/>
      <c r="B259" s="1264"/>
      <c r="C259" s="48" t="s">
        <v>263</v>
      </c>
      <c r="D259" s="448">
        <v>0.38</v>
      </c>
      <c r="E259" s="41">
        <v>7.6098999999999997</v>
      </c>
      <c r="F259" s="261"/>
      <c r="G259" s="449">
        <f t="shared" ref="G259:G260" si="52">ROUND(D259*E259,2)</f>
        <v>2.89</v>
      </c>
      <c r="H259" s="260"/>
      <c r="I259" s="261"/>
      <c r="J259" s="261"/>
      <c r="K259" s="262"/>
      <c r="L259" s="286"/>
      <c r="M259" s="90"/>
      <c r="N259" s="423"/>
      <c r="O259" s="406"/>
      <c r="P259" s="406"/>
      <c r="Q259" s="407"/>
      <c r="R259" s="422"/>
      <c r="S259" s="399"/>
      <c r="T259" s="399"/>
    </row>
    <row r="260" spans="1:20" s="81" customFormat="1" ht="15.75" customHeight="1" thickBot="1">
      <c r="A260" s="451"/>
      <c r="B260" s="446"/>
      <c r="C260" s="54" t="s">
        <v>29</v>
      </c>
      <c r="D260" s="901">
        <v>157</v>
      </c>
      <c r="E260" s="56">
        <v>7.6098999999999997</v>
      </c>
      <c r="F260" s="281"/>
      <c r="G260" s="414">
        <f t="shared" si="52"/>
        <v>1194.75</v>
      </c>
      <c r="H260" s="280"/>
      <c r="I260" s="281"/>
      <c r="J260" s="281"/>
      <c r="K260" s="282"/>
      <c r="L260" s="204"/>
      <c r="M260" s="371"/>
      <c r="N260" s="426"/>
      <c r="O260" s="416"/>
      <c r="P260" s="416"/>
      <c r="Q260" s="417"/>
      <c r="R260" s="422"/>
      <c r="S260" s="399"/>
      <c r="T260" s="399"/>
    </row>
    <row r="261" spans="1:20" s="81" customFormat="1" ht="15.75" customHeight="1">
      <c r="A261" s="447">
        <v>303</v>
      </c>
      <c r="B261" s="438" t="s">
        <v>324</v>
      </c>
      <c r="C261" s="439" t="s">
        <v>260</v>
      </c>
      <c r="D261" s="900">
        <f>апр.19!D256+апр.19!D257</f>
        <v>1053.52</v>
      </c>
      <c r="E261" s="23">
        <f>7.6099-7.3771</f>
        <v>0.23279999999999923</v>
      </c>
      <c r="F261" s="23"/>
      <c r="G261" s="22">
        <f>ROUND(D261*E261,2)+0.01</f>
        <v>245.26999999999998</v>
      </c>
      <c r="H261" s="303"/>
      <c r="I261" s="23"/>
      <c r="J261" s="23"/>
      <c r="K261" s="304"/>
      <c r="L261" s="263">
        <f>SUM(G261:G263)</f>
        <v>3731.3599999999997</v>
      </c>
      <c r="M261" s="26">
        <v>3731.36</v>
      </c>
      <c r="N261" s="421"/>
      <c r="O261" s="77"/>
      <c r="P261" s="77"/>
      <c r="Q261" s="384"/>
      <c r="R261" s="422"/>
      <c r="S261" s="399"/>
      <c r="T261" s="399"/>
    </row>
    <row r="262" spans="1:20" s="81" customFormat="1" ht="15.75" customHeight="1">
      <c r="A262" s="450"/>
      <c r="B262" s="1264" t="s">
        <v>335</v>
      </c>
      <c r="C262" s="48" t="s">
        <v>263</v>
      </c>
      <c r="D262" s="448">
        <v>1.1000000000000001</v>
      </c>
      <c r="E262" s="41">
        <v>7.6098999999999997</v>
      </c>
      <c r="F262" s="261"/>
      <c r="G262" s="449">
        <f t="shared" ref="G262:G263" si="53">ROUND(D262*E262,2)</f>
        <v>8.3699999999999992</v>
      </c>
      <c r="H262" s="260"/>
      <c r="I262" s="261"/>
      <c r="J262" s="261"/>
      <c r="K262" s="262"/>
      <c r="L262" s="286"/>
      <c r="M262" s="90"/>
      <c r="N262" s="423"/>
      <c r="O262" s="406"/>
      <c r="P262" s="406"/>
      <c r="Q262" s="407"/>
      <c r="R262" s="422"/>
      <c r="S262" s="399"/>
      <c r="T262" s="399"/>
    </row>
    <row r="263" spans="1:20" s="81" customFormat="1" ht="15.75" customHeight="1" thickBot="1">
      <c r="A263" s="451"/>
      <c r="B263" s="446"/>
      <c r="C263" s="54" t="s">
        <v>29</v>
      </c>
      <c r="D263" s="901">
        <v>457</v>
      </c>
      <c r="E263" s="56">
        <v>7.6098999999999997</v>
      </c>
      <c r="F263" s="281"/>
      <c r="G263" s="414">
        <f t="shared" si="53"/>
        <v>3477.72</v>
      </c>
      <c r="H263" s="280"/>
      <c r="I263" s="281"/>
      <c r="J263" s="281"/>
      <c r="K263" s="282"/>
      <c r="L263" s="204"/>
      <c r="M263" s="371"/>
      <c r="N263" s="426"/>
      <c r="O263" s="416"/>
      <c r="P263" s="416"/>
      <c r="Q263" s="417"/>
      <c r="R263" s="422"/>
      <c r="S263" s="399"/>
      <c r="T263" s="399"/>
    </row>
    <row r="264" spans="1:20" s="81" customFormat="1" ht="15" customHeight="1">
      <c r="A264" s="437">
        <v>304</v>
      </c>
      <c r="B264" s="438" t="s">
        <v>83</v>
      </c>
      <c r="C264" s="377" t="s">
        <v>73</v>
      </c>
      <c r="D264" s="378">
        <v>0</v>
      </c>
      <c r="E264" s="21">
        <v>41.244</v>
      </c>
      <c r="F264" s="21">
        <v>48.335999999999999</v>
      </c>
      <c r="G264" s="22">
        <f>+D264*(E264+F264)</f>
        <v>0</v>
      </c>
      <c r="H264" s="303"/>
      <c r="I264" s="381"/>
      <c r="J264" s="381"/>
      <c r="K264" s="342"/>
      <c r="L264" s="263">
        <f>SUM(G264:G268,J264:J268)</f>
        <v>478.40999999999997</v>
      </c>
      <c r="M264" s="26">
        <v>478.41</v>
      </c>
      <c r="N264" s="421"/>
      <c r="O264" s="77"/>
      <c r="P264" s="77"/>
      <c r="Q264" s="384"/>
      <c r="R264" s="899"/>
      <c r="S264" s="399"/>
      <c r="T264" s="399"/>
    </row>
    <row r="265" spans="1:20" s="81" customFormat="1" ht="15" customHeight="1">
      <c r="A265" s="441"/>
      <c r="B265" s="442"/>
      <c r="C265" s="36" t="s">
        <v>26</v>
      </c>
      <c r="D265" s="37"/>
      <c r="E265" s="38"/>
      <c r="F265" s="38"/>
      <c r="G265" s="39">
        <f>ROUND(D265*(E265+F265),2)</f>
        <v>0</v>
      </c>
      <c r="H265" s="457"/>
      <c r="I265" s="392"/>
      <c r="J265" s="402"/>
      <c r="K265" s="393"/>
      <c r="L265" s="459"/>
      <c r="M265" s="44"/>
      <c r="N265" s="430"/>
      <c r="O265" s="435"/>
      <c r="P265" s="435"/>
      <c r="Q265" s="425"/>
      <c r="R265" s="422"/>
      <c r="S265" s="399"/>
      <c r="T265" s="399"/>
    </row>
    <row r="266" spans="1:20" s="81" customFormat="1" ht="15" customHeight="1">
      <c r="A266" s="441"/>
      <c r="B266" s="442"/>
      <c r="C266" s="48" t="s">
        <v>260</v>
      </c>
      <c r="D266" s="37">
        <f>апр.19!D261+апр.19!D262</f>
        <v>56.13</v>
      </c>
      <c r="E266" s="41">
        <f>7.6099-7.3771</f>
        <v>0.23279999999999923</v>
      </c>
      <c r="F266" s="38"/>
      <c r="G266" s="39">
        <f>ROUND(D266*(E266),2)</f>
        <v>13.07</v>
      </c>
      <c r="H266" s="270"/>
      <c r="I266" s="41"/>
      <c r="J266" s="41"/>
      <c r="K266" s="271"/>
      <c r="L266" s="272"/>
      <c r="M266" s="102"/>
      <c r="N266" s="430"/>
      <c r="O266" s="435"/>
      <c r="P266" s="435"/>
      <c r="Q266" s="425"/>
      <c r="R266" s="422"/>
      <c r="S266" s="399"/>
      <c r="T266" s="399"/>
    </row>
    <row r="267" spans="1:20" s="81" customFormat="1" ht="15" customHeight="1">
      <c r="A267" s="441"/>
      <c r="B267" s="442"/>
      <c r="C267" s="48" t="s">
        <v>263</v>
      </c>
      <c r="D267" s="37">
        <v>0.15</v>
      </c>
      <c r="E267" s="41">
        <v>7.6098999999999997</v>
      </c>
      <c r="F267" s="38"/>
      <c r="G267" s="39">
        <f>ROUND(D267*(E267),2)</f>
        <v>1.1399999999999999</v>
      </c>
      <c r="H267" s="270"/>
      <c r="I267" s="41"/>
      <c r="J267" s="41"/>
      <c r="K267" s="271"/>
      <c r="L267" s="272"/>
      <c r="M267" s="102"/>
      <c r="N267" s="434"/>
      <c r="O267" s="435"/>
      <c r="P267" s="435"/>
      <c r="Q267" s="425"/>
      <c r="R267" s="422"/>
      <c r="S267" s="399"/>
      <c r="T267" s="399"/>
    </row>
    <row r="268" spans="1:20" s="81" customFormat="1" ht="15.75" customHeight="1" thickBot="1">
      <c r="A268" s="445"/>
      <c r="B268" s="446"/>
      <c r="C268" s="54" t="s">
        <v>29</v>
      </c>
      <c r="D268" s="413">
        <v>61</v>
      </c>
      <c r="E268" s="56">
        <v>7.6098999999999997</v>
      </c>
      <c r="F268" s="281"/>
      <c r="G268" s="414">
        <f>ROUND(D268*(E268),2)</f>
        <v>464.2</v>
      </c>
      <c r="H268" s="280"/>
      <c r="I268" s="281"/>
      <c r="J268" s="281"/>
      <c r="K268" s="282"/>
      <c r="L268" s="204"/>
      <c r="M268" s="371"/>
      <c r="N268" s="426"/>
      <c r="O268" s="416"/>
      <c r="P268" s="416"/>
      <c r="Q268" s="417"/>
      <c r="R268" s="422"/>
      <c r="S268" s="399"/>
      <c r="T268" s="399"/>
    </row>
    <row r="269" spans="1:20" s="81" customFormat="1" ht="15" customHeight="1">
      <c r="A269" s="437">
        <v>305</v>
      </c>
      <c r="B269" s="438" t="s">
        <v>298</v>
      </c>
      <c r="C269" s="377" t="s">
        <v>73</v>
      </c>
      <c r="D269" s="378">
        <v>36</v>
      </c>
      <c r="E269" s="21">
        <v>41.244</v>
      </c>
      <c r="F269" s="21">
        <v>48.335999999999999</v>
      </c>
      <c r="G269" s="22">
        <f>+D269*(E269+F269)</f>
        <v>3224.88</v>
      </c>
      <c r="H269" s="303"/>
      <c r="I269" s="381"/>
      <c r="J269" s="381"/>
      <c r="K269" s="342"/>
      <c r="L269" s="263">
        <f>SUM(G269:G273,J269:J273)</f>
        <v>22196.79</v>
      </c>
      <c r="M269" s="26">
        <v>22196.79</v>
      </c>
      <c r="N269" s="421"/>
      <c r="O269" s="77"/>
      <c r="P269" s="77"/>
      <c r="Q269" s="384"/>
      <c r="R269" s="899"/>
      <c r="S269" s="399"/>
      <c r="T269" s="399"/>
    </row>
    <row r="270" spans="1:20" s="81" customFormat="1" ht="15" customHeight="1">
      <c r="A270" s="441"/>
      <c r="B270" s="442"/>
      <c r="C270" s="36" t="s">
        <v>26</v>
      </c>
      <c r="D270" s="37"/>
      <c r="E270" s="38"/>
      <c r="F270" s="38"/>
      <c r="G270" s="39">
        <f>ROUND(D270*(E270+F270),2)</f>
        <v>0</v>
      </c>
      <c r="H270" s="457"/>
      <c r="I270" s="392"/>
      <c r="J270" s="402"/>
      <c r="K270" s="393"/>
      <c r="L270" s="459"/>
      <c r="M270" s="44"/>
      <c r="N270" s="430"/>
      <c r="O270" s="435"/>
      <c r="P270" s="435"/>
      <c r="Q270" s="425"/>
      <c r="R270" s="422"/>
      <c r="S270" s="399"/>
      <c r="T270" s="399"/>
    </row>
    <row r="271" spans="1:20" s="81" customFormat="1" ht="15" customHeight="1">
      <c r="A271" s="441"/>
      <c r="B271" s="442"/>
      <c r="C271" s="48" t="s">
        <v>260</v>
      </c>
      <c r="D271" s="37">
        <f>апр.19!D266+апр.19!D267</f>
        <v>2722.55</v>
      </c>
      <c r="E271" s="41">
        <f>7.6099-7.3771</f>
        <v>0.23279999999999923</v>
      </c>
      <c r="F271" s="38"/>
      <c r="G271" s="39">
        <f>ROUND(D271*(E271),2)-0.01</f>
        <v>633.79999999999995</v>
      </c>
      <c r="H271" s="270"/>
      <c r="I271" s="41"/>
      <c r="J271" s="41"/>
      <c r="K271" s="271"/>
      <c r="L271" s="272"/>
      <c r="M271" s="102"/>
      <c r="N271" s="430"/>
      <c r="O271" s="435"/>
      <c r="P271" s="435"/>
      <c r="Q271" s="425"/>
      <c r="R271" s="422"/>
      <c r="S271" s="399"/>
      <c r="T271" s="399"/>
    </row>
    <row r="272" spans="1:20" s="81" customFormat="1" ht="15" customHeight="1">
      <c r="A272" s="441"/>
      <c r="B272" s="442"/>
      <c r="C272" s="48" t="s">
        <v>263</v>
      </c>
      <c r="D272" s="37">
        <f>4.06+1.31+0.4</f>
        <v>5.77</v>
      </c>
      <c r="E272" s="41">
        <v>7.6098999999999997</v>
      </c>
      <c r="F272" s="38"/>
      <c r="G272" s="39">
        <f>ROUND(D272*(E272),2)</f>
        <v>43.91</v>
      </c>
      <c r="H272" s="270"/>
      <c r="I272" s="41"/>
      <c r="J272" s="41"/>
      <c r="K272" s="271"/>
      <c r="L272" s="272"/>
      <c r="M272" s="102"/>
      <c r="N272" s="434"/>
      <c r="O272" s="435"/>
      <c r="P272" s="435"/>
      <c r="Q272" s="425"/>
      <c r="R272" s="422"/>
      <c r="S272" s="399"/>
      <c r="T272" s="399"/>
    </row>
    <row r="273" spans="1:20" s="81" customFormat="1" ht="15.75" customHeight="1" thickBot="1">
      <c r="A273" s="445"/>
      <c r="B273" s="446"/>
      <c r="C273" s="54" t="s">
        <v>29</v>
      </c>
      <c r="D273" s="413">
        <f>1691+547+166</f>
        <v>2404</v>
      </c>
      <c r="E273" s="56">
        <v>7.6098999999999997</v>
      </c>
      <c r="F273" s="281"/>
      <c r="G273" s="414">
        <f>ROUND(D273*(E273),2)</f>
        <v>18294.2</v>
      </c>
      <c r="H273" s="280"/>
      <c r="I273" s="281"/>
      <c r="J273" s="281"/>
      <c r="K273" s="282"/>
      <c r="L273" s="204"/>
      <c r="M273" s="371"/>
      <c r="N273" s="426"/>
      <c r="O273" s="416"/>
      <c r="P273" s="416"/>
      <c r="Q273" s="417"/>
      <c r="R273" s="422"/>
      <c r="S273" s="399"/>
      <c r="T273" s="399"/>
    </row>
    <row r="274" spans="1:20" s="81" customFormat="1" ht="15" customHeight="1">
      <c r="A274" s="447">
        <v>400</v>
      </c>
      <c r="B274" s="903" t="s">
        <v>238</v>
      </c>
      <c r="C274" s="377" t="s">
        <v>73</v>
      </c>
      <c r="D274" s="378">
        <v>66</v>
      </c>
      <c r="E274" s="21">
        <v>41.244</v>
      </c>
      <c r="F274" s="21">
        <v>48.335999999999999</v>
      </c>
      <c r="G274" s="22">
        <f>+D274*(E274+F274)</f>
        <v>5912.28</v>
      </c>
      <c r="H274" s="303"/>
      <c r="I274" s="381"/>
      <c r="J274" s="381"/>
      <c r="K274" s="342"/>
      <c r="L274" s="263">
        <f>SUM(G274:G278,J274:J278)</f>
        <v>76152.09</v>
      </c>
      <c r="M274" s="26">
        <v>76152.09</v>
      </c>
      <c r="N274" s="421"/>
      <c r="O274" s="77"/>
      <c r="P274" s="77"/>
      <c r="Q274" s="384"/>
      <c r="R274" s="899"/>
      <c r="S274" s="399"/>
      <c r="T274" s="399"/>
    </row>
    <row r="275" spans="1:20" s="81" customFormat="1" ht="15" customHeight="1" thickBot="1">
      <c r="A275" s="450"/>
      <c r="B275" s="469"/>
      <c r="C275" s="36" t="s">
        <v>26</v>
      </c>
      <c r="D275" s="37"/>
      <c r="E275" s="38"/>
      <c r="F275" s="38"/>
      <c r="G275" s="39">
        <f>ROUND(D275*(E275+F275),2)</f>
        <v>0</v>
      </c>
      <c r="H275" s="457"/>
      <c r="I275" s="392"/>
      <c r="J275" s="402"/>
      <c r="K275" s="393"/>
      <c r="L275" s="459"/>
      <c r="M275" s="44"/>
      <c r="N275" s="430"/>
      <c r="O275" s="435"/>
      <c r="P275" s="435"/>
      <c r="Q275" s="425"/>
      <c r="R275" s="422"/>
      <c r="S275" s="399"/>
      <c r="T275" s="399"/>
    </row>
    <row r="276" spans="1:20" s="81" customFormat="1" ht="15.75" customHeight="1">
      <c r="A276" s="984"/>
      <c r="C276" s="439" t="s">
        <v>260</v>
      </c>
      <c r="D276" s="904">
        <f>апр.19!D271+апр.19!D272</f>
        <v>8780.0300000000007</v>
      </c>
      <c r="E276" s="23">
        <f>7.6099-7.3771</f>
        <v>0.23279999999999923</v>
      </c>
      <c r="F276" s="905"/>
      <c r="G276" s="22">
        <f>ROUND(D276*E276,2)</f>
        <v>2043.99</v>
      </c>
      <c r="H276" s="303"/>
      <c r="I276" s="23"/>
      <c r="J276" s="23"/>
      <c r="K276" s="304"/>
      <c r="L276" s="263"/>
      <c r="M276" s="26"/>
      <c r="N276" s="421"/>
      <c r="O276" s="77"/>
      <c r="P276" s="77"/>
      <c r="Q276" s="384"/>
      <c r="R276" s="422"/>
      <c r="S276" s="399"/>
      <c r="T276" s="399"/>
    </row>
    <row r="277" spans="1:20" s="81" customFormat="1" ht="15.75" customHeight="1">
      <c r="A277" s="450"/>
      <c r="B277" s="469"/>
      <c r="C277" s="48" t="s">
        <v>263</v>
      </c>
      <c r="D277" s="471">
        <f>15.31+1+5.15</f>
        <v>21.46</v>
      </c>
      <c r="E277" s="41">
        <v>7.6098999999999997</v>
      </c>
      <c r="F277" s="473"/>
      <c r="G277" s="449">
        <f>ROUND(D277*E277,2)</f>
        <v>163.31</v>
      </c>
      <c r="H277" s="260"/>
      <c r="I277" s="261"/>
      <c r="J277" s="261"/>
      <c r="K277" s="262"/>
      <c r="L277" s="286"/>
      <c r="M277" s="90"/>
      <c r="N277" s="423"/>
      <c r="O277" s="406"/>
      <c r="P277" s="406"/>
      <c r="Q277" s="407"/>
      <c r="R277" s="422"/>
      <c r="S277" s="399"/>
      <c r="T277" s="399"/>
    </row>
    <row r="278" spans="1:20" s="81" customFormat="1" ht="15.75" customHeight="1" thickBot="1">
      <c r="A278" s="451"/>
      <c r="B278" s="859"/>
      <c r="C278" s="54" t="s">
        <v>29</v>
      </c>
      <c r="D278" s="860">
        <f>6381+415+2144</f>
        <v>8940</v>
      </c>
      <c r="E278" s="56">
        <v>7.6098999999999997</v>
      </c>
      <c r="F278" s="861"/>
      <c r="G278" s="414">
        <f t="shared" ref="G278" si="54">ROUND(D278*E278,2)</f>
        <v>68032.509999999995</v>
      </c>
      <c r="H278" s="280"/>
      <c r="I278" s="281"/>
      <c r="J278" s="281"/>
      <c r="K278" s="282"/>
      <c r="L278" s="204"/>
      <c r="M278" s="371"/>
      <c r="N278" s="426"/>
      <c r="O278" s="416"/>
      <c r="P278" s="416"/>
      <c r="Q278" s="417"/>
      <c r="R278" s="422"/>
      <c r="S278" s="399"/>
      <c r="T278" s="399"/>
    </row>
    <row r="279" spans="1:20" s="81" customFormat="1" ht="15" customHeight="1">
      <c r="A279" s="437">
        <v>402</v>
      </c>
      <c r="B279" s="438" t="s">
        <v>122</v>
      </c>
      <c r="C279" s="439"/>
      <c r="D279" s="378"/>
      <c r="E279" s="23"/>
      <c r="F279" s="23"/>
      <c r="G279" s="22"/>
      <c r="H279" s="303"/>
      <c r="I279" s="23"/>
      <c r="J279" s="23"/>
      <c r="K279" s="304"/>
      <c r="L279" s="382">
        <f>+SUM(G279:G282,J279:J282)</f>
        <v>1955.06</v>
      </c>
      <c r="M279" s="26">
        <v>1955.06</v>
      </c>
      <c r="N279" s="421"/>
      <c r="O279" s="77"/>
      <c r="P279" s="77"/>
      <c r="Q279" s="384"/>
      <c r="R279" s="899"/>
      <c r="S279" s="399"/>
      <c r="T279" s="399"/>
    </row>
    <row r="280" spans="1:20" s="81" customFormat="1" ht="15" customHeight="1" thickBot="1">
      <c r="A280" s="441"/>
      <c r="B280" s="442"/>
      <c r="C280" s="48" t="s">
        <v>260</v>
      </c>
      <c r="D280" s="37">
        <f>апр.19!D275+апр.19!D276</f>
        <v>271.64999999999998</v>
      </c>
      <c r="E280" s="41">
        <f>7.6099-7.3771</f>
        <v>0.23279999999999923</v>
      </c>
      <c r="F280" s="41"/>
      <c r="G280" s="414">
        <f>ROUND(D280*E280,2)-0.01</f>
        <v>63.230000000000004</v>
      </c>
      <c r="H280" s="260"/>
      <c r="I280" s="261"/>
      <c r="J280" s="261"/>
      <c r="K280" s="262"/>
      <c r="L280" s="394"/>
      <c r="M280" s="90"/>
      <c r="N280" s="443"/>
      <c r="O280" s="94"/>
      <c r="P280" s="94"/>
      <c r="Q280" s="396"/>
      <c r="R280" s="899"/>
      <c r="S280" s="399"/>
      <c r="T280" s="399"/>
    </row>
    <row r="281" spans="1:20" s="81" customFormat="1" ht="15" customHeight="1" thickBot="1">
      <c r="A281" s="441"/>
      <c r="B281" s="444"/>
      <c r="C281" s="48" t="s">
        <v>263</v>
      </c>
      <c r="D281" s="37">
        <v>0.6</v>
      </c>
      <c r="E281" s="41">
        <v>7.6098999999999997</v>
      </c>
      <c r="F281" s="41"/>
      <c r="G281" s="414">
        <f>ROUND(D281*E281,2)</f>
        <v>4.57</v>
      </c>
      <c r="H281" s="432"/>
      <c r="I281" s="207"/>
      <c r="J281" s="207"/>
      <c r="K281" s="362"/>
      <c r="L281" s="433"/>
      <c r="M281" s="63"/>
      <c r="N281" s="423"/>
      <c r="O281" s="406"/>
      <c r="P281" s="406"/>
      <c r="Q281" s="407"/>
      <c r="R281" s="899"/>
      <c r="S281" s="399"/>
      <c r="T281" s="399"/>
    </row>
    <row r="282" spans="1:20" s="81" customFormat="1" ht="15" customHeight="1" thickBot="1">
      <c r="A282" s="445"/>
      <c r="B282" s="446"/>
      <c r="C282" s="99" t="s">
        <v>29</v>
      </c>
      <c r="D282" s="413">
        <v>248</v>
      </c>
      <c r="E282" s="56">
        <v>7.6098999999999997</v>
      </c>
      <c r="F282" s="281"/>
      <c r="G282" s="414">
        <f>ROUND(D282*E282,2)</f>
        <v>1887.26</v>
      </c>
      <c r="H282" s="280"/>
      <c r="I282" s="281"/>
      <c r="J282" s="281"/>
      <c r="K282" s="282"/>
      <c r="L282" s="204"/>
      <c r="M282" s="371"/>
      <c r="N282" s="434"/>
      <c r="O282" s="435"/>
      <c r="P282" s="435"/>
      <c r="Q282" s="425"/>
      <c r="R282" s="899"/>
      <c r="S282" s="399"/>
      <c r="T282" s="399"/>
    </row>
    <row r="283" spans="1:20" s="81" customFormat="1" ht="15.75" customHeight="1">
      <c r="A283" s="447">
        <v>403</v>
      </c>
      <c r="B283" s="438" t="s">
        <v>126</v>
      </c>
      <c r="C283" s="439" t="s">
        <v>260</v>
      </c>
      <c r="D283" s="900">
        <f>апр.19!D278+апр.19!D279</f>
        <v>82.2</v>
      </c>
      <c r="E283" s="23">
        <f>7.6099-7.3771</f>
        <v>0.23279999999999923</v>
      </c>
      <c r="F283" s="23"/>
      <c r="G283" s="22">
        <f>ROUND(D283*E283,2)</f>
        <v>19.14</v>
      </c>
      <c r="H283" s="303"/>
      <c r="I283" s="23"/>
      <c r="J283" s="23"/>
      <c r="K283" s="304"/>
      <c r="L283" s="263">
        <f>SUM(G283:G285)</f>
        <v>705.7</v>
      </c>
      <c r="M283" s="26">
        <v>705.7</v>
      </c>
      <c r="N283" s="421"/>
      <c r="O283" s="77"/>
      <c r="P283" s="77"/>
      <c r="Q283" s="384"/>
      <c r="R283" s="422"/>
      <c r="S283" s="399"/>
      <c r="T283" s="399"/>
    </row>
    <row r="284" spans="1:20" s="81" customFormat="1" ht="15.75" customHeight="1">
      <c r="A284" s="450"/>
      <c r="B284" s="442"/>
      <c r="C284" s="48" t="s">
        <v>263</v>
      </c>
      <c r="D284" s="448">
        <v>0.22</v>
      </c>
      <c r="E284" s="41">
        <v>7.6098999999999997</v>
      </c>
      <c r="F284" s="261"/>
      <c r="G284" s="449">
        <f t="shared" ref="G284:G285" si="55">ROUND(D284*E284,2)</f>
        <v>1.67</v>
      </c>
      <c r="H284" s="260"/>
      <c r="I284" s="261"/>
      <c r="J284" s="261"/>
      <c r="K284" s="262"/>
      <c r="L284" s="286"/>
      <c r="M284" s="90"/>
      <c r="N284" s="423"/>
      <c r="O284" s="406"/>
      <c r="P284" s="406"/>
      <c r="Q284" s="407"/>
      <c r="R284" s="422"/>
      <c r="S284" s="399"/>
      <c r="T284" s="399"/>
    </row>
    <row r="285" spans="1:20" s="81" customFormat="1" ht="15.75" customHeight="1" thickBot="1">
      <c r="A285" s="451"/>
      <c r="B285" s="446"/>
      <c r="C285" s="54" t="s">
        <v>29</v>
      </c>
      <c r="D285" s="901">
        <v>90</v>
      </c>
      <c r="E285" s="56">
        <v>7.6098999999999997</v>
      </c>
      <c r="F285" s="281"/>
      <c r="G285" s="414">
        <f t="shared" si="55"/>
        <v>684.89</v>
      </c>
      <c r="H285" s="280"/>
      <c r="I285" s="281"/>
      <c r="J285" s="281"/>
      <c r="K285" s="282"/>
      <c r="L285" s="204"/>
      <c r="M285" s="371"/>
      <c r="N285" s="426"/>
      <c r="O285" s="416"/>
      <c r="P285" s="416"/>
      <c r="Q285" s="417"/>
      <c r="R285" s="422"/>
      <c r="S285" s="399"/>
      <c r="T285" s="399"/>
    </row>
    <row r="286" spans="1:20" s="81" customFormat="1" ht="15.75" customHeight="1">
      <c r="A286" s="906">
        <v>404</v>
      </c>
      <c r="B286" s="903" t="s">
        <v>191</v>
      </c>
      <c r="C286" s="48" t="s">
        <v>260</v>
      </c>
      <c r="D286" s="471">
        <f>апр.19!D282+апр.19!D281</f>
        <v>127.3</v>
      </c>
      <c r="E286" s="41">
        <f>7.6099-7.3771</f>
        <v>0.23279999999999923</v>
      </c>
      <c r="F286" s="473"/>
      <c r="G286" s="862">
        <f>ROUND(D286*E286,2)</f>
        <v>29.64</v>
      </c>
      <c r="H286" s="270"/>
      <c r="I286" s="41"/>
      <c r="J286" s="41"/>
      <c r="K286" s="271"/>
      <c r="L286" s="263">
        <f>SUM(G286:G288)</f>
        <v>1150.96</v>
      </c>
      <c r="M286" s="878">
        <v>1150.96</v>
      </c>
      <c r="N286" s="421"/>
      <c r="O286" s="406"/>
      <c r="P286" s="406"/>
      <c r="Q286" s="407"/>
      <c r="R286" s="422"/>
      <c r="S286" s="399"/>
      <c r="T286" s="399"/>
    </row>
    <row r="287" spans="1:20" s="81" customFormat="1" ht="15.75" customHeight="1">
      <c r="A287" s="468"/>
      <c r="B287" s="469"/>
      <c r="C287" s="48" t="s">
        <v>263</v>
      </c>
      <c r="D287" s="471">
        <v>0.35</v>
      </c>
      <c r="E287" s="41">
        <v>7.6098999999999997</v>
      </c>
      <c r="F287" s="473"/>
      <c r="G287" s="862">
        <f>ROUND(D287*E287,2)</f>
        <v>2.66</v>
      </c>
      <c r="H287" s="270"/>
      <c r="I287" s="41"/>
      <c r="J287" s="41"/>
      <c r="K287" s="271"/>
      <c r="L287" s="272"/>
      <c r="M287" s="878"/>
      <c r="N287" s="423"/>
      <c r="O287" s="406"/>
      <c r="P287" s="406"/>
      <c r="Q287" s="407"/>
      <c r="R287" s="422"/>
      <c r="S287" s="399"/>
      <c r="T287" s="399"/>
    </row>
    <row r="288" spans="1:20" s="81" customFormat="1" ht="15.75" customHeight="1" thickBot="1">
      <c r="A288" s="858"/>
      <c r="B288" s="859"/>
      <c r="C288" s="54" t="s">
        <v>29</v>
      </c>
      <c r="D288" s="860">
        <v>147</v>
      </c>
      <c r="E288" s="56">
        <v>7.6098999999999997</v>
      </c>
      <c r="F288" s="861"/>
      <c r="G288" s="866">
        <f t="shared" ref="G288" si="56">ROUND(D288*E288,2)</f>
        <v>1118.6600000000001</v>
      </c>
      <c r="H288" s="280"/>
      <c r="I288" s="281"/>
      <c r="J288" s="281"/>
      <c r="K288" s="282"/>
      <c r="L288" s="204"/>
      <c r="M288" s="880"/>
      <c r="N288" s="426"/>
      <c r="O288" s="416"/>
      <c r="P288" s="416"/>
      <c r="Q288" s="417"/>
      <c r="R288" s="422"/>
      <c r="S288" s="399"/>
      <c r="T288" s="399"/>
    </row>
    <row r="289" spans="1:20" s="81" customFormat="1" ht="15.75" customHeight="1">
      <c r="A289" s="902">
        <v>405</v>
      </c>
      <c r="B289" s="903" t="s">
        <v>147</v>
      </c>
      <c r="C289" s="439" t="s">
        <v>260</v>
      </c>
      <c r="D289" s="904">
        <f>апр.19!D284+апр.19!D285</f>
        <v>162.38999999999999</v>
      </c>
      <c r="E289" s="23">
        <f>7.6099-7.3771</f>
        <v>0.23279999999999923</v>
      </c>
      <c r="F289" s="905"/>
      <c r="G289" s="22">
        <f>ROUND(D289*E289,2)+0.01</f>
        <v>37.809999999999995</v>
      </c>
      <c r="H289" s="303"/>
      <c r="I289" s="261"/>
      <c r="J289" s="261"/>
      <c r="K289" s="262"/>
      <c r="L289" s="286">
        <f>SUM(G289:G291)</f>
        <v>1433.77</v>
      </c>
      <c r="M289" s="90">
        <v>1433.77</v>
      </c>
      <c r="N289" s="421"/>
      <c r="O289" s="77"/>
      <c r="P289" s="77"/>
      <c r="Q289" s="384"/>
      <c r="R289" s="422"/>
      <c r="S289" s="399"/>
      <c r="T289" s="399"/>
    </row>
    <row r="290" spans="1:20" s="81" customFormat="1" ht="15.75" customHeight="1">
      <c r="A290" s="468"/>
      <c r="B290" s="469"/>
      <c r="C290" s="48" t="s">
        <v>263</v>
      </c>
      <c r="D290" s="471">
        <v>0.44</v>
      </c>
      <c r="E290" s="41">
        <v>7.6098999999999997</v>
      </c>
      <c r="F290" s="473"/>
      <c r="G290" s="449">
        <f>ROUND(D290*E290,2)</f>
        <v>3.35</v>
      </c>
      <c r="H290" s="260"/>
      <c r="I290" s="261"/>
      <c r="J290" s="261"/>
      <c r="K290" s="262"/>
      <c r="L290" s="286"/>
      <c r="M290" s="90"/>
      <c r="N290" s="423"/>
      <c r="O290" s="406"/>
      <c r="P290" s="406"/>
      <c r="Q290" s="407"/>
      <c r="R290" s="422"/>
      <c r="S290" s="399"/>
      <c r="T290" s="399"/>
    </row>
    <row r="291" spans="1:20" s="81" customFormat="1" ht="15.75" customHeight="1" thickBot="1">
      <c r="A291" s="701"/>
      <c r="B291" s="702"/>
      <c r="C291" s="99" t="s">
        <v>29</v>
      </c>
      <c r="D291" s="703">
        <v>183</v>
      </c>
      <c r="E291" s="56">
        <v>7.6098999999999997</v>
      </c>
      <c r="F291" s="704"/>
      <c r="G291" s="39">
        <f t="shared" ref="G291" si="57">ROUND(D291*E291,2)</f>
        <v>1392.61</v>
      </c>
      <c r="H291" s="280"/>
      <c r="I291" s="281"/>
      <c r="J291" s="281"/>
      <c r="K291" s="282"/>
      <c r="L291" s="204"/>
      <c r="M291" s="371"/>
      <c r="N291" s="426"/>
      <c r="O291" s="416"/>
      <c r="P291" s="416"/>
      <c r="Q291" s="417"/>
      <c r="R291" s="422"/>
      <c r="S291" s="399"/>
      <c r="T291" s="399"/>
    </row>
    <row r="292" spans="1:20" s="81" customFormat="1" ht="15.75" hidden="1" customHeight="1" outlineLevel="1" thickBot="1">
      <c r="A292" s="910"/>
      <c r="B292" s="911" t="s">
        <v>155</v>
      </c>
      <c r="C292" s="573" t="s">
        <v>115</v>
      </c>
      <c r="D292" s="912"/>
      <c r="E292" s="579">
        <f>7.0379-7.0426</f>
        <v>-4.7000000000005926E-3</v>
      </c>
      <c r="F292" s="580"/>
      <c r="G292" s="913">
        <f>ROUND(D292*E292,2)</f>
        <v>0</v>
      </c>
      <c r="H292" s="914"/>
      <c r="I292" s="23"/>
      <c r="J292" s="23"/>
      <c r="K292" s="304"/>
      <c r="L292" s="263">
        <f>SUM(G292:G294)</f>
        <v>0</v>
      </c>
      <c r="M292" s="26"/>
      <c r="N292" s="421"/>
      <c r="O292" s="77"/>
      <c r="P292" s="77"/>
      <c r="Q292" s="384"/>
      <c r="R292" s="422"/>
      <c r="S292" s="399"/>
      <c r="T292" s="399"/>
    </row>
    <row r="293" spans="1:20" s="81" customFormat="1" ht="15.75" hidden="1" customHeight="1" outlineLevel="1" thickBot="1">
      <c r="A293" s="910"/>
      <c r="B293" s="915"/>
      <c r="C293" s="573" t="s">
        <v>114</v>
      </c>
      <c r="D293" s="912"/>
      <c r="E293" s="579">
        <v>7.0378999999999996</v>
      </c>
      <c r="F293" s="580"/>
      <c r="G293" s="913">
        <f>ROUND(D293*E293,2)</f>
        <v>0</v>
      </c>
      <c r="H293" s="914"/>
      <c r="I293" s="261"/>
      <c r="J293" s="261"/>
      <c r="K293" s="262"/>
      <c r="L293" s="286"/>
      <c r="M293" s="90"/>
      <c r="N293" s="423"/>
      <c r="O293" s="406"/>
      <c r="P293" s="406"/>
      <c r="Q293" s="407"/>
      <c r="R293" s="422"/>
      <c r="S293" s="399"/>
      <c r="T293" s="399"/>
    </row>
    <row r="294" spans="1:20" s="81" customFormat="1" ht="15.75" hidden="1" customHeight="1" outlineLevel="1" thickBot="1">
      <c r="A294" s="910"/>
      <c r="B294" s="915"/>
      <c r="C294" s="916" t="s">
        <v>29</v>
      </c>
      <c r="D294" s="912"/>
      <c r="E294" s="917">
        <v>7.0378999999999996</v>
      </c>
      <c r="F294" s="580"/>
      <c r="G294" s="913">
        <f t="shared" ref="G294" si="58">ROUND(D294*E294,2)</f>
        <v>0</v>
      </c>
      <c r="H294" s="914"/>
      <c r="I294" s="281"/>
      <c r="J294" s="281"/>
      <c r="K294" s="282"/>
      <c r="L294" s="204"/>
      <c r="M294" s="371"/>
      <c r="N294" s="426"/>
      <c r="O294" s="416"/>
      <c r="P294" s="416"/>
      <c r="Q294" s="417"/>
      <c r="R294" s="422"/>
      <c r="S294" s="399"/>
      <c r="T294" s="399"/>
    </row>
    <row r="295" spans="1:20" s="81" customFormat="1" ht="15.75" customHeight="1" collapsed="1">
      <c r="A295" s="902">
        <v>406</v>
      </c>
      <c r="B295" s="903" t="s">
        <v>317</v>
      </c>
      <c r="C295" s="439" t="s">
        <v>260</v>
      </c>
      <c r="D295" s="904">
        <f>апр.19!D290+апр.19!D291</f>
        <v>13.03</v>
      </c>
      <c r="E295" s="23">
        <f>7.6099-7.3771</f>
        <v>0.23279999999999923</v>
      </c>
      <c r="F295" s="905"/>
      <c r="G295" s="22">
        <f>ROUND(D295*E295,2)+0.01</f>
        <v>3.0399999999999996</v>
      </c>
      <c r="H295" s="303"/>
      <c r="I295" s="261"/>
      <c r="J295" s="261"/>
      <c r="K295" s="262"/>
      <c r="L295" s="286">
        <f>SUM(G295:G297)</f>
        <v>285.29000000000002</v>
      </c>
      <c r="M295" s="90">
        <v>285.29000000000002</v>
      </c>
      <c r="N295" s="421"/>
      <c r="O295" s="77"/>
      <c r="P295" s="77"/>
      <c r="Q295" s="384"/>
      <c r="R295" s="422"/>
      <c r="S295" s="399"/>
      <c r="T295" s="399"/>
    </row>
    <row r="296" spans="1:20" s="81" customFormat="1" ht="15.75" customHeight="1">
      <c r="A296" s="468"/>
      <c r="B296" s="469"/>
      <c r="C296" s="48" t="s">
        <v>263</v>
      </c>
      <c r="D296" s="471">
        <v>0.09</v>
      </c>
      <c r="E296" s="41">
        <v>7.6098999999999997</v>
      </c>
      <c r="F296" s="473"/>
      <c r="G296" s="449">
        <f>ROUND(D296*E296,2)</f>
        <v>0.68</v>
      </c>
      <c r="H296" s="260"/>
      <c r="I296" s="261"/>
      <c r="J296" s="261"/>
      <c r="K296" s="262"/>
      <c r="L296" s="286"/>
      <c r="M296" s="90"/>
      <c r="N296" s="423"/>
      <c r="O296" s="406"/>
      <c r="P296" s="406"/>
      <c r="Q296" s="407"/>
      <c r="R296" s="422"/>
      <c r="S296" s="399"/>
      <c r="T296" s="399"/>
    </row>
    <row r="297" spans="1:20" s="81" customFormat="1" ht="15.75" customHeight="1" thickBot="1">
      <c r="A297" s="701"/>
      <c r="B297" s="702"/>
      <c r="C297" s="99" t="s">
        <v>29</v>
      </c>
      <c r="D297" s="703">
        <v>37</v>
      </c>
      <c r="E297" s="56">
        <v>7.6098999999999997</v>
      </c>
      <c r="F297" s="704"/>
      <c r="G297" s="39">
        <f t="shared" ref="G297" si="59">ROUND(D297*E297,2)</f>
        <v>281.57</v>
      </c>
      <c r="H297" s="280"/>
      <c r="I297" s="281"/>
      <c r="J297" s="281"/>
      <c r="K297" s="282"/>
      <c r="L297" s="204"/>
      <c r="M297" s="371"/>
      <c r="N297" s="426"/>
      <c r="O297" s="416"/>
      <c r="P297" s="416"/>
      <c r="Q297" s="417"/>
      <c r="R297" s="422"/>
      <c r="S297" s="399"/>
      <c r="T297" s="399"/>
    </row>
    <row r="298" spans="1:20" s="81" customFormat="1" ht="15.75" customHeight="1" collapsed="1">
      <c r="A298" s="902">
        <v>407</v>
      </c>
      <c r="B298" s="903" t="s">
        <v>160</v>
      </c>
      <c r="C298" s="439" t="s">
        <v>260</v>
      </c>
      <c r="D298" s="904">
        <f>апр.19!D293+апр.19!D294</f>
        <v>31.07</v>
      </c>
      <c r="E298" s="23">
        <f>7.6099-7.3771</f>
        <v>0.23279999999999923</v>
      </c>
      <c r="F298" s="905"/>
      <c r="G298" s="22">
        <f>ROUND(D298*E298,2)</f>
        <v>7.23</v>
      </c>
      <c r="H298" s="303"/>
      <c r="I298" s="23"/>
      <c r="J298" s="23"/>
      <c r="K298" s="304"/>
      <c r="L298" s="263">
        <f>SUM(G298:G300)</f>
        <v>136.9</v>
      </c>
      <c r="M298" s="26">
        <v>136.9</v>
      </c>
      <c r="N298" s="421"/>
      <c r="O298" s="77"/>
      <c r="P298" s="77"/>
      <c r="Q298" s="384"/>
      <c r="R298" s="422"/>
      <c r="S298" s="399"/>
      <c r="T298" s="399"/>
    </row>
    <row r="299" spans="1:20" s="81" customFormat="1" ht="15.75" customHeight="1">
      <c r="A299" s="468"/>
      <c r="B299" s="469"/>
      <c r="C299" s="48" t="s">
        <v>263</v>
      </c>
      <c r="D299" s="471">
        <v>0.04</v>
      </c>
      <c r="E299" s="41">
        <v>7.6098999999999997</v>
      </c>
      <c r="F299" s="473"/>
      <c r="G299" s="449">
        <f>ROUND(D299*E299,2)</f>
        <v>0.3</v>
      </c>
      <c r="H299" s="260"/>
      <c r="I299" s="261"/>
      <c r="J299" s="261"/>
      <c r="K299" s="262"/>
      <c r="L299" s="286"/>
      <c r="M299" s="90"/>
      <c r="N299" s="423"/>
      <c r="O299" s="406"/>
      <c r="P299" s="406"/>
      <c r="Q299" s="407"/>
      <c r="R299" s="422"/>
      <c r="S299" s="399"/>
      <c r="T299" s="399"/>
    </row>
    <row r="300" spans="1:20" s="81" customFormat="1" ht="15.75" customHeight="1" thickBot="1">
      <c r="A300" s="858"/>
      <c r="B300" s="859"/>
      <c r="C300" s="54" t="s">
        <v>29</v>
      </c>
      <c r="D300" s="860">
        <v>17</v>
      </c>
      <c r="E300" s="56">
        <v>7.6098999999999997</v>
      </c>
      <c r="F300" s="861"/>
      <c r="G300" s="414">
        <f t="shared" ref="G300" si="60">ROUND(D300*E300,2)</f>
        <v>129.37</v>
      </c>
      <c r="H300" s="280"/>
      <c r="I300" s="281"/>
      <c r="J300" s="281"/>
      <c r="K300" s="282"/>
      <c r="L300" s="204"/>
      <c r="M300" s="371"/>
      <c r="N300" s="426"/>
      <c r="O300" s="416"/>
      <c r="P300" s="416"/>
      <c r="Q300" s="417"/>
      <c r="R300" s="422"/>
      <c r="S300" s="399"/>
      <c r="T300" s="399"/>
    </row>
    <row r="301" spans="1:20" s="81" customFormat="1" ht="15.75" customHeight="1">
      <c r="A301" s="906">
        <v>408</v>
      </c>
      <c r="B301" s="903" t="s">
        <v>253</v>
      </c>
      <c r="C301" s="382" t="s">
        <v>73</v>
      </c>
      <c r="D301" s="904">
        <v>36</v>
      </c>
      <c r="E301" s="907">
        <v>41.244</v>
      </c>
      <c r="F301" s="905">
        <v>48.335999999999999</v>
      </c>
      <c r="G301" s="908">
        <f>ROUND(D301*E301+D301*F301,2)</f>
        <v>3224.88</v>
      </c>
      <c r="H301" s="303"/>
      <c r="I301" s="23"/>
      <c r="J301" s="23"/>
      <c r="K301" s="304"/>
      <c r="L301" s="263">
        <f>SUM(G301:G305)</f>
        <v>13203.58</v>
      </c>
      <c r="M301" s="877">
        <v>13203.58</v>
      </c>
      <c r="N301" s="430"/>
      <c r="O301" s="77"/>
      <c r="P301" s="77"/>
      <c r="Q301" s="384"/>
      <c r="R301" s="422"/>
      <c r="S301" s="399"/>
      <c r="T301" s="399"/>
    </row>
    <row r="302" spans="1:20" s="81" customFormat="1" ht="15.75" customHeight="1" thickBot="1">
      <c r="A302" s="909"/>
      <c r="B302" s="469"/>
      <c r="C302" s="429" t="s">
        <v>26</v>
      </c>
      <c r="D302" s="471"/>
      <c r="E302" s="876"/>
      <c r="F302" s="473"/>
      <c r="G302" s="862">
        <f>ROUND(D302*E302+D302*F302,2)</f>
        <v>0</v>
      </c>
      <c r="H302" s="270"/>
      <c r="I302" s="41"/>
      <c r="J302" s="41"/>
      <c r="K302" s="271"/>
      <c r="L302" s="272"/>
      <c r="M302" s="878"/>
      <c r="N302" s="430"/>
      <c r="O302" s="406"/>
      <c r="P302" s="406"/>
      <c r="Q302" s="407"/>
      <c r="R302" s="422"/>
      <c r="S302" s="399"/>
      <c r="T302" s="399"/>
    </row>
    <row r="303" spans="1:20" s="81" customFormat="1" ht="15.75" customHeight="1">
      <c r="A303" s="468"/>
      <c r="B303" s="699"/>
      <c r="C303" s="48" t="s">
        <v>260</v>
      </c>
      <c r="D303" s="471">
        <f>апр.19!D298+апр.19!D299</f>
        <v>1249.99</v>
      </c>
      <c r="E303" s="41">
        <f>7.6099-7.3771</f>
        <v>0.23279999999999923</v>
      </c>
      <c r="F303" s="473"/>
      <c r="G303" s="862">
        <f>ROUND(D303*E303,2)</f>
        <v>291</v>
      </c>
      <c r="H303" s="270"/>
      <c r="I303" s="41"/>
      <c r="J303" s="41"/>
      <c r="K303" s="271"/>
      <c r="L303" s="272"/>
      <c r="M303" s="878"/>
      <c r="N303" s="421"/>
      <c r="O303" s="406"/>
      <c r="P303" s="406"/>
      <c r="Q303" s="407"/>
      <c r="R303" s="422"/>
      <c r="S303" s="399"/>
      <c r="T303" s="399"/>
    </row>
    <row r="304" spans="1:20" s="81" customFormat="1" ht="15.75" customHeight="1">
      <c r="A304" s="468"/>
      <c r="B304" s="469"/>
      <c r="C304" s="48" t="s">
        <v>263</v>
      </c>
      <c r="D304" s="471">
        <f>2.85+0.19</f>
        <v>3.04</v>
      </c>
      <c r="E304" s="41">
        <v>7.6098999999999997</v>
      </c>
      <c r="F304" s="473"/>
      <c r="G304" s="862">
        <f>ROUND(D304*E304,2)</f>
        <v>23.13</v>
      </c>
      <c r="H304" s="270"/>
      <c r="I304" s="41"/>
      <c r="J304" s="41"/>
      <c r="K304" s="271"/>
      <c r="L304" s="272"/>
      <c r="M304" s="878"/>
      <c r="N304" s="423"/>
      <c r="O304" s="406"/>
      <c r="P304" s="406"/>
      <c r="Q304" s="407"/>
      <c r="R304" s="422"/>
      <c r="S304" s="399"/>
      <c r="T304" s="399"/>
    </row>
    <row r="305" spans="1:20" s="81" customFormat="1" ht="15.75" customHeight="1" thickBot="1">
      <c r="A305" s="858"/>
      <c r="B305" s="859"/>
      <c r="C305" s="54" t="s">
        <v>29</v>
      </c>
      <c r="D305" s="860">
        <f>1189+81</f>
        <v>1270</v>
      </c>
      <c r="E305" s="56">
        <v>7.6098999999999997</v>
      </c>
      <c r="F305" s="861"/>
      <c r="G305" s="866">
        <f t="shared" ref="G305" si="61">ROUND(D305*E305,2)</f>
        <v>9664.57</v>
      </c>
      <c r="H305" s="280"/>
      <c r="I305" s="281"/>
      <c r="J305" s="281"/>
      <c r="K305" s="282"/>
      <c r="L305" s="204"/>
      <c r="M305" s="880"/>
      <c r="N305" s="426"/>
      <c r="O305" s="416"/>
      <c r="P305" s="416"/>
      <c r="Q305" s="417"/>
      <c r="R305" s="422"/>
      <c r="S305" s="399"/>
      <c r="T305" s="399"/>
    </row>
    <row r="306" spans="1:20" s="81" customFormat="1" ht="15" hidden="1" customHeight="1">
      <c r="A306" s="437">
        <v>129</v>
      </c>
      <c r="B306" s="438" t="s">
        <v>38</v>
      </c>
      <c r="C306" s="439"/>
      <c r="D306" s="378"/>
      <c r="E306" s="23"/>
      <c r="F306" s="23"/>
      <c r="G306" s="22"/>
      <c r="H306" s="303"/>
      <c r="I306" s="23"/>
      <c r="J306" s="23"/>
      <c r="K306" s="304"/>
      <c r="L306" s="382">
        <f>+SUM(G306:G309,J306:J309)</f>
        <v>0</v>
      </c>
      <c r="M306" s="26"/>
      <c r="N306" s="421"/>
      <c r="O306" s="77"/>
      <c r="P306" s="77"/>
      <c r="Q306" s="384">
        <f>+L306-M306</f>
        <v>0</v>
      </c>
      <c r="R306" s="899"/>
      <c r="S306" s="399"/>
      <c r="T306" s="399"/>
    </row>
    <row r="307" spans="1:20" s="81" customFormat="1" ht="15" hidden="1" customHeight="1">
      <c r="A307" s="441"/>
      <c r="B307" s="442" t="s">
        <v>198</v>
      </c>
      <c r="C307" s="48" t="s">
        <v>118</v>
      </c>
      <c r="D307" s="37"/>
      <c r="E307" s="41">
        <f>6.8416-6.7432</f>
        <v>9.8399999999999821E-2</v>
      </c>
      <c r="F307" s="41"/>
      <c r="G307" s="39">
        <f>ROUND(D307*E307,2)</f>
        <v>0</v>
      </c>
      <c r="H307" s="260"/>
      <c r="I307" s="261"/>
      <c r="J307" s="261"/>
      <c r="K307" s="262"/>
      <c r="L307" s="394"/>
      <c r="M307" s="90"/>
      <c r="N307" s="443"/>
      <c r="O307" s="94"/>
      <c r="P307" s="94"/>
      <c r="Q307" s="396"/>
      <c r="R307" s="899"/>
      <c r="S307" s="399"/>
      <c r="T307" s="399"/>
    </row>
    <row r="308" spans="1:20" s="81" customFormat="1" ht="15.75" hidden="1" thickBot="1">
      <c r="A308" s="441"/>
      <c r="B308" s="444"/>
      <c r="C308" s="48" t="s">
        <v>119</v>
      </c>
      <c r="D308" s="37"/>
      <c r="E308" s="41">
        <v>6.8415999999999997</v>
      </c>
      <c r="F308" s="41"/>
      <c r="G308" s="39">
        <f t="shared" ref="G308:G309" si="62">ROUND(D308*E308,2)</f>
        <v>0</v>
      </c>
      <c r="H308" s="432"/>
      <c r="I308" s="207"/>
      <c r="J308" s="207"/>
      <c r="K308" s="362"/>
      <c r="L308" s="433"/>
      <c r="M308" s="63"/>
      <c r="N308" s="423"/>
      <c r="O308" s="406"/>
      <c r="P308" s="406"/>
      <c r="Q308" s="407"/>
      <c r="R308" s="899"/>
      <c r="S308" s="399"/>
      <c r="T308" s="399"/>
    </row>
    <row r="309" spans="1:20" s="81" customFormat="1" ht="15" hidden="1" customHeight="1" thickBot="1">
      <c r="A309" s="445"/>
      <c r="B309" s="446"/>
      <c r="C309" s="99" t="s">
        <v>29</v>
      </c>
      <c r="D309" s="413"/>
      <c r="E309" s="56">
        <v>6.8415999999999997</v>
      </c>
      <c r="F309" s="281"/>
      <c r="G309" s="414">
        <f t="shared" si="62"/>
        <v>0</v>
      </c>
      <c r="H309" s="280"/>
      <c r="I309" s="281"/>
      <c r="J309" s="281"/>
      <c r="K309" s="282"/>
      <c r="L309" s="204"/>
      <c r="M309" s="371"/>
      <c r="N309" s="434"/>
      <c r="O309" s="435"/>
      <c r="P309" s="435"/>
      <c r="Q309" s="425"/>
      <c r="R309" s="899"/>
      <c r="S309" s="399"/>
      <c r="T309" s="399"/>
    </row>
    <row r="310" spans="1:20" s="81" customFormat="1" ht="15.75" hidden="1" customHeight="1">
      <c r="A310" s="902">
        <v>118</v>
      </c>
      <c r="B310" s="924" t="s">
        <v>200</v>
      </c>
      <c r="C310" s="390" t="s">
        <v>73</v>
      </c>
      <c r="D310" s="869"/>
      <c r="E310" s="86">
        <v>36.214199999999998</v>
      </c>
      <c r="F310" s="86">
        <v>42.4328</v>
      </c>
      <c r="G310" s="449">
        <f>+D310*(E310+F310)</f>
        <v>0</v>
      </c>
      <c r="H310" s="260"/>
      <c r="I310" s="392"/>
      <c r="J310" s="41"/>
      <c r="K310" s="870"/>
      <c r="L310" s="286">
        <f>SUM(G310:G314,J310:J314)</f>
        <v>0</v>
      </c>
      <c r="M310" s="90"/>
      <c r="N310" s="443"/>
      <c r="O310" s="94"/>
      <c r="P310" s="94"/>
      <c r="Q310" s="396"/>
      <c r="R310" s="422"/>
      <c r="S310" s="399"/>
      <c r="T310" s="399"/>
    </row>
    <row r="311" spans="1:20" s="81" customFormat="1" ht="15.75" hidden="1" customHeight="1">
      <c r="A311" s="468"/>
      <c r="B311" s="920"/>
      <c r="C311" s="36" t="s">
        <v>26</v>
      </c>
      <c r="D311" s="37"/>
      <c r="E311" s="38"/>
      <c r="F311" s="38"/>
      <c r="G311" s="39">
        <f>ROUND(D311*(E311+F311),2)</f>
        <v>0</v>
      </c>
      <c r="H311" s="457"/>
      <c r="I311" s="392"/>
      <c r="J311" s="41"/>
      <c r="K311" s="393"/>
      <c r="L311" s="459"/>
      <c r="M311" s="44"/>
      <c r="N311" s="430"/>
      <c r="O311" s="406"/>
      <c r="P311" s="406"/>
      <c r="Q311" s="407"/>
      <c r="R311" s="422"/>
      <c r="S311" s="399"/>
      <c r="T311" s="399"/>
    </row>
    <row r="312" spans="1:20" s="81" customFormat="1" ht="15.75" hidden="1" customHeight="1">
      <c r="A312" s="468"/>
      <c r="B312" s="920"/>
      <c r="C312" s="48" t="s">
        <v>124</v>
      </c>
      <c r="D312" s="37"/>
      <c r="E312" s="41"/>
      <c r="F312" s="38"/>
      <c r="G312" s="39">
        <f>ROUND(D312*(E312),2)</f>
        <v>0</v>
      </c>
      <c r="H312" s="270"/>
      <c r="I312" s="41"/>
      <c r="J312" s="41"/>
      <c r="K312" s="271"/>
      <c r="L312" s="272"/>
      <c r="M312" s="102"/>
      <c r="N312" s="430"/>
      <c r="O312" s="406"/>
      <c r="P312" s="406"/>
      <c r="Q312" s="407"/>
      <c r="R312" s="422"/>
      <c r="S312" s="399"/>
      <c r="T312" s="399"/>
    </row>
    <row r="313" spans="1:20" s="81" customFormat="1" ht="15.75" hidden="1" customHeight="1">
      <c r="A313" s="468"/>
      <c r="B313" s="920"/>
      <c r="C313" s="48" t="s">
        <v>125</v>
      </c>
      <c r="D313" s="37"/>
      <c r="E313" s="41">
        <v>6.7431999999999999</v>
      </c>
      <c r="F313" s="38"/>
      <c r="G313" s="39">
        <f>ROUND(D313*(E313),2)</f>
        <v>0</v>
      </c>
      <c r="H313" s="270"/>
      <c r="I313" s="41"/>
      <c r="J313" s="41"/>
      <c r="K313" s="271"/>
      <c r="L313" s="272"/>
      <c r="M313" s="102"/>
      <c r="N313" s="434"/>
      <c r="O313" s="435"/>
      <c r="P313" s="435"/>
      <c r="Q313" s="425"/>
      <c r="R313" s="422"/>
      <c r="S313" s="399"/>
      <c r="T313" s="399"/>
    </row>
    <row r="314" spans="1:20" s="81" customFormat="1" ht="15.75" hidden="1" customHeight="1" thickBot="1">
      <c r="A314" s="858"/>
      <c r="B314" s="921"/>
      <c r="C314" s="54" t="s">
        <v>29</v>
      </c>
      <c r="D314" s="413"/>
      <c r="E314" s="56">
        <v>6.7431999999999999</v>
      </c>
      <c r="F314" s="281"/>
      <c r="G314" s="414">
        <f>ROUND(D314*(E314),2)</f>
        <v>0</v>
      </c>
      <c r="H314" s="280"/>
      <c r="I314" s="281"/>
      <c r="J314" s="281"/>
      <c r="K314" s="282"/>
      <c r="L314" s="204"/>
      <c r="M314" s="371"/>
      <c r="N314" s="426"/>
      <c r="O314" s="416"/>
      <c r="P314" s="416"/>
      <c r="Q314" s="417"/>
      <c r="R314" s="422"/>
      <c r="S314" s="399"/>
      <c r="T314" s="399"/>
    </row>
    <row r="315" spans="1:20" s="81" customFormat="1" ht="15.75" customHeight="1">
      <c r="A315" s="902" t="s">
        <v>258</v>
      </c>
      <c r="B315" s="903" t="s">
        <v>265</v>
      </c>
      <c r="C315" s="439" t="s">
        <v>260</v>
      </c>
      <c r="D315" s="904">
        <f>апр.19!D310+апр.19!D311</f>
        <v>454.09</v>
      </c>
      <c r="E315" s="23">
        <f>7.6099-7.3771</f>
        <v>0.23279999999999923</v>
      </c>
      <c r="F315" s="905"/>
      <c r="G315" s="22">
        <f>ROUND(D315*E315,2)</f>
        <v>105.71</v>
      </c>
      <c r="H315" s="303"/>
      <c r="I315" s="23"/>
      <c r="J315" s="23"/>
      <c r="K315" s="304"/>
      <c r="L315" s="263">
        <f>SUM(G315:G317)</f>
        <v>2890.02</v>
      </c>
      <c r="M315" s="26">
        <v>2890.02</v>
      </c>
      <c r="N315" s="421"/>
      <c r="O315" s="77"/>
      <c r="P315" s="77"/>
      <c r="Q315" s="384"/>
      <c r="R315" s="422"/>
      <c r="S315" s="399"/>
      <c r="T315" s="399"/>
    </row>
    <row r="316" spans="1:20" s="81" customFormat="1" ht="15.75" customHeight="1">
      <c r="A316" s="468"/>
      <c r="B316" s="469"/>
      <c r="C316" s="48" t="s">
        <v>263</v>
      </c>
      <c r="D316" s="471">
        <v>0.88</v>
      </c>
      <c r="E316" s="41">
        <v>7.6098999999999997</v>
      </c>
      <c r="F316" s="473"/>
      <c r="G316" s="449">
        <f>ROUND(D316*E316,2)</f>
        <v>6.7</v>
      </c>
      <c r="H316" s="260"/>
      <c r="I316" s="261"/>
      <c r="J316" s="261"/>
      <c r="K316" s="262"/>
      <c r="L316" s="286"/>
      <c r="M316" s="90"/>
      <c r="N316" s="423"/>
      <c r="O316" s="406"/>
      <c r="P316" s="406"/>
      <c r="Q316" s="407"/>
      <c r="R316" s="422"/>
      <c r="S316" s="399"/>
      <c r="T316" s="399"/>
    </row>
    <row r="317" spans="1:20" s="81" customFormat="1" ht="15.75" customHeight="1" thickBot="1">
      <c r="A317" s="858"/>
      <c r="B317" s="859"/>
      <c r="C317" s="54" t="s">
        <v>29</v>
      </c>
      <c r="D317" s="860">
        <v>365</v>
      </c>
      <c r="E317" s="56">
        <v>7.6098999999999997</v>
      </c>
      <c r="F317" s="861"/>
      <c r="G317" s="414">
        <f t="shared" ref="G317" si="63">ROUND(D317*E317,2)</f>
        <v>2777.61</v>
      </c>
      <c r="H317" s="280"/>
      <c r="I317" s="281"/>
      <c r="J317" s="281"/>
      <c r="K317" s="282"/>
      <c r="L317" s="204"/>
      <c r="M317" s="371"/>
      <c r="N317" s="426"/>
      <c r="O317" s="416"/>
      <c r="P317" s="416"/>
      <c r="Q317" s="417"/>
      <c r="R317" s="422"/>
      <c r="S317" s="399"/>
      <c r="T317" s="399"/>
    </row>
    <row r="318" spans="1:20" s="81" customFormat="1" ht="15.75" customHeight="1">
      <c r="A318" s="902" t="s">
        <v>258</v>
      </c>
      <c r="B318" s="903" t="s">
        <v>267</v>
      </c>
      <c r="C318" s="439" t="s">
        <v>260</v>
      </c>
      <c r="D318" s="904">
        <f>апр.19!D313+апр.19!D314</f>
        <v>208.5</v>
      </c>
      <c r="E318" s="23">
        <f>7.6099-7.3771</f>
        <v>0.23279999999999923</v>
      </c>
      <c r="F318" s="905"/>
      <c r="G318" s="22">
        <f>ROUND(D318*E318,2)-0.01</f>
        <v>48.53</v>
      </c>
      <c r="H318" s="303"/>
      <c r="I318" s="23"/>
      <c r="J318" s="23"/>
      <c r="K318" s="304"/>
      <c r="L318" s="263">
        <f>SUM(G318:G320)</f>
        <v>1040.18</v>
      </c>
      <c r="M318" s="26">
        <v>1040.18</v>
      </c>
      <c r="N318" s="421"/>
      <c r="O318" s="1561"/>
      <c r="P318" s="1562"/>
      <c r="Q318" s="1563"/>
      <c r="R318" s="422"/>
      <c r="S318" s="399"/>
      <c r="T318" s="399"/>
    </row>
    <row r="319" spans="1:20" s="81" customFormat="1" ht="15.75" customHeight="1">
      <c r="A319" s="468"/>
      <c r="B319" s="469"/>
      <c r="C319" s="48" t="s">
        <v>263</v>
      </c>
      <c r="D319" s="471">
        <v>0.31</v>
      </c>
      <c r="E319" s="41">
        <v>7.6098999999999997</v>
      </c>
      <c r="F319" s="473"/>
      <c r="G319" s="449">
        <f>ROUND(D319*E319,2)</f>
        <v>2.36</v>
      </c>
      <c r="H319" s="260"/>
      <c r="I319" s="261"/>
      <c r="J319" s="261"/>
      <c r="K319" s="262"/>
      <c r="L319" s="286"/>
      <c r="M319" s="90"/>
      <c r="N319" s="423"/>
      <c r="O319" s="406"/>
      <c r="P319" s="406"/>
      <c r="Q319" s="407"/>
      <c r="R319" s="422"/>
      <c r="S319" s="399"/>
      <c r="T319" s="399"/>
    </row>
    <row r="320" spans="1:20" s="81" customFormat="1" ht="15.75" customHeight="1" thickBot="1">
      <c r="A320" s="858"/>
      <c r="B320" s="859"/>
      <c r="C320" s="54" t="s">
        <v>29</v>
      </c>
      <c r="D320" s="860">
        <v>130</v>
      </c>
      <c r="E320" s="56">
        <v>7.6098999999999997</v>
      </c>
      <c r="F320" s="861"/>
      <c r="G320" s="414">
        <f t="shared" ref="G320" si="64">ROUND(D320*E320,2)</f>
        <v>989.29</v>
      </c>
      <c r="H320" s="280"/>
      <c r="I320" s="281"/>
      <c r="J320" s="281"/>
      <c r="K320" s="282"/>
      <c r="L320" s="204"/>
      <c r="M320" s="371"/>
      <c r="N320" s="426"/>
      <c r="O320" s="416"/>
      <c r="P320" s="416"/>
      <c r="Q320" s="417"/>
      <c r="R320" s="422"/>
      <c r="S320" s="399"/>
      <c r="T320" s="399"/>
    </row>
    <row r="321" spans="1:21" s="81" customFormat="1" ht="15.75" customHeight="1">
      <c r="A321" s="926"/>
      <c r="B321" s="927"/>
      <c r="C321" s="928"/>
      <c r="D321" s="904"/>
      <c r="E321" s="929"/>
      <c r="F321" s="905"/>
      <c r="G321" s="930"/>
      <c r="H321" s="905"/>
      <c r="I321" s="905"/>
      <c r="J321" s="905"/>
      <c r="K321" s="905"/>
      <c r="L321" s="905"/>
      <c r="M321" s="931"/>
      <c r="N321" s="387"/>
      <c r="O321" s="387"/>
      <c r="P321" s="387"/>
      <c r="Q321" s="387"/>
      <c r="R321" s="422"/>
      <c r="S321" s="399"/>
      <c r="T321" s="399"/>
    </row>
    <row r="322" spans="1:21" s="81" customFormat="1" ht="15" customHeight="1">
      <c r="A322" s="686"/>
      <c r="B322" s="469"/>
      <c r="C322" s="932"/>
      <c r="D322" s="471"/>
      <c r="E322" s="473"/>
      <c r="F322" s="473"/>
      <c r="G322" s="474"/>
      <c r="H322" s="473"/>
      <c r="I322" s="473"/>
      <c r="J322" s="473"/>
      <c r="K322" s="473"/>
      <c r="L322" s="473"/>
      <c r="M322" s="470"/>
      <c r="N322" s="399"/>
      <c r="O322" s="399"/>
      <c r="P322" s="399"/>
      <c r="Q322" s="399"/>
      <c r="R322" s="422"/>
      <c r="S322" s="399"/>
      <c r="T322" s="399"/>
    </row>
    <row r="323" spans="1:21" ht="21.75" thickBot="1">
      <c r="A323" s="171" t="s">
        <v>84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  <c r="N323" s="2"/>
      <c r="O323" s="2"/>
      <c r="P323" s="2"/>
      <c r="Q323" s="2"/>
      <c r="R323" s="2"/>
      <c r="S323" s="2"/>
      <c r="T323" s="2"/>
    </row>
    <row r="324" spans="1:21" ht="15.75" customHeight="1" thickTop="1" thickBot="1">
      <c r="A324" s="1540" t="s">
        <v>1</v>
      </c>
      <c r="B324" s="1542" t="s">
        <v>2</v>
      </c>
      <c r="C324" s="1544" t="s">
        <v>3</v>
      </c>
      <c r="D324" s="1546" t="s">
        <v>4</v>
      </c>
      <c r="E324" s="1546"/>
      <c r="F324" s="1546"/>
      <c r="G324" s="1546"/>
      <c r="H324" s="1547" t="s">
        <v>5</v>
      </c>
      <c r="I324" s="1548"/>
      <c r="J324" s="1548"/>
      <c r="K324" s="1549"/>
      <c r="L324" s="1524" t="s">
        <v>6</v>
      </c>
      <c r="M324" s="1511" t="s">
        <v>7</v>
      </c>
      <c r="N324" s="1551" t="s">
        <v>8</v>
      </c>
      <c r="O324" s="1551"/>
      <c r="P324" s="1551"/>
      <c r="Q324" s="1552" t="s">
        <v>18</v>
      </c>
      <c r="R324" s="481" t="s">
        <v>85</v>
      </c>
      <c r="S324" s="482" t="s">
        <v>20</v>
      </c>
      <c r="T324" s="482" t="s">
        <v>21</v>
      </c>
    </row>
    <row r="325" spans="1:21" ht="40.5" customHeight="1" thickTop="1" thickBot="1">
      <c r="A325" s="1541"/>
      <c r="B325" s="1543"/>
      <c r="C325" s="1545" t="s">
        <v>10</v>
      </c>
      <c r="D325" s="483" t="s">
        <v>11</v>
      </c>
      <c r="E325" s="484" t="s">
        <v>12</v>
      </c>
      <c r="F325" s="484" t="s">
        <v>13</v>
      </c>
      <c r="G325" s="485" t="s">
        <v>14</v>
      </c>
      <c r="H325" s="483" t="s">
        <v>11</v>
      </c>
      <c r="I325" s="486" t="s">
        <v>15</v>
      </c>
      <c r="J325" s="485"/>
      <c r="K325" s="487" t="s">
        <v>16</v>
      </c>
      <c r="L325" s="1525"/>
      <c r="M325" s="1550"/>
      <c r="N325" s="488" t="s">
        <v>14</v>
      </c>
      <c r="O325" s="485"/>
      <c r="P325" s="489" t="s">
        <v>18</v>
      </c>
      <c r="Q325" s="490" t="s">
        <v>19</v>
      </c>
      <c r="R325" s="491"/>
      <c r="S325" s="492"/>
      <c r="T325" s="492"/>
    </row>
    <row r="326" spans="1:21">
      <c r="A326" s="961" t="s">
        <v>228</v>
      </c>
      <c r="B326" s="602" t="s">
        <v>186</v>
      </c>
      <c r="C326" s="439" t="s">
        <v>260</v>
      </c>
      <c r="D326" s="184">
        <f>апр.19!D321+апр.19!D322</f>
        <v>250.63</v>
      </c>
      <c r="E326" s="41">
        <f>7.4271-7.1994</f>
        <v>0.22770000000000046</v>
      </c>
      <c r="F326" s="23"/>
      <c r="G326" s="185">
        <f>ROUND(D326*(E326),2)-0.02</f>
        <v>57.05</v>
      </c>
      <c r="H326" s="620"/>
      <c r="I326" s="620"/>
      <c r="J326" s="620"/>
      <c r="K326" s="1022"/>
      <c r="L326" s="498">
        <f>SUM(G326:G328)</f>
        <v>1158.42</v>
      </c>
      <c r="M326" s="187">
        <v>1158.42</v>
      </c>
      <c r="N326" s="615"/>
      <c r="O326" s="615"/>
      <c r="P326" s="615"/>
      <c r="Q326" s="615"/>
    </row>
    <row r="327" spans="1:21">
      <c r="A327" s="934"/>
      <c r="B327" s="506"/>
      <c r="C327" s="48" t="s">
        <v>263</v>
      </c>
      <c r="D327" s="49">
        <v>6.29</v>
      </c>
      <c r="E327" s="41">
        <v>7.4271000000000003</v>
      </c>
      <c r="F327" s="41">
        <f>+E327</f>
        <v>7.4271000000000003</v>
      </c>
      <c r="G327" s="50">
        <f>ROUND(D327*(E327),2)</f>
        <v>46.72</v>
      </c>
      <c r="H327" s="296"/>
      <c r="I327" s="298"/>
      <c r="J327" s="298"/>
      <c r="K327" s="1021"/>
      <c r="L327" s="606"/>
      <c r="M327" s="935"/>
      <c r="N327" s="615"/>
      <c r="O327" s="615"/>
      <c r="P327" s="615"/>
      <c r="Q327" s="615"/>
    </row>
    <row r="328" spans="1:21" ht="15.75" thickBot="1">
      <c r="A328" s="934"/>
      <c r="B328" s="506"/>
      <c r="C328" s="54" t="s">
        <v>29</v>
      </c>
      <c r="D328" s="296">
        <v>142</v>
      </c>
      <c r="E328" s="56">
        <v>7.4271000000000003</v>
      </c>
      <c r="F328" s="41">
        <f>+E328</f>
        <v>7.4271000000000003</v>
      </c>
      <c r="G328" s="50">
        <f t="shared" ref="G328" si="65">ROUND(D328*(E328),2)</f>
        <v>1054.6500000000001</v>
      </c>
      <c r="H328" s="296"/>
      <c r="I328" s="298"/>
      <c r="J328" s="298"/>
      <c r="K328" s="1021"/>
      <c r="L328" s="614"/>
      <c r="M328" s="935"/>
      <c r="N328" s="615"/>
      <c r="O328" s="615"/>
      <c r="P328" s="615"/>
      <c r="Q328" s="615"/>
    </row>
    <row r="329" spans="1:21">
      <c r="A329" s="961" t="s">
        <v>207</v>
      </c>
      <c r="B329" s="602" t="s">
        <v>184</v>
      </c>
      <c r="C329" s="439" t="s">
        <v>260</v>
      </c>
      <c r="D329" s="184">
        <v>0</v>
      </c>
      <c r="E329" s="41">
        <f>7.4271-7.1994</f>
        <v>0.22770000000000046</v>
      </c>
      <c r="F329" s="23">
        <f>+E329</f>
        <v>0.22770000000000046</v>
      </c>
      <c r="G329" s="185">
        <f>ROUND(D329*(E329),2)</f>
        <v>0</v>
      </c>
      <c r="H329" s="620"/>
      <c r="I329" s="620"/>
      <c r="J329" s="620"/>
      <c r="K329" s="1022"/>
      <c r="L329" s="498">
        <f>SUM(G329:G331)</f>
        <v>0</v>
      </c>
      <c r="M329" s="187"/>
      <c r="N329" s="615"/>
      <c r="O329" s="962" t="s">
        <v>277</v>
      </c>
      <c r="P329" s="615"/>
      <c r="Q329" s="615"/>
    </row>
    <row r="330" spans="1:21">
      <c r="A330" s="934"/>
      <c r="B330" s="506"/>
      <c r="C330" s="48" t="s">
        <v>263</v>
      </c>
      <c r="D330" s="49">
        <v>0</v>
      </c>
      <c r="E330" s="41">
        <v>7.4271000000000003</v>
      </c>
      <c r="F330" s="41">
        <f>+E330</f>
        <v>7.4271000000000003</v>
      </c>
      <c r="G330" s="50">
        <f>ROUND(D330*(E330),2)</f>
        <v>0</v>
      </c>
      <c r="H330" s="296"/>
      <c r="I330" s="298"/>
      <c r="J330" s="298"/>
      <c r="K330" s="1021"/>
      <c r="L330" s="606"/>
      <c r="M330" s="935"/>
      <c r="N330" s="615"/>
      <c r="O330" s="615"/>
      <c r="P330" s="615"/>
      <c r="Q330" s="615"/>
    </row>
    <row r="331" spans="1:21" ht="15.75" thickBot="1">
      <c r="A331" s="934"/>
      <c r="B331" s="506"/>
      <c r="C331" s="54" t="s">
        <v>29</v>
      </c>
      <c r="D331" s="296">
        <v>0</v>
      </c>
      <c r="E331" s="56">
        <v>7.4271000000000003</v>
      </c>
      <c r="F331" s="41">
        <f>+E331</f>
        <v>7.4271000000000003</v>
      </c>
      <c r="G331" s="50">
        <f t="shared" ref="G331" si="66">ROUND(D331*(E331),2)</f>
        <v>0</v>
      </c>
      <c r="H331" s="296"/>
      <c r="I331" s="298"/>
      <c r="J331" s="298"/>
      <c r="K331" s="1021"/>
      <c r="L331" s="614"/>
      <c r="M331" s="935"/>
      <c r="N331" s="615"/>
      <c r="O331" s="615"/>
      <c r="P331" s="615"/>
      <c r="Q331" s="615"/>
    </row>
    <row r="332" spans="1:21" ht="16.5" hidden="1" thickTop="1" thickBot="1">
      <c r="A332" s="376">
        <v>100</v>
      </c>
      <c r="B332" s="494" t="s">
        <v>193</v>
      </c>
      <c r="C332" s="71" t="s">
        <v>243</v>
      </c>
      <c r="D332" s="495"/>
      <c r="E332" s="21">
        <v>40.556600000000003</v>
      </c>
      <c r="F332" s="21">
        <v>47.5304</v>
      </c>
      <c r="G332" s="185">
        <f>ROUND(D332*(E332+F332),2)</f>
        <v>0</v>
      </c>
      <c r="H332" s="496"/>
      <c r="I332" s="73"/>
      <c r="J332" s="73"/>
      <c r="K332" s="1022"/>
      <c r="L332" s="498">
        <f>SUM(G332:G339)+SUM(J332:J338)</f>
        <v>0</v>
      </c>
      <c r="M332" s="26"/>
      <c r="N332" s="499"/>
      <c r="O332" s="500"/>
      <c r="P332" s="501" t="s">
        <v>87</v>
      </c>
      <c r="Q332" s="595" t="e">
        <f t="shared" ref="Q332" si="67">C332+G332+J332-M332-N332-O332</f>
        <v>#VALUE!</v>
      </c>
    </row>
    <row r="333" spans="1:21" ht="15.75" hidden="1" thickBot="1">
      <c r="A333" s="389"/>
      <c r="B333" s="999" t="s">
        <v>302</v>
      </c>
      <c r="C333" s="507" t="s">
        <v>96</v>
      </c>
      <c r="D333" s="234"/>
      <c r="E333" s="38"/>
      <c r="F333" s="38"/>
      <c r="G333" s="235">
        <f>ROUND(D333*(E333+F333),2)</f>
        <v>0</v>
      </c>
      <c r="H333" s="448"/>
      <c r="I333" s="509"/>
      <c r="J333" s="199"/>
      <c r="K333" s="1023"/>
      <c r="L333" s="511"/>
      <c r="M333" s="512"/>
      <c r="N333" s="513"/>
      <c r="O333" s="514"/>
      <c r="P333" s="515"/>
      <c r="Q333" s="262"/>
      <c r="U333" s="33"/>
    </row>
    <row r="334" spans="1:21" ht="15.75" hidden="1" thickBot="1">
      <c r="A334" s="389"/>
      <c r="B334" s="516" t="s">
        <v>89</v>
      </c>
      <c r="C334" s="512" t="s">
        <v>90</v>
      </c>
      <c r="D334" s="508"/>
      <c r="E334" s="101"/>
      <c r="F334" s="38">
        <v>47.5304</v>
      </c>
      <c r="G334" s="50">
        <f>ROUND(D334*(E334+F334),2)</f>
        <v>0</v>
      </c>
      <c r="H334" s="270"/>
      <c r="I334" s="41"/>
      <c r="J334" s="207"/>
      <c r="K334" s="1023"/>
      <c r="L334" s="517"/>
      <c r="M334" s="99"/>
      <c r="N334" s="518"/>
      <c r="O334" s="519"/>
      <c r="P334" s="515" t="s">
        <v>87</v>
      </c>
      <c r="Q334" s="271">
        <f>+G334+J334-M334-N334-O334</f>
        <v>0</v>
      </c>
    </row>
    <row r="335" spans="1:21" ht="15.75" hidden="1" thickBot="1">
      <c r="A335" s="389"/>
      <c r="B335" s="541"/>
      <c r="C335" s="84" t="s">
        <v>97</v>
      </c>
      <c r="D335" s="508"/>
      <c r="E335" s="41"/>
      <c r="F335" s="38"/>
      <c r="G335" s="50">
        <f>ROUND(D335*(E335+F335),2)</f>
        <v>0</v>
      </c>
      <c r="H335" s="432"/>
      <c r="I335" s="362"/>
      <c r="J335" s="207"/>
      <c r="K335" s="1023"/>
      <c r="L335" s="517"/>
      <c r="M335" s="520"/>
      <c r="N335" s="521"/>
      <c r="O335" s="522"/>
      <c r="P335" s="523"/>
      <c r="Q335" s="362"/>
    </row>
    <row r="336" spans="1:21" ht="15.75" hidden="1" thickBot="1">
      <c r="A336" s="389"/>
      <c r="B336" s="1033" t="s">
        <v>194</v>
      </c>
      <c r="C336" s="84"/>
      <c r="D336" s="508"/>
      <c r="E336" s="41"/>
      <c r="F336" s="41"/>
      <c r="G336" s="50"/>
      <c r="H336" s="432"/>
      <c r="I336" s="362"/>
      <c r="J336" s="207"/>
      <c r="K336" s="1023"/>
      <c r="L336" s="517"/>
      <c r="M336" s="520"/>
      <c r="N336" s="521"/>
      <c r="O336" s="522"/>
      <c r="P336" s="523"/>
      <c r="Q336" s="362"/>
    </row>
    <row r="337" spans="1:21" ht="15.75" hidden="1" thickBot="1">
      <c r="A337" s="389"/>
      <c r="B337" s="506"/>
      <c r="C337" s="48" t="s">
        <v>260</v>
      </c>
      <c r="D337" s="37"/>
      <c r="E337" s="41"/>
      <c r="F337" s="41">
        <f>+E337</f>
        <v>0</v>
      </c>
      <c r="G337" s="39">
        <f>ROUND(D337*E337,2)</f>
        <v>0</v>
      </c>
      <c r="H337" s="432"/>
      <c r="I337" s="362"/>
      <c r="J337" s="207"/>
      <c r="K337" s="1023"/>
      <c r="L337" s="517"/>
      <c r="M337" s="520"/>
      <c r="N337" s="521"/>
      <c r="O337" s="522"/>
      <c r="P337" s="523"/>
      <c r="Q337" s="362"/>
    </row>
    <row r="338" spans="1:21" ht="15.75" hidden="1" thickBot="1">
      <c r="A338" s="389"/>
      <c r="B338" s="506"/>
      <c r="C338" s="48" t="s">
        <v>263</v>
      </c>
      <c r="D338" s="37"/>
      <c r="E338" s="41">
        <v>6.7838000000000003</v>
      </c>
      <c r="F338" s="41">
        <f>+E338</f>
        <v>6.7838000000000003</v>
      </c>
      <c r="G338" s="39">
        <f>ROUND(D338*E338,2)</f>
        <v>0</v>
      </c>
      <c r="H338" s="432"/>
      <c r="I338" s="362"/>
      <c r="J338" s="207"/>
      <c r="K338" s="1023"/>
      <c r="L338" s="517"/>
      <c r="M338" s="520"/>
      <c r="N338" s="521"/>
      <c r="O338" s="522"/>
      <c r="P338" s="523"/>
      <c r="Q338" s="362"/>
      <c r="U338" s="33"/>
    </row>
    <row r="339" spans="1:21" ht="15.75" hidden="1" thickBot="1">
      <c r="A339" s="411"/>
      <c r="B339" s="526"/>
      <c r="C339" s="99" t="s">
        <v>29</v>
      </c>
      <c r="D339" s="55"/>
      <c r="E339" s="1012">
        <v>6.7838000000000003</v>
      </c>
      <c r="F339" s="281">
        <f>+E339</f>
        <v>6.7838000000000003</v>
      </c>
      <c r="G339" s="58">
        <f>ROUND(D339*E339,2)</f>
        <v>0</v>
      </c>
      <c r="H339" s="248"/>
      <c r="I339" s="203"/>
      <c r="J339" s="60"/>
      <c r="K339" s="1024"/>
      <c r="L339" s="249"/>
      <c r="M339" s="54"/>
      <c r="N339" s="521"/>
      <c r="O339" s="528"/>
      <c r="P339" s="529" t="s">
        <v>87</v>
      </c>
      <c r="Q339" s="362">
        <f>+G339+J339-M339-N339-O339</f>
        <v>0</v>
      </c>
    </row>
    <row r="340" spans="1:21" ht="15.75" collapsed="1" thickTop="1">
      <c r="A340" s="389">
        <v>100</v>
      </c>
      <c r="B340" s="494" t="s">
        <v>303</v>
      </c>
      <c r="C340" s="71" t="s">
        <v>73</v>
      </c>
      <c r="D340" s="495">
        <v>1</v>
      </c>
      <c r="E340" s="21">
        <v>41.244</v>
      </c>
      <c r="F340" s="21">
        <v>48.335999999999999</v>
      </c>
      <c r="G340" s="185">
        <f>ROUND(D340*(E340+F340),2)</f>
        <v>89.58</v>
      </c>
      <c r="H340" s="496"/>
      <c r="I340" s="73"/>
      <c r="J340" s="73"/>
      <c r="K340" s="679"/>
      <c r="L340" s="498">
        <f>SUM(G340:G346)+SUM(J340:J345)</f>
        <v>2117.0300000000002</v>
      </c>
      <c r="M340" s="26">
        <v>2117.04</v>
      </c>
      <c r="N340" s="594"/>
      <c r="O340" s="535"/>
      <c r="P340" s="536" t="s">
        <v>87</v>
      </c>
      <c r="Q340" s="595" t="e">
        <f>C340+G340+J340-M340-N340-O340</f>
        <v>#VALUE!</v>
      </c>
      <c r="R340" s="502" t="s">
        <v>88</v>
      </c>
      <c r="S340" s="503"/>
      <c r="T340" s="504"/>
      <c r="U340" s="33">
        <f>+M340-L340</f>
        <v>9.9999999997635314E-3</v>
      </c>
    </row>
    <row r="341" spans="1:21">
      <c r="A341" s="389"/>
      <c r="B341" s="999"/>
      <c r="C341" s="542" t="s">
        <v>264</v>
      </c>
      <c r="D341" s="508"/>
      <c r="E341" s="38"/>
      <c r="F341" s="38"/>
      <c r="G341" s="50">
        <f>ROUND(D341*(E341+F341),2)</f>
        <v>0</v>
      </c>
      <c r="H341" s="596"/>
      <c r="I341" s="409"/>
      <c r="J341" s="509"/>
      <c r="K341" s="1025"/>
      <c r="L341" s="511"/>
      <c r="M341" s="99"/>
      <c r="N341" s="513"/>
      <c r="O341" s="514"/>
      <c r="P341" s="515"/>
      <c r="Q341" s="262"/>
      <c r="R341" s="502"/>
      <c r="S341" s="503"/>
      <c r="T341" s="504"/>
    </row>
    <row r="342" spans="1:21">
      <c r="A342" s="389"/>
      <c r="B342" s="516" t="s">
        <v>103</v>
      </c>
      <c r="C342" s="99" t="s">
        <v>90</v>
      </c>
      <c r="D342" s="508">
        <v>0</v>
      </c>
      <c r="E342" s="101">
        <v>276.93</v>
      </c>
      <c r="F342" s="38">
        <f>F340</f>
        <v>48.335999999999999</v>
      </c>
      <c r="G342" s="50">
        <f>ROUND(D342*(E342+F342),2)</f>
        <v>0</v>
      </c>
      <c r="H342" s="270"/>
      <c r="I342" s="41"/>
      <c r="J342" s="409"/>
      <c r="K342" s="1026"/>
      <c r="L342" s="597"/>
      <c r="M342" s="99"/>
      <c r="N342" s="518"/>
      <c r="O342" s="519"/>
      <c r="P342" s="515" t="s">
        <v>87</v>
      </c>
      <c r="Q342" s="271">
        <f>+G342+J342-M342-N342-O342</f>
        <v>0</v>
      </c>
      <c r="R342" s="502" t="s">
        <v>88</v>
      </c>
      <c r="S342" s="503"/>
      <c r="T342" s="504"/>
    </row>
    <row r="343" spans="1:21">
      <c r="A343" s="389"/>
      <c r="B343" s="506"/>
      <c r="C343" s="390" t="s">
        <v>97</v>
      </c>
      <c r="D343" s="508">
        <f>апр.19!D336</f>
        <v>0</v>
      </c>
      <c r="E343" s="41">
        <f>276.93-343.14</f>
        <v>-66.20999999999998</v>
      </c>
      <c r="F343" s="38">
        <f>F341</f>
        <v>0</v>
      </c>
      <c r="G343" s="50">
        <f>D343*(E343+F343)</f>
        <v>0</v>
      </c>
      <c r="H343" s="432"/>
      <c r="I343" s="362"/>
      <c r="J343" s="41"/>
      <c r="K343" s="1026"/>
      <c r="L343" s="597"/>
      <c r="M343" s="99"/>
      <c r="N343" s="521"/>
      <c r="O343" s="522"/>
      <c r="P343" s="523"/>
      <c r="Q343" s="362"/>
      <c r="R343" s="502"/>
      <c r="S343" s="503"/>
      <c r="T343" s="504"/>
    </row>
    <row r="344" spans="1:21">
      <c r="A344" s="389"/>
      <c r="B344" s="506"/>
      <c r="C344" s="48" t="s">
        <v>260</v>
      </c>
      <c r="D344" s="37">
        <f>апр.19!D339+апр.19!D340</f>
        <v>456.36</v>
      </c>
      <c r="E344" s="41">
        <f>7.4271-7.1994</f>
        <v>0.22770000000000046</v>
      </c>
      <c r="F344" s="297">
        <f t="shared" ref="F344:F346" si="68">+E344</f>
        <v>0.22770000000000046</v>
      </c>
      <c r="G344" s="39">
        <f>ROUND(D344*(E344+F344)/2,2)</f>
        <v>103.91</v>
      </c>
      <c r="H344" s="432"/>
      <c r="I344" s="362"/>
      <c r="J344" s="41"/>
      <c r="K344" s="1026"/>
      <c r="L344" s="597"/>
      <c r="M344" s="99"/>
      <c r="N344" s="521"/>
      <c r="O344" s="522"/>
      <c r="P344" s="523"/>
      <c r="Q344" s="362"/>
      <c r="R344" s="502"/>
      <c r="S344" s="503"/>
      <c r="T344" s="504"/>
    </row>
    <row r="345" spans="1:21">
      <c r="A345" s="389"/>
      <c r="B345" s="506"/>
      <c r="C345" s="48" t="s">
        <v>263</v>
      </c>
      <c r="D345" s="37">
        <v>10.99</v>
      </c>
      <c r="E345" s="41">
        <v>7.4271000000000003</v>
      </c>
      <c r="F345" s="298">
        <f t="shared" si="68"/>
        <v>7.4271000000000003</v>
      </c>
      <c r="G345" s="39">
        <f>ROUND(D345*E345,2)</f>
        <v>81.62</v>
      </c>
      <c r="H345" s="432"/>
      <c r="I345" s="362"/>
      <c r="J345" s="41"/>
      <c r="K345" s="1026"/>
      <c r="L345" s="597"/>
      <c r="M345" s="99"/>
      <c r="N345" s="521"/>
      <c r="O345" s="522"/>
      <c r="P345" s="523"/>
      <c r="Q345" s="362"/>
      <c r="R345" s="502"/>
      <c r="S345" s="503"/>
      <c r="T345" s="504"/>
    </row>
    <row r="346" spans="1:21" ht="15.75" thickBot="1">
      <c r="A346" s="369"/>
      <c r="B346" s="526"/>
      <c r="C346" s="99" t="s">
        <v>29</v>
      </c>
      <c r="D346" s="55">
        <v>248</v>
      </c>
      <c r="E346" s="56">
        <v>7.4271000000000003</v>
      </c>
      <c r="F346" s="57">
        <f t="shared" si="68"/>
        <v>7.4271000000000003</v>
      </c>
      <c r="G346" s="414">
        <f>ROUND(D346*E346,2)</f>
        <v>1841.92</v>
      </c>
      <c r="H346" s="248"/>
      <c r="I346" s="203"/>
      <c r="J346" s="60"/>
      <c r="K346" s="1024"/>
      <c r="L346" s="249"/>
      <c r="M346" s="54"/>
      <c r="N346" s="527"/>
      <c r="O346" s="528"/>
      <c r="P346" s="529" t="s">
        <v>87</v>
      </c>
      <c r="Q346" s="58">
        <f>+G346+J346-M346-N346-O346</f>
        <v>1841.92</v>
      </c>
      <c r="R346" s="502" t="s">
        <v>88</v>
      </c>
      <c r="S346" s="598">
        <f>SUM(N340:N346)+O340:O346</f>
        <v>0</v>
      </c>
      <c r="T346" s="598" t="e">
        <f>SUM(Q340:Q346)</f>
        <v>#VALUE!</v>
      </c>
    </row>
    <row r="347" spans="1:21" ht="15.75" collapsed="1" thickTop="1">
      <c r="A347" s="389">
        <v>113</v>
      </c>
      <c r="B347" s="494" t="s">
        <v>250</v>
      </c>
      <c r="C347" s="71" t="s">
        <v>73</v>
      </c>
      <c r="D347" s="495">
        <v>15</v>
      </c>
      <c r="E347" s="21">
        <v>41.244</v>
      </c>
      <c r="F347" s="21">
        <v>48.335999999999999</v>
      </c>
      <c r="G347" s="185">
        <f>ROUND(D347*(E347+F347),2)</f>
        <v>1343.7</v>
      </c>
      <c r="H347" s="496"/>
      <c r="I347" s="73"/>
      <c r="J347" s="73"/>
      <c r="K347" s="679"/>
      <c r="L347" s="498">
        <f>SUM(G347:G353)+SUM(J347:J352)</f>
        <v>30566.21</v>
      </c>
      <c r="M347" s="26">
        <v>30566.21</v>
      </c>
      <c r="N347" s="594"/>
      <c r="O347" s="535"/>
      <c r="P347" s="536" t="s">
        <v>87</v>
      </c>
      <c r="Q347" s="595" t="e">
        <f>C347+G347+J347-M347-N347-O347</f>
        <v>#VALUE!</v>
      </c>
      <c r="R347" s="502" t="s">
        <v>88</v>
      </c>
      <c r="S347" s="503"/>
      <c r="T347" s="504"/>
      <c r="U347" s="33">
        <f>+M347-L347</f>
        <v>0</v>
      </c>
    </row>
    <row r="348" spans="1:21">
      <c r="A348" s="389"/>
      <c r="B348" s="506"/>
      <c r="C348" s="542" t="s">
        <v>264</v>
      </c>
      <c r="D348" s="508"/>
      <c r="E348" s="38"/>
      <c r="F348" s="38"/>
      <c r="G348" s="50">
        <f>ROUND(D348*(E348+F348),2)</f>
        <v>0</v>
      </c>
      <c r="H348" s="596"/>
      <c r="I348" s="409"/>
      <c r="J348" s="509"/>
      <c r="K348" s="1025"/>
      <c r="L348" s="511"/>
      <c r="M348" s="99"/>
      <c r="N348" s="513"/>
      <c r="O348" s="514"/>
      <c r="P348" s="515"/>
      <c r="Q348" s="262"/>
      <c r="R348" s="502"/>
      <c r="S348" s="503"/>
      <c r="T348" s="504"/>
    </row>
    <row r="349" spans="1:21">
      <c r="A349" s="389"/>
      <c r="B349" s="516" t="s">
        <v>103</v>
      </c>
      <c r="C349" s="99" t="s">
        <v>90</v>
      </c>
      <c r="D349" s="508">
        <v>33</v>
      </c>
      <c r="E349" s="101">
        <v>276.93</v>
      </c>
      <c r="F349" s="38">
        <f>F347</f>
        <v>48.335999999999999</v>
      </c>
      <c r="G349" s="50">
        <f>ROUND(D349*(E349+F349),2)</f>
        <v>10733.78</v>
      </c>
      <c r="H349" s="270"/>
      <c r="I349" s="41"/>
      <c r="J349" s="409"/>
      <c r="K349" s="1026"/>
      <c r="L349" s="597"/>
      <c r="M349" s="99"/>
      <c r="N349" s="518"/>
      <c r="O349" s="519"/>
      <c r="P349" s="515" t="s">
        <v>87</v>
      </c>
      <c r="Q349" s="271">
        <f>+G349+J349-M349-N349-O349</f>
        <v>10733.78</v>
      </c>
      <c r="R349" s="502" t="s">
        <v>88</v>
      </c>
      <c r="S349" s="503"/>
      <c r="T349" s="504"/>
    </row>
    <row r="350" spans="1:21">
      <c r="A350" s="389"/>
      <c r="B350" s="506"/>
      <c r="C350" s="390" t="s">
        <v>97</v>
      </c>
      <c r="D350" s="508">
        <f>апр.19!D343</f>
        <v>4</v>
      </c>
      <c r="E350" s="41">
        <f>276.93-343.14</f>
        <v>-66.20999999999998</v>
      </c>
      <c r="F350" s="38">
        <f>F348</f>
        <v>0</v>
      </c>
      <c r="G350" s="50">
        <f>D350*(E350+F350)</f>
        <v>-264.83999999999992</v>
      </c>
      <c r="H350" s="432"/>
      <c r="I350" s="362"/>
      <c r="J350" s="41"/>
      <c r="K350" s="1026"/>
      <c r="L350" s="597"/>
      <c r="M350" s="99"/>
      <c r="N350" s="521"/>
      <c r="O350" s="522"/>
      <c r="P350" s="523"/>
      <c r="Q350" s="362"/>
      <c r="R350" s="502"/>
      <c r="S350" s="503"/>
      <c r="T350" s="504"/>
    </row>
    <row r="351" spans="1:21">
      <c r="A351" s="389"/>
      <c r="B351" s="506"/>
      <c r="C351" s="48" t="s">
        <v>260</v>
      </c>
      <c r="D351" s="37">
        <f>апр.19!D346+апр.19!D347</f>
        <v>3811.7</v>
      </c>
      <c r="E351" s="41">
        <f>7.4271-7.1994</f>
        <v>0.22770000000000046</v>
      </c>
      <c r="F351" s="297">
        <f t="shared" ref="F351:F353" si="69">+E351</f>
        <v>0.22770000000000046</v>
      </c>
      <c r="G351" s="39">
        <f>ROUND(D351*(E351+F351)/2,2)+0.01</f>
        <v>867.93</v>
      </c>
      <c r="H351" s="432"/>
      <c r="I351" s="362"/>
      <c r="J351" s="41"/>
      <c r="K351" s="1026"/>
      <c r="L351" s="597"/>
      <c r="M351" s="99"/>
      <c r="N351" s="521"/>
      <c r="O351" s="522"/>
      <c r="P351" s="523"/>
      <c r="Q351" s="362"/>
      <c r="R351" s="502"/>
      <c r="S351" s="503"/>
      <c r="T351" s="504"/>
    </row>
    <row r="352" spans="1:21">
      <c r="A352" s="389"/>
      <c r="B352" s="506"/>
      <c r="C352" s="48" t="s">
        <v>263</v>
      </c>
      <c r="D352" s="37">
        <f>32.52+69.64</f>
        <v>102.16</v>
      </c>
      <c r="E352" s="41">
        <v>7.4271000000000003</v>
      </c>
      <c r="F352" s="298">
        <f t="shared" si="69"/>
        <v>7.4271000000000003</v>
      </c>
      <c r="G352" s="39">
        <f>ROUND(D352*E352,2)</f>
        <v>758.75</v>
      </c>
      <c r="H352" s="432"/>
      <c r="I352" s="362"/>
      <c r="J352" s="41"/>
      <c r="K352" s="1026"/>
      <c r="L352" s="597"/>
      <c r="M352" s="99"/>
      <c r="N352" s="521"/>
      <c r="O352" s="522"/>
      <c r="P352" s="523"/>
      <c r="Q352" s="362"/>
      <c r="R352" s="502"/>
      <c r="S352" s="503"/>
      <c r="T352" s="504"/>
    </row>
    <row r="353" spans="1:20" ht="15.75" thickBot="1">
      <c r="A353" s="369"/>
      <c r="B353" s="526"/>
      <c r="C353" s="99" t="s">
        <v>29</v>
      </c>
      <c r="D353" s="55">
        <f>734+1572</f>
        <v>2306</v>
      </c>
      <c r="E353" s="56">
        <v>7.4271000000000003</v>
      </c>
      <c r="F353" s="57">
        <f t="shared" si="69"/>
        <v>7.4271000000000003</v>
      </c>
      <c r="G353" s="414">
        <f>ROUND(D353*E353,2)</f>
        <v>17126.89</v>
      </c>
      <c r="H353" s="248"/>
      <c r="I353" s="203"/>
      <c r="J353" s="60"/>
      <c r="K353" s="1024"/>
      <c r="L353" s="249"/>
      <c r="M353" s="54"/>
      <c r="N353" s="527"/>
      <c r="O353" s="528"/>
      <c r="P353" s="529" t="s">
        <v>87</v>
      </c>
      <c r="Q353" s="58">
        <f>+G353+J353-M353-N353-O353</f>
        <v>17126.89</v>
      </c>
      <c r="R353" s="502" t="s">
        <v>88</v>
      </c>
      <c r="S353" s="598">
        <f>SUM(N347:N353)+O347:O353</f>
        <v>0</v>
      </c>
      <c r="T353" s="598" t="e">
        <f>SUM(Q347:Q353)</f>
        <v>#VALUE!</v>
      </c>
    </row>
    <row r="354" spans="1:20">
      <c r="A354" s="376">
        <v>200</v>
      </c>
      <c r="B354" s="602" t="s">
        <v>106</v>
      </c>
      <c r="C354" s="700" t="s">
        <v>260</v>
      </c>
      <c r="D354" s="1248">
        <f>апр.19!D363+апр.19!D364</f>
        <v>944.05</v>
      </c>
      <c r="E354" s="261">
        <f>7.4271-7.1994</f>
        <v>0.22770000000000046</v>
      </c>
      <c r="F354" s="261">
        <f t="shared" ref="F354:F359" si="70">+E354</f>
        <v>0.22770000000000046</v>
      </c>
      <c r="G354" s="1243">
        <f>ROUND(D354*(E354),2)+0.01</f>
        <v>214.97</v>
      </c>
      <c r="H354" s="261"/>
      <c r="I354" s="261"/>
      <c r="J354" s="261"/>
      <c r="K354" s="1249"/>
      <c r="L354" s="799">
        <f>SUM(G354:G356)</f>
        <v>5551.1900000000005</v>
      </c>
      <c r="M354" s="227">
        <v>5551.19</v>
      </c>
      <c r="N354" s="604"/>
      <c r="O354" s="500"/>
      <c r="P354" s="501"/>
      <c r="Q354" s="605"/>
    </row>
    <row r="355" spans="1:20">
      <c r="A355" s="389"/>
      <c r="B355" s="506"/>
      <c r="C355" s="48" t="s">
        <v>263</v>
      </c>
      <c r="D355" s="49">
        <v>30.48</v>
      </c>
      <c r="E355" s="41">
        <v>7.4271000000000003</v>
      </c>
      <c r="F355" s="41">
        <f t="shared" si="70"/>
        <v>7.4271000000000003</v>
      </c>
      <c r="G355" s="50">
        <f>ROUND(D355*(E355),2)</f>
        <v>226.38</v>
      </c>
      <c r="H355" s="41"/>
      <c r="I355" s="41"/>
      <c r="J355" s="41"/>
      <c r="K355" s="101"/>
      <c r="L355" s="606"/>
      <c r="M355" s="935"/>
      <c r="N355" s="607"/>
      <c r="O355" s="608"/>
      <c r="P355" s="609"/>
      <c r="Q355" s="610"/>
    </row>
    <row r="356" spans="1:20" ht="15.75" thickBot="1">
      <c r="A356" s="936"/>
      <c r="B356" s="612"/>
      <c r="C356" s="99" t="s">
        <v>29</v>
      </c>
      <c r="D356" s="613">
        <v>688</v>
      </c>
      <c r="E356" s="56">
        <v>7.4271000000000003</v>
      </c>
      <c r="F356" s="281">
        <f t="shared" si="70"/>
        <v>7.4271000000000003</v>
      </c>
      <c r="G356" s="58">
        <f>ROUND(D356*(E356),2)</f>
        <v>5109.84</v>
      </c>
      <c r="H356" s="57"/>
      <c r="I356" s="57"/>
      <c r="J356" s="57"/>
      <c r="K356" s="1018"/>
      <c r="L356" s="614"/>
      <c r="M356" s="935"/>
      <c r="N356" s="615"/>
      <c r="O356" s="615"/>
      <c r="P356" s="615"/>
      <c r="Q356" s="616"/>
    </row>
    <row r="357" spans="1:20">
      <c r="A357" s="376" t="s">
        <v>208</v>
      </c>
      <c r="B357" s="602" t="s">
        <v>213</v>
      </c>
      <c r="C357" s="439" t="s">
        <v>260</v>
      </c>
      <c r="D357" s="184">
        <f>апр.19!D349+апр.19!D350</f>
        <v>190.06</v>
      </c>
      <c r="E357" s="41">
        <f>7.4271-7.1994</f>
        <v>0.22770000000000046</v>
      </c>
      <c r="F357" s="23">
        <f t="shared" si="70"/>
        <v>0.22770000000000046</v>
      </c>
      <c r="G357" s="185">
        <f>ROUND(D357*(E357),2)+0.01</f>
        <v>43.29</v>
      </c>
      <c r="H357" s="620"/>
      <c r="I357" s="620"/>
      <c r="J357" s="620"/>
      <c r="K357" s="1020"/>
      <c r="L357" s="603">
        <f>SUM(G357:G359)</f>
        <v>1020.54</v>
      </c>
      <c r="M357" s="187">
        <v>1020.54</v>
      </c>
      <c r="N357" s="615"/>
      <c r="O357" s="615"/>
      <c r="P357" s="615"/>
      <c r="Q357" s="615"/>
    </row>
    <row r="358" spans="1:20">
      <c r="A358" s="934"/>
      <c r="B358" s="506"/>
      <c r="C358" s="48" t="s">
        <v>263</v>
      </c>
      <c r="D358" s="49">
        <v>5.58</v>
      </c>
      <c r="E358" s="41">
        <v>7.4271000000000003</v>
      </c>
      <c r="F358" s="41">
        <f t="shared" si="70"/>
        <v>7.4271000000000003</v>
      </c>
      <c r="G358" s="50">
        <f>ROUND(D358*(E358),2)</f>
        <v>41.44</v>
      </c>
      <c r="H358" s="296"/>
      <c r="I358" s="298"/>
      <c r="J358" s="298"/>
      <c r="K358" s="1021"/>
      <c r="L358" s="606"/>
      <c r="M358" s="935"/>
      <c r="N358" s="615"/>
      <c r="O358" s="615"/>
      <c r="P358" s="615"/>
      <c r="Q358" s="615"/>
    </row>
    <row r="359" spans="1:20" ht="15.75" thickBot="1">
      <c r="A359" s="934"/>
      <c r="B359" s="506"/>
      <c r="C359" s="54" t="s">
        <v>29</v>
      </c>
      <c r="D359" s="296">
        <v>126</v>
      </c>
      <c r="E359" s="56">
        <v>7.4271000000000003</v>
      </c>
      <c r="F359" s="41">
        <f t="shared" si="70"/>
        <v>7.4271000000000003</v>
      </c>
      <c r="G359" s="50">
        <f t="shared" ref="G359" si="71">ROUND(D359*(E359),2)</f>
        <v>935.81</v>
      </c>
      <c r="H359" s="296"/>
      <c r="I359" s="298"/>
      <c r="J359" s="298"/>
      <c r="K359" s="1021"/>
      <c r="L359" s="614"/>
      <c r="M359" s="935"/>
      <c r="N359" s="615"/>
      <c r="O359" s="615"/>
      <c r="P359" s="615"/>
      <c r="Q359" s="615"/>
    </row>
    <row r="360" spans="1:20" ht="15.75" hidden="1" thickBot="1">
      <c r="A360" s="376">
        <v>201</v>
      </c>
      <c r="B360" s="602" t="s">
        <v>107</v>
      </c>
      <c r="C360" s="618" t="s">
        <v>73</v>
      </c>
      <c r="D360" s="619"/>
      <c r="E360" s="21">
        <v>40.556600000000003</v>
      </c>
      <c r="F360" s="21">
        <v>47.5304</v>
      </c>
      <c r="G360" s="185">
        <f>ROUND(D360*(E360+F360),2)</f>
        <v>0</v>
      </c>
      <c r="H360" s="620"/>
      <c r="I360" s="620"/>
      <c r="J360" s="620"/>
      <c r="K360" s="454"/>
      <c r="L360" s="603">
        <f>SUM(G360:G364,J360:J364)</f>
        <v>0.01</v>
      </c>
      <c r="M360" s="187"/>
      <c r="N360" s="621"/>
      <c r="O360" s="621"/>
      <c r="P360" s="621"/>
      <c r="Q360" s="622"/>
    </row>
    <row r="361" spans="1:20" ht="15.75" hidden="1" thickBot="1">
      <c r="A361" s="936"/>
      <c r="B361" s="612"/>
      <c r="C361" s="542" t="s">
        <v>96</v>
      </c>
      <c r="D361" s="234"/>
      <c r="E361" s="38"/>
      <c r="F361" s="38"/>
      <c r="G361" s="235">
        <f>ROUND(D361*(E361+F361),2)</f>
        <v>0</v>
      </c>
      <c r="H361" s="298"/>
      <c r="I361" s="298"/>
      <c r="J361" s="298"/>
      <c r="K361" s="455"/>
      <c r="L361" s="606"/>
      <c r="M361" s="935"/>
      <c r="N361" s="615"/>
      <c r="O361" s="615"/>
      <c r="P361" s="615"/>
      <c r="Q361" s="616"/>
    </row>
    <row r="362" spans="1:20" ht="15.75" hidden="1" thickBot="1">
      <c r="A362" s="936"/>
      <c r="B362" s="612"/>
      <c r="C362" s="48" t="s">
        <v>260</v>
      </c>
      <c r="D362" s="623"/>
      <c r="E362" s="41">
        <f>7.332-6.6439</f>
        <v>0.68809999999999949</v>
      </c>
      <c r="F362" s="41">
        <f t="shared" ref="F362:F378" si="72">+E362</f>
        <v>0.68809999999999949</v>
      </c>
      <c r="G362" s="50">
        <f>ROUND(D362*(E362),2)+0.01</f>
        <v>0.01</v>
      </c>
      <c r="H362" s="298"/>
      <c r="I362" s="298"/>
      <c r="J362" s="298"/>
      <c r="K362" s="455"/>
      <c r="L362" s="614"/>
      <c r="M362" s="935"/>
      <c r="N362" s="615"/>
      <c r="O362" s="615"/>
      <c r="P362" s="615"/>
      <c r="Q362" s="616"/>
    </row>
    <row r="363" spans="1:20" ht="15.75" hidden="1" thickBot="1">
      <c r="A363" s="936"/>
      <c r="B363" s="612"/>
      <c r="C363" s="48" t="s">
        <v>263</v>
      </c>
      <c r="D363" s="623"/>
      <c r="E363" s="41">
        <v>7.3319999999999999</v>
      </c>
      <c r="F363" s="41">
        <f t="shared" si="72"/>
        <v>7.3319999999999999</v>
      </c>
      <c r="G363" s="39">
        <f t="shared" ref="G363:G381" si="73">ROUND(D363*(E363),2)</f>
        <v>0</v>
      </c>
      <c r="H363" s="298"/>
      <c r="I363" s="298"/>
      <c r="J363" s="298"/>
      <c r="K363" s="455"/>
      <c r="L363" s="614"/>
      <c r="M363" s="273"/>
      <c r="N363" s="615"/>
      <c r="O363" s="615"/>
      <c r="P363" s="615"/>
      <c r="Q363" s="616"/>
    </row>
    <row r="364" spans="1:20" ht="15.75" hidden="1" thickBot="1">
      <c r="A364" s="937"/>
      <c r="B364" s="526"/>
      <c r="C364" s="99" t="s">
        <v>29</v>
      </c>
      <c r="D364" s="625"/>
      <c r="E364" s="56">
        <v>7.3319999999999999</v>
      </c>
      <c r="F364" s="281">
        <f t="shared" si="72"/>
        <v>7.3319999999999999</v>
      </c>
      <c r="G364" s="414">
        <f t="shared" si="73"/>
        <v>0</v>
      </c>
      <c r="H364" s="41"/>
      <c r="I364" s="41"/>
      <c r="J364" s="281"/>
      <c r="K364" s="56"/>
      <c r="L364" s="784"/>
      <c r="M364" s="938"/>
      <c r="N364" s="626"/>
      <c r="O364" s="626"/>
      <c r="P364" s="626"/>
      <c r="Q364" s="627"/>
    </row>
    <row r="365" spans="1:20" ht="15.75" hidden="1" thickBot="1">
      <c r="A365" s="376">
        <v>203</v>
      </c>
      <c r="B365" s="602" t="s">
        <v>301</v>
      </c>
      <c r="C365" s="439" t="s">
        <v>260</v>
      </c>
      <c r="D365" s="184"/>
      <c r="E365" s="41">
        <f>7.1994-7.4969</f>
        <v>-0.29750000000000032</v>
      </c>
      <c r="F365" s="23">
        <f t="shared" si="72"/>
        <v>-0.29750000000000032</v>
      </c>
      <c r="G365" s="185">
        <f>ROUND(D365*(E365),2)+0.01</f>
        <v>0.01</v>
      </c>
      <c r="H365" s="620"/>
      <c r="I365" s="620"/>
      <c r="J365" s="620"/>
      <c r="K365" s="1020"/>
      <c r="L365" s="603">
        <f>SUM(G365:G367)</f>
        <v>0.01</v>
      </c>
      <c r="M365" s="187"/>
      <c r="N365" s="615"/>
      <c r="O365" s="615"/>
      <c r="P365" s="615"/>
      <c r="Q365" s="615"/>
    </row>
    <row r="366" spans="1:20" ht="15.75" hidden="1" thickBot="1">
      <c r="A366" s="934"/>
      <c r="B366" s="506"/>
      <c r="C366" s="48" t="s">
        <v>263</v>
      </c>
      <c r="D366" s="49"/>
      <c r="E366" s="41">
        <v>7.1993999999999998</v>
      </c>
      <c r="F366" s="41">
        <f t="shared" si="72"/>
        <v>7.1993999999999998</v>
      </c>
      <c r="G366" s="50">
        <f>ROUND(D366*(E366),2)</f>
        <v>0</v>
      </c>
      <c r="H366" s="296"/>
      <c r="I366" s="298"/>
      <c r="J366" s="298"/>
      <c r="K366" s="1021"/>
      <c r="L366" s="606"/>
      <c r="M366" s="935"/>
      <c r="N366" s="615"/>
      <c r="O366" s="615"/>
      <c r="P366" s="615"/>
      <c r="Q366" s="615"/>
    </row>
    <row r="367" spans="1:20" ht="15.75" hidden="1" thickBot="1">
      <c r="A367" s="934"/>
      <c r="B367" s="506"/>
      <c r="C367" s="520" t="s">
        <v>29</v>
      </c>
      <c r="D367" s="1245"/>
      <c r="E367" s="876">
        <v>7.1993999999999998</v>
      </c>
      <c r="F367" s="207">
        <f t="shared" si="72"/>
        <v>7.1993999999999998</v>
      </c>
      <c r="G367" s="1246">
        <f t="shared" ref="G367" si="74">ROUND(D367*(E367),2)</f>
        <v>0</v>
      </c>
      <c r="H367" s="1245"/>
      <c r="I367" s="774"/>
      <c r="J367" s="774"/>
      <c r="K367" s="1247"/>
      <c r="L367" s="1262"/>
      <c r="M367" s="974"/>
      <c r="N367" s="615"/>
      <c r="O367" s="615"/>
      <c r="P367" s="615"/>
      <c r="Q367" s="615"/>
    </row>
    <row r="368" spans="1:20">
      <c r="A368" s="376">
        <v>212</v>
      </c>
      <c r="B368" s="602" t="s">
        <v>112</v>
      </c>
      <c r="C368" s="439" t="s">
        <v>260</v>
      </c>
      <c r="D368" s="184">
        <f>апр.19!D388+апр.19!D389</f>
        <v>673.57</v>
      </c>
      <c r="E368" s="23">
        <f>7.4271-7.1994</f>
        <v>0.22770000000000046</v>
      </c>
      <c r="F368" s="23">
        <f>+E368</f>
        <v>0.22770000000000046</v>
      </c>
      <c r="G368" s="185">
        <f>ROUND(D368*(E368),2)</f>
        <v>153.37</v>
      </c>
      <c r="H368" s="620"/>
      <c r="I368" s="620"/>
      <c r="J368" s="620"/>
      <c r="K368" s="1020"/>
      <c r="L368" s="603">
        <f>SUM(G368:G371)</f>
        <v>2084.64</v>
      </c>
      <c r="M368" s="187">
        <v>2084.64</v>
      </c>
      <c r="N368" s="604"/>
      <c r="O368" s="635"/>
      <c r="P368" s="636"/>
      <c r="Q368" s="605"/>
    </row>
    <row r="369" spans="1:21">
      <c r="A369" s="934"/>
      <c r="B369" s="506"/>
      <c r="C369" s="48" t="s">
        <v>263</v>
      </c>
      <c r="D369" s="49">
        <v>11.03</v>
      </c>
      <c r="E369" s="41">
        <v>7.4271000000000003</v>
      </c>
      <c r="F369" s="41">
        <f>+E369</f>
        <v>7.4271000000000003</v>
      </c>
      <c r="G369" s="50">
        <f t="shared" ref="G369:G370" si="75">ROUND(D369*(E369),2)</f>
        <v>81.92</v>
      </c>
      <c r="H369" s="296"/>
      <c r="I369" s="298"/>
      <c r="J369" s="298"/>
      <c r="K369" s="1021"/>
      <c r="L369" s="606"/>
      <c r="M369" s="935"/>
      <c r="N369" s="607"/>
      <c r="O369" s="608"/>
      <c r="P369" s="609"/>
      <c r="Q369" s="610"/>
    </row>
    <row r="370" spans="1:21">
      <c r="A370" s="934"/>
      <c r="B370" s="506"/>
      <c r="C370" s="99" t="s">
        <v>29</v>
      </c>
      <c r="D370" s="296">
        <v>249</v>
      </c>
      <c r="E370" s="101">
        <v>7.4271000000000003</v>
      </c>
      <c r="F370" s="41">
        <f>+E370</f>
        <v>7.4271000000000003</v>
      </c>
      <c r="G370" s="50">
        <f t="shared" si="75"/>
        <v>1849.35</v>
      </c>
      <c r="H370" s="296"/>
      <c r="I370" s="298"/>
      <c r="J370" s="298"/>
      <c r="K370" s="1021"/>
      <c r="L370" s="614"/>
      <c r="M370" s="935"/>
      <c r="N370" s="615"/>
      <c r="O370" s="615"/>
      <c r="P370" s="615"/>
      <c r="Q370" s="616"/>
    </row>
    <row r="371" spans="1:21" ht="15.75" thickBot="1">
      <c r="A371" s="942"/>
      <c r="B371" s="278"/>
      <c r="C371" s="54"/>
      <c r="D371" s="941"/>
      <c r="E371" s="281"/>
      <c r="F371" s="57"/>
      <c r="G371" s="58"/>
      <c r="H371" s="613"/>
      <c r="I371" s="57"/>
      <c r="J371" s="57"/>
      <c r="K371" s="1029"/>
      <c r="L371" s="784"/>
      <c r="M371" s="938"/>
      <c r="N371" s="615"/>
      <c r="O371" s="615"/>
      <c r="P371" s="615"/>
      <c r="Q371" s="615"/>
    </row>
    <row r="372" spans="1:21" ht="15.75" collapsed="1" thickTop="1">
      <c r="A372" s="447">
        <v>300</v>
      </c>
      <c r="B372" s="183" t="s">
        <v>326</v>
      </c>
      <c r="C372" s="1253" t="s">
        <v>73</v>
      </c>
      <c r="D372" s="1254">
        <v>11</v>
      </c>
      <c r="E372" s="21">
        <v>41.244</v>
      </c>
      <c r="F372" s="21">
        <v>48.335999999999999</v>
      </c>
      <c r="G372" s="23">
        <f>ROUND(D372*(E372+F372),2)</f>
        <v>985.38</v>
      </c>
      <c r="H372" s="496"/>
      <c r="I372" s="73"/>
      <c r="J372" s="73"/>
      <c r="K372" s="1260"/>
      <c r="L372" s="439">
        <f>SUM(G372:G378)+SUM(J372:J377)</f>
        <v>10236.1</v>
      </c>
      <c r="M372" s="26">
        <v>21648.880000000001</v>
      </c>
      <c r="N372" s="594"/>
      <c r="O372" s="535" t="s">
        <v>337</v>
      </c>
      <c r="P372" s="536"/>
      <c r="Q372" s="595"/>
      <c r="R372" s="502"/>
      <c r="S372" s="503"/>
      <c r="T372" s="504"/>
      <c r="U372" s="33">
        <f>+M372-L372</f>
        <v>11412.78</v>
      </c>
    </row>
    <row r="373" spans="1:21">
      <c r="A373" s="450"/>
      <c r="B373" s="192"/>
      <c r="C373" s="1255" t="s">
        <v>264</v>
      </c>
      <c r="D373" s="1250"/>
      <c r="E373" s="38"/>
      <c r="F373" s="38"/>
      <c r="G373" s="41">
        <f>ROUND(D373*(E373+F373),2)</f>
        <v>0</v>
      </c>
      <c r="H373" s="1251"/>
      <c r="I373" s="409"/>
      <c r="J373" s="409"/>
      <c r="K373" s="1261"/>
      <c r="L373" s="48"/>
      <c r="M373" s="99"/>
      <c r="N373" s="513"/>
      <c r="O373" s="514"/>
      <c r="P373" s="515"/>
      <c r="Q373" s="262"/>
      <c r="R373" s="502"/>
      <c r="S373" s="503"/>
      <c r="T373" s="504"/>
    </row>
    <row r="374" spans="1:21">
      <c r="A374" s="450"/>
      <c r="B374" s="991"/>
      <c r="C374" s="1256" t="s">
        <v>90</v>
      </c>
      <c r="D374" s="1250">
        <v>7</v>
      </c>
      <c r="E374" s="101">
        <v>276.93</v>
      </c>
      <c r="F374" s="38">
        <f>F372</f>
        <v>48.335999999999999</v>
      </c>
      <c r="G374" s="41">
        <f>ROUND(D374*(E374+F374),2)</f>
        <v>2276.86</v>
      </c>
      <c r="H374" s="41"/>
      <c r="I374" s="41"/>
      <c r="J374" s="409"/>
      <c r="K374" s="1261"/>
      <c r="L374" s="600"/>
      <c r="M374" s="99"/>
      <c r="N374" s="518"/>
      <c r="O374" s="519"/>
      <c r="P374" s="515"/>
      <c r="Q374" s="271"/>
      <c r="R374" s="502"/>
      <c r="S374" s="503"/>
      <c r="T374" s="504"/>
    </row>
    <row r="375" spans="1:21" ht="15.75" thickBot="1">
      <c r="A375" s="450"/>
      <c r="B375" s="192"/>
      <c r="C375" s="1257" t="s">
        <v>97</v>
      </c>
      <c r="D375" s="1250"/>
      <c r="E375" s="41"/>
      <c r="F375" s="38">
        <f>F373</f>
        <v>0</v>
      </c>
      <c r="G375" s="41">
        <f>D375*(E375+F375)</f>
        <v>0</v>
      </c>
      <c r="H375" s="41"/>
      <c r="I375" s="41"/>
      <c r="J375" s="41"/>
      <c r="K375" s="1261"/>
      <c r="L375" s="600"/>
      <c r="M375" s="99"/>
      <c r="N375" s="521"/>
      <c r="O375" s="522"/>
      <c r="P375" s="523"/>
      <c r="Q375" s="362"/>
      <c r="R375" s="502"/>
      <c r="S375" s="503"/>
      <c r="T375" s="504"/>
    </row>
    <row r="376" spans="1:21">
      <c r="A376" s="450"/>
      <c r="B376" s="1244"/>
      <c r="C376" s="1258" t="s">
        <v>260</v>
      </c>
      <c r="D376" s="1252">
        <f>апр.19!D360+апр.19!D361</f>
        <v>1401.45</v>
      </c>
      <c r="E376" s="41">
        <f>7.4271-7.1994</f>
        <v>0.22770000000000046</v>
      </c>
      <c r="F376" s="41">
        <f t="shared" si="72"/>
        <v>0.22770000000000046</v>
      </c>
      <c r="G376" s="41">
        <f>ROUND(D376*(E376),2)-0.01</f>
        <v>319.10000000000002</v>
      </c>
      <c r="H376" s="41"/>
      <c r="I376" s="41"/>
      <c r="J376" s="41"/>
      <c r="K376" s="684"/>
      <c r="L376" s="614"/>
      <c r="M376" s="273"/>
      <c r="N376" s="604"/>
      <c r="O376" s="500"/>
      <c r="P376" s="501"/>
      <c r="Q376" s="605"/>
    </row>
    <row r="377" spans="1:21">
      <c r="A377" s="450"/>
      <c r="B377" s="192"/>
      <c r="C377" s="1258" t="s">
        <v>263</v>
      </c>
      <c r="D377" s="1252">
        <v>38.01</v>
      </c>
      <c r="E377" s="41">
        <v>7.4271000000000003</v>
      </c>
      <c r="F377" s="41">
        <f t="shared" si="72"/>
        <v>7.4271000000000003</v>
      </c>
      <c r="G377" s="41">
        <f>ROUND(D377*(E377),2)+0.01</f>
        <v>282.31</v>
      </c>
      <c r="H377" s="41"/>
      <c r="I377" s="41"/>
      <c r="J377" s="41"/>
      <c r="K377" s="684"/>
      <c r="L377" s="606"/>
      <c r="M377" s="935"/>
      <c r="N377" s="607"/>
      <c r="O377" s="608"/>
      <c r="P377" s="609"/>
      <c r="Q377" s="610"/>
    </row>
    <row r="378" spans="1:21" ht="15.75" thickBot="1">
      <c r="A378" s="969"/>
      <c r="B378" s="615"/>
      <c r="C378" s="1259" t="s">
        <v>29</v>
      </c>
      <c r="D378" s="57">
        <v>858</v>
      </c>
      <c r="E378" s="56">
        <v>7.4271000000000003</v>
      </c>
      <c r="F378" s="281">
        <f t="shared" si="72"/>
        <v>7.4271000000000003</v>
      </c>
      <c r="G378" s="281">
        <f t="shared" ref="G378" si="76">ROUND(D378*(E378),2)</f>
        <v>6372.45</v>
      </c>
      <c r="H378" s="57"/>
      <c r="I378" s="57"/>
      <c r="J378" s="57"/>
      <c r="K378" s="1029"/>
      <c r="L378" s="783"/>
      <c r="M378" s="938"/>
      <c r="N378" s="615"/>
      <c r="O378" s="615"/>
      <c r="P378" s="615"/>
      <c r="Q378" s="616"/>
    </row>
    <row r="379" spans="1:21" ht="15.75" hidden="1" thickBot="1">
      <c r="A379" s="447" t="s">
        <v>205</v>
      </c>
      <c r="B379" s="602" t="s">
        <v>183</v>
      </c>
      <c r="C379" s="439" t="s">
        <v>260</v>
      </c>
      <c r="D379" s="184"/>
      <c r="E379" s="41">
        <f>7.332-6.6439</f>
        <v>0.68809999999999949</v>
      </c>
      <c r="F379" s="23">
        <f>+E379</f>
        <v>0.68809999999999949</v>
      </c>
      <c r="G379" s="185">
        <f>ROUND(D379*(E379),2)-0.01</f>
        <v>-0.01</v>
      </c>
      <c r="H379" s="620"/>
      <c r="I379" s="620"/>
      <c r="J379" s="620"/>
      <c r="K379" s="1020"/>
      <c r="L379" s="603">
        <f>SUM(G379:G381)</f>
        <v>-0.01</v>
      </c>
      <c r="M379" s="187"/>
      <c r="N379" s="604"/>
      <c r="O379" s="635"/>
      <c r="P379" s="636"/>
      <c r="Q379" s="605"/>
    </row>
    <row r="380" spans="1:21" ht="15.75" hidden="1" thickBot="1">
      <c r="A380" s="450" t="s">
        <v>206</v>
      </c>
      <c r="B380" s="506"/>
      <c r="C380" s="48" t="s">
        <v>263</v>
      </c>
      <c r="D380" s="49"/>
      <c r="E380" s="41">
        <v>7.3319999999999999</v>
      </c>
      <c r="F380" s="41">
        <f>+E380</f>
        <v>7.3319999999999999</v>
      </c>
      <c r="G380" s="50">
        <f t="shared" si="73"/>
        <v>0</v>
      </c>
      <c r="H380" s="296"/>
      <c r="I380" s="298"/>
      <c r="J380" s="298"/>
      <c r="K380" s="1021"/>
      <c r="L380" s="606"/>
      <c r="M380" s="935"/>
      <c r="N380" s="607"/>
      <c r="O380" s="608"/>
      <c r="P380" s="609"/>
      <c r="Q380" s="610"/>
    </row>
    <row r="381" spans="1:21" ht="15.75" hidden="1" thickBot="1">
      <c r="A381" s="451">
        <v>305</v>
      </c>
      <c r="B381" s="506"/>
      <c r="C381" s="54" t="s">
        <v>29</v>
      </c>
      <c r="D381" s="296"/>
      <c r="E381" s="56">
        <v>7.3319999999999999</v>
      </c>
      <c r="F381" s="41">
        <f t="shared" ref="F381:F385" si="77">+E381</f>
        <v>7.3319999999999999</v>
      </c>
      <c r="G381" s="50">
        <f t="shared" si="73"/>
        <v>0</v>
      </c>
      <c r="H381" s="296"/>
      <c r="I381" s="298"/>
      <c r="J381" s="298"/>
      <c r="K381" s="1021"/>
      <c r="L381" s="614"/>
      <c r="M381" s="935"/>
      <c r="N381" s="615"/>
      <c r="O381" s="615"/>
      <c r="P381" s="615"/>
      <c r="Q381" s="616"/>
    </row>
    <row r="382" spans="1:21">
      <c r="A382" s="376">
        <v>304</v>
      </c>
      <c r="B382" s="602" t="s">
        <v>299</v>
      </c>
      <c r="C382" s="48" t="s">
        <v>260</v>
      </c>
      <c r="D382" s="184">
        <f>апр.19!D369+апр.19!D370</f>
        <v>13.58</v>
      </c>
      <c r="E382" s="41">
        <f>7.4271-7.1994</f>
        <v>0.22770000000000046</v>
      </c>
      <c r="F382" s="23">
        <f t="shared" si="77"/>
        <v>0.22770000000000046</v>
      </c>
      <c r="G382" s="185">
        <f>ROUND(D382*(E382),2)-0.01</f>
        <v>3.08</v>
      </c>
      <c r="H382" s="23"/>
      <c r="I382" s="23"/>
      <c r="J382" s="23"/>
      <c r="K382" s="341"/>
      <c r="L382" s="603">
        <f>SUM(G382:G384)</f>
        <v>96.149999999999991</v>
      </c>
      <c r="M382" s="187">
        <v>96.15</v>
      </c>
      <c r="N382" s="604"/>
      <c r="O382" s="500"/>
      <c r="P382" s="501"/>
      <c r="Q382" s="605"/>
    </row>
    <row r="383" spans="1:21">
      <c r="A383" s="389"/>
      <c r="B383" s="506"/>
      <c r="C383" s="48" t="s">
        <v>263</v>
      </c>
      <c r="D383" s="49">
        <v>0.53</v>
      </c>
      <c r="E383" s="41">
        <v>7.4271000000000003</v>
      </c>
      <c r="F383" s="41">
        <f t="shared" si="77"/>
        <v>7.4271000000000003</v>
      </c>
      <c r="G383" s="50">
        <f t="shared" ref="G383:G384" si="78">ROUND(D383*(E383),2)</f>
        <v>3.94</v>
      </c>
      <c r="H383" s="41"/>
      <c r="I383" s="41"/>
      <c r="J383" s="41"/>
      <c r="K383" s="101"/>
      <c r="L383" s="606"/>
      <c r="M383" s="935"/>
      <c r="N383" s="607"/>
      <c r="O383" s="608"/>
      <c r="P383" s="609"/>
      <c r="Q383" s="610"/>
    </row>
    <row r="384" spans="1:21" ht="15.75" thickBot="1">
      <c r="A384" s="936"/>
      <c r="B384" s="612"/>
      <c r="C384" s="99" t="s">
        <v>29</v>
      </c>
      <c r="D384" s="613">
        <v>12</v>
      </c>
      <c r="E384" s="56">
        <v>7.4271000000000003</v>
      </c>
      <c r="F384" s="281">
        <f t="shared" si="77"/>
        <v>7.4271000000000003</v>
      </c>
      <c r="G384" s="58">
        <f t="shared" si="78"/>
        <v>89.13</v>
      </c>
      <c r="H384" s="57"/>
      <c r="I384" s="57"/>
      <c r="J384" s="57"/>
      <c r="K384" s="1018"/>
      <c r="L384" s="614"/>
      <c r="M384" s="935"/>
      <c r="N384" s="615"/>
      <c r="O384" s="615"/>
      <c r="P384" s="615"/>
      <c r="Q384" s="616"/>
    </row>
    <row r="385" spans="1:17" collapsed="1">
      <c r="A385" s="376">
        <v>307</v>
      </c>
      <c r="B385" s="602" t="s">
        <v>251</v>
      </c>
      <c r="C385" s="439" t="s">
        <v>260</v>
      </c>
      <c r="D385" s="184">
        <f>апр.19!D372+апр.19!D373</f>
        <v>485.6</v>
      </c>
      <c r="E385" s="23">
        <f>7.4271-7.1994</f>
        <v>0.22770000000000046</v>
      </c>
      <c r="F385" s="23">
        <f t="shared" si="77"/>
        <v>0.22770000000000046</v>
      </c>
      <c r="G385" s="185">
        <f>ROUND(D385*(E385),2)</f>
        <v>110.57</v>
      </c>
      <c r="H385" s="669"/>
      <c r="I385" s="620"/>
      <c r="J385" s="620"/>
      <c r="K385" s="1020"/>
      <c r="L385" s="603">
        <f>SUM(G385:G387)</f>
        <v>2445.13</v>
      </c>
      <c r="M385" s="187">
        <v>2445.13</v>
      </c>
      <c r="N385" s="604"/>
      <c r="O385" s="635"/>
      <c r="P385" s="636"/>
      <c r="Q385" s="605"/>
    </row>
    <row r="386" spans="1:17">
      <c r="A386" s="934"/>
      <c r="B386" s="506"/>
      <c r="C386" s="48" t="s">
        <v>263</v>
      </c>
      <c r="D386" s="49">
        <v>13.33</v>
      </c>
      <c r="E386" s="41">
        <v>7.4271000000000003</v>
      </c>
      <c r="F386" s="41">
        <f>+E386</f>
        <v>7.4271000000000003</v>
      </c>
      <c r="G386" s="50">
        <f>ROUND(D386*(E386),2)</f>
        <v>99</v>
      </c>
      <c r="H386" s="296"/>
      <c r="I386" s="298"/>
      <c r="J386" s="298"/>
      <c r="K386" s="1021"/>
      <c r="L386" s="606"/>
      <c r="M386" s="935"/>
      <c r="N386" s="607"/>
      <c r="O386" s="608"/>
      <c r="P386" s="609"/>
      <c r="Q386" s="610"/>
    </row>
    <row r="387" spans="1:17" ht="15.75" thickBot="1">
      <c r="A387" s="960"/>
      <c r="B387" s="506"/>
      <c r="C387" s="54" t="s">
        <v>29</v>
      </c>
      <c r="D387" s="296">
        <v>301</v>
      </c>
      <c r="E387" s="56">
        <v>7.4271000000000003</v>
      </c>
      <c r="F387" s="41">
        <f t="shared" ref="F387:F391" si="79">+E387</f>
        <v>7.4271000000000003</v>
      </c>
      <c r="G387" s="50">
        <f t="shared" ref="G387" si="80">ROUND(D387*(E387),2)</f>
        <v>2235.56</v>
      </c>
      <c r="H387" s="296"/>
      <c r="I387" s="298"/>
      <c r="J387" s="298"/>
      <c r="K387" s="1021"/>
      <c r="L387" s="614"/>
      <c r="M387" s="935"/>
      <c r="N387" s="615"/>
      <c r="O387" s="615"/>
      <c r="P387" s="615"/>
      <c r="Q387" s="616"/>
    </row>
    <row r="388" spans="1:17" collapsed="1">
      <c r="A388" s="376">
        <v>308</v>
      </c>
      <c r="B388" s="602" t="s">
        <v>247</v>
      </c>
      <c r="C388" s="439" t="s">
        <v>260</v>
      </c>
      <c r="D388" s="184">
        <f>апр.19!D375+апр.19!D376</f>
        <v>411.45</v>
      </c>
      <c r="E388" s="23">
        <f>7.4271-7.1994</f>
        <v>0.22770000000000046</v>
      </c>
      <c r="F388" s="23">
        <f t="shared" si="79"/>
        <v>0.22770000000000046</v>
      </c>
      <c r="G388" s="185">
        <f>ROUND(D388*(E388),2)+0.01</f>
        <v>93.7</v>
      </c>
      <c r="H388" s="669"/>
      <c r="I388" s="620"/>
      <c r="J388" s="620"/>
      <c r="K388" s="1020"/>
      <c r="L388" s="603">
        <f>SUM(G388:G390)</f>
        <v>1893.1299999999999</v>
      </c>
      <c r="M388" s="187">
        <v>1893.13</v>
      </c>
      <c r="N388" s="604"/>
      <c r="O388" s="635"/>
      <c r="P388" s="636"/>
      <c r="Q388" s="605"/>
    </row>
    <row r="389" spans="1:17">
      <c r="A389" s="934"/>
      <c r="B389" s="506"/>
      <c r="C389" s="48" t="s">
        <v>263</v>
      </c>
      <c r="D389" s="49">
        <v>10.28</v>
      </c>
      <c r="E389" s="41">
        <v>7.4271000000000003</v>
      </c>
      <c r="F389" s="41">
        <f>+E389</f>
        <v>7.4271000000000003</v>
      </c>
      <c r="G389" s="50">
        <f>ROUND(D389*(E389),2)-0.01</f>
        <v>76.339999999999989</v>
      </c>
      <c r="H389" s="296"/>
      <c r="I389" s="298"/>
      <c r="J389" s="298"/>
      <c r="K389" s="1021"/>
      <c r="L389" s="606"/>
      <c r="M389" s="935"/>
      <c r="N389" s="607"/>
      <c r="O389" s="608"/>
      <c r="P389" s="609"/>
      <c r="Q389" s="610"/>
    </row>
    <row r="390" spans="1:17" ht="15.75" thickBot="1">
      <c r="A390" s="960"/>
      <c r="B390" s="506"/>
      <c r="C390" s="54" t="s">
        <v>29</v>
      </c>
      <c r="D390" s="296">
        <v>232</v>
      </c>
      <c r="E390" s="56">
        <v>7.4271000000000003</v>
      </c>
      <c r="F390" s="41">
        <f t="shared" ref="F390" si="81">+E390</f>
        <v>7.4271000000000003</v>
      </c>
      <c r="G390" s="50">
        <f t="shared" ref="G390" si="82">ROUND(D390*(E390),2)</f>
        <v>1723.09</v>
      </c>
      <c r="H390" s="296"/>
      <c r="I390" s="298"/>
      <c r="J390" s="298"/>
      <c r="K390" s="1021"/>
      <c r="L390" s="614"/>
      <c r="M390" s="935"/>
      <c r="N390" s="615"/>
      <c r="O390" s="615"/>
      <c r="P390" s="615"/>
      <c r="Q390" s="616"/>
    </row>
    <row r="391" spans="1:17" ht="15.75" hidden="1" collapsed="1" thickBot="1">
      <c r="A391" s="376" t="s">
        <v>254</v>
      </c>
      <c r="B391" s="602" t="s">
        <v>235</v>
      </c>
      <c r="C391" s="439" t="s">
        <v>260</v>
      </c>
      <c r="D391" s="184"/>
      <c r="E391" s="41">
        <f>7.0643-7.1352</f>
        <v>-7.0899999999999963E-2</v>
      </c>
      <c r="F391" s="23">
        <f t="shared" si="79"/>
        <v>-7.0899999999999963E-2</v>
      </c>
      <c r="G391" s="185">
        <f>ROUND(D391*(E391),2)-0.01</f>
        <v>-0.01</v>
      </c>
      <c r="H391" s="620"/>
      <c r="I391" s="620"/>
      <c r="J391" s="620"/>
      <c r="K391" s="1020"/>
      <c r="L391" s="603">
        <f>SUM(G391:G393)</f>
        <v>-0.01</v>
      </c>
      <c r="M391" s="187"/>
      <c r="N391" s="615"/>
      <c r="O391" s="615"/>
      <c r="P391" s="615"/>
      <c r="Q391" s="615"/>
    </row>
    <row r="392" spans="1:17" ht="15.75" hidden="1" thickBot="1">
      <c r="A392" s="934">
        <v>314</v>
      </c>
      <c r="B392" s="506"/>
      <c r="C392" s="48" t="s">
        <v>263</v>
      </c>
      <c r="D392" s="49"/>
      <c r="E392" s="41">
        <v>7.0643000000000002</v>
      </c>
      <c r="F392" s="41">
        <f>+E392</f>
        <v>7.0643000000000002</v>
      </c>
      <c r="G392" s="50">
        <f>ROUND(D392*(E392),2)</f>
        <v>0</v>
      </c>
      <c r="H392" s="296"/>
      <c r="I392" s="298"/>
      <c r="J392" s="298"/>
      <c r="K392" s="1021"/>
      <c r="L392" s="606"/>
      <c r="M392" s="935"/>
      <c r="N392" s="615"/>
      <c r="O392" s="615"/>
      <c r="P392" s="615"/>
      <c r="Q392" s="615"/>
    </row>
    <row r="393" spans="1:17" ht="15.75" hidden="1" thickBot="1">
      <c r="A393" s="934"/>
      <c r="B393" s="506"/>
      <c r="C393" s="54" t="s">
        <v>29</v>
      </c>
      <c r="D393" s="296"/>
      <c r="E393" s="56">
        <v>7.0643000000000002</v>
      </c>
      <c r="F393" s="41">
        <f t="shared" ref="F393:F396" si="83">+E393</f>
        <v>7.0643000000000002</v>
      </c>
      <c r="G393" s="50">
        <f t="shared" ref="G393" si="84">ROUND(D393*(E393),2)</f>
        <v>0</v>
      </c>
      <c r="H393" s="296"/>
      <c r="I393" s="298"/>
      <c r="J393" s="298"/>
      <c r="K393" s="1021"/>
      <c r="L393" s="614"/>
      <c r="M393" s="935"/>
      <c r="N393" s="615"/>
      <c r="O393" s="615"/>
      <c r="P393" s="615"/>
      <c r="Q393" s="615"/>
    </row>
    <row r="394" spans="1:17" ht="15.75" hidden="1" thickBot="1">
      <c r="A394" s="376">
        <v>311</v>
      </c>
      <c r="B394" s="602" t="s">
        <v>204</v>
      </c>
      <c r="C394" s="439" t="s">
        <v>260</v>
      </c>
      <c r="D394" s="184"/>
      <c r="E394" s="41">
        <f>6.7023-6.509</f>
        <v>0.19329999999999981</v>
      </c>
      <c r="F394" s="23">
        <f t="shared" si="83"/>
        <v>0.19329999999999981</v>
      </c>
      <c r="G394" s="185">
        <f>ROUND(D394*(E394),2)-0.01</f>
        <v>-0.01</v>
      </c>
      <c r="H394" s="620"/>
      <c r="I394" s="620"/>
      <c r="J394" s="620"/>
      <c r="K394" s="1020"/>
      <c r="L394" s="603">
        <f>SUM(G394:G397)</f>
        <v>-0.01</v>
      </c>
      <c r="M394" s="187"/>
      <c r="N394" s="604"/>
      <c r="O394" s="635" t="s">
        <v>274</v>
      </c>
      <c r="P394" s="636"/>
      <c r="Q394" s="605"/>
    </row>
    <row r="395" spans="1:17" ht="15.75" hidden="1" thickBot="1">
      <c r="A395" s="389"/>
      <c r="B395" s="939" t="s">
        <v>273</v>
      </c>
      <c r="C395" s="48" t="s">
        <v>263</v>
      </c>
      <c r="D395" s="49"/>
      <c r="E395" s="41">
        <v>6.7023000000000001</v>
      </c>
      <c r="F395" s="41">
        <f t="shared" si="83"/>
        <v>6.7023000000000001</v>
      </c>
      <c r="G395" s="50">
        <f>ROUND(D395*(E395),2)</f>
        <v>0</v>
      </c>
      <c r="H395" s="296"/>
      <c r="I395" s="298"/>
      <c r="J395" s="298"/>
      <c r="K395" s="1021"/>
      <c r="L395" s="606"/>
      <c r="M395" s="935"/>
      <c r="N395" s="607"/>
      <c r="O395" s="608"/>
      <c r="P395" s="609"/>
      <c r="Q395" s="610"/>
    </row>
    <row r="396" spans="1:17" ht="15.75" hidden="1" thickBot="1">
      <c r="A396" s="936"/>
      <c r="B396" s="506"/>
      <c r="C396" s="99" t="s">
        <v>29</v>
      </c>
      <c r="D396" s="296"/>
      <c r="E396" s="101">
        <v>6.7023000000000001</v>
      </c>
      <c r="F396" s="41">
        <f t="shared" si="83"/>
        <v>6.7023000000000001</v>
      </c>
      <c r="G396" s="50">
        <f>ROUND(D396*(E396),2)</f>
        <v>0</v>
      </c>
      <c r="H396" s="296"/>
      <c r="I396" s="298"/>
      <c r="J396" s="298"/>
      <c r="K396" s="1027"/>
      <c r="L396" s="614"/>
      <c r="M396" s="935"/>
      <c r="N396" s="615"/>
      <c r="O396" s="615"/>
      <c r="P396" s="615"/>
      <c r="Q396" s="616"/>
    </row>
    <row r="397" spans="1:17" ht="15.75" hidden="1" thickBot="1">
      <c r="A397" s="937"/>
      <c r="B397" s="278"/>
      <c r="C397" s="784"/>
      <c r="D397" s="941"/>
      <c r="E397" s="281"/>
      <c r="F397" s="57"/>
      <c r="G397" s="58">
        <f>ROUND(D397*(E397),2)</f>
        <v>0</v>
      </c>
      <c r="H397" s="613"/>
      <c r="I397" s="57"/>
      <c r="J397" s="57"/>
      <c r="K397" s="1028"/>
      <c r="L397" s="784"/>
      <c r="M397" s="938"/>
      <c r="N397" s="626"/>
      <c r="O397" s="626"/>
      <c r="P397" s="626"/>
      <c r="Q397" s="626"/>
    </row>
    <row r="398" spans="1:17" ht="15.75" hidden="1" collapsed="1" thickBot="1">
      <c r="A398" s="376">
        <v>311</v>
      </c>
      <c r="B398" s="602" t="s">
        <v>278</v>
      </c>
      <c r="C398" s="439" t="s">
        <v>260</v>
      </c>
      <c r="D398" s="184"/>
      <c r="E398" s="41">
        <f>7.2025-6.7838</f>
        <v>0.41869999999999941</v>
      </c>
      <c r="F398" s="23">
        <f t="shared" ref="F398" si="85">+E398</f>
        <v>0.41869999999999941</v>
      </c>
      <c r="G398" s="185">
        <f>ROUND(D398*(E398),2)</f>
        <v>0</v>
      </c>
      <c r="H398" s="620"/>
      <c r="I398" s="620"/>
      <c r="J398" s="620"/>
      <c r="K398" s="1020"/>
      <c r="L398" s="603">
        <f>SUM(G398:G400)</f>
        <v>0</v>
      </c>
      <c r="M398" s="187"/>
      <c r="N398" s="615"/>
      <c r="O398" s="615"/>
      <c r="P398" s="615"/>
      <c r="Q398" s="615"/>
    </row>
    <row r="399" spans="1:17" ht="15.75" hidden="1" thickBot="1">
      <c r="A399" s="934"/>
      <c r="B399" s="506"/>
      <c r="C399" s="48" t="s">
        <v>263</v>
      </c>
      <c r="D399" s="49"/>
      <c r="E399" s="41">
        <v>7.2024999999999997</v>
      </c>
      <c r="F399" s="41">
        <f>+E399</f>
        <v>7.2024999999999997</v>
      </c>
      <c r="G399" s="50">
        <f>ROUND(D399*(E399),2)</f>
        <v>0</v>
      </c>
      <c r="H399" s="296"/>
      <c r="I399" s="298"/>
      <c r="J399" s="298"/>
      <c r="K399" s="1021"/>
      <c r="L399" s="606"/>
      <c r="M399" s="935"/>
      <c r="N399" s="615"/>
      <c r="O399" s="615"/>
      <c r="P399" s="615"/>
      <c r="Q399" s="615"/>
    </row>
    <row r="400" spans="1:17" ht="15.75" hidden="1" thickBot="1">
      <c r="A400" s="934"/>
      <c r="B400" s="506"/>
      <c r="C400" s="54" t="s">
        <v>29</v>
      </c>
      <c r="D400" s="296"/>
      <c r="E400" s="56">
        <v>7.2024999999999997</v>
      </c>
      <c r="F400" s="41">
        <f t="shared" ref="F400" si="86">+E400</f>
        <v>7.2024999999999997</v>
      </c>
      <c r="G400" s="50">
        <f t="shared" ref="G400" si="87">ROUND(D400*(E400),2)</f>
        <v>0</v>
      </c>
      <c r="H400" s="296"/>
      <c r="I400" s="298"/>
      <c r="J400" s="298"/>
      <c r="K400" s="1021"/>
      <c r="L400" s="614"/>
      <c r="M400" s="935"/>
      <c r="N400" s="615"/>
      <c r="O400" s="615"/>
      <c r="P400" s="615"/>
      <c r="Q400" s="615"/>
    </row>
    <row r="401" spans="1:20" ht="15.75" hidden="1" collapsed="1" thickBot="1">
      <c r="A401" s="376">
        <v>314</v>
      </c>
      <c r="B401" s="602" t="s">
        <v>235</v>
      </c>
      <c r="C401" s="439" t="s">
        <v>149</v>
      </c>
      <c r="D401" s="184"/>
      <c r="E401" s="41">
        <f>6.509-6.4709</f>
        <v>3.8100000000000023E-2</v>
      </c>
      <c r="F401" s="23">
        <f t="shared" ref="F401" si="88">+E401</f>
        <v>3.8100000000000023E-2</v>
      </c>
      <c r="G401" s="185">
        <f>ROUND(D401*(E401),2)</f>
        <v>0</v>
      </c>
      <c r="H401" s="620"/>
      <c r="I401" s="620"/>
      <c r="J401" s="620"/>
      <c r="K401" s="1020"/>
      <c r="L401" s="603">
        <f>SUM(G401:G403)</f>
        <v>0</v>
      </c>
      <c r="M401" s="187"/>
      <c r="N401" s="615"/>
      <c r="O401" s="967" t="s">
        <v>249</v>
      </c>
      <c r="P401" s="615"/>
      <c r="Q401" s="615"/>
    </row>
    <row r="402" spans="1:20" ht="15.75" hidden="1" thickBot="1">
      <c r="A402" s="934"/>
      <c r="B402" s="516" t="s">
        <v>246</v>
      </c>
      <c r="C402" s="48" t="s">
        <v>150</v>
      </c>
      <c r="D402" s="49"/>
      <c r="E402" s="41">
        <v>6.5090000000000003</v>
      </c>
      <c r="F402" s="41">
        <f>+E402</f>
        <v>6.5090000000000003</v>
      </c>
      <c r="G402" s="50">
        <f>ROUND(D402*(E402),2)</f>
        <v>0</v>
      </c>
      <c r="H402" s="296"/>
      <c r="I402" s="298"/>
      <c r="J402" s="298"/>
      <c r="K402" s="1021"/>
      <c r="L402" s="606"/>
      <c r="M402" s="935"/>
      <c r="N402" s="615"/>
      <c r="O402" s="615"/>
      <c r="P402" s="615"/>
      <c r="Q402" s="615"/>
    </row>
    <row r="403" spans="1:20" ht="15.75" hidden="1" thickBot="1">
      <c r="A403" s="942"/>
      <c r="B403" s="982"/>
      <c r="C403" s="54" t="s">
        <v>29</v>
      </c>
      <c r="D403" s="613"/>
      <c r="E403" s="56">
        <v>6.5090000000000003</v>
      </c>
      <c r="F403" s="281">
        <f t="shared" ref="F403:F404" si="89">+E403</f>
        <v>6.5090000000000003</v>
      </c>
      <c r="G403" s="58">
        <f t="shared" ref="G403" si="90">ROUND(D403*(E403),2)</f>
        <v>0</v>
      </c>
      <c r="H403" s="613"/>
      <c r="I403" s="57"/>
      <c r="J403" s="57"/>
      <c r="K403" s="1029"/>
      <c r="L403" s="783"/>
      <c r="M403" s="938"/>
      <c r="N403" s="615"/>
      <c r="O403" s="615"/>
      <c r="P403" s="615"/>
      <c r="Q403" s="615"/>
    </row>
    <row r="404" spans="1:20" collapsed="1">
      <c r="A404" s="376">
        <v>316</v>
      </c>
      <c r="B404" s="602" t="s">
        <v>288</v>
      </c>
      <c r="C404" s="439" t="s">
        <v>260</v>
      </c>
      <c r="D404" s="184">
        <f>апр.19!D395+апр.19!D396</f>
        <v>159.78</v>
      </c>
      <c r="E404" s="41">
        <f>7.4271-7.1994</f>
        <v>0.22770000000000046</v>
      </c>
      <c r="F404" s="23">
        <f t="shared" si="89"/>
        <v>0.22770000000000046</v>
      </c>
      <c r="G404" s="185">
        <f>ROUND(D404*(E404),2)</f>
        <v>36.380000000000003</v>
      </c>
      <c r="H404" s="620"/>
      <c r="I404" s="620"/>
      <c r="J404" s="620"/>
      <c r="K404" s="1020"/>
      <c r="L404" s="603">
        <f>SUM(G404:G406)</f>
        <v>703.41000000000008</v>
      </c>
      <c r="M404" s="187">
        <v>703.41</v>
      </c>
      <c r="N404" s="615"/>
      <c r="O404" s="615"/>
      <c r="P404" s="615"/>
      <c r="Q404" s="615"/>
    </row>
    <row r="405" spans="1:20">
      <c r="A405" s="934"/>
      <c r="B405" s="506"/>
      <c r="C405" s="48" t="s">
        <v>263</v>
      </c>
      <c r="D405" s="49">
        <v>3.81</v>
      </c>
      <c r="E405" s="41">
        <v>7.4271000000000003</v>
      </c>
      <c r="F405" s="41">
        <f>+E405</f>
        <v>7.4271000000000003</v>
      </c>
      <c r="G405" s="50">
        <f>ROUND(D405*(E405),2)</f>
        <v>28.3</v>
      </c>
      <c r="H405" s="296"/>
      <c r="I405" s="298"/>
      <c r="J405" s="298"/>
      <c r="K405" s="1021"/>
      <c r="L405" s="606"/>
      <c r="M405" s="935"/>
      <c r="N405" s="615"/>
      <c r="O405" s="615"/>
      <c r="P405" s="615"/>
      <c r="Q405" s="615"/>
    </row>
    <row r="406" spans="1:20" ht="15.75" thickBot="1">
      <c r="A406" s="934"/>
      <c r="B406" s="506"/>
      <c r="C406" s="54" t="s">
        <v>29</v>
      </c>
      <c r="D406" s="296">
        <v>86</v>
      </c>
      <c r="E406" s="56">
        <v>7.4271000000000003</v>
      </c>
      <c r="F406" s="41">
        <f t="shared" ref="F406" si="91">+E406</f>
        <v>7.4271000000000003</v>
      </c>
      <c r="G406" s="50">
        <f t="shared" ref="G406" si="92">ROUND(D406*(E406),2)</f>
        <v>638.73</v>
      </c>
      <c r="H406" s="296"/>
      <c r="I406" s="298"/>
      <c r="J406" s="298"/>
      <c r="K406" s="1021"/>
      <c r="L406" s="614"/>
      <c r="M406" s="935"/>
      <c r="N406" s="615"/>
      <c r="O406" s="615"/>
      <c r="P406" s="615"/>
      <c r="Q406" s="615"/>
    </row>
    <row r="407" spans="1:20">
      <c r="A407" s="376">
        <v>403</v>
      </c>
      <c r="B407" s="602" t="s">
        <v>279</v>
      </c>
      <c r="C407" s="618" t="s">
        <v>73</v>
      </c>
      <c r="D407" s="619">
        <v>2</v>
      </c>
      <c r="E407" s="21">
        <v>41.244</v>
      </c>
      <c r="F407" s="21">
        <v>48.335999999999999</v>
      </c>
      <c r="G407" s="185">
        <f>ROUND(D407*(E407+F407),2)</f>
        <v>179.16</v>
      </c>
      <c r="H407" s="620"/>
      <c r="I407" s="620"/>
      <c r="J407" s="620"/>
      <c r="K407" s="454"/>
      <c r="L407" s="603">
        <f>SUM(G407:G413,J407:J413)</f>
        <v>1499.03</v>
      </c>
      <c r="M407" s="187">
        <v>1499.03</v>
      </c>
      <c r="N407" s="621"/>
      <c r="O407" s="621"/>
      <c r="P407" s="621"/>
      <c r="Q407" s="622"/>
    </row>
    <row r="408" spans="1:20">
      <c r="A408" s="936"/>
      <c r="B408" s="612"/>
      <c r="C408" s="542" t="s">
        <v>96</v>
      </c>
      <c r="D408" s="234"/>
      <c r="E408" s="38"/>
      <c r="F408" s="38"/>
      <c r="G408" s="235">
        <f>ROUND(D408*(E408+F408),2)</f>
        <v>0</v>
      </c>
      <c r="H408" s="298"/>
      <c r="I408" s="298"/>
      <c r="J408" s="298"/>
      <c r="K408" s="455"/>
      <c r="L408" s="606"/>
      <c r="M408" s="935"/>
      <c r="N408" s="615"/>
      <c r="O408" s="615"/>
      <c r="P408" s="615"/>
      <c r="Q408" s="616"/>
    </row>
    <row r="409" spans="1:20">
      <c r="A409" s="389"/>
      <c r="B409" s="516"/>
      <c r="C409" s="99" t="s">
        <v>90</v>
      </c>
      <c r="D409" s="508">
        <v>2</v>
      </c>
      <c r="E409" s="101">
        <v>276.93</v>
      </c>
      <c r="F409" s="38">
        <f>F407</f>
        <v>48.335999999999999</v>
      </c>
      <c r="G409" s="50">
        <f>ROUND(D409*(E409+F409),2)</f>
        <v>650.53</v>
      </c>
      <c r="H409" s="270"/>
      <c r="I409" s="41"/>
      <c r="J409" s="409"/>
      <c r="K409" s="1026"/>
      <c r="L409" s="597"/>
      <c r="M409" s="99"/>
      <c r="N409" s="518"/>
      <c r="O409" s="519"/>
      <c r="P409" s="515"/>
      <c r="Q409" s="271"/>
      <c r="R409" s="502"/>
      <c r="S409" s="503"/>
      <c r="T409" s="504"/>
    </row>
    <row r="410" spans="1:20">
      <c r="A410" s="389"/>
      <c r="B410" s="506"/>
      <c r="C410" s="390" t="s">
        <v>97</v>
      </c>
      <c r="D410" s="508">
        <f>апр.19!D399</f>
        <v>2</v>
      </c>
      <c r="E410" s="41">
        <f>276.93-343.14</f>
        <v>-66.20999999999998</v>
      </c>
      <c r="F410" s="38">
        <f>F408</f>
        <v>0</v>
      </c>
      <c r="G410" s="50">
        <f>D410*(E410+F410)</f>
        <v>-132.41999999999996</v>
      </c>
      <c r="H410" s="432"/>
      <c r="I410" s="362"/>
      <c r="J410" s="41"/>
      <c r="K410" s="1026"/>
      <c r="L410" s="597"/>
      <c r="M410" s="99"/>
      <c r="N410" s="521"/>
      <c r="O410" s="522"/>
      <c r="P410" s="523"/>
      <c r="Q410" s="362"/>
      <c r="R410" s="502"/>
      <c r="S410" s="503"/>
      <c r="T410" s="504"/>
    </row>
    <row r="411" spans="1:20">
      <c r="A411" s="936"/>
      <c r="B411" s="612"/>
      <c r="C411" s="48" t="s">
        <v>260</v>
      </c>
      <c r="D411" s="623">
        <f>апр.19!D402+апр.19!D403</f>
        <v>114.87</v>
      </c>
      <c r="E411" s="41">
        <f>7.4271-7.1994</f>
        <v>0.22770000000000046</v>
      </c>
      <c r="F411" s="41">
        <f t="shared" ref="F411:F413" si="93">+E411</f>
        <v>0.22770000000000046</v>
      </c>
      <c r="G411" s="50">
        <f>ROUND(D411*(E411),2)-0.01</f>
        <v>26.15</v>
      </c>
      <c r="H411" s="298"/>
      <c r="I411" s="298"/>
      <c r="J411" s="298"/>
      <c r="K411" s="455"/>
      <c r="L411" s="614"/>
      <c r="M411" s="935"/>
      <c r="N411" s="615"/>
      <c r="O411" s="615"/>
      <c r="P411" s="615"/>
      <c r="Q411" s="616"/>
    </row>
    <row r="412" spans="1:20">
      <c r="A412" s="936"/>
      <c r="B412" s="612"/>
      <c r="C412" s="48" t="s">
        <v>263</v>
      </c>
      <c r="D412" s="623">
        <v>4.43</v>
      </c>
      <c r="E412" s="41">
        <v>7.4271000000000003</v>
      </c>
      <c r="F412" s="41">
        <f t="shared" si="93"/>
        <v>7.4271000000000003</v>
      </c>
      <c r="G412" s="39">
        <f>ROUND(D412*(E412),2)</f>
        <v>32.9</v>
      </c>
      <c r="H412" s="298"/>
      <c r="I412" s="298"/>
      <c r="J412" s="298"/>
      <c r="K412" s="455"/>
      <c r="L412" s="614"/>
      <c r="M412" s="273"/>
      <c r="N412" s="615"/>
      <c r="O412" s="615"/>
      <c r="P412" s="615"/>
      <c r="Q412" s="616"/>
    </row>
    <row r="413" spans="1:20" ht="15.75" thickBot="1">
      <c r="A413" s="937"/>
      <c r="B413" s="526"/>
      <c r="C413" s="99" t="s">
        <v>29</v>
      </c>
      <c r="D413" s="995">
        <v>100</v>
      </c>
      <c r="E413" s="56">
        <v>7.4271000000000003</v>
      </c>
      <c r="F413" s="281">
        <f t="shared" si="93"/>
        <v>7.4271000000000003</v>
      </c>
      <c r="G413" s="414">
        <f>ROUND(D413*(E413),2)</f>
        <v>742.71</v>
      </c>
      <c r="H413" s="41"/>
      <c r="I413" s="41"/>
      <c r="J413" s="281"/>
      <c r="K413" s="56"/>
      <c r="L413" s="784"/>
      <c r="M413" s="938"/>
      <c r="N413" s="626"/>
      <c r="O413" s="626"/>
      <c r="P413" s="626"/>
      <c r="Q413" s="627"/>
    </row>
    <row r="414" spans="1:20" collapsed="1">
      <c r="A414" s="353" t="s">
        <v>203</v>
      </c>
      <c r="B414" s="494" t="s">
        <v>104</v>
      </c>
      <c r="C414" s="71" t="s">
        <v>243</v>
      </c>
      <c r="D414" s="495">
        <v>43</v>
      </c>
      <c r="E414" s="21">
        <v>41.244</v>
      </c>
      <c r="F414" s="21">
        <v>48.335999999999999</v>
      </c>
      <c r="G414" s="185">
        <f>ROUND(D414*(E414+F414),2)</f>
        <v>3851.94</v>
      </c>
      <c r="H414" s="496"/>
      <c r="I414" s="73"/>
      <c r="J414" s="73"/>
      <c r="K414" s="679"/>
      <c r="L414" s="439">
        <f>SUM(G414:G421)+SUM(J414:J420)</f>
        <v>17143.27</v>
      </c>
      <c r="M414" s="26">
        <v>17143.27</v>
      </c>
      <c r="N414" s="499"/>
      <c r="O414" s="500"/>
      <c r="P414" s="501" t="s">
        <v>87</v>
      </c>
      <c r="Q414" s="185" t="e">
        <f t="shared" ref="Q414" si="94">C414+G414+J414-M414-N414-O414</f>
        <v>#VALUE!</v>
      </c>
      <c r="R414" s="502" t="s">
        <v>88</v>
      </c>
      <c r="S414" s="503"/>
      <c r="T414" s="504"/>
    </row>
    <row r="415" spans="1:20">
      <c r="A415" s="934">
        <v>417</v>
      </c>
      <c r="B415" s="506"/>
      <c r="C415" s="599" t="s">
        <v>96</v>
      </c>
      <c r="D415" s="234"/>
      <c r="E415" s="38"/>
      <c r="F415" s="38"/>
      <c r="G415" s="235">
        <f>ROUND(D415*(E415+F415),2)</f>
        <v>0</v>
      </c>
      <c r="H415" s="448"/>
      <c r="I415" s="509"/>
      <c r="J415" s="409"/>
      <c r="K415" s="1026"/>
      <c r="L415" s="48"/>
      <c r="M415" s="512"/>
      <c r="N415" s="513"/>
      <c r="O415" s="514"/>
      <c r="P415" s="515"/>
      <c r="Q415" s="262"/>
      <c r="R415" s="502"/>
      <c r="S415" s="503"/>
      <c r="T415" s="504"/>
    </row>
    <row r="416" spans="1:20">
      <c r="A416" s="934"/>
      <c r="B416" s="516" t="s">
        <v>89</v>
      </c>
      <c r="C416" s="512" t="s">
        <v>90</v>
      </c>
      <c r="D416" s="508">
        <v>0</v>
      </c>
      <c r="E416" s="101">
        <v>276.93</v>
      </c>
      <c r="F416" s="38">
        <f>F33</f>
        <v>48.335999999999999</v>
      </c>
      <c r="G416" s="50">
        <f>ROUND(D416*(E416+F416),2)</f>
        <v>0</v>
      </c>
      <c r="H416" s="270"/>
      <c r="I416" s="41"/>
      <c r="J416" s="409"/>
      <c r="K416" s="1026"/>
      <c r="L416" s="600"/>
      <c r="M416" s="99"/>
      <c r="N416" s="518"/>
      <c r="O416" s="519"/>
      <c r="P416" s="515" t="s">
        <v>87</v>
      </c>
      <c r="Q416" s="271">
        <f>+G416+J416-M416-N416-O416</f>
        <v>0</v>
      </c>
      <c r="R416" s="502" t="s">
        <v>88</v>
      </c>
      <c r="S416" s="503"/>
      <c r="T416" s="504"/>
    </row>
    <row r="417" spans="1:21">
      <c r="A417" s="934"/>
      <c r="B417" s="541"/>
      <c r="C417" s="84" t="s">
        <v>97</v>
      </c>
      <c r="D417" s="508">
        <f>апр.19!D406</f>
        <v>4</v>
      </c>
      <c r="E417" s="41">
        <f>276.93-343.14</f>
        <v>-66.20999999999998</v>
      </c>
      <c r="F417" s="38">
        <f>F415</f>
        <v>0</v>
      </c>
      <c r="G417" s="50">
        <f>ROUND(D417*(E417+F417),2)</f>
        <v>-264.83999999999997</v>
      </c>
      <c r="H417" s="432"/>
      <c r="I417" s="362"/>
      <c r="J417" s="41"/>
      <c r="K417" s="1026"/>
      <c r="L417" s="600"/>
      <c r="M417" s="520"/>
      <c r="N417" s="521"/>
      <c r="O417" s="522"/>
      <c r="P417" s="523"/>
      <c r="Q417" s="362"/>
      <c r="R417" s="502"/>
      <c r="S417" s="503"/>
      <c r="T417" s="504"/>
    </row>
    <row r="418" spans="1:21">
      <c r="A418" s="934"/>
      <c r="B418" s="541"/>
      <c r="C418" s="84" t="s">
        <v>97</v>
      </c>
      <c r="D418" s="508"/>
      <c r="E418" s="41"/>
      <c r="F418" s="41"/>
      <c r="G418" s="50">
        <f>D418*(E418+F418)</f>
        <v>0</v>
      </c>
      <c r="H418" s="432"/>
      <c r="I418" s="362"/>
      <c r="J418" s="41"/>
      <c r="K418" s="1026"/>
      <c r="L418" s="600"/>
      <c r="M418" s="520"/>
      <c r="N418" s="521"/>
      <c r="O418" s="522"/>
      <c r="P418" s="523"/>
      <c r="Q418" s="362"/>
      <c r="R418" s="502"/>
      <c r="S418" s="503"/>
      <c r="T418" s="504"/>
    </row>
    <row r="419" spans="1:21">
      <c r="A419" s="934"/>
      <c r="B419" s="506"/>
      <c r="C419" s="48" t="s">
        <v>260</v>
      </c>
      <c r="D419" s="37">
        <f>апр.19!D410+апр.19!D411</f>
        <v>2615.9699999999998</v>
      </c>
      <c r="E419" s="41">
        <f>7.4271-7.1994</f>
        <v>0.22770000000000046</v>
      </c>
      <c r="F419" s="297">
        <f t="shared" ref="F419:F421" si="95">+E419</f>
        <v>0.22770000000000046</v>
      </c>
      <c r="G419" s="39">
        <f>ROUND(D419*(E419),2)</f>
        <v>595.66</v>
      </c>
      <c r="H419" s="432"/>
      <c r="I419" s="362"/>
      <c r="J419" s="41"/>
      <c r="K419" s="1026"/>
      <c r="L419" s="600"/>
      <c r="M419" s="520"/>
      <c r="N419" s="521"/>
      <c r="O419" s="522"/>
      <c r="P419" s="523"/>
      <c r="Q419" s="362"/>
      <c r="R419" s="502"/>
      <c r="S419" s="503"/>
      <c r="T419" s="504"/>
    </row>
    <row r="420" spans="1:21">
      <c r="A420" s="934"/>
      <c r="B420" s="506"/>
      <c r="C420" s="48" t="s">
        <v>263</v>
      </c>
      <c r="D420" s="37">
        <v>74.03</v>
      </c>
      <c r="E420" s="41">
        <v>7.4271000000000003</v>
      </c>
      <c r="F420" s="298">
        <f t="shared" si="95"/>
        <v>7.4271000000000003</v>
      </c>
      <c r="G420" s="39">
        <f>ROUND(D420*(E420),2)</f>
        <v>549.83000000000004</v>
      </c>
      <c r="H420" s="432"/>
      <c r="I420" s="362"/>
      <c r="J420" s="41"/>
      <c r="K420" s="1026"/>
      <c r="L420" s="600"/>
      <c r="M420" s="520"/>
      <c r="N420" s="521"/>
      <c r="O420" s="522"/>
      <c r="P420" s="523"/>
      <c r="Q420" s="362"/>
      <c r="R420" s="502"/>
      <c r="S420" s="503"/>
      <c r="T420" s="504"/>
      <c r="U420" s="33"/>
    </row>
    <row r="421" spans="1:21" ht="15.75" thickBot="1">
      <c r="A421" s="934"/>
      <c r="B421" s="526"/>
      <c r="C421" s="99" t="s">
        <v>29</v>
      </c>
      <c r="D421" s="55">
        <v>1671</v>
      </c>
      <c r="E421" s="56">
        <v>7.4271000000000003</v>
      </c>
      <c r="F421" s="57">
        <f t="shared" si="95"/>
        <v>7.4271000000000003</v>
      </c>
      <c r="G421" s="414">
        <f>ROUND(D421*(E421),2)</f>
        <v>12410.68</v>
      </c>
      <c r="H421" s="248"/>
      <c r="I421" s="203"/>
      <c r="J421" s="60"/>
      <c r="K421" s="1024"/>
      <c r="L421" s="204"/>
      <c r="M421" s="54"/>
      <c r="N421" s="527"/>
      <c r="O421" s="528"/>
      <c r="P421" s="529" t="s">
        <v>87</v>
      </c>
      <c r="Q421" s="362">
        <f>+G421+J421-M421-N421-O421</f>
        <v>12410.68</v>
      </c>
      <c r="R421" s="502" t="s">
        <v>88</v>
      </c>
      <c r="S421" s="598">
        <f>SUM(N414:N421)+O414:O421</f>
        <v>0</v>
      </c>
      <c r="T421" s="598" t="e">
        <f>SUM(Q414:Q421)</f>
        <v>#VALUE!</v>
      </c>
    </row>
    <row r="422" spans="1:21">
      <c r="A422" s="376">
        <v>407</v>
      </c>
      <c r="B422" s="494" t="s">
        <v>108</v>
      </c>
      <c r="C422" s="71" t="e">
        <f>+[1]дек!U87</f>
        <v>#REF!</v>
      </c>
      <c r="D422" s="495">
        <v>2</v>
      </c>
      <c r="E422" s="21">
        <v>41.244</v>
      </c>
      <c r="F422" s="21">
        <v>48.335999999999999</v>
      </c>
      <c r="G422" s="185">
        <f>ROUND(D422*(E422+F422),2)</f>
        <v>179.16</v>
      </c>
      <c r="H422" s="496"/>
      <c r="I422" s="73"/>
      <c r="J422" s="73"/>
      <c r="K422" s="679"/>
      <c r="L422" s="498">
        <f>SUM(G422:G428)+SUM(J422:J427)</f>
        <v>3694.75</v>
      </c>
      <c r="M422" s="26">
        <v>3694.75</v>
      </c>
      <c r="N422" s="499"/>
      <c r="O422" s="500"/>
      <c r="P422" s="501" t="s">
        <v>87</v>
      </c>
      <c r="Q422" s="304" t="e">
        <f t="shared" ref="Q422:Q424" si="96">C422+G422+J422-M422-N422-O422</f>
        <v>#REF!</v>
      </c>
    </row>
    <row r="423" spans="1:21">
      <c r="A423" s="389"/>
      <c r="B423" s="506"/>
      <c r="C423" s="542" t="s">
        <v>96</v>
      </c>
      <c r="D423" s="234"/>
      <c r="E423" s="38"/>
      <c r="F423" s="38"/>
      <c r="G423" s="235">
        <f>ROUND(D423*(E423+F423),2)</f>
        <v>0</v>
      </c>
      <c r="H423" s="448"/>
      <c r="I423" s="509"/>
      <c r="J423" s="409"/>
      <c r="K423" s="1026"/>
      <c r="L423" s="632"/>
      <c r="M423" s="512"/>
      <c r="N423" s="513"/>
      <c r="O423" s="514"/>
      <c r="P423" s="515"/>
      <c r="Q423" s="262"/>
    </row>
    <row r="424" spans="1:21">
      <c r="A424" s="389"/>
      <c r="B424" s="516" t="s">
        <v>109</v>
      </c>
      <c r="C424" s="633"/>
      <c r="D424" s="508">
        <v>0</v>
      </c>
      <c r="E424" s="101">
        <v>276.93</v>
      </c>
      <c r="F424" s="38">
        <f>F422</f>
        <v>48.335999999999999</v>
      </c>
      <c r="G424" s="50">
        <f>D424*(E424+F424)</f>
        <v>0</v>
      </c>
      <c r="H424" s="270"/>
      <c r="I424" s="41"/>
      <c r="J424" s="409"/>
      <c r="K424" s="1026"/>
      <c r="L424" s="597"/>
      <c r="M424" s="99"/>
      <c r="N424" s="518"/>
      <c r="O424" s="519"/>
      <c r="P424" s="515" t="s">
        <v>87</v>
      </c>
      <c r="Q424" s="271">
        <f t="shared" si="96"/>
        <v>0</v>
      </c>
    </row>
    <row r="425" spans="1:21">
      <c r="A425" s="389"/>
      <c r="B425" s="541"/>
      <c r="C425" s="84" t="s">
        <v>97</v>
      </c>
      <c r="D425" s="508">
        <v>0</v>
      </c>
      <c r="E425" s="41">
        <f>276.93-343.14</f>
        <v>-66.20999999999998</v>
      </c>
      <c r="F425" s="41">
        <f>F423</f>
        <v>0</v>
      </c>
      <c r="G425" s="50">
        <f>D425*(E425+F425)</f>
        <v>0</v>
      </c>
      <c r="H425" s="432"/>
      <c r="I425" s="362"/>
      <c r="J425" s="207"/>
      <c r="K425" s="1026"/>
      <c r="L425" s="597"/>
      <c r="M425" s="520"/>
      <c r="N425" s="521"/>
      <c r="O425" s="522"/>
      <c r="P425" s="523"/>
      <c r="Q425" s="362"/>
    </row>
    <row r="426" spans="1:21">
      <c r="A426" s="389"/>
      <c r="B426" s="506"/>
      <c r="C426" s="48" t="s">
        <v>260</v>
      </c>
      <c r="D426" s="37">
        <f>апр.19!D417+апр.19!D418</f>
        <v>417.72</v>
      </c>
      <c r="E426" s="41">
        <f>7.4271-7.1994</f>
        <v>0.22770000000000046</v>
      </c>
      <c r="F426" s="41">
        <f>+E426</f>
        <v>0.22770000000000046</v>
      </c>
      <c r="G426" s="39">
        <f>ROUND(D426*(E426),2)</f>
        <v>95.11</v>
      </c>
      <c r="H426" s="432"/>
      <c r="I426" s="362"/>
      <c r="J426" s="207"/>
      <c r="K426" s="1026"/>
      <c r="L426" s="597"/>
      <c r="M426" s="520"/>
      <c r="N426" s="521"/>
      <c r="O426" s="522"/>
      <c r="P426" s="523"/>
      <c r="Q426" s="362"/>
    </row>
    <row r="427" spans="1:21">
      <c r="A427" s="389"/>
      <c r="B427" s="506"/>
      <c r="C427" s="48" t="s">
        <v>263</v>
      </c>
      <c r="D427" s="37">
        <v>19.54</v>
      </c>
      <c r="E427" s="41">
        <v>7.4271000000000003</v>
      </c>
      <c r="F427" s="41">
        <f>+E427</f>
        <v>7.4271000000000003</v>
      </c>
      <c r="G427" s="39">
        <f t="shared" ref="G427:G428" si="97">ROUND(D427*(E427),2)</f>
        <v>145.13</v>
      </c>
      <c r="H427" s="432"/>
      <c r="I427" s="362"/>
      <c r="J427" s="207"/>
      <c r="K427" s="1026"/>
      <c r="L427" s="597"/>
      <c r="M427" s="520"/>
      <c r="N427" s="521"/>
      <c r="O427" s="522"/>
      <c r="P427" s="523"/>
      <c r="Q427" s="362"/>
    </row>
    <row r="428" spans="1:21" ht="15.75" thickBot="1">
      <c r="A428" s="411"/>
      <c r="B428" s="526"/>
      <c r="C428" s="54" t="s">
        <v>29</v>
      </c>
      <c r="D428" s="55">
        <v>441</v>
      </c>
      <c r="E428" s="56">
        <v>7.4271000000000003</v>
      </c>
      <c r="F428" s="281">
        <f>+E428</f>
        <v>7.4271000000000003</v>
      </c>
      <c r="G428" s="414">
        <f t="shared" si="97"/>
        <v>3275.35</v>
      </c>
      <c r="H428" s="248"/>
      <c r="I428" s="203"/>
      <c r="J428" s="60"/>
      <c r="K428" s="1024"/>
      <c r="L428" s="249"/>
      <c r="M428" s="54"/>
      <c r="N428" s="527"/>
      <c r="O428" s="528"/>
      <c r="P428" s="529" t="s">
        <v>87</v>
      </c>
      <c r="Q428" s="282">
        <f>+G428+J428-M428-N428-O428</f>
        <v>3275.35</v>
      </c>
    </row>
    <row r="429" spans="1:21" collapsed="1">
      <c r="A429" s="376">
        <v>411</v>
      </c>
      <c r="B429" s="602" t="s">
        <v>127</v>
      </c>
      <c r="C429" s="439" t="s">
        <v>260</v>
      </c>
      <c r="D429" s="184">
        <f>апр.19!D420+апр.19!D421</f>
        <v>641.20000000000005</v>
      </c>
      <c r="E429" s="23">
        <f>7.4271-7.1994</f>
        <v>0.22770000000000046</v>
      </c>
      <c r="F429" s="23">
        <f t="shared" ref="F429" si="98">+E429</f>
        <v>0.22770000000000046</v>
      </c>
      <c r="G429" s="185">
        <f>ROUND(D429*(E429),2)</f>
        <v>146</v>
      </c>
      <c r="H429" s="669"/>
      <c r="I429" s="620"/>
      <c r="J429" s="620"/>
      <c r="K429" s="1020"/>
      <c r="L429" s="603">
        <f>SUM(G429:G432)</f>
        <v>2798.59</v>
      </c>
      <c r="M429" s="187">
        <v>2798.59</v>
      </c>
      <c r="N429" s="604"/>
      <c r="O429" s="635"/>
      <c r="P429" s="636"/>
      <c r="Q429" s="605"/>
    </row>
    <row r="430" spans="1:21">
      <c r="A430" s="934"/>
      <c r="B430" s="506"/>
      <c r="C430" s="48" t="s">
        <v>263</v>
      </c>
      <c r="D430" s="49">
        <v>15.15</v>
      </c>
      <c r="E430" s="41">
        <v>7.4271000000000003</v>
      </c>
      <c r="F430" s="41">
        <f>+E430</f>
        <v>7.4271000000000003</v>
      </c>
      <c r="G430" s="50">
        <f>ROUND(D430*(E430),2)</f>
        <v>112.52</v>
      </c>
      <c r="H430" s="296"/>
      <c r="I430" s="298"/>
      <c r="J430" s="298"/>
      <c r="K430" s="1021"/>
      <c r="L430" s="606"/>
      <c r="M430" s="935"/>
      <c r="N430" s="607"/>
      <c r="O430" s="608"/>
      <c r="P430" s="609"/>
      <c r="Q430" s="610"/>
    </row>
    <row r="431" spans="1:21">
      <c r="A431" s="934"/>
      <c r="B431" s="506"/>
      <c r="C431" s="99" t="s">
        <v>29</v>
      </c>
      <c r="D431" s="296">
        <v>342</v>
      </c>
      <c r="E431" s="101">
        <v>7.4271000000000003</v>
      </c>
      <c r="F431" s="41">
        <f t="shared" ref="F431" si="99">+E431</f>
        <v>7.4271000000000003</v>
      </c>
      <c r="G431" s="50">
        <f t="shared" ref="G431" si="100">ROUND(D431*(E431),2)</f>
        <v>2540.0700000000002</v>
      </c>
      <c r="H431" s="296"/>
      <c r="I431" s="298"/>
      <c r="J431" s="298"/>
      <c r="K431" s="1021"/>
      <c r="L431" s="606"/>
      <c r="M431" s="935"/>
      <c r="N431" s="615"/>
      <c r="O431" s="615"/>
      <c r="P431" s="615"/>
      <c r="Q431" s="616"/>
    </row>
    <row r="432" spans="1:21" ht="15.75" thickBot="1">
      <c r="A432" s="942"/>
      <c r="B432" s="278"/>
      <c r="C432" s="784"/>
      <c r="D432" s="941"/>
      <c r="E432" s="281"/>
      <c r="F432" s="57"/>
      <c r="G432" s="58"/>
      <c r="H432" s="613"/>
      <c r="I432" s="57"/>
      <c r="J432" s="57"/>
      <c r="K432" s="1021"/>
      <c r="L432" s="606"/>
      <c r="M432" s="935"/>
      <c r="N432" s="615"/>
      <c r="O432" s="615"/>
      <c r="P432" s="615"/>
      <c r="Q432" s="615"/>
    </row>
    <row r="433" spans="1:21" hidden="1">
      <c r="A433" s="376">
        <v>501</v>
      </c>
      <c r="B433" s="494" t="s">
        <v>202</v>
      </c>
      <c r="C433" s="71"/>
      <c r="D433" s="495"/>
      <c r="E433" s="21">
        <v>41.244</v>
      </c>
      <c r="F433" s="21">
        <v>48.335999999999999</v>
      </c>
      <c r="G433" s="185">
        <f>ROUND(D433*(E433+F433),2)</f>
        <v>0</v>
      </c>
      <c r="H433" s="496"/>
      <c r="I433" s="73"/>
      <c r="J433" s="73"/>
      <c r="K433" s="679"/>
      <c r="L433" s="498">
        <f>+SUM(G433:G440,C440)+SUM(J433:J440)</f>
        <v>0</v>
      </c>
      <c r="M433" s="26"/>
      <c r="N433" s="499"/>
      <c r="O433" s="500"/>
      <c r="P433" s="501" t="s">
        <v>87</v>
      </c>
      <c r="Q433" s="304">
        <f t="shared" ref="Q433:Q457" si="101">C433+G433+J433-M433-N433-O433</f>
        <v>0</v>
      </c>
      <c r="R433" s="502" t="s">
        <v>88</v>
      </c>
      <c r="S433" s="503"/>
      <c r="T433" s="504"/>
      <c r="U433" s="33"/>
    </row>
    <row r="434" spans="1:21" hidden="1">
      <c r="A434" s="389"/>
      <c r="B434" s="939" t="s">
        <v>328</v>
      </c>
      <c r="C434" s="507" t="s">
        <v>264</v>
      </c>
      <c r="D434" s="508"/>
      <c r="E434" s="38"/>
      <c r="F434" s="38"/>
      <c r="G434" s="50">
        <f>ROUND(D434*(E434+F434),2)</f>
        <v>0</v>
      </c>
      <c r="H434" s="448"/>
      <c r="I434" s="509"/>
      <c r="J434" s="409"/>
      <c r="K434" s="1026"/>
      <c r="L434" s="511"/>
      <c r="M434" s="512"/>
      <c r="N434" s="513"/>
      <c r="O434" s="514"/>
      <c r="P434" s="515"/>
      <c r="Q434" s="262"/>
      <c r="R434" s="502"/>
      <c r="S434" s="503"/>
      <c r="T434" s="504"/>
      <c r="U434" s="33"/>
    </row>
    <row r="435" spans="1:21" hidden="1">
      <c r="A435" s="389"/>
      <c r="B435" s="516" t="s">
        <v>89</v>
      </c>
      <c r="C435" s="512" t="s">
        <v>90</v>
      </c>
      <c r="D435" s="508"/>
      <c r="E435" s="101">
        <v>330.21</v>
      </c>
      <c r="F435" s="38">
        <f>F433</f>
        <v>48.335999999999999</v>
      </c>
      <c r="G435" s="50">
        <f>D435*(E435+F435)</f>
        <v>0</v>
      </c>
      <c r="H435" s="270"/>
      <c r="I435" s="41"/>
      <c r="J435" s="409"/>
      <c r="K435" s="1026"/>
      <c r="L435" s="517"/>
      <c r="M435" s="99"/>
      <c r="N435" s="518"/>
      <c r="O435" s="519"/>
      <c r="P435" s="515" t="s">
        <v>87</v>
      </c>
      <c r="Q435" s="271">
        <f>+G435+J435-M435-N435-O435</f>
        <v>0</v>
      </c>
      <c r="R435" s="502" t="s">
        <v>88</v>
      </c>
      <c r="S435" s="503"/>
      <c r="T435" s="504"/>
    </row>
    <row r="436" spans="1:21" hidden="1">
      <c r="A436" s="389"/>
      <c r="B436" s="506" t="s">
        <v>91</v>
      </c>
      <c r="C436" s="507"/>
      <c r="D436" s="508"/>
      <c r="E436" s="41"/>
      <c r="F436" s="38">
        <f>F434</f>
        <v>0</v>
      </c>
      <c r="G436" s="50">
        <f>ROUND(D436*(E436+F436),2)</f>
        <v>0</v>
      </c>
      <c r="H436" s="432"/>
      <c r="I436" s="362"/>
      <c r="J436" s="409"/>
      <c r="K436" s="1026"/>
      <c r="L436" s="517"/>
      <c r="M436" s="520"/>
      <c r="N436" s="521"/>
      <c r="O436" s="522"/>
      <c r="P436" s="523"/>
      <c r="Q436" s="362"/>
      <c r="R436" s="502"/>
      <c r="S436" s="503"/>
      <c r="T436" s="504"/>
    </row>
    <row r="437" spans="1:21" hidden="1">
      <c r="A437" s="389"/>
      <c r="B437" s="506" t="s">
        <v>91</v>
      </c>
      <c r="C437" s="507"/>
      <c r="D437" s="508"/>
      <c r="E437" s="38"/>
      <c r="F437" s="41"/>
      <c r="G437" s="50">
        <f>D437*(E437+F437)</f>
        <v>0</v>
      </c>
      <c r="H437" s="432"/>
      <c r="I437" s="362"/>
      <c r="J437" s="409"/>
      <c r="K437" s="1026"/>
      <c r="L437" s="517"/>
      <c r="M437" s="520"/>
      <c r="N437" s="521"/>
      <c r="O437" s="522"/>
      <c r="P437" s="523"/>
      <c r="Q437" s="362"/>
      <c r="R437" s="502"/>
      <c r="S437" s="503"/>
      <c r="T437" s="504"/>
    </row>
    <row r="438" spans="1:21" hidden="1">
      <c r="A438" s="389"/>
      <c r="B438" s="506" t="s">
        <v>92</v>
      </c>
      <c r="C438" s="48" t="s">
        <v>260</v>
      </c>
      <c r="D438" s="508"/>
      <c r="E438" s="41"/>
      <c r="F438" s="41">
        <f>+E438</f>
        <v>0</v>
      </c>
      <c r="G438" s="39">
        <f>ROUNDDOWN(D438*E438,2)</f>
        <v>0</v>
      </c>
      <c r="H438" s="432"/>
      <c r="I438" s="362"/>
      <c r="J438" s="41"/>
      <c r="K438" s="1026"/>
      <c r="L438" s="517"/>
      <c r="M438" s="520"/>
      <c r="N438" s="521"/>
      <c r="O438" s="522"/>
      <c r="P438" s="523"/>
      <c r="Q438" s="362"/>
      <c r="R438" s="502"/>
      <c r="S438" s="503"/>
      <c r="T438" s="504"/>
    </row>
    <row r="439" spans="1:21" hidden="1">
      <c r="A439" s="389"/>
      <c r="B439" s="506"/>
      <c r="C439" s="48" t="s">
        <v>263</v>
      </c>
      <c r="D439" s="508"/>
      <c r="E439" s="41">
        <v>7.4969000000000001</v>
      </c>
      <c r="F439" s="41">
        <f>+E439</f>
        <v>7.4969000000000001</v>
      </c>
      <c r="G439" s="39">
        <f>ROUND(D439*E439,2)</f>
        <v>0</v>
      </c>
      <c r="H439" s="432"/>
      <c r="I439" s="362"/>
      <c r="J439" s="207"/>
      <c r="K439" s="1030"/>
      <c r="L439" s="517"/>
      <c r="M439" s="520"/>
      <c r="N439" s="521"/>
      <c r="O439" s="522"/>
      <c r="P439" s="523"/>
      <c r="Q439" s="362"/>
      <c r="R439" s="502"/>
      <c r="S439" s="503"/>
      <c r="T439" s="504"/>
    </row>
    <row r="440" spans="1:21" ht="15.75" hidden="1" thickBot="1">
      <c r="A440" s="411"/>
      <c r="B440" s="526"/>
      <c r="C440" s="99" t="s">
        <v>29</v>
      </c>
      <c r="D440" s="55"/>
      <c r="E440" s="56">
        <v>7.4969000000000001</v>
      </c>
      <c r="F440" s="57">
        <f>+E440</f>
        <v>7.4969000000000001</v>
      </c>
      <c r="G440" s="58">
        <f>ROUND(D440*E440,2)</f>
        <v>0</v>
      </c>
      <c r="H440" s="248"/>
      <c r="I440" s="203"/>
      <c r="J440" s="60"/>
      <c r="K440" s="1024"/>
      <c r="L440" s="249"/>
      <c r="M440" s="54"/>
      <c r="N440" s="527"/>
      <c r="O440" s="528"/>
      <c r="P440" s="529" t="s">
        <v>87</v>
      </c>
      <c r="Q440" s="282">
        <f>+G440+J440-M440-N440-O440</f>
        <v>0</v>
      </c>
      <c r="R440" s="530" t="s">
        <v>88</v>
      </c>
      <c r="S440" s="531">
        <f>SUM(N433:N440)+O433:O440</f>
        <v>0</v>
      </c>
      <c r="T440" s="531">
        <f>SUM(Q433:Q440)</f>
        <v>0</v>
      </c>
      <c r="U440" s="33"/>
    </row>
    <row r="441" spans="1:21" ht="15.75" thickTop="1">
      <c r="A441" s="339">
        <v>500</v>
      </c>
      <c r="B441" s="1263" t="s">
        <v>334</v>
      </c>
      <c r="C441" s="71" t="s">
        <v>73</v>
      </c>
      <c r="D441" s="213">
        <v>0</v>
      </c>
      <c r="E441" s="21">
        <v>41.244</v>
      </c>
      <c r="F441" s="21">
        <v>48.335999999999999</v>
      </c>
      <c r="G441" s="214">
        <f>ROUND(D441*(E441+F441),2)</f>
        <v>0</v>
      </c>
      <c r="H441" s="496"/>
      <c r="I441" s="73"/>
      <c r="J441" s="73"/>
      <c r="K441" s="679"/>
      <c r="L441" s="533">
        <f>+SUM(G441:G447,)+SUM(J441:J447)</f>
        <v>6437.59</v>
      </c>
      <c r="M441" s="26">
        <v>6437.59</v>
      </c>
      <c r="N441" s="534"/>
      <c r="O441" s="535"/>
      <c r="P441" s="536"/>
      <c r="Q441" s="537"/>
      <c r="R441" s="538"/>
      <c r="S441" s="539"/>
      <c r="T441" s="540"/>
      <c r="U441" s="33"/>
    </row>
    <row r="442" spans="1:21">
      <c r="A442" s="353"/>
      <c r="B442" s="541"/>
      <c r="C442" s="542" t="s">
        <v>96</v>
      </c>
      <c r="D442" s="234"/>
      <c r="E442" s="38"/>
      <c r="F442" s="38"/>
      <c r="G442" s="235">
        <f>ROUND(D442*(E442+F442),2)</f>
        <v>0</v>
      </c>
      <c r="H442" s="448"/>
      <c r="I442" s="509"/>
      <c r="J442" s="509"/>
      <c r="K442" s="1025"/>
      <c r="L442" s="544"/>
      <c r="M442" s="545"/>
      <c r="N442" s="546"/>
      <c r="O442" s="547"/>
      <c r="P442" s="548"/>
      <c r="Q442" s="549"/>
      <c r="R442" s="550"/>
      <c r="S442" s="551"/>
      <c r="T442" s="552"/>
      <c r="U442" s="33"/>
    </row>
    <row r="443" spans="1:21">
      <c r="A443" s="353"/>
      <c r="B443" s="516"/>
      <c r="C443" s="99" t="s">
        <v>90</v>
      </c>
      <c r="D443" s="234">
        <v>0</v>
      </c>
      <c r="E443" s="101">
        <v>276.93</v>
      </c>
      <c r="F443" s="38">
        <f>F441</f>
        <v>48.335999999999999</v>
      </c>
      <c r="G443" s="235">
        <f>ROUND(D443*(E443+F443),2)</f>
        <v>0</v>
      </c>
      <c r="H443" s="270"/>
      <c r="I443" s="41"/>
      <c r="J443" s="41"/>
      <c r="K443" s="1026"/>
      <c r="L443" s="553"/>
      <c r="M443" s="554"/>
      <c r="N443" s="555"/>
      <c r="O443" s="556"/>
      <c r="P443" s="557"/>
      <c r="Q443" s="558"/>
      <c r="R443" s="550"/>
      <c r="S443" s="551"/>
      <c r="T443" s="552"/>
    </row>
    <row r="444" spans="1:21">
      <c r="A444" s="353"/>
      <c r="B444" s="541"/>
      <c r="C444" s="84" t="s">
        <v>97</v>
      </c>
      <c r="D444" s="234"/>
      <c r="E444" s="41"/>
      <c r="F444" s="38"/>
      <c r="G444" s="50">
        <f>ROUND(D444*(E444+F444),2)</f>
        <v>0</v>
      </c>
      <c r="H444" s="432"/>
      <c r="I444" s="362"/>
      <c r="J444" s="41"/>
      <c r="K444" s="1026"/>
      <c r="L444" s="559"/>
      <c r="M444" s="560"/>
      <c r="N444" s="561"/>
      <c r="O444" s="562"/>
      <c r="P444" s="563"/>
      <c r="Q444" s="564"/>
      <c r="R444" s="550"/>
      <c r="S444" s="551"/>
      <c r="T444" s="552"/>
    </row>
    <row r="445" spans="1:21">
      <c r="A445" s="353"/>
      <c r="B445" s="541"/>
      <c r="C445" s="48" t="s">
        <v>260</v>
      </c>
      <c r="D445" s="37"/>
      <c r="E445" s="41">
        <f>7.4271-7.1994</f>
        <v>0.22770000000000046</v>
      </c>
      <c r="F445" s="41">
        <f>+E445</f>
        <v>0.22770000000000046</v>
      </c>
      <c r="G445" s="235">
        <f>ROUND(D445*E445,2)+0.01</f>
        <v>0.01</v>
      </c>
      <c r="H445" s="565"/>
      <c r="I445" s="564"/>
      <c r="J445" s="566"/>
      <c r="K445" s="1031"/>
      <c r="L445" s="559"/>
      <c r="M445" s="560"/>
      <c r="N445" s="561"/>
      <c r="O445" s="562"/>
      <c r="P445" s="563"/>
      <c r="Q445" s="564"/>
      <c r="R445" s="550"/>
      <c r="S445" s="551"/>
      <c r="T445" s="552"/>
      <c r="U445" s="352"/>
    </row>
    <row r="446" spans="1:21">
      <c r="A446" s="353"/>
      <c r="B446" s="541"/>
      <c r="C446" s="48" t="s">
        <v>263</v>
      </c>
      <c r="D446" s="37">
        <f>19.94+16.83</f>
        <v>36.769999999999996</v>
      </c>
      <c r="E446" s="41">
        <v>7.4271000000000003</v>
      </c>
      <c r="F446" s="41">
        <f>+E446</f>
        <v>7.4271000000000003</v>
      </c>
      <c r="G446" s="235">
        <f>ROUND(D446*E446,2)</f>
        <v>273.08999999999997</v>
      </c>
      <c r="H446" s="565"/>
      <c r="I446" s="564"/>
      <c r="J446" s="566"/>
      <c r="K446" s="1031"/>
      <c r="L446" s="559"/>
      <c r="M446" s="560"/>
      <c r="N446" s="561"/>
      <c r="O446" s="562"/>
      <c r="P446" s="563"/>
      <c r="Q446" s="564"/>
      <c r="R446" s="550"/>
      <c r="S446" s="551"/>
      <c r="T446" s="552"/>
      <c r="U446" s="33"/>
    </row>
    <row r="447" spans="1:21" ht="15.75" thickBot="1">
      <c r="A447" s="369"/>
      <c r="B447" s="568"/>
      <c r="C447" s="99" t="s">
        <v>29</v>
      </c>
      <c r="D447" s="246">
        <f>450+380</f>
        <v>830</v>
      </c>
      <c r="E447" s="56">
        <v>7.4271000000000003</v>
      </c>
      <c r="F447" s="57">
        <f>+E447</f>
        <v>7.4271000000000003</v>
      </c>
      <c r="G447" s="247">
        <f>ROUND(D447*E447,2)</f>
        <v>6164.49</v>
      </c>
      <c r="H447" s="248"/>
      <c r="I447" s="203"/>
      <c r="J447" s="60"/>
      <c r="K447" s="61"/>
      <c r="L447" s="204"/>
      <c r="M447" s="560"/>
      <c r="N447" s="561"/>
      <c r="O447" s="528"/>
      <c r="P447" s="529"/>
      <c r="Q447" s="564"/>
      <c r="R447" s="550"/>
      <c r="S447" s="569"/>
      <c r="T447" s="570"/>
    </row>
    <row r="448" spans="1:21" ht="15.75" thickTop="1">
      <c r="A448" s="339">
        <v>502</v>
      </c>
      <c r="B448" s="532" t="s">
        <v>192</v>
      </c>
      <c r="C448" s="71">
        <f>+[1]дек!U51</f>
        <v>-6.0000000303261913E-4</v>
      </c>
      <c r="D448" s="213">
        <v>37</v>
      </c>
      <c r="E448" s="21">
        <v>41.244</v>
      </c>
      <c r="F448" s="21">
        <v>48.335999999999999</v>
      </c>
      <c r="G448" s="214">
        <f>ROUND(D448*(E448+F448),2)</f>
        <v>3314.46</v>
      </c>
      <c r="H448" s="496"/>
      <c r="I448" s="73"/>
      <c r="J448" s="73"/>
      <c r="K448" s="679"/>
      <c r="L448" s="533">
        <f>+SUM(G448:G455,)+SUM(J448:J455)</f>
        <v>40104.720000000001</v>
      </c>
      <c r="M448" s="26">
        <v>40104.720000000001</v>
      </c>
      <c r="N448" s="534"/>
      <c r="O448" s="535"/>
      <c r="P448" s="536" t="s">
        <v>87</v>
      </c>
      <c r="Q448" s="537">
        <f t="shared" si="101"/>
        <v>-36790.260600000001</v>
      </c>
      <c r="R448" s="538" t="s">
        <v>95</v>
      </c>
      <c r="S448" s="539"/>
      <c r="T448" s="540"/>
      <c r="U448" s="33"/>
    </row>
    <row r="449" spans="1:21">
      <c r="A449" s="353"/>
      <c r="B449" s="541"/>
      <c r="C449" s="542" t="s">
        <v>96</v>
      </c>
      <c r="D449" s="234"/>
      <c r="E449" s="38"/>
      <c r="F449" s="38"/>
      <c r="G449" s="235">
        <f>ROUND(D449*(E449+F449),2)</f>
        <v>0</v>
      </c>
      <c r="H449" s="448"/>
      <c r="I449" s="509"/>
      <c r="J449" s="509"/>
      <c r="K449" s="1025"/>
      <c r="L449" s="544"/>
      <c r="M449" s="545"/>
      <c r="N449" s="546"/>
      <c r="O449" s="547"/>
      <c r="P449" s="548"/>
      <c r="Q449" s="549"/>
      <c r="R449" s="550"/>
      <c r="S449" s="551"/>
      <c r="T449" s="552"/>
      <c r="U449" s="33"/>
    </row>
    <row r="450" spans="1:21">
      <c r="A450" s="353"/>
      <c r="B450" s="516" t="s">
        <v>32</v>
      </c>
      <c r="C450" s="99" t="s">
        <v>90</v>
      </c>
      <c r="D450" s="234">
        <v>20</v>
      </c>
      <c r="E450" s="101">
        <v>276.93</v>
      </c>
      <c r="F450" s="38">
        <f>F448</f>
        <v>48.335999999999999</v>
      </c>
      <c r="G450" s="235">
        <f>ROUND(D450*(E450+F450),2)</f>
        <v>6505.32</v>
      </c>
      <c r="H450" s="270"/>
      <c r="I450" s="41"/>
      <c r="J450" s="41"/>
      <c r="K450" s="1026"/>
      <c r="L450" s="553"/>
      <c r="M450" s="554"/>
      <c r="N450" s="555"/>
      <c r="O450" s="556"/>
      <c r="P450" s="557" t="s">
        <v>87</v>
      </c>
      <c r="Q450" s="558">
        <f>+G450+J450-M450-N450-O450</f>
        <v>6505.32</v>
      </c>
      <c r="R450" s="550" t="s">
        <v>95</v>
      </c>
      <c r="S450" s="551"/>
      <c r="T450" s="552"/>
    </row>
    <row r="451" spans="1:21">
      <c r="A451" s="353"/>
      <c r="B451" s="541"/>
      <c r="C451" s="84" t="s">
        <v>97</v>
      </c>
      <c r="D451" s="234">
        <f>апр.19!D433</f>
        <v>33</v>
      </c>
      <c r="E451" s="41">
        <f>276.93-343.14</f>
        <v>-66.20999999999998</v>
      </c>
      <c r="F451" s="38">
        <f>F449</f>
        <v>0</v>
      </c>
      <c r="G451" s="50">
        <f>ROUND(D451*(E451+F451),2)</f>
        <v>-2184.9299999999998</v>
      </c>
      <c r="H451" s="432"/>
      <c r="I451" s="362"/>
      <c r="J451" s="41"/>
      <c r="K451" s="1026"/>
      <c r="L451" s="559"/>
      <c r="M451" s="560"/>
      <c r="N451" s="561"/>
      <c r="O451" s="562"/>
      <c r="P451" s="563"/>
      <c r="Q451" s="564"/>
      <c r="R451" s="550"/>
      <c r="S451" s="551"/>
      <c r="T451" s="552"/>
    </row>
    <row r="452" spans="1:21">
      <c r="A452" s="353"/>
      <c r="B452" s="541"/>
      <c r="C452" s="84" t="s">
        <v>97</v>
      </c>
      <c r="D452" s="234"/>
      <c r="E452" s="38"/>
      <c r="F452" s="240"/>
      <c r="G452" s="50">
        <f>D452*(E452+F452)</f>
        <v>0</v>
      </c>
      <c r="H452" s="432"/>
      <c r="I452" s="362"/>
      <c r="J452" s="41"/>
      <c r="K452" s="1026"/>
      <c r="L452" s="559"/>
      <c r="M452" s="560"/>
      <c r="N452" s="561"/>
      <c r="O452" s="562"/>
      <c r="P452" s="563"/>
      <c r="Q452" s="564"/>
      <c r="R452" s="550"/>
      <c r="S452" s="551"/>
      <c r="T452" s="552"/>
    </row>
    <row r="453" spans="1:21">
      <c r="A453" s="353"/>
      <c r="B453" s="541"/>
      <c r="C453" s="48" t="s">
        <v>260</v>
      </c>
      <c r="D453" s="37">
        <f>апр.19!D437+апр.19!D438</f>
        <v>6313.84</v>
      </c>
      <c r="E453" s="41">
        <f>7.4271-7.1994</f>
        <v>0.22770000000000046</v>
      </c>
      <c r="F453" s="41">
        <f>+E453</f>
        <v>0.22770000000000046</v>
      </c>
      <c r="G453" s="235">
        <f>ROUND(D453*E453,2)</f>
        <v>1437.66</v>
      </c>
      <c r="H453" s="565"/>
      <c r="I453" s="564"/>
      <c r="J453" s="566"/>
      <c r="K453" s="1031"/>
      <c r="L453" s="559"/>
      <c r="M453" s="560"/>
      <c r="N453" s="561"/>
      <c r="O453" s="562"/>
      <c r="P453" s="563"/>
      <c r="Q453" s="564"/>
      <c r="R453" s="550"/>
      <c r="S453" s="551"/>
      <c r="T453" s="552"/>
      <c r="U453" s="352"/>
    </row>
    <row r="454" spans="1:21">
      <c r="A454" s="353"/>
      <c r="B454" s="541"/>
      <c r="C454" s="48" t="s">
        <v>263</v>
      </c>
      <c r="D454" s="37">
        <v>177.24</v>
      </c>
      <c r="E454" s="41">
        <v>7.4271000000000003</v>
      </c>
      <c r="F454" s="41">
        <f>+E454</f>
        <v>7.4271000000000003</v>
      </c>
      <c r="G454" s="235">
        <f>ROUND(D454*E454,2)</f>
        <v>1316.38</v>
      </c>
      <c r="H454" s="565"/>
      <c r="I454" s="564"/>
      <c r="J454" s="566"/>
      <c r="K454" s="1031"/>
      <c r="L454" s="559"/>
      <c r="M454" s="560"/>
      <c r="N454" s="561"/>
      <c r="O454" s="562"/>
      <c r="P454" s="563"/>
      <c r="Q454" s="564"/>
      <c r="R454" s="550"/>
      <c r="S454" s="551"/>
      <c r="T454" s="552"/>
      <c r="U454" s="33"/>
    </row>
    <row r="455" spans="1:21" ht="15.75" thickBot="1">
      <c r="A455" s="369"/>
      <c r="B455" s="568"/>
      <c r="C455" s="99" t="s">
        <v>29</v>
      </c>
      <c r="D455" s="246">
        <v>4001</v>
      </c>
      <c r="E455" s="56">
        <v>7.4271000000000003</v>
      </c>
      <c r="F455" s="57">
        <f>+E455</f>
        <v>7.4271000000000003</v>
      </c>
      <c r="G455" s="247">
        <f>ROUND(D455*E455,2)</f>
        <v>29715.83</v>
      </c>
      <c r="H455" s="248"/>
      <c r="I455" s="203"/>
      <c r="J455" s="60"/>
      <c r="K455" s="61"/>
      <c r="L455" s="204"/>
      <c r="M455" s="560"/>
      <c r="N455" s="561"/>
      <c r="O455" s="528"/>
      <c r="P455" s="529" t="s">
        <v>87</v>
      </c>
      <c r="Q455" s="564">
        <f>+G455+J455-M455-N455-O455</f>
        <v>29715.83</v>
      </c>
      <c r="R455" s="550" t="s">
        <v>95</v>
      </c>
      <c r="S455" s="569">
        <f>SUM(N448:N455)+O448:O455</f>
        <v>0</v>
      </c>
      <c r="T455" s="570">
        <f>SUM(Q450:Q455)</f>
        <v>36221.15</v>
      </c>
    </row>
    <row r="456" spans="1:21" ht="15.75" hidden="1" outlineLevel="1" thickBot="1">
      <c r="A456" s="571"/>
      <c r="B456" s="572" t="s">
        <v>98</v>
      </c>
      <c r="C456" s="573" t="s">
        <v>99</v>
      </c>
      <c r="D456" s="574"/>
      <c r="E456" s="575">
        <f>3.193-2.9732</f>
        <v>0.21980000000000022</v>
      </c>
      <c r="F456" s="575">
        <f>3.193-2.9732</f>
        <v>0.21980000000000022</v>
      </c>
      <c r="G456" s="576">
        <f>D456*E456*70%+D456*F456*30%</f>
        <v>0</v>
      </c>
      <c r="H456" s="577"/>
      <c r="I456" s="578"/>
      <c r="J456" s="579"/>
      <c r="K456" s="579"/>
      <c r="L456" s="580"/>
      <c r="M456" s="581"/>
      <c r="N456" s="582"/>
      <c r="O456" s="535"/>
      <c r="P456" s="536"/>
      <c r="Q456" s="583"/>
      <c r="R456" s="584"/>
      <c r="S456" s="569"/>
      <c r="T456" s="585"/>
    </row>
    <row r="457" spans="1:21" s="81" customFormat="1" ht="16.5" hidden="1" customHeight="1" outlineLevel="1" thickBot="1">
      <c r="A457" s="933" t="s">
        <v>100</v>
      </c>
      <c r="B457" s="587" t="s">
        <v>98</v>
      </c>
      <c r="C457" s="588">
        <f>+[1]авг!C52</f>
        <v>0</v>
      </c>
      <c r="D457" s="589"/>
      <c r="E457" s="575">
        <v>3.1930000000000001</v>
      </c>
      <c r="F457" s="575">
        <f>+E457</f>
        <v>3.1930000000000001</v>
      </c>
      <c r="G457" s="576">
        <f>D457*E457*70%+D457*F457*30%</f>
        <v>0</v>
      </c>
      <c r="H457" s="579"/>
      <c r="I457" s="579"/>
      <c r="J457" s="579"/>
      <c r="K457" s="579"/>
      <c r="L457" s="579">
        <f>+C457+G457+G456</f>
        <v>0</v>
      </c>
      <c r="M457" s="590"/>
      <c r="N457" s="500"/>
      <c r="O457" s="528"/>
      <c r="P457" s="529" t="s">
        <v>87</v>
      </c>
      <c r="Q457" s="591">
        <f t="shared" si="101"/>
        <v>0</v>
      </c>
      <c r="R457" s="592" t="s">
        <v>101</v>
      </c>
      <c r="S457" s="77">
        <f>SUM(N457:N457)+SUM(O457:O457)</f>
        <v>0</v>
      </c>
      <c r="T457" s="593">
        <f>SUM(Q457:Q457)</f>
        <v>0</v>
      </c>
    </row>
    <row r="458" spans="1:21" ht="15.75" hidden="1" outlineLevel="1" thickBot="1">
      <c r="A458" s="944"/>
      <c r="B458" s="945" t="s">
        <v>128</v>
      </c>
      <c r="C458" s="573" t="s">
        <v>115</v>
      </c>
      <c r="D458" s="946"/>
      <c r="E458" s="579">
        <f>6.8021-6.8946</f>
        <v>-9.2499999999999361E-2</v>
      </c>
      <c r="F458" s="579">
        <f t="shared" ref="F458" si="102">+E458</f>
        <v>-9.2499999999999361E-2</v>
      </c>
      <c r="G458" s="947">
        <f>ROUND(D458*(E458),2)</f>
        <v>0</v>
      </c>
      <c r="H458" s="948"/>
      <c r="I458" s="949"/>
      <c r="J458" s="949"/>
      <c r="K458" s="950"/>
      <c r="L458" s="951"/>
      <c r="M458" s="952"/>
      <c r="N458" s="604"/>
      <c r="O458" s="635"/>
      <c r="P458" s="636"/>
      <c r="Q458" s="605"/>
    </row>
    <row r="459" spans="1:21" ht="15.75" hidden="1" outlineLevel="1" thickBot="1">
      <c r="A459" s="953"/>
      <c r="B459" s="954"/>
      <c r="C459" s="573" t="s">
        <v>114</v>
      </c>
      <c r="D459" s="946"/>
      <c r="E459" s="579">
        <v>6.8021000000000003</v>
      </c>
      <c r="F459" s="579">
        <f>+E459</f>
        <v>6.8021000000000003</v>
      </c>
      <c r="G459" s="947">
        <f>ROUND(D459*(E459),2)</f>
        <v>0</v>
      </c>
      <c r="H459" s="948"/>
      <c r="I459" s="949"/>
      <c r="J459" s="949"/>
      <c r="K459" s="950"/>
      <c r="L459" s="955"/>
      <c r="M459" s="956"/>
      <c r="N459" s="607"/>
      <c r="O459" s="608"/>
      <c r="P459" s="609"/>
      <c r="Q459" s="610"/>
    </row>
    <row r="460" spans="1:21" ht="15.75" hidden="1" outlineLevel="1" thickBot="1">
      <c r="A460" s="944"/>
      <c r="B460" s="954"/>
      <c r="C460" s="916" t="s">
        <v>29</v>
      </c>
      <c r="D460" s="948"/>
      <c r="E460" s="917">
        <v>6.8021000000000003</v>
      </c>
      <c r="F460" s="579">
        <f t="shared" ref="F460" si="103">+E460</f>
        <v>6.8021000000000003</v>
      </c>
      <c r="G460" s="947">
        <f t="shared" ref="G460" si="104">ROUND(D460*(E460),2)</f>
        <v>0</v>
      </c>
      <c r="H460" s="948"/>
      <c r="I460" s="949"/>
      <c r="J460" s="949"/>
      <c r="K460" s="950"/>
      <c r="L460" s="951"/>
      <c r="M460" s="956"/>
      <c r="N460" s="615"/>
      <c r="O460" s="615"/>
      <c r="P460" s="615"/>
      <c r="Q460" s="616"/>
    </row>
    <row r="461" spans="1:21" ht="15.75" hidden="1" outlineLevel="1" thickBot="1">
      <c r="A461" s="953"/>
      <c r="B461" s="955"/>
      <c r="C461" s="575"/>
      <c r="D461" s="957"/>
      <c r="E461" s="580"/>
      <c r="F461" s="575"/>
      <c r="G461" s="958"/>
      <c r="H461" s="959"/>
      <c r="I461" s="575"/>
      <c r="J461" s="575"/>
      <c r="K461" s="575"/>
      <c r="L461" s="955"/>
      <c r="M461" s="956"/>
      <c r="N461" s="615"/>
      <c r="O461" s="615"/>
      <c r="P461" s="615"/>
      <c r="Q461" s="615"/>
    </row>
    <row r="462" spans="1:21" collapsed="1">
      <c r="A462" s="963"/>
      <c r="B462" s="621"/>
      <c r="C462" s="621"/>
      <c r="D462" s="964"/>
      <c r="E462" s="905"/>
      <c r="F462" s="621"/>
      <c r="G462" s="905"/>
      <c r="H462" s="621"/>
      <c r="I462" s="621"/>
      <c r="J462" s="621"/>
      <c r="K462" s="621"/>
      <c r="L462" s="621"/>
      <c r="M462" s="965"/>
      <c r="N462" s="615"/>
      <c r="O462" s="615"/>
      <c r="P462" s="615"/>
      <c r="Q462" s="615"/>
    </row>
    <row r="463" spans="1:21" ht="15.75" thickBot="1">
      <c r="A463" s="966"/>
      <c r="B463" s="615"/>
      <c r="C463" s="615"/>
      <c r="D463" s="696"/>
      <c r="E463" s="473"/>
      <c r="F463" s="615"/>
      <c r="G463" s="473"/>
      <c r="H463" s="615"/>
      <c r="I463" s="615"/>
      <c r="J463" s="615"/>
      <c r="K463" s="615"/>
      <c r="L463" s="615"/>
      <c r="M463" s="967"/>
      <c r="N463" s="615"/>
      <c r="O463" s="615"/>
      <c r="P463" s="615"/>
      <c r="Q463" s="615"/>
    </row>
    <row r="464" spans="1:21" s="81" customFormat="1" ht="15" customHeight="1" thickTop="1">
      <c r="A464" s="476"/>
      <c r="B464" s="158"/>
      <c r="C464" s="322"/>
      <c r="D464" s="477"/>
      <c r="E464" s="163"/>
      <c r="F464" s="163"/>
      <c r="G464" s="478"/>
      <c r="H464" s="163"/>
      <c r="I464" s="163"/>
      <c r="J464" s="163"/>
      <c r="K464" s="163"/>
      <c r="L464" s="163"/>
      <c r="M464" s="164"/>
      <c r="N464" s="479"/>
      <c r="O464" s="479"/>
      <c r="P464" s="479"/>
      <c r="Q464" s="479"/>
      <c r="R464" s="422"/>
      <c r="S464"/>
      <c r="T464" s="399"/>
    </row>
    <row r="465" spans="1:20" ht="15.75" thickBot="1">
      <c r="A465" s="968" t="s">
        <v>113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  <c r="N465" s="2"/>
      <c r="O465" s="2"/>
      <c r="P465" s="2"/>
      <c r="Q465" s="2"/>
    </row>
    <row r="466" spans="1:20" ht="15.75" customHeight="1" thickTop="1" thickBot="1">
      <c r="A466" s="1559" t="s">
        <v>1</v>
      </c>
      <c r="B466" s="1543" t="s">
        <v>2</v>
      </c>
      <c r="C466" s="1545" t="s">
        <v>3</v>
      </c>
      <c r="D466" s="1546" t="s">
        <v>4</v>
      </c>
      <c r="E466" s="1546"/>
      <c r="F466" s="1546"/>
      <c r="G466" s="1546"/>
      <c r="H466" s="1547"/>
      <c r="I466" s="1548"/>
      <c r="J466" s="1548"/>
      <c r="K466" s="1549"/>
      <c r="L466" s="1524" t="s">
        <v>6</v>
      </c>
      <c r="M466" s="1511" t="s">
        <v>7</v>
      </c>
      <c r="N466" s="1551" t="s">
        <v>8</v>
      </c>
      <c r="O466" s="1551"/>
      <c r="P466" s="1551"/>
      <c r="Q466" s="1552"/>
      <c r="R466" s="481"/>
      <c r="S466" s="482" t="s">
        <v>20</v>
      </c>
      <c r="T466" s="482" t="s">
        <v>21</v>
      </c>
    </row>
    <row r="467" spans="1:20" ht="26.25" thickBot="1">
      <c r="A467" s="1560"/>
      <c r="B467" s="1557"/>
      <c r="C467" s="1558" t="s">
        <v>10</v>
      </c>
      <c r="D467" s="483" t="s">
        <v>11</v>
      </c>
      <c r="E467" s="649" t="s">
        <v>12</v>
      </c>
      <c r="F467" s="649" t="s">
        <v>13</v>
      </c>
      <c r="G467" s="650" t="s">
        <v>14</v>
      </c>
      <c r="H467" s="483" t="s">
        <v>11</v>
      </c>
      <c r="I467" s="486" t="s">
        <v>15</v>
      </c>
      <c r="J467" s="485"/>
      <c r="K467" s="1014" t="s">
        <v>16</v>
      </c>
      <c r="L467" s="1525"/>
      <c r="M467" s="1554"/>
      <c r="N467" s="655"/>
      <c r="O467" s="653"/>
      <c r="P467" s="656" t="s">
        <v>18</v>
      </c>
      <c r="Q467" s="657" t="s">
        <v>19</v>
      </c>
      <c r="R467" s="491"/>
      <c r="S467" s="492"/>
      <c r="T467" s="492"/>
    </row>
    <row r="468" spans="1:20">
      <c r="A468" s="961" t="s">
        <v>212</v>
      </c>
      <c r="B468" s="659" t="s">
        <v>116</v>
      </c>
      <c r="C468" s="668" t="s">
        <v>73</v>
      </c>
      <c r="D468" s="669">
        <v>6</v>
      </c>
      <c r="E468" s="21">
        <v>41.244</v>
      </c>
      <c r="F468" s="21">
        <v>48.335999999999999</v>
      </c>
      <c r="G468" s="214">
        <f>+D468*(E468+F468)</f>
        <v>537.48</v>
      </c>
      <c r="H468" s="1015"/>
      <c r="I468" s="1016"/>
      <c r="J468" s="620"/>
      <c r="K468" s="1017"/>
      <c r="L468" s="603">
        <f>SUM(G468:G474)+SUM(J468:J472)</f>
        <v>13074.509999999998</v>
      </c>
      <c r="M468" s="187">
        <v>13074.51</v>
      </c>
      <c r="N468" s="670"/>
      <c r="O468" s="670"/>
      <c r="P468" s="670"/>
      <c r="Q468" s="670"/>
    </row>
    <row r="469" spans="1:20">
      <c r="A469" s="970"/>
      <c r="B469" s="672"/>
      <c r="C469" s="48" t="s">
        <v>264</v>
      </c>
      <c r="D469" s="673"/>
      <c r="E469" s="41"/>
      <c r="F469" s="298"/>
      <c r="G469" s="235">
        <f>+D469*(E469+F469)</f>
        <v>0</v>
      </c>
      <c r="H469" s="687"/>
      <c r="I469" s="688"/>
      <c r="J469" s="670"/>
      <c r="K469" s="689"/>
      <c r="L469" s="606"/>
      <c r="M469" s="935"/>
      <c r="N469" s="298"/>
      <c r="O469" s="298"/>
      <c r="P469" s="298"/>
      <c r="Q469" s="298"/>
    </row>
    <row r="470" spans="1:20">
      <c r="A470" s="970"/>
      <c r="B470" s="442"/>
      <c r="C470" s="48"/>
      <c r="D470" s="673"/>
      <c r="E470" s="41"/>
      <c r="F470" s="298"/>
      <c r="G470" s="235">
        <f t="shared" ref="G470:G486" si="105">ROUND(D470*E470,2)</f>
        <v>0</v>
      </c>
      <c r="H470" s="687"/>
      <c r="I470" s="688"/>
      <c r="J470" s="670"/>
      <c r="K470" s="689"/>
      <c r="L470" s="614"/>
      <c r="M470" s="935"/>
      <c r="N470" s="298"/>
      <c r="O470" s="298"/>
      <c r="P470" s="298"/>
      <c r="Q470" s="298"/>
    </row>
    <row r="471" spans="1:20">
      <c r="A471" s="970"/>
      <c r="B471" s="35"/>
      <c r="C471" s="606"/>
      <c r="D471" s="673"/>
      <c r="E471" s="41"/>
      <c r="F471" s="298"/>
      <c r="G471" s="235">
        <f t="shared" si="105"/>
        <v>0</v>
      </c>
      <c r="H471" s="270"/>
      <c r="I471" s="688"/>
      <c r="J471" s="670"/>
      <c r="K471" s="689"/>
      <c r="L471" s="614"/>
      <c r="M471" s="273"/>
      <c r="N471" s="298"/>
      <c r="O471" s="298"/>
      <c r="P471" s="298"/>
      <c r="Q471" s="298"/>
    </row>
    <row r="472" spans="1:20" ht="15.75">
      <c r="A472" s="971"/>
      <c r="B472" s="672"/>
      <c r="C472" s="48" t="s">
        <v>260</v>
      </c>
      <c r="D472" s="269">
        <f>апр.19!D456+апр.19!D457</f>
        <v>1733.3700000000001</v>
      </c>
      <c r="E472" s="41">
        <f>7.4271-7.1994</f>
        <v>0.22770000000000046</v>
      </c>
      <c r="F472" s="298">
        <f t="shared" ref="F472:F473" si="106">+E472</f>
        <v>0.22770000000000046</v>
      </c>
      <c r="G472" s="235">
        <f>ROUND(D472*E472,2)</f>
        <v>394.69</v>
      </c>
      <c r="H472" s="270"/>
      <c r="I472" s="41"/>
      <c r="J472" s="670"/>
      <c r="K472" s="689"/>
      <c r="L472" s="606"/>
      <c r="M472" s="935"/>
      <c r="N472" s="663"/>
      <c r="O472" s="237"/>
      <c r="P472" s="275"/>
      <c r="Q472" s="237"/>
    </row>
    <row r="473" spans="1:20" ht="15.75">
      <c r="A473" s="972"/>
      <c r="B473" s="35"/>
      <c r="C473" s="48" t="s">
        <v>263</v>
      </c>
      <c r="D473" s="269">
        <v>54.67</v>
      </c>
      <c r="E473" s="41">
        <v>7.4271000000000003</v>
      </c>
      <c r="F473" s="298">
        <f t="shared" si="106"/>
        <v>7.4271000000000003</v>
      </c>
      <c r="G473" s="235">
        <f t="shared" si="105"/>
        <v>406.04</v>
      </c>
      <c r="H473" s="270"/>
      <c r="I473" s="41"/>
      <c r="J473" s="41"/>
      <c r="K473" s="101"/>
      <c r="L473" s="614"/>
      <c r="M473" s="935"/>
      <c r="N473" s="663"/>
      <c r="O473" s="237"/>
      <c r="P473" s="275"/>
      <c r="Q473" s="237"/>
    </row>
    <row r="474" spans="1:20" ht="15.75" thickBot="1">
      <c r="A474" s="973"/>
      <c r="B474" s="665"/>
      <c r="C474" s="54" t="s">
        <v>29</v>
      </c>
      <c r="D474" s="613">
        <v>1580.2</v>
      </c>
      <c r="E474" s="56">
        <v>7.4271000000000003</v>
      </c>
      <c r="F474" s="57"/>
      <c r="G474" s="247">
        <f t="shared" si="105"/>
        <v>11736.3</v>
      </c>
      <c r="H474" s="613"/>
      <c r="I474" s="57"/>
      <c r="J474" s="57"/>
      <c r="K474" s="1018"/>
      <c r="L474" s="783"/>
      <c r="M474" s="250"/>
      <c r="N474" s="57"/>
      <c r="O474" s="57"/>
      <c r="P474" s="57"/>
      <c r="Q474" s="57"/>
      <c r="R474" s="615"/>
    </row>
    <row r="475" spans="1:20" ht="15.75">
      <c r="A475" s="658">
        <v>212</v>
      </c>
      <c r="B475" s="659" t="s">
        <v>148</v>
      </c>
      <c r="C475" s="786" t="s">
        <v>260</v>
      </c>
      <c r="D475" s="259">
        <f>апр.19!D459+апр.19!D460</f>
        <v>233.10000000000002</v>
      </c>
      <c r="E475" s="41">
        <f>7.4271-7.1994</f>
        <v>0.22770000000000046</v>
      </c>
      <c r="F475" s="691">
        <f>+E475</f>
        <v>0.22770000000000046</v>
      </c>
      <c r="G475" s="214">
        <f>ROUND(D475*E475,2)+0.01</f>
        <v>53.089999999999996</v>
      </c>
      <c r="H475" s="303"/>
      <c r="I475" s="23"/>
      <c r="J475" s="23"/>
      <c r="K475" s="341"/>
      <c r="L475" s="603">
        <f>SUM(G475:G477)</f>
        <v>1629.86</v>
      </c>
      <c r="M475" s="187">
        <v>1629.86</v>
      </c>
      <c r="N475" s="660"/>
      <c r="O475" s="217"/>
      <c r="P475" s="661"/>
      <c r="Q475" s="219"/>
    </row>
    <row r="476" spans="1:20" ht="15.75">
      <c r="A476" s="662"/>
      <c r="B476" s="35"/>
      <c r="C476" s="48" t="s">
        <v>263</v>
      </c>
      <c r="D476" s="269">
        <v>7.1</v>
      </c>
      <c r="E476" s="41">
        <v>7.4271000000000003</v>
      </c>
      <c r="F476" s="298">
        <f t="shared" ref="F476" si="107">+E476</f>
        <v>7.4271000000000003</v>
      </c>
      <c r="G476" s="235">
        <f t="shared" si="105"/>
        <v>52.73</v>
      </c>
      <c r="H476" s="270"/>
      <c r="I476" s="41"/>
      <c r="J476" s="41"/>
      <c r="K476" s="101"/>
      <c r="L476" s="606"/>
      <c r="M476" s="935"/>
      <c r="N476" s="663"/>
      <c r="O476" s="237"/>
      <c r="P476" s="275"/>
      <c r="Q476" s="238"/>
    </row>
    <row r="477" spans="1:20" ht="15.75" thickBot="1">
      <c r="A477" s="975"/>
      <c r="B477" s="665"/>
      <c r="C477" s="99" t="s">
        <v>29</v>
      </c>
      <c r="D477" s="613">
        <v>205.2</v>
      </c>
      <c r="E477" s="56">
        <v>7.4271000000000003</v>
      </c>
      <c r="F477" s="57"/>
      <c r="G477" s="247">
        <f t="shared" si="105"/>
        <v>1524.04</v>
      </c>
      <c r="H477" s="613"/>
      <c r="I477" s="57"/>
      <c r="J477" s="57"/>
      <c r="K477" s="1018"/>
      <c r="L477" s="614"/>
      <c r="M477" s="606"/>
      <c r="N477" s="57"/>
      <c r="O477" s="57"/>
      <c r="P477" s="57"/>
      <c r="Q477" s="666"/>
    </row>
    <row r="478" spans="1:20" ht="16.5" hidden="1" thickBot="1">
      <c r="A478" s="658">
        <v>215</v>
      </c>
      <c r="B478" s="659" t="s">
        <v>292</v>
      </c>
      <c r="C478" s="786" t="s">
        <v>260</v>
      </c>
      <c r="D478" s="259"/>
      <c r="E478" s="41">
        <f>7.2025-6.7838</f>
        <v>0.41869999999999941</v>
      </c>
      <c r="F478" s="691">
        <f>+E478</f>
        <v>0.41869999999999941</v>
      </c>
      <c r="G478" s="214">
        <f>ROUND(D478*E478,2)</f>
        <v>0</v>
      </c>
      <c r="H478" s="303"/>
      <c r="I478" s="23"/>
      <c r="J478" s="23"/>
      <c r="K478" s="341"/>
      <c r="L478" s="603">
        <f>SUM(G478:G480)</f>
        <v>0</v>
      </c>
      <c r="M478" s="187"/>
      <c r="N478" s="660"/>
      <c r="O478" s="217"/>
      <c r="P478" s="661"/>
      <c r="Q478" s="219"/>
    </row>
    <row r="479" spans="1:20" ht="16.5" hidden="1" thickBot="1">
      <c r="A479" s="662"/>
      <c r="B479" s="35"/>
      <c r="C479" s="48" t="s">
        <v>263</v>
      </c>
      <c r="D479" s="269"/>
      <c r="E479" s="41">
        <v>7.2024999999999997</v>
      </c>
      <c r="F479" s="298">
        <f t="shared" ref="F479" si="108">+E479</f>
        <v>7.2024999999999997</v>
      </c>
      <c r="G479" s="235">
        <f>ROUND(D479*E479,2)</f>
        <v>0</v>
      </c>
      <c r="H479" s="270"/>
      <c r="I479" s="41"/>
      <c r="J479" s="41"/>
      <c r="K479" s="101"/>
      <c r="L479" s="606"/>
      <c r="M479" s="935"/>
      <c r="N479" s="663"/>
      <c r="O479" s="237"/>
      <c r="P479" s="275"/>
      <c r="Q479" s="238"/>
    </row>
    <row r="480" spans="1:20" ht="15.75" hidden="1" thickBot="1">
      <c r="A480" s="975"/>
      <c r="B480" s="665"/>
      <c r="C480" s="99" t="s">
        <v>29</v>
      </c>
      <c r="D480" s="613"/>
      <c r="E480" s="56">
        <v>7.2024999999999997</v>
      </c>
      <c r="F480" s="57"/>
      <c r="G480" s="247">
        <f t="shared" ref="G480" si="109">ROUND(D480*E480,2)</f>
        <v>0</v>
      </c>
      <c r="H480" s="613"/>
      <c r="I480" s="57"/>
      <c r="J480" s="57"/>
      <c r="K480" s="1018"/>
      <c r="L480" s="614"/>
      <c r="M480" s="606"/>
      <c r="N480" s="57"/>
      <c r="O480" s="57"/>
      <c r="P480" s="57"/>
      <c r="Q480" s="666"/>
    </row>
    <row r="481" spans="1:18" ht="16.5" hidden="1" thickBot="1">
      <c r="A481" s="658">
        <v>216</v>
      </c>
      <c r="B481" s="659" t="s">
        <v>240</v>
      </c>
      <c r="C481" s="786" t="s">
        <v>260</v>
      </c>
      <c r="D481" s="259"/>
      <c r="E481" s="41">
        <f>7.2025-6.7838</f>
        <v>0.41869999999999941</v>
      </c>
      <c r="F481" s="691">
        <f>+E481</f>
        <v>0.41869999999999941</v>
      </c>
      <c r="G481" s="214">
        <f>ROUND(D481*E481,2)-0.01</f>
        <v>-0.01</v>
      </c>
      <c r="H481" s="303"/>
      <c r="I481" s="23"/>
      <c r="J481" s="23"/>
      <c r="K481" s="341"/>
      <c r="L481" s="603">
        <f>SUM(G481:G483)</f>
        <v>-0.01</v>
      </c>
      <c r="M481" s="187"/>
      <c r="N481" s="660"/>
      <c r="O481" s="1036" t="s">
        <v>320</v>
      </c>
      <c r="P481" s="661"/>
      <c r="Q481" s="219"/>
    </row>
    <row r="482" spans="1:18" ht="16.5" hidden="1" thickBot="1">
      <c r="A482" s="662"/>
      <c r="B482" s="35"/>
      <c r="C482" s="48" t="s">
        <v>263</v>
      </c>
      <c r="D482" s="269"/>
      <c r="E482" s="41">
        <v>7.2024999999999997</v>
      </c>
      <c r="F482" s="298">
        <f t="shared" ref="F482" si="110">+E482</f>
        <v>7.2024999999999997</v>
      </c>
      <c r="G482" s="235">
        <f t="shared" ref="G482:G483" si="111">ROUND(D482*E482,2)</f>
        <v>0</v>
      </c>
      <c r="H482" s="270"/>
      <c r="I482" s="41"/>
      <c r="J482" s="41"/>
      <c r="K482" s="101"/>
      <c r="L482" s="606"/>
      <c r="M482" s="935"/>
      <c r="N482" s="663"/>
      <c r="O482" s="237"/>
      <c r="P482" s="275"/>
      <c r="Q482" s="238"/>
    </row>
    <row r="483" spans="1:18" ht="15.75" hidden="1" thickBot="1">
      <c r="A483" s="975"/>
      <c r="B483" s="665"/>
      <c r="C483" s="99" t="s">
        <v>29</v>
      </c>
      <c r="D483" s="1035"/>
      <c r="E483" s="56">
        <v>7.2024999999999997</v>
      </c>
      <c r="F483" s="57"/>
      <c r="G483" s="247">
        <f t="shared" si="111"/>
        <v>0</v>
      </c>
      <c r="H483" s="613"/>
      <c r="I483" s="57"/>
      <c r="J483" s="57"/>
      <c r="K483" s="1018"/>
      <c r="L483" s="614"/>
      <c r="M483" s="606"/>
      <c r="N483" s="57"/>
      <c r="O483" s="57"/>
      <c r="P483" s="57"/>
      <c r="Q483" s="666"/>
    </row>
    <row r="484" spans="1:18" ht="15.75">
      <c r="A484" s="658">
        <v>218</v>
      </c>
      <c r="B484" s="659" t="s">
        <v>117</v>
      </c>
      <c r="C484" s="439" t="s">
        <v>260</v>
      </c>
      <c r="D484" s="259">
        <f>апр.19!D468+апр.19!D469</f>
        <v>455.64</v>
      </c>
      <c r="E484" s="23">
        <f>7.4271-7.1994</f>
        <v>0.22770000000000046</v>
      </c>
      <c r="F484" s="691">
        <f>+E484</f>
        <v>0.22770000000000046</v>
      </c>
      <c r="G484" s="214">
        <f>ROUND(D484*E484,2)</f>
        <v>103.75</v>
      </c>
      <c r="H484" s="303"/>
      <c r="I484" s="23"/>
      <c r="J484" s="23"/>
      <c r="K484" s="341"/>
      <c r="L484" s="603">
        <f>SUM(G484:G486)</f>
        <v>3069.84</v>
      </c>
      <c r="M484" s="187">
        <v>3069.84</v>
      </c>
      <c r="N484" s="660"/>
      <c r="O484" s="217"/>
      <c r="P484" s="661"/>
      <c r="Q484" s="219"/>
      <c r="R484" s="615"/>
    </row>
    <row r="485" spans="1:18" ht="15.75">
      <c r="A485" s="662"/>
      <c r="B485" s="506"/>
      <c r="C485" s="48" t="s">
        <v>263</v>
      </c>
      <c r="D485" s="773">
        <v>13.36</v>
      </c>
      <c r="E485" s="41">
        <v>7.4271000000000003</v>
      </c>
      <c r="F485" s="774">
        <f t="shared" ref="F485" si="112">+E485</f>
        <v>7.4271000000000003</v>
      </c>
      <c r="G485" s="775">
        <f t="shared" si="105"/>
        <v>99.23</v>
      </c>
      <c r="H485" s="432"/>
      <c r="I485" s="207"/>
      <c r="J485" s="207"/>
      <c r="K485" s="876"/>
      <c r="L485" s="776"/>
      <c r="M485" s="974"/>
      <c r="N485" s="777"/>
      <c r="O485" s="778"/>
      <c r="P485" s="779"/>
      <c r="Q485" s="780"/>
    </row>
    <row r="486" spans="1:18" ht="15.75" thickBot="1">
      <c r="A486" s="975"/>
      <c r="B486" s="278"/>
      <c r="C486" s="54" t="s">
        <v>29</v>
      </c>
      <c r="D486" s="613">
        <v>386</v>
      </c>
      <c r="E486" s="56">
        <v>7.4271000000000003</v>
      </c>
      <c r="F486" s="57"/>
      <c r="G486" s="247">
        <f t="shared" si="105"/>
        <v>2866.86</v>
      </c>
      <c r="H486" s="613"/>
      <c r="I486" s="57"/>
      <c r="J486" s="57"/>
      <c r="K486" s="1018"/>
      <c r="L486" s="783"/>
      <c r="M486" s="938"/>
      <c r="N486" s="57"/>
      <c r="O486" s="57"/>
      <c r="P486" s="57"/>
      <c r="Q486" s="666"/>
    </row>
    <row r="487" spans="1:18" ht="15.75">
      <c r="A487" s="658">
        <v>221</v>
      </c>
      <c r="B487" s="659" t="s">
        <v>284</v>
      </c>
      <c r="C487" s="786" t="s">
        <v>260</v>
      </c>
      <c r="D487" s="259">
        <f>апр.19!D471+апр.19!D472</f>
        <v>51.73</v>
      </c>
      <c r="E487" s="41">
        <f>7.4271-7.1994</f>
        <v>0.22770000000000046</v>
      </c>
      <c r="F487" s="691">
        <f>+E487</f>
        <v>0.22770000000000046</v>
      </c>
      <c r="G487" s="214">
        <f>ROUND(D487*E487,2)</f>
        <v>11.78</v>
      </c>
      <c r="H487" s="303"/>
      <c r="I487" s="23"/>
      <c r="J487" s="23"/>
      <c r="K487" s="341"/>
      <c r="L487" s="603">
        <f>SUM(G487:G489)</f>
        <v>395.98</v>
      </c>
      <c r="M487" s="187">
        <v>395.98</v>
      </c>
      <c r="N487" s="660"/>
      <c r="O487" s="217"/>
      <c r="P487" s="661"/>
      <c r="Q487" s="219"/>
    </row>
    <row r="488" spans="1:18" ht="15.75">
      <c r="A488" s="662"/>
      <c r="B488" s="35"/>
      <c r="C488" s="48" t="s">
        <v>263</v>
      </c>
      <c r="D488" s="269">
        <v>1.73</v>
      </c>
      <c r="E488" s="41">
        <v>7.4271000000000003</v>
      </c>
      <c r="F488" s="298">
        <f t="shared" ref="F488" si="113">+E488</f>
        <v>7.4271000000000003</v>
      </c>
      <c r="G488" s="235">
        <f>ROUND(D488*E488,2)-0.01</f>
        <v>12.84</v>
      </c>
      <c r="H488" s="270"/>
      <c r="I488" s="41"/>
      <c r="J488" s="41"/>
      <c r="K488" s="101"/>
      <c r="L488" s="606"/>
      <c r="M488" s="935"/>
      <c r="N488" s="663"/>
      <c r="O488" s="237"/>
      <c r="P488" s="275"/>
      <c r="Q488" s="238"/>
    </row>
    <row r="489" spans="1:18" ht="15.75" thickBot="1">
      <c r="A489" s="975"/>
      <c r="B489" s="665"/>
      <c r="C489" s="99" t="s">
        <v>29</v>
      </c>
      <c r="D489" s="613">
        <v>50</v>
      </c>
      <c r="E489" s="56">
        <v>7.4271000000000003</v>
      </c>
      <c r="F489" s="57"/>
      <c r="G489" s="247">
        <f t="shared" ref="G489" si="114">ROUND(D489*E489,2)</f>
        <v>371.36</v>
      </c>
      <c r="H489" s="613"/>
      <c r="I489" s="57"/>
      <c r="J489" s="57"/>
      <c r="K489" s="1018"/>
      <c r="L489" s="614"/>
      <c r="M489" s="606"/>
      <c r="N489" s="57"/>
      <c r="O489" s="57"/>
      <c r="P489" s="57"/>
      <c r="Q489" s="666"/>
    </row>
    <row r="490" spans="1:18" ht="16.5" hidden="1" thickBot="1">
      <c r="A490" s="658">
        <v>311</v>
      </c>
      <c r="B490" s="602" t="s">
        <v>142</v>
      </c>
      <c r="C490" s="786" t="s">
        <v>73</v>
      </c>
      <c r="D490" s="787"/>
      <c r="E490" s="21">
        <v>41.244</v>
      </c>
      <c r="F490" s="21">
        <v>48.335999999999999</v>
      </c>
      <c r="G490" s="214">
        <f>+D490*(E490+F490)</f>
        <v>0</v>
      </c>
      <c r="H490" s="687"/>
      <c r="I490" s="688"/>
      <c r="J490" s="670"/>
      <c r="K490" s="689"/>
      <c r="L490" s="603">
        <f>SUM(G490:G494,J490:J494)</f>
        <v>0</v>
      </c>
      <c r="M490" s="187"/>
      <c r="N490" s="788"/>
      <c r="O490" s="789" t="s">
        <v>323</v>
      </c>
      <c r="P490" s="790"/>
      <c r="Q490" s="791"/>
    </row>
    <row r="491" spans="1:18" ht="15.75" hidden="1">
      <c r="A491" s="658"/>
      <c r="B491" s="602"/>
      <c r="C491" s="786" t="s">
        <v>264</v>
      </c>
      <c r="D491" s="787"/>
      <c r="E491" s="21"/>
      <c r="F491" s="21"/>
      <c r="G491" s="214">
        <f>+D491*(E491+F491)</f>
        <v>0</v>
      </c>
      <c r="H491" s="687"/>
      <c r="I491" s="688"/>
      <c r="J491" s="670"/>
      <c r="K491" s="689"/>
      <c r="L491" s="603"/>
      <c r="M491" s="187"/>
      <c r="N491" s="788"/>
      <c r="O491" s="789"/>
      <c r="P491" s="790"/>
      <c r="Q491" s="791"/>
    </row>
    <row r="492" spans="1:18" ht="15.75" hidden="1">
      <c r="A492" s="662"/>
      <c r="B492" s="939"/>
      <c r="C492" s="48" t="s">
        <v>260</v>
      </c>
      <c r="D492" s="269"/>
      <c r="E492" s="41">
        <f>7.1994-7.4969</f>
        <v>-0.29750000000000032</v>
      </c>
      <c r="F492" s="297">
        <f>+E492</f>
        <v>-0.29750000000000032</v>
      </c>
      <c r="G492" s="235">
        <f>ROUND(D492*E492,2)</f>
        <v>0</v>
      </c>
      <c r="H492" s="270"/>
      <c r="I492" s="688"/>
      <c r="J492" s="670"/>
      <c r="K492" s="689"/>
      <c r="L492" s="614"/>
      <c r="M492" s="273"/>
      <c r="N492" s="663"/>
      <c r="O492" s="237"/>
      <c r="P492" s="275"/>
      <c r="Q492" s="238"/>
    </row>
    <row r="493" spans="1:18" ht="15.75" hidden="1">
      <c r="A493" s="662"/>
      <c r="B493" s="506"/>
      <c r="C493" s="48" t="s">
        <v>263</v>
      </c>
      <c r="D493" s="269"/>
      <c r="E493" s="41">
        <v>7.1993999999999998</v>
      </c>
      <c r="F493" s="298">
        <f t="shared" ref="F493" si="115">+E493</f>
        <v>7.1993999999999998</v>
      </c>
      <c r="G493" s="235">
        <f t="shared" ref="G493:G500" si="116">ROUND(D493*E493,2)</f>
        <v>0</v>
      </c>
      <c r="H493" s="270"/>
      <c r="I493" s="41"/>
      <c r="J493" s="670"/>
      <c r="K493" s="689"/>
      <c r="L493" s="606"/>
      <c r="M493" s="935"/>
      <c r="N493" s="663"/>
      <c r="O493" s="237"/>
      <c r="P493" s="275"/>
      <c r="Q493" s="238"/>
    </row>
    <row r="494" spans="1:18" ht="15.75" hidden="1" thickBot="1">
      <c r="A494" s="975"/>
      <c r="B494" s="278"/>
      <c r="C494" s="54" t="s">
        <v>29</v>
      </c>
      <c r="D494" s="795"/>
      <c r="E494" s="56">
        <v>7.1993999999999998</v>
      </c>
      <c r="F494" s="797"/>
      <c r="G494" s="798">
        <f t="shared" si="116"/>
        <v>0</v>
      </c>
      <c r="H494" s="795"/>
      <c r="I494" s="797"/>
      <c r="J494" s="797"/>
      <c r="K494" s="1019"/>
      <c r="L494" s="799"/>
      <c r="M494" s="976"/>
      <c r="N494" s="797"/>
      <c r="O494" s="797"/>
      <c r="P494" s="797"/>
      <c r="Q494" s="800"/>
    </row>
    <row r="495" spans="1:18" ht="15.75">
      <c r="A495" s="658">
        <v>500</v>
      </c>
      <c r="B495" s="659" t="s">
        <v>55</v>
      </c>
      <c r="C495" s="48" t="s">
        <v>260</v>
      </c>
      <c r="D495" s="259">
        <f>апр.19!D479+апр.19!D480</f>
        <v>2816.4700000000003</v>
      </c>
      <c r="E495" s="41">
        <f>7.4271-7.1994</f>
        <v>0.22770000000000046</v>
      </c>
      <c r="F495" s="691">
        <f>+E495</f>
        <v>0.22770000000000046</v>
      </c>
      <c r="G495" s="214">
        <f>ROUND(D495*E495,2)+0.01</f>
        <v>641.31999999999994</v>
      </c>
      <c r="H495" s="303"/>
      <c r="I495" s="23"/>
      <c r="J495" s="23"/>
      <c r="K495" s="341"/>
      <c r="L495" s="603">
        <f>SUM(G495:G497)</f>
        <v>20206.669999999998</v>
      </c>
      <c r="M495" s="187">
        <v>20206.669999999998</v>
      </c>
      <c r="N495" s="660"/>
      <c r="O495" s="217"/>
      <c r="P495" s="661"/>
      <c r="Q495" s="219"/>
    </row>
    <row r="496" spans="1:18" ht="15.75">
      <c r="A496" s="662" t="s">
        <v>211</v>
      </c>
      <c r="B496" s="35"/>
      <c r="C496" s="48" t="s">
        <v>263</v>
      </c>
      <c r="D496" s="269">
        <v>88.1</v>
      </c>
      <c r="E496" s="41">
        <v>7.4271000000000003</v>
      </c>
      <c r="F496" s="298">
        <f t="shared" ref="F496" si="117">+E496</f>
        <v>7.4271000000000003</v>
      </c>
      <c r="G496" s="235">
        <f>ROUND(D496*E496,2)-0.01</f>
        <v>654.32000000000005</v>
      </c>
      <c r="H496" s="270"/>
      <c r="I496" s="41"/>
      <c r="J496" s="41"/>
      <c r="K496" s="101"/>
      <c r="L496" s="606"/>
      <c r="M496" s="935"/>
      <c r="N496" s="663"/>
      <c r="O496" s="237"/>
      <c r="P496" s="275"/>
      <c r="Q496" s="238"/>
    </row>
    <row r="497" spans="1:17" ht="15.75" thickBot="1">
      <c r="A497" s="969"/>
      <c r="B497" s="665"/>
      <c r="C497" s="99" t="s">
        <v>29</v>
      </c>
      <c r="D497" s="613">
        <v>2546.2199999999998</v>
      </c>
      <c r="E497" s="56">
        <v>7.4271000000000003</v>
      </c>
      <c r="F497" s="57"/>
      <c r="G497" s="247">
        <f t="shared" si="116"/>
        <v>18911.03</v>
      </c>
      <c r="H497" s="613"/>
      <c r="I497" s="57"/>
      <c r="J497" s="57"/>
      <c r="K497" s="1018"/>
      <c r="L497" s="614"/>
      <c r="M497" s="935"/>
      <c r="N497" s="57"/>
      <c r="O497" s="57"/>
      <c r="P497" s="57"/>
      <c r="Q497" s="666"/>
    </row>
    <row r="498" spans="1:17" ht="15.75">
      <c r="A498" s="658">
        <v>501</v>
      </c>
      <c r="B498" s="659" t="s">
        <v>300</v>
      </c>
      <c r="C498" s="48" t="s">
        <v>260</v>
      </c>
      <c r="D498" s="259">
        <f>апр.19!D482+апр.19!D483</f>
        <v>2237.71</v>
      </c>
      <c r="E498" s="41">
        <f>7.4271-7.1994</f>
        <v>0.22770000000000046</v>
      </c>
      <c r="F498" s="691">
        <f>+E498</f>
        <v>0.22770000000000046</v>
      </c>
      <c r="G498" s="214">
        <f>ROUND(D498*E498,2)</f>
        <v>509.53</v>
      </c>
      <c r="H498" s="303"/>
      <c r="I498" s="23"/>
      <c r="J498" s="23"/>
      <c r="K498" s="341"/>
      <c r="L498" s="603">
        <f>SUM(G498:G500)</f>
        <v>19559.670000000002</v>
      </c>
      <c r="M498" s="187">
        <v>19559.669999999998</v>
      </c>
      <c r="N498" s="660"/>
      <c r="O498" s="217"/>
      <c r="P498" s="661"/>
      <c r="Q498" s="219"/>
    </row>
    <row r="499" spans="1:17" ht="15.75">
      <c r="A499" s="662"/>
      <c r="B499" s="35"/>
      <c r="C499" s="48" t="s">
        <v>263</v>
      </c>
      <c r="D499" s="269">
        <v>85.78</v>
      </c>
      <c r="E499" s="41">
        <v>7.4271000000000003</v>
      </c>
      <c r="F499" s="298"/>
      <c r="G499" s="235">
        <f t="shared" si="116"/>
        <v>637.1</v>
      </c>
      <c r="H499" s="270"/>
      <c r="I499" s="41"/>
      <c r="J499" s="41"/>
      <c r="K499" s="101"/>
      <c r="L499" s="606"/>
      <c r="M499" s="935"/>
      <c r="N499" s="663"/>
      <c r="O499" s="237"/>
      <c r="P499" s="275"/>
      <c r="Q499" s="238"/>
    </row>
    <row r="500" spans="1:17" ht="15.75" thickBot="1">
      <c r="A500" s="969"/>
      <c r="B500" s="665"/>
      <c r="C500" s="99" t="s">
        <v>29</v>
      </c>
      <c r="D500" s="613">
        <v>2479.17</v>
      </c>
      <c r="E500" s="56">
        <v>7.4271000000000003</v>
      </c>
      <c r="F500" s="57"/>
      <c r="G500" s="247">
        <f t="shared" si="116"/>
        <v>18413.04</v>
      </c>
      <c r="H500" s="613"/>
      <c r="I500" s="57"/>
      <c r="J500" s="57"/>
      <c r="K500" s="1018"/>
      <c r="L500" s="614"/>
      <c r="M500" s="935"/>
      <c r="N500" s="57"/>
      <c r="O500" s="57"/>
      <c r="P500" s="57"/>
      <c r="Q500" s="666"/>
    </row>
    <row r="501" spans="1:17">
      <c r="A501" s="977"/>
    </row>
    <row r="502" spans="1:17">
      <c r="A502" s="977"/>
    </row>
    <row r="503" spans="1:17">
      <c r="A503" s="977"/>
    </row>
  </sheetData>
  <mergeCells count="41">
    <mergeCell ref="N324:Q324"/>
    <mergeCell ref="A466:A467"/>
    <mergeCell ref="B466:B467"/>
    <mergeCell ref="C466:C467"/>
    <mergeCell ref="D466:G466"/>
    <mergeCell ref="H466:K466"/>
    <mergeCell ref="L466:L467"/>
    <mergeCell ref="M466:M467"/>
    <mergeCell ref="N466:Q466"/>
    <mergeCell ref="M158:M159"/>
    <mergeCell ref="N158:Q158"/>
    <mergeCell ref="O318:Q318"/>
    <mergeCell ref="A324:A325"/>
    <mergeCell ref="B324:B325"/>
    <mergeCell ref="C324:C325"/>
    <mergeCell ref="D324:G324"/>
    <mergeCell ref="H324:K324"/>
    <mergeCell ref="L324:L325"/>
    <mergeCell ref="M324:M325"/>
    <mergeCell ref="A158:A159"/>
    <mergeCell ref="B158:B159"/>
    <mergeCell ref="C158:C159"/>
    <mergeCell ref="D158:G158"/>
    <mergeCell ref="H158:K158"/>
    <mergeCell ref="L158:L159"/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</mergeCells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506"/>
  <sheetViews>
    <sheetView workbookViewId="0">
      <pane xSplit="3" topLeftCell="D1" activePane="topRight" state="frozen"/>
      <selection pane="topRight" activeCell="I240" sqref="I240"/>
    </sheetView>
  </sheetViews>
  <sheetFormatPr defaultColWidth="9.140625" defaultRowHeight="15" outlineLevelRow="1"/>
  <cols>
    <col min="1" max="1" width="6.85546875" style="678" customWidth="1"/>
    <col min="2" max="2" width="22.7109375" customWidth="1"/>
    <col min="3" max="3" width="11.42578125" customWidth="1"/>
    <col min="4" max="4" width="11.5703125" customWidth="1"/>
    <col min="5" max="5" width="10.85546875" customWidth="1"/>
    <col min="6" max="6" width="11.7109375" bestFit="1" customWidth="1"/>
    <col min="7" max="7" width="14" customWidth="1"/>
    <col min="8" max="8" width="11.7109375" style="1338" bestFit="1" customWidth="1"/>
    <col min="9" max="9" width="10.7109375" style="1338" bestFit="1" customWidth="1"/>
    <col min="10" max="10" width="11.85546875" style="1338" customWidth="1"/>
    <col min="11" max="11" width="13.140625" style="1338" customWidth="1"/>
    <col min="12" max="12" width="12.28515625" style="1338" customWidth="1"/>
    <col min="13" max="13" width="14" customWidth="1"/>
    <col min="14" max="14" width="9.140625" hidden="1" customWidth="1"/>
    <col min="15" max="15" width="14.7109375" customWidth="1"/>
    <col min="17" max="17" width="12.85546875" customWidth="1"/>
    <col min="18" max="18" width="10" bestFit="1" customWidth="1"/>
    <col min="19" max="19" width="9.7109375" customWidth="1"/>
    <col min="20" max="20" width="10" customWidth="1"/>
    <col min="21" max="21" width="13.140625" customWidth="1"/>
    <col min="22" max="22" width="11.7109375" bestFit="1" customWidth="1"/>
  </cols>
  <sheetData>
    <row r="1" spans="1:22" ht="21.75" thickBot="1">
      <c r="A1" s="1" t="s">
        <v>0</v>
      </c>
      <c r="D1" s="2"/>
      <c r="E1" s="2"/>
      <c r="F1" s="2"/>
      <c r="G1" s="2"/>
      <c r="H1" s="1269"/>
      <c r="I1" s="1269"/>
      <c r="J1" s="1269"/>
      <c r="K1" s="1269"/>
      <c r="L1" s="1269"/>
      <c r="M1" s="3"/>
      <c r="N1" s="2"/>
      <c r="O1" s="2"/>
      <c r="P1" s="2"/>
      <c r="Q1" s="2"/>
    </row>
    <row r="2" spans="1:22" ht="15" customHeight="1" thickTop="1">
      <c r="A2" s="1530" t="s">
        <v>1</v>
      </c>
      <c r="B2" s="1516" t="s">
        <v>2</v>
      </c>
      <c r="C2" s="1518" t="s">
        <v>3</v>
      </c>
      <c r="D2" s="1532" t="s">
        <v>4</v>
      </c>
      <c r="E2" s="1532"/>
      <c r="F2" s="1532"/>
      <c r="G2" s="1532"/>
      <c r="H2" s="1570" t="s">
        <v>5</v>
      </c>
      <c r="I2" s="1571"/>
      <c r="J2" s="1571"/>
      <c r="K2" s="1575"/>
      <c r="L2" s="1576" t="s">
        <v>6</v>
      </c>
      <c r="M2" s="1510" t="s">
        <v>7</v>
      </c>
      <c r="N2" s="1512" t="s">
        <v>8</v>
      </c>
      <c r="O2" s="1512"/>
      <c r="P2" s="1513"/>
      <c r="Q2" s="4" t="s">
        <v>9</v>
      </c>
      <c r="R2" s="5"/>
      <c r="S2" s="5"/>
    </row>
    <row r="3" spans="1:22" ht="26.25" thickBot="1">
      <c r="A3" s="1531"/>
      <c r="B3" s="1517"/>
      <c r="C3" s="1519" t="s">
        <v>10</v>
      </c>
      <c r="D3" s="6" t="s">
        <v>11</v>
      </c>
      <c r="E3" s="7" t="s">
        <v>12</v>
      </c>
      <c r="F3" s="7" t="s">
        <v>13</v>
      </c>
      <c r="G3" s="8" t="s">
        <v>14</v>
      </c>
      <c r="H3" s="1270" t="s">
        <v>11</v>
      </c>
      <c r="I3" s="1271" t="s">
        <v>15</v>
      </c>
      <c r="J3" s="1272" t="s">
        <v>14</v>
      </c>
      <c r="K3" s="1273" t="s">
        <v>16</v>
      </c>
      <c r="L3" s="1569"/>
      <c r="M3" s="1511"/>
      <c r="N3" s="12" t="s">
        <v>14</v>
      </c>
      <c r="O3" s="12" t="s">
        <v>17</v>
      </c>
      <c r="P3" s="13" t="s">
        <v>18</v>
      </c>
      <c r="Q3" s="14" t="s">
        <v>19</v>
      </c>
      <c r="S3" s="15" t="s">
        <v>20</v>
      </c>
      <c r="T3" s="16" t="s">
        <v>21</v>
      </c>
    </row>
    <row r="4" spans="1:22">
      <c r="A4" s="17" t="s">
        <v>196</v>
      </c>
      <c r="B4" s="1143" t="s">
        <v>23</v>
      </c>
      <c r="C4" s="1144"/>
      <c r="D4" s="1145">
        <f>12.062+11.619</f>
        <v>23.680999999999997</v>
      </c>
      <c r="E4" s="1146">
        <v>41.244</v>
      </c>
      <c r="F4" s="1146">
        <v>48.335999999999999</v>
      </c>
      <c r="G4" s="379">
        <f>ROUND(D4*(E4+F4),2)</f>
        <v>2121.34</v>
      </c>
      <c r="H4" s="1274"/>
      <c r="I4" s="1275"/>
      <c r="J4" s="1275"/>
      <c r="K4" s="1276"/>
      <c r="L4" s="1441">
        <f>SUM(G4:G8,J4:J7)</f>
        <v>37997.49</v>
      </c>
      <c r="M4" s="1150">
        <v>37997.49</v>
      </c>
      <c r="N4" s="27"/>
      <c r="O4" s="28"/>
      <c r="P4" s="29" t="s">
        <v>24</v>
      </c>
      <c r="Q4" s="28"/>
      <c r="R4" s="30" t="s">
        <v>25</v>
      </c>
      <c r="S4" s="31"/>
      <c r="T4" s="32"/>
      <c r="U4" s="33">
        <f>+C4+L4-M4</f>
        <v>0</v>
      </c>
    </row>
    <row r="5" spans="1:22">
      <c r="A5" s="34"/>
      <c r="B5" s="1151" t="s">
        <v>221</v>
      </c>
      <c r="C5" s="1152" t="s">
        <v>26</v>
      </c>
      <c r="D5" s="401"/>
      <c r="E5" s="1153"/>
      <c r="F5" s="1153"/>
      <c r="G5" s="400">
        <f>ROUND(D5*(E5+F5),2)</f>
        <v>0</v>
      </c>
      <c r="H5" s="1277"/>
      <c r="I5" s="1278"/>
      <c r="J5" s="1278"/>
      <c r="K5" s="1279"/>
      <c r="L5" s="1408"/>
      <c r="M5" s="1158"/>
      <c r="N5" s="45"/>
      <c r="O5" s="46"/>
      <c r="P5" s="47"/>
      <c r="Q5" s="46"/>
      <c r="R5" s="30"/>
      <c r="S5" s="31"/>
      <c r="T5" s="32"/>
    </row>
    <row r="6" spans="1:22">
      <c r="A6" s="34"/>
      <c r="B6" s="1159"/>
      <c r="C6" s="1160" t="s">
        <v>260</v>
      </c>
      <c r="D6" s="623"/>
      <c r="E6" s="1155"/>
      <c r="F6" s="1155">
        <f>+E6</f>
        <v>0</v>
      </c>
      <c r="G6" s="1161">
        <f>ROUND(D6*E6,2)</f>
        <v>0</v>
      </c>
      <c r="H6" s="1280"/>
      <c r="I6" s="1278"/>
      <c r="J6" s="1278"/>
      <c r="K6" s="1279"/>
      <c r="L6" s="1408"/>
      <c r="M6" s="1158"/>
      <c r="N6" s="45"/>
      <c r="O6" s="46"/>
      <c r="P6" s="47"/>
      <c r="Q6" s="46"/>
      <c r="R6" s="30">
        <f>+G7+G8</f>
        <v>35876.15</v>
      </c>
      <c r="S6" s="31"/>
      <c r="T6" s="32"/>
    </row>
    <row r="7" spans="1:22">
      <c r="A7" s="34"/>
      <c r="B7" s="1159"/>
      <c r="C7" s="1160" t="s">
        <v>263</v>
      </c>
      <c r="D7" s="623">
        <f>65.06+66.71+13.8</f>
        <v>145.57</v>
      </c>
      <c r="E7" s="1155">
        <v>7.1779999999999999</v>
      </c>
      <c r="F7" s="1155">
        <f>+E7</f>
        <v>7.1779999999999999</v>
      </c>
      <c r="G7" s="1161">
        <f>ROUND(D7*E7,2)</f>
        <v>1044.9000000000001</v>
      </c>
      <c r="H7" s="1277"/>
      <c r="I7" s="1278"/>
      <c r="J7" s="1278"/>
      <c r="K7" s="1279"/>
      <c r="L7" s="1408"/>
      <c r="M7" s="1158"/>
      <c r="N7" s="45"/>
      <c r="O7" s="46"/>
      <c r="P7" s="47"/>
      <c r="Q7" s="46"/>
      <c r="R7" s="30"/>
      <c r="S7" s="31"/>
      <c r="T7" s="32"/>
      <c r="V7" s="33">
        <f>+G7+G8</f>
        <v>35876.15</v>
      </c>
    </row>
    <row r="8" spans="1:22" ht="15.75" thickBot="1">
      <c r="A8" s="52"/>
      <c r="B8" s="1163"/>
      <c r="C8" s="1164" t="s">
        <v>29</v>
      </c>
      <c r="D8" s="941">
        <f>2168.7+2223.8+460</f>
        <v>4852.5</v>
      </c>
      <c r="E8" s="1165">
        <v>7.1779999999999999</v>
      </c>
      <c r="F8" s="1166">
        <f>+E8</f>
        <v>7.1779999999999999</v>
      </c>
      <c r="G8" s="1167">
        <f>ROUND(D8*E8,2)</f>
        <v>34831.25</v>
      </c>
      <c r="H8" s="1281"/>
      <c r="I8" s="1282"/>
      <c r="J8" s="1282"/>
      <c r="K8" s="1283"/>
      <c r="L8" s="1409"/>
      <c r="M8" s="1172"/>
      <c r="N8" s="64"/>
      <c r="O8" s="65"/>
      <c r="P8" s="47" t="s">
        <v>24</v>
      </c>
      <c r="Q8" s="65">
        <f>+G8+J8-M8-N8-O8</f>
        <v>34831.25</v>
      </c>
      <c r="R8" s="66" t="s">
        <v>25</v>
      </c>
      <c r="S8" s="67">
        <f>SUM(O4:O8)</f>
        <v>0</v>
      </c>
      <c r="T8" s="68">
        <f>SUM(Q4:Q8)</f>
        <v>34831.25</v>
      </c>
    </row>
    <row r="9" spans="1:22" s="140" customFormat="1" ht="15.75" hidden="1" collapsed="1" thickBot="1">
      <c r="A9" s="17">
        <v>309</v>
      </c>
      <c r="B9" s="18" t="s">
        <v>151</v>
      </c>
      <c r="C9" s="19"/>
      <c r="D9" s="20"/>
      <c r="E9" s="21"/>
      <c r="F9" s="21"/>
      <c r="G9" s="22"/>
      <c r="H9" s="1284"/>
      <c r="I9" s="1285"/>
      <c r="J9" s="1285"/>
      <c r="K9" s="497"/>
      <c r="L9" s="498">
        <f>SUM(G9:G12,J9:J12)</f>
        <v>-0.01</v>
      </c>
      <c r="M9" s="26"/>
      <c r="N9" s="27"/>
      <c r="O9" s="28"/>
      <c r="P9" s="29" t="s">
        <v>24</v>
      </c>
      <c r="Q9" s="28"/>
      <c r="R9" s="30"/>
      <c r="S9" s="31"/>
      <c r="T9" s="32"/>
      <c r="U9" s="33">
        <f>+C9+L9-M9</f>
        <v>-0.01</v>
      </c>
    </row>
    <row r="10" spans="1:22" s="140" customFormat="1" ht="15.75" hidden="1" thickBot="1">
      <c r="A10" s="34"/>
      <c r="B10" s="35"/>
      <c r="C10" s="48" t="s">
        <v>135</v>
      </c>
      <c r="D10" s="37"/>
      <c r="E10" s="41">
        <f>6.6914-6.3259</f>
        <v>0.36549999999999994</v>
      </c>
      <c r="F10" s="38"/>
      <c r="G10" s="39">
        <f>ROUND(D10*(E10+F10),2)-0.01</f>
        <v>-0.01</v>
      </c>
      <c r="H10" s="1286"/>
      <c r="I10" s="1287"/>
      <c r="J10" s="1287"/>
      <c r="K10" s="510"/>
      <c r="L10" s="1410"/>
      <c r="M10" s="44"/>
      <c r="N10" s="45"/>
      <c r="O10" s="46"/>
      <c r="P10" s="47"/>
      <c r="Q10" s="46"/>
      <c r="R10" s="815" t="s">
        <v>172</v>
      </c>
      <c r="S10" s="31"/>
      <c r="T10" s="32"/>
      <c r="U10"/>
    </row>
    <row r="11" spans="1:22" s="140" customFormat="1" ht="15.75" hidden="1" thickBot="1">
      <c r="A11" s="34"/>
      <c r="B11" s="35"/>
      <c r="C11" s="48" t="s">
        <v>136</v>
      </c>
      <c r="D11" s="49"/>
      <c r="E11" s="41">
        <v>6.6913999999999998</v>
      </c>
      <c r="F11" s="41">
        <f>+E11</f>
        <v>6.6913999999999998</v>
      </c>
      <c r="G11" s="50">
        <f>ROUND(D11*E11,2)</f>
        <v>0</v>
      </c>
      <c r="H11" s="1288"/>
      <c r="I11" s="1287"/>
      <c r="J11" s="1287"/>
      <c r="K11" s="510"/>
      <c r="L11" s="1410"/>
      <c r="M11" s="44"/>
      <c r="N11" s="45"/>
      <c r="O11" s="46"/>
      <c r="P11" s="47"/>
      <c r="Q11" s="46"/>
      <c r="R11" s="30"/>
      <c r="S11" s="31"/>
      <c r="T11" s="32"/>
      <c r="U11"/>
    </row>
    <row r="12" spans="1:22" s="140" customFormat="1" ht="15.75" hidden="1" thickBot="1">
      <c r="A12" s="766"/>
      <c r="B12" s="767"/>
      <c r="C12" s="99" t="s">
        <v>29</v>
      </c>
      <c r="D12" s="49"/>
      <c r="E12" s="56">
        <v>6.6913999999999998</v>
      </c>
      <c r="F12" s="41">
        <f>+E12</f>
        <v>6.6913999999999998</v>
      </c>
      <c r="G12" s="50">
        <f>ROUND(D12*E12,2)</f>
        <v>0</v>
      </c>
      <c r="H12" s="1286"/>
      <c r="I12" s="1287"/>
      <c r="J12" s="1287"/>
      <c r="K12" s="510"/>
      <c r="L12" s="517"/>
      <c r="M12" s="90"/>
      <c r="N12" s="91"/>
      <c r="O12" s="769"/>
      <c r="P12" s="29"/>
      <c r="Q12" s="770"/>
      <c r="R12" s="30"/>
      <c r="S12" s="31"/>
      <c r="T12" s="32"/>
      <c r="U12"/>
    </row>
    <row r="13" spans="1:22" s="81" customFormat="1">
      <c r="A13" s="69">
        <v>311</v>
      </c>
      <c r="B13" s="70" t="s">
        <v>31</v>
      </c>
      <c r="C13" s="71">
        <v>0</v>
      </c>
      <c r="D13" s="72">
        <v>139.28299999999999</v>
      </c>
      <c r="E13" s="21">
        <v>41.244</v>
      </c>
      <c r="F13" s="21">
        <v>48.335999999999999</v>
      </c>
      <c r="G13" s="22">
        <f>ROUND(D13*(E13+F13),2)</f>
        <v>12476.97</v>
      </c>
      <c r="H13" s="1284"/>
      <c r="I13" s="1285"/>
      <c r="J13" s="1285"/>
      <c r="K13" s="497"/>
      <c r="L13" s="498">
        <f>SUM(G13:G20,J13:J19)</f>
        <v>59491.88</v>
      </c>
      <c r="M13" s="26">
        <v>59491.88</v>
      </c>
      <c r="N13" s="27"/>
      <c r="O13" s="75"/>
      <c r="P13" s="76" t="s">
        <v>24</v>
      </c>
      <c r="Q13" s="77"/>
      <c r="R13" s="78"/>
      <c r="S13" s="79"/>
      <c r="T13" s="80"/>
      <c r="U13" s="33">
        <f>+C13+L13-M13</f>
        <v>0</v>
      </c>
    </row>
    <row r="14" spans="1:22" s="81" customFormat="1">
      <c r="A14" s="82"/>
      <c r="B14" s="83"/>
      <c r="C14" s="84" t="s">
        <v>26</v>
      </c>
      <c r="D14" s="37"/>
      <c r="E14" s="38"/>
      <c r="F14" s="38"/>
      <c r="G14" s="39">
        <f>ROUND(D14*(E14+F14),2)</f>
        <v>0</v>
      </c>
      <c r="H14" s="1289"/>
      <c r="I14" s="1290"/>
      <c r="J14" s="1291"/>
      <c r="K14" s="1292"/>
      <c r="L14" s="1411"/>
      <c r="M14" s="90"/>
      <c r="N14" s="91"/>
      <c r="O14" s="92"/>
      <c r="P14" s="93"/>
      <c r="Q14" s="94"/>
      <c r="R14" s="95"/>
      <c r="S14" s="96"/>
      <c r="T14" s="97"/>
      <c r="U14" s="33"/>
    </row>
    <row r="15" spans="1:22" s="81" customFormat="1">
      <c r="A15" s="82"/>
      <c r="B15" s="98" t="s">
        <v>32</v>
      </c>
      <c r="C15" s="99" t="s">
        <v>33</v>
      </c>
      <c r="D15" s="100">
        <v>0</v>
      </c>
      <c r="E15" s="101">
        <v>276.93</v>
      </c>
      <c r="F15" s="38">
        <f>F13</f>
        <v>48.335999999999999</v>
      </c>
      <c r="G15" s="39">
        <f>ROUND(D15*(E15+F15),2)</f>
        <v>0</v>
      </c>
      <c r="H15" s="1286"/>
      <c r="I15" s="1287"/>
      <c r="J15" s="1291"/>
      <c r="K15" s="1292"/>
      <c r="L15" s="1411"/>
      <c r="M15" s="102"/>
      <c r="N15" s="103"/>
      <c r="O15" s="104"/>
      <c r="P15" s="93" t="s">
        <v>24</v>
      </c>
      <c r="Q15" s="104"/>
      <c r="R15" s="95"/>
      <c r="S15" s="96"/>
      <c r="T15" s="97"/>
      <c r="U15" s="33"/>
    </row>
    <row r="16" spans="1:22" s="81" customFormat="1">
      <c r="A16" s="82"/>
      <c r="B16" s="83" t="s">
        <v>34</v>
      </c>
      <c r="C16" s="84"/>
      <c r="D16" s="49">
        <f>май.19!D15</f>
        <v>0.49</v>
      </c>
      <c r="E16" s="41"/>
      <c r="F16" s="38">
        <f>F14</f>
        <v>0</v>
      </c>
      <c r="G16" s="50">
        <f>+D16*(E16+F16)</f>
        <v>0</v>
      </c>
      <c r="H16" s="1286"/>
      <c r="I16" s="1291"/>
      <c r="J16" s="1291"/>
      <c r="K16" s="1292"/>
      <c r="L16" s="1411"/>
      <c r="M16" s="102"/>
      <c r="N16" s="103"/>
      <c r="O16" s="104"/>
      <c r="P16" s="93"/>
      <c r="Q16" s="104"/>
      <c r="R16" s="95"/>
      <c r="S16" s="96"/>
      <c r="T16" s="97"/>
      <c r="U16"/>
    </row>
    <row r="17" spans="1:21" s="81" customFormat="1">
      <c r="A17" s="82"/>
      <c r="B17" s="83"/>
      <c r="C17" s="84"/>
      <c r="D17" s="49"/>
      <c r="E17" s="38"/>
      <c r="F17" s="41"/>
      <c r="G17" s="50">
        <f>+D17*E17</f>
        <v>0</v>
      </c>
      <c r="H17" s="1286"/>
      <c r="I17" s="1291"/>
      <c r="J17" s="1291"/>
      <c r="K17" s="1292"/>
      <c r="L17" s="1411"/>
      <c r="M17" s="102"/>
      <c r="N17" s="103"/>
      <c r="O17" s="104"/>
      <c r="P17" s="93"/>
      <c r="Q17" s="104"/>
      <c r="R17" s="95"/>
      <c r="S17" s="96"/>
      <c r="T17" s="97"/>
      <c r="U17"/>
    </row>
    <row r="18" spans="1:21" s="81" customFormat="1">
      <c r="A18" s="82"/>
      <c r="B18" s="83"/>
      <c r="C18" s="48" t="s">
        <v>260</v>
      </c>
      <c r="D18" s="49">
        <f>май.19!D19+май.19!D20</f>
        <v>5959.68</v>
      </c>
      <c r="E18" s="881">
        <f>7.1389-7.4271</f>
        <v>-0.28820000000000068</v>
      </c>
      <c r="F18" s="41">
        <f>+E18</f>
        <v>-0.28820000000000068</v>
      </c>
      <c r="G18" s="50">
        <f>ROUND(D18*E18*70%+D18*F18*30%,2)</f>
        <v>-1717.58</v>
      </c>
      <c r="H18" s="1286"/>
      <c r="I18" s="1291"/>
      <c r="J18" s="1291"/>
      <c r="K18" s="1292"/>
      <c r="L18" s="1411"/>
      <c r="M18" s="102"/>
      <c r="N18" s="103"/>
      <c r="O18" s="104"/>
      <c r="P18" s="93"/>
      <c r="Q18" s="104"/>
      <c r="R18" s="95"/>
      <c r="S18" s="96"/>
      <c r="T18" s="97"/>
      <c r="U18"/>
    </row>
    <row r="19" spans="1:21" s="81" customFormat="1">
      <c r="A19" s="82"/>
      <c r="B19" s="83"/>
      <c r="C19" s="48" t="s">
        <v>263</v>
      </c>
      <c r="D19" s="49">
        <f>12.59+180.57+5.67</f>
        <v>198.82999999999998</v>
      </c>
      <c r="E19" s="41">
        <v>7.1388999999999996</v>
      </c>
      <c r="F19" s="41">
        <f>E19</f>
        <v>7.1388999999999996</v>
      </c>
      <c r="G19" s="50">
        <f>ROUND(D19*E19*70%+D19*F19*30%,2)</f>
        <v>1419.43</v>
      </c>
      <c r="H19" s="1286"/>
      <c r="I19" s="1291"/>
      <c r="J19" s="1291"/>
      <c r="K19" s="1292"/>
      <c r="L19" s="1411"/>
      <c r="M19" s="102"/>
      <c r="N19" s="103"/>
      <c r="O19" s="104"/>
      <c r="P19" s="93"/>
      <c r="Q19" s="104"/>
      <c r="R19" s="95"/>
      <c r="S19" s="96"/>
      <c r="T19" s="97"/>
      <c r="U19"/>
    </row>
    <row r="20" spans="1:21" s="81" customFormat="1" ht="15.75" thickBot="1">
      <c r="A20" s="105"/>
      <c r="B20" s="106"/>
      <c r="C20" s="99" t="s">
        <v>29</v>
      </c>
      <c r="D20" s="108">
        <f>419.5+6019+189</f>
        <v>6627.5</v>
      </c>
      <c r="E20" s="56">
        <v>7.1388999999999996</v>
      </c>
      <c r="F20" s="109">
        <f>+E20</f>
        <v>7.1388999999999996</v>
      </c>
      <c r="G20" s="110">
        <f>ROUND(D20*E20*70%+D20*F20*30%,2)</f>
        <v>47313.06</v>
      </c>
      <c r="H20" s="1293"/>
      <c r="I20" s="1294"/>
      <c r="J20" s="1294"/>
      <c r="K20" s="1295"/>
      <c r="L20" s="1412"/>
      <c r="M20" s="115"/>
      <c r="N20" s="116"/>
      <c r="O20" s="117"/>
      <c r="P20" s="118" t="s">
        <v>24</v>
      </c>
      <c r="Q20" s="117"/>
      <c r="R20" s="119"/>
      <c r="S20" s="120">
        <f>SUM(O13:O20)</f>
        <v>0</v>
      </c>
      <c r="T20" s="121">
        <f>SUM(Q13:Q20)</f>
        <v>0</v>
      </c>
      <c r="U20"/>
    </row>
    <row r="21" spans="1:21" s="140" customFormat="1" ht="16.5" hidden="1" outlineLevel="1" thickTop="1" thickBot="1">
      <c r="A21" s="122">
        <v>309</v>
      </c>
      <c r="B21" s="123" t="s">
        <v>35</v>
      </c>
      <c r="C21" s="124">
        <v>-281.10000000000002</v>
      </c>
      <c r="D21" s="125"/>
      <c r="E21" s="126">
        <v>22.065999999999999</v>
      </c>
      <c r="F21" s="126">
        <v>25.653199999999998</v>
      </c>
      <c r="G21" s="127">
        <f>D21*(E21+F21)</f>
        <v>0</v>
      </c>
      <c r="H21" s="1296">
        <v>0</v>
      </c>
      <c r="I21" s="1297">
        <v>158.69999999999999</v>
      </c>
      <c r="J21" s="1297">
        <f>ROUND(H21*I21,2)</f>
        <v>0</v>
      </c>
      <c r="K21" s="1298"/>
      <c r="L21" s="1413">
        <f>+G21+G22+G23+SUM(J21:J21)</f>
        <v>0</v>
      </c>
      <c r="M21" s="133"/>
      <c r="N21" s="134"/>
      <c r="O21" s="135"/>
      <c r="P21" s="136" t="s">
        <v>24</v>
      </c>
      <c r="Q21" s="135">
        <f>C21+G21+J21-M21-N21-O21</f>
        <v>-281.10000000000002</v>
      </c>
      <c r="R21" s="137"/>
      <c r="S21" s="138"/>
      <c r="T21" s="139"/>
      <c r="U21" s="33">
        <f>+C21+L21-M21</f>
        <v>-281.10000000000002</v>
      </c>
    </row>
    <row r="22" spans="1:21" s="140" customFormat="1" ht="16.5" hidden="1" outlineLevel="1" thickTop="1" thickBot="1">
      <c r="A22" s="122">
        <v>309</v>
      </c>
      <c r="B22" s="123" t="s">
        <v>36</v>
      </c>
      <c r="C22" s="124"/>
      <c r="D22" s="125"/>
      <c r="E22" s="126">
        <v>85.48</v>
      </c>
      <c r="F22" s="126">
        <v>25.653199999999998</v>
      </c>
      <c r="G22" s="127">
        <f>D22*(E22+F22)</f>
        <v>0</v>
      </c>
      <c r="H22" s="1296"/>
      <c r="I22" s="1299"/>
      <c r="J22" s="1297">
        <f>H22*I22</f>
        <v>0</v>
      </c>
      <c r="K22" s="1300"/>
      <c r="L22" s="1413"/>
      <c r="M22" s="133"/>
      <c r="N22" s="134"/>
      <c r="O22" s="135"/>
      <c r="P22" s="136" t="s">
        <v>24</v>
      </c>
      <c r="Q22" s="135">
        <f>C22+G22+J22-M22-N22-O22</f>
        <v>0</v>
      </c>
      <c r="R22" s="137"/>
      <c r="S22" s="138"/>
      <c r="T22" s="139"/>
      <c r="U22"/>
    </row>
    <row r="23" spans="1:21" s="140" customFormat="1" ht="16.5" hidden="1" outlineLevel="1" thickTop="1" thickBot="1">
      <c r="A23" s="122">
        <v>309</v>
      </c>
      <c r="B23" s="123" t="s">
        <v>37</v>
      </c>
      <c r="C23" s="124"/>
      <c r="D23" s="125"/>
      <c r="E23" s="141">
        <v>3.2827999999999999</v>
      </c>
      <c r="F23" s="141">
        <f>+E23</f>
        <v>3.2827999999999999</v>
      </c>
      <c r="G23" s="127">
        <f>D23*E23*70%+D23*F23*30%</f>
        <v>0</v>
      </c>
      <c r="H23" s="1301"/>
      <c r="I23" s="1302"/>
      <c r="J23" s="1302"/>
      <c r="K23" s="1303"/>
      <c r="L23" s="1414"/>
      <c r="M23" s="133"/>
      <c r="N23" s="134"/>
      <c r="O23" s="135"/>
      <c r="P23" s="136" t="s">
        <v>24</v>
      </c>
      <c r="Q23" s="135">
        <f>C23+G23+J23-M23-N23-O23</f>
        <v>0</v>
      </c>
      <c r="R23" s="137"/>
      <c r="S23" s="138">
        <f>SUM(O21:O23)</f>
        <v>0</v>
      </c>
      <c r="T23" s="139">
        <f>SUM(Q21:Q23)</f>
        <v>-281.10000000000002</v>
      </c>
      <c r="U23"/>
    </row>
    <row r="24" spans="1:21" s="140" customFormat="1" ht="16.5" hidden="1" outlineLevel="1" thickTop="1" thickBot="1">
      <c r="A24" s="147"/>
      <c r="B24" s="148" t="s">
        <v>38</v>
      </c>
      <c r="C24" s="149" t="s">
        <v>39</v>
      </c>
      <c r="D24" s="125"/>
      <c r="E24" s="150">
        <v>5.6467000000000001</v>
      </c>
      <c r="F24" s="150">
        <f>+E24</f>
        <v>5.6467000000000001</v>
      </c>
      <c r="G24" s="150">
        <f>ROUND(D24*E24*70%+D24*F24*30%,2)</f>
        <v>0</v>
      </c>
      <c r="H24" s="1304"/>
      <c r="I24" s="1297"/>
      <c r="J24" s="1297"/>
      <c r="K24" s="1297"/>
      <c r="L24" s="1297">
        <f>SUM(G24:G25)</f>
        <v>0</v>
      </c>
      <c r="M24" s="152"/>
      <c r="N24" s="153"/>
      <c r="O24" s="135"/>
      <c r="P24" s="136"/>
      <c r="Q24" s="135"/>
      <c r="R24" s="154"/>
      <c r="S24" s="138"/>
      <c r="T24" s="139"/>
      <c r="U24"/>
    </row>
    <row r="25" spans="1:21" s="140" customFormat="1" ht="16.5" hidden="1" outlineLevel="1" thickTop="1" thickBot="1">
      <c r="A25" s="147"/>
      <c r="B25" s="148" t="s">
        <v>40</v>
      </c>
      <c r="C25" s="155" t="s">
        <v>41</v>
      </c>
      <c r="D25" s="125"/>
      <c r="E25" s="150">
        <v>5.6467000000000001</v>
      </c>
      <c r="F25" s="156">
        <f>+E25</f>
        <v>5.6467000000000001</v>
      </c>
      <c r="G25" s="130">
        <f>ROUND(D25*E25*70%+D25*F25*30%,2)</f>
        <v>0</v>
      </c>
      <c r="H25" s="1304"/>
      <c r="I25" s="1297"/>
      <c r="J25" s="1297"/>
      <c r="K25" s="1297"/>
      <c r="L25" s="1297"/>
      <c r="M25" s="152"/>
      <c r="N25" s="153"/>
      <c r="O25" s="135"/>
      <c r="P25" s="136"/>
      <c r="Q25" s="135"/>
      <c r="R25" s="154"/>
      <c r="S25" s="138"/>
      <c r="T25" s="139"/>
      <c r="U25"/>
    </row>
    <row r="26" spans="1:21" s="140" customFormat="1" ht="16.5" hidden="1" outlineLevel="1" thickTop="1" thickBot="1">
      <c r="A26" s="147"/>
      <c r="B26" s="148" t="s">
        <v>42</v>
      </c>
      <c r="C26" s="155"/>
      <c r="D26" s="125"/>
      <c r="E26" s="141"/>
      <c r="F26" s="141"/>
      <c r="G26" s="141"/>
      <c r="H26" s="1304"/>
      <c r="I26" s="1297"/>
      <c r="J26" s="1297"/>
      <c r="K26" s="1297"/>
      <c r="L26" s="1297"/>
      <c r="M26" s="152"/>
      <c r="N26" s="153"/>
      <c r="O26" s="135"/>
      <c r="P26" s="136"/>
      <c r="Q26" s="135"/>
      <c r="R26" s="154"/>
      <c r="S26" s="138"/>
      <c r="T26" s="139"/>
      <c r="U26"/>
    </row>
    <row r="27" spans="1:21" ht="16.5" collapsed="1" thickTop="1">
      <c r="A27" s="658">
        <v>400</v>
      </c>
      <c r="B27" s="659" t="s">
        <v>300</v>
      </c>
      <c r="C27" s="48" t="s">
        <v>260</v>
      </c>
      <c r="D27" s="259">
        <f>май.19!D28+май.19!D29</f>
        <v>2503.8399999999997</v>
      </c>
      <c r="E27" s="41">
        <f>7.1389-7.4271</f>
        <v>-0.28820000000000068</v>
      </c>
      <c r="F27" s="691">
        <f>+E27</f>
        <v>-0.28820000000000068</v>
      </c>
      <c r="G27" s="214">
        <f>ROUND(D27*E27,2)</f>
        <v>-721.61</v>
      </c>
      <c r="H27" s="1305"/>
      <c r="I27" s="1285"/>
      <c r="J27" s="1285"/>
      <c r="K27" s="1285"/>
      <c r="L27" s="1415">
        <f>SUM(G27:G29)</f>
        <v>17634</v>
      </c>
      <c r="M27" s="187">
        <v>17634</v>
      </c>
      <c r="N27" s="660"/>
      <c r="O27" s="217"/>
      <c r="P27" s="661"/>
      <c r="Q27" s="219"/>
    </row>
    <row r="28" spans="1:21" ht="15.75">
      <c r="A28" s="662"/>
      <c r="B28" s="35"/>
      <c r="C28" s="48" t="s">
        <v>263</v>
      </c>
      <c r="D28" s="269">
        <v>74.89</v>
      </c>
      <c r="E28" s="41">
        <v>7.1388999999999996</v>
      </c>
      <c r="F28" s="298">
        <f t="shared" ref="F28" si="0">+E28</f>
        <v>7.1388999999999996</v>
      </c>
      <c r="G28" s="235">
        <f>ROUND(D28*E28,2)</f>
        <v>534.63</v>
      </c>
      <c r="H28" s="1289"/>
      <c r="I28" s="1287"/>
      <c r="J28" s="1287"/>
      <c r="K28" s="1287"/>
      <c r="L28" s="1416"/>
      <c r="M28" s="935"/>
      <c r="N28" s="663"/>
      <c r="O28" s="237"/>
      <c r="P28" s="275"/>
      <c r="Q28" s="238"/>
    </row>
    <row r="29" spans="1:21" ht="15.75" thickBot="1">
      <c r="A29" s="969"/>
      <c r="B29" s="665"/>
      <c r="C29" s="99" t="s">
        <v>29</v>
      </c>
      <c r="D29" s="613">
        <v>2496.3200000000002</v>
      </c>
      <c r="E29" s="56">
        <v>7.1388999999999996</v>
      </c>
      <c r="F29" s="57"/>
      <c r="G29" s="247">
        <f>ROUND(D29*E29,2)</f>
        <v>17820.98</v>
      </c>
      <c r="H29" s="1306"/>
      <c r="I29" s="1307"/>
      <c r="J29" s="1307"/>
      <c r="K29" s="1307"/>
      <c r="L29" s="1417"/>
      <c r="M29" s="935"/>
      <c r="N29" s="57"/>
      <c r="O29" s="57"/>
      <c r="P29" s="57"/>
      <c r="Q29" s="666"/>
    </row>
    <row r="30" spans="1:21" ht="21.75" collapsed="1" thickBot="1">
      <c r="A30" s="171" t="s">
        <v>43</v>
      </c>
      <c r="B30" s="2"/>
      <c r="C30" s="172"/>
      <c r="D30" s="173"/>
      <c r="E30" s="2"/>
      <c r="F30" s="2"/>
      <c r="G30" s="2"/>
      <c r="H30" s="1269"/>
      <c r="I30" s="1269"/>
      <c r="J30" s="1269"/>
      <c r="K30" s="1269"/>
      <c r="L30" s="1269"/>
      <c r="M30" s="3"/>
      <c r="N30" s="2"/>
      <c r="O30" s="2"/>
      <c r="P30" s="2"/>
      <c r="Q30" s="2"/>
    </row>
    <row r="31" spans="1:21" ht="15" customHeight="1" thickTop="1">
      <c r="A31" s="1514" t="s">
        <v>1</v>
      </c>
      <c r="B31" s="1516" t="s">
        <v>2</v>
      </c>
      <c r="C31" s="1518" t="s">
        <v>3</v>
      </c>
      <c r="D31" s="1520" t="s">
        <v>4</v>
      </c>
      <c r="E31" s="1520"/>
      <c r="F31" s="1520"/>
      <c r="G31" s="1520"/>
      <c r="H31" s="1572" t="s">
        <v>5</v>
      </c>
      <c r="I31" s="1573"/>
      <c r="J31" s="1573"/>
      <c r="K31" s="1574"/>
      <c r="L31" s="1568" t="s">
        <v>6</v>
      </c>
      <c r="M31" s="1526" t="s">
        <v>7</v>
      </c>
      <c r="N31" s="1528" t="s">
        <v>8</v>
      </c>
      <c r="O31" s="1528"/>
      <c r="P31" s="1529"/>
      <c r="Q31" s="174" t="s">
        <v>9</v>
      </c>
      <c r="R31" s="5"/>
      <c r="S31" s="175"/>
      <c r="T31" s="176"/>
      <c r="U31" s="5"/>
    </row>
    <row r="32" spans="1:21" ht="26.25" thickBot="1">
      <c r="A32" s="1515"/>
      <c r="B32" s="1517"/>
      <c r="C32" s="1564" t="s">
        <v>10</v>
      </c>
      <c r="D32" s="1005" t="s">
        <v>11</v>
      </c>
      <c r="E32" s="1006" t="s">
        <v>12</v>
      </c>
      <c r="F32" s="1006" t="s">
        <v>13</v>
      </c>
      <c r="G32" s="1007" t="s">
        <v>14</v>
      </c>
      <c r="H32" s="1270" t="s">
        <v>11</v>
      </c>
      <c r="I32" s="1271" t="s">
        <v>15</v>
      </c>
      <c r="J32" s="1271" t="s">
        <v>14</v>
      </c>
      <c r="K32" s="1273" t="s">
        <v>16</v>
      </c>
      <c r="L32" s="1569"/>
      <c r="M32" s="1527"/>
      <c r="N32" s="178"/>
      <c r="O32" s="177" t="s">
        <v>44</v>
      </c>
      <c r="P32" s="13" t="s">
        <v>18</v>
      </c>
      <c r="Q32" s="179" t="s">
        <v>19</v>
      </c>
      <c r="R32" s="180"/>
      <c r="S32" s="181" t="s">
        <v>20</v>
      </c>
      <c r="T32" s="181" t="s">
        <v>21</v>
      </c>
    </row>
    <row r="33" spans="1:21" ht="15.75" thickBot="1">
      <c r="A33" s="888" t="s">
        <v>241</v>
      </c>
      <c r="B33" s="183" t="s">
        <v>242</v>
      </c>
      <c r="C33" s="439" t="s">
        <v>243</v>
      </c>
      <c r="D33" s="1008">
        <v>1.3</v>
      </c>
      <c r="E33" s="23">
        <v>41.244</v>
      </c>
      <c r="F33" s="23">
        <v>48.335999999999999</v>
      </c>
      <c r="G33" s="214">
        <f>ROUND(D33*(E33+F33),2)</f>
        <v>116.45</v>
      </c>
      <c r="H33" s="1308">
        <f>мар19!D33</f>
        <v>0.8</v>
      </c>
      <c r="I33" s="1285">
        <v>67.703999999999994</v>
      </c>
      <c r="J33" s="1285">
        <f>ROUND(H33*I33,2)</f>
        <v>54.16</v>
      </c>
      <c r="K33" s="1309">
        <v>43525</v>
      </c>
      <c r="L33" s="439">
        <f>SUM(G33:G37)+SUM(J33:J34)</f>
        <v>10370.379999999999</v>
      </c>
      <c r="M33" s="187">
        <v>10370.379999999999</v>
      </c>
      <c r="N33" s="274"/>
      <c r="O33" s="237"/>
      <c r="P33" s="275"/>
      <c r="Q33" s="237"/>
      <c r="R33" s="242"/>
      <c r="S33" s="266"/>
      <c r="T33" s="266"/>
    </row>
    <row r="34" spans="1:21" ht="15.75" thickBot="1">
      <c r="A34" s="896"/>
      <c r="B34" s="192"/>
      <c r="C34" s="48" t="s">
        <v>260</v>
      </c>
      <c r="D34" s="1009"/>
      <c r="E34" s="41"/>
      <c r="F34" s="41"/>
      <c r="G34" s="235">
        <f>ROUND(D34*(E34+F34),2)</f>
        <v>0</v>
      </c>
      <c r="H34" s="1310"/>
      <c r="I34" s="1311"/>
      <c r="J34" s="1285"/>
      <c r="K34" s="1312"/>
      <c r="L34" s="987"/>
      <c r="M34" s="989"/>
      <c r="N34" s="274"/>
      <c r="O34" s="237"/>
      <c r="P34" s="275"/>
      <c r="Q34" s="237"/>
      <c r="R34" s="242"/>
      <c r="S34" s="266"/>
      <c r="T34" s="266"/>
    </row>
    <row r="35" spans="1:21">
      <c r="A35" s="896"/>
      <c r="B35" s="224"/>
      <c r="C35" s="48" t="s">
        <v>260</v>
      </c>
      <c r="D35" s="1010">
        <f>май.19!D36+май.19!D37</f>
        <v>1241.0400000000002</v>
      </c>
      <c r="E35" s="41">
        <f>7.1389-7.4271</f>
        <v>-0.28820000000000068</v>
      </c>
      <c r="F35" s="41">
        <f t="shared" ref="F35:F70" si="1">+E35</f>
        <v>-0.28820000000000068</v>
      </c>
      <c r="G35" s="50">
        <f>ROUND(D35*E35,2)</f>
        <v>-357.67</v>
      </c>
      <c r="H35" s="1313"/>
      <c r="I35" s="1290"/>
      <c r="J35" s="1290"/>
      <c r="K35" s="1314"/>
      <c r="L35" s="1418"/>
      <c r="M35" s="227"/>
      <c r="N35" s="236"/>
      <c r="O35" s="237"/>
      <c r="P35" s="230"/>
      <c r="Q35" s="238"/>
      <c r="R35" s="242"/>
      <c r="S35" s="233"/>
      <c r="T35" s="224"/>
    </row>
    <row r="36" spans="1:21">
      <c r="A36" s="890"/>
      <c r="B36" s="224"/>
      <c r="C36" s="48" t="s">
        <v>263</v>
      </c>
      <c r="D36" s="1010">
        <v>15.66</v>
      </c>
      <c r="E36" s="41">
        <v>7.1388999999999996</v>
      </c>
      <c r="F36" s="41">
        <f t="shared" si="1"/>
        <v>7.1388999999999996</v>
      </c>
      <c r="G36" s="50">
        <f>ROUND(D36*E36,2)</f>
        <v>111.8</v>
      </c>
      <c r="H36" s="1313"/>
      <c r="I36" s="1290"/>
      <c r="J36" s="1315"/>
      <c r="K36" s="1314"/>
      <c r="L36" s="1418"/>
      <c r="M36" s="227"/>
      <c r="N36" s="236"/>
      <c r="O36" s="237"/>
      <c r="P36" s="230"/>
      <c r="Q36" s="238"/>
      <c r="R36" s="242"/>
      <c r="S36" s="233"/>
      <c r="T36" s="224"/>
      <c r="U36" s="33"/>
    </row>
    <row r="37" spans="1:21" ht="15.75" thickBot="1">
      <c r="A37" s="897"/>
      <c r="B37" s="1000"/>
      <c r="C37" s="54" t="s">
        <v>29</v>
      </c>
      <c r="D37" s="1011">
        <v>1463.2</v>
      </c>
      <c r="E37" s="56">
        <v>7.1388999999999996</v>
      </c>
      <c r="F37" s="57">
        <f t="shared" si="1"/>
        <v>7.1388999999999996</v>
      </c>
      <c r="G37" s="247">
        <f>ROUND(D37*E37*70%+D37*F37*30%,2)</f>
        <v>10445.64</v>
      </c>
      <c r="H37" s="1316"/>
      <c r="I37" s="1317"/>
      <c r="J37" s="1318"/>
      <c r="K37" s="1319"/>
      <c r="L37" s="1419"/>
      <c r="M37" s="250"/>
      <c r="N37" s="251"/>
      <c r="O37" s="252"/>
      <c r="P37" s="253"/>
      <c r="Q37" s="254"/>
      <c r="R37" s="255"/>
      <c r="S37" s="256"/>
      <c r="T37" s="256"/>
    </row>
    <row r="38" spans="1:21" ht="17.25" collapsed="1" thickTop="1" thickBot="1">
      <c r="A38" s="891" t="s">
        <v>309</v>
      </c>
      <c r="B38" s="887" t="s">
        <v>310</v>
      </c>
      <c r="C38" s="54" t="s">
        <v>59</v>
      </c>
      <c r="D38" s="822">
        <f>29.671+45.029</f>
        <v>74.7</v>
      </c>
      <c r="E38" s="21">
        <v>41.244</v>
      </c>
      <c r="F38" s="21">
        <v>48.335999999999999</v>
      </c>
      <c r="G38" s="214">
        <f>ROUND(D38*(E38+F38),2)</f>
        <v>6691.63</v>
      </c>
      <c r="H38" s="1320">
        <f>мар19!D38</f>
        <v>76.539999999999992</v>
      </c>
      <c r="I38" s="1287">
        <v>67.703999999999994</v>
      </c>
      <c r="J38" s="1285">
        <f>ROUND(H38*I38,2)</f>
        <v>5182.0600000000004</v>
      </c>
      <c r="K38" s="497">
        <v>43525</v>
      </c>
      <c r="L38" s="700">
        <f>SUM(G38:G42)+SUM(J38:J41)</f>
        <v>58178.38</v>
      </c>
      <c r="M38" s="227">
        <v>58178.38</v>
      </c>
      <c r="N38" s="264"/>
      <c r="O38" s="229"/>
      <c r="P38" s="265"/>
      <c r="Q38" s="229"/>
      <c r="R38" s="242"/>
      <c r="S38" s="266"/>
      <c r="T38" s="266"/>
    </row>
    <row r="39" spans="1:21" ht="15.75">
      <c r="A39" s="896"/>
      <c r="B39" s="885"/>
      <c r="C39" s="292" t="s">
        <v>264</v>
      </c>
      <c r="D39" s="269"/>
      <c r="E39" s="38"/>
      <c r="F39" s="38"/>
      <c r="G39" s="235">
        <f>ROUND(D39*(E39+F39),2)</f>
        <v>0</v>
      </c>
      <c r="H39" s="1321"/>
      <c r="I39" s="1287"/>
      <c r="J39" s="1285"/>
      <c r="K39" s="1322"/>
      <c r="L39" s="700"/>
      <c r="M39" s="227"/>
      <c r="N39" s="264"/>
      <c r="O39" s="229"/>
      <c r="P39" s="265"/>
      <c r="Q39" s="229"/>
      <c r="R39" s="242"/>
      <c r="S39" s="266"/>
      <c r="T39" s="266"/>
    </row>
    <row r="40" spans="1:21">
      <c r="A40" s="896"/>
      <c r="B40" s="885"/>
      <c r="C40" s="48" t="s">
        <v>260</v>
      </c>
      <c r="D40" s="296">
        <f>май.19!D42+май.19!D41</f>
        <v>5843.87</v>
      </c>
      <c r="E40" s="41">
        <f>7.1389-7.4271</f>
        <v>-0.28820000000000068</v>
      </c>
      <c r="F40" s="41">
        <f t="shared" ref="F40:F42" si="2">+E40</f>
        <v>-0.28820000000000068</v>
      </c>
      <c r="G40" s="235">
        <f>ROUND(D40*E40,2)-0.01</f>
        <v>-1684.21</v>
      </c>
      <c r="H40" s="1289"/>
      <c r="I40" s="1287"/>
      <c r="J40" s="1287"/>
      <c r="K40" s="1323"/>
      <c r="L40" s="1420"/>
      <c r="M40" s="273"/>
      <c r="N40" s="274"/>
      <c r="O40" s="237"/>
      <c r="P40" s="275"/>
      <c r="Q40" s="237"/>
      <c r="R40" s="242"/>
      <c r="S40" s="266"/>
      <c r="T40" s="266"/>
    </row>
    <row r="41" spans="1:21" ht="15.75">
      <c r="A41" s="896"/>
      <c r="B41" s="885"/>
      <c r="C41" s="48" t="s">
        <v>263</v>
      </c>
      <c r="D41" s="269">
        <v>71.17</v>
      </c>
      <c r="E41" s="41">
        <v>7.1388999999999996</v>
      </c>
      <c r="F41" s="41">
        <f t="shared" si="2"/>
        <v>7.1388999999999996</v>
      </c>
      <c r="G41" s="235">
        <f t="shared" ref="G41:G42" si="3">ROUND(D41*E41,2)</f>
        <v>508.08</v>
      </c>
      <c r="H41" s="1289"/>
      <c r="I41" s="1287"/>
      <c r="J41" s="1287"/>
      <c r="K41" s="1323"/>
      <c r="L41" s="1420"/>
      <c r="M41" s="273"/>
      <c r="N41" s="274"/>
      <c r="O41" s="237"/>
      <c r="P41" s="275"/>
      <c r="Q41" s="237"/>
      <c r="R41" s="242"/>
      <c r="S41" s="266"/>
      <c r="T41" s="266"/>
    </row>
    <row r="42" spans="1:21" ht="16.5" thickBot="1">
      <c r="A42" s="891"/>
      <c r="B42" s="887"/>
      <c r="C42" s="54" t="s">
        <v>29</v>
      </c>
      <c r="D42" s="279">
        <v>6651</v>
      </c>
      <c r="E42" s="56">
        <v>7.1388999999999996</v>
      </c>
      <c r="F42" s="57">
        <f t="shared" si="2"/>
        <v>7.1388999999999996</v>
      </c>
      <c r="G42" s="247">
        <f t="shared" si="3"/>
        <v>47480.82</v>
      </c>
      <c r="H42" s="1324"/>
      <c r="I42" s="1311"/>
      <c r="J42" s="1311"/>
      <c r="K42" s="1325"/>
      <c r="L42" s="1421"/>
      <c r="M42" s="250"/>
      <c r="N42" s="283"/>
      <c r="O42" s="252"/>
      <c r="P42" s="284"/>
      <c r="Q42" s="252"/>
      <c r="R42" s="242"/>
      <c r="S42" s="266"/>
      <c r="T42" s="266"/>
    </row>
    <row r="43" spans="1:21" ht="16.5" collapsed="1" thickBot="1">
      <c r="A43" s="891" t="s">
        <v>311</v>
      </c>
      <c r="B43" s="1173" t="s">
        <v>312</v>
      </c>
      <c r="C43" s="1174" t="s">
        <v>59</v>
      </c>
      <c r="D43" s="1175">
        <v>16.376999999999999</v>
      </c>
      <c r="E43" s="1146">
        <v>41.244</v>
      </c>
      <c r="F43" s="1146">
        <v>48.335999999999999</v>
      </c>
      <c r="G43" s="1176">
        <f>ROUND(D43*(E43+F43),2)</f>
        <v>1467.05</v>
      </c>
      <c r="H43" s="1326"/>
      <c r="I43" s="1278"/>
      <c r="J43" s="1275"/>
      <c r="K43" s="1276"/>
      <c r="L43" s="1442">
        <f>SUM(G43:G47)+SUM(J43:J47)</f>
        <v>43541.259999999995</v>
      </c>
      <c r="M43" s="996">
        <v>43541.26</v>
      </c>
      <c r="N43" s="264"/>
      <c r="O43" s="229"/>
      <c r="P43" s="265"/>
      <c r="Q43" s="229"/>
      <c r="R43" s="242"/>
      <c r="S43" s="266"/>
      <c r="T43" s="266"/>
    </row>
    <row r="44" spans="1:21" ht="15.75">
      <c r="A44" s="896"/>
      <c r="B44" s="1199" t="s">
        <v>313</v>
      </c>
      <c r="C44" s="1182" t="s">
        <v>264</v>
      </c>
      <c r="D44" s="1183"/>
      <c r="E44" s="1153"/>
      <c r="F44" s="1153"/>
      <c r="G44" s="1184">
        <f>ROUND(D44*(E44+F44),2)</f>
        <v>0</v>
      </c>
      <c r="H44" s="1327"/>
      <c r="I44" s="1278"/>
      <c r="J44" s="1275"/>
      <c r="K44" s="1276"/>
      <c r="L44" s="1422"/>
      <c r="M44" s="996"/>
      <c r="N44" s="264"/>
      <c r="O44" s="229"/>
      <c r="P44" s="265"/>
      <c r="Q44" s="229"/>
      <c r="R44" s="242"/>
      <c r="S44" s="266"/>
      <c r="T44" s="266"/>
    </row>
    <row r="45" spans="1:21">
      <c r="A45" s="896"/>
      <c r="B45" s="1181"/>
      <c r="C45" s="1160" t="s">
        <v>260</v>
      </c>
      <c r="D45" s="673"/>
      <c r="E45" s="1155"/>
      <c r="F45" s="1155">
        <f t="shared" ref="F45:F50" si="4">+E45</f>
        <v>0</v>
      </c>
      <c r="G45" s="1184">
        <f>ROUND(D45*E45,2)</f>
        <v>0</v>
      </c>
      <c r="H45" s="1328"/>
      <c r="I45" s="1278"/>
      <c r="J45" s="1278"/>
      <c r="K45" s="1329"/>
      <c r="L45" s="1423"/>
      <c r="M45" s="1191"/>
      <c r="N45" s="274"/>
      <c r="O45" s="237"/>
      <c r="P45" s="275"/>
      <c r="Q45" s="237"/>
      <c r="R45" s="242"/>
      <c r="S45" s="266"/>
      <c r="T45" s="266"/>
    </row>
    <row r="46" spans="1:21" ht="15.75">
      <c r="A46" s="896"/>
      <c r="B46" s="1181"/>
      <c r="C46" s="1160" t="s">
        <v>263</v>
      </c>
      <c r="D46" s="1183">
        <f>59.92+0.72+1.41</f>
        <v>62.05</v>
      </c>
      <c r="E46" s="1155">
        <v>7.1779999999999999</v>
      </c>
      <c r="F46" s="1155">
        <f t="shared" si="4"/>
        <v>7.1779999999999999</v>
      </c>
      <c r="G46" s="1184">
        <f>ROUND(D46*E46,2)+0.01</f>
        <v>445.4</v>
      </c>
      <c r="H46" s="1328"/>
      <c r="I46" s="1278"/>
      <c r="J46" s="1278"/>
      <c r="K46" s="1329"/>
      <c r="L46" s="1423"/>
      <c r="M46" s="1191"/>
      <c r="N46" s="274"/>
      <c r="O46" s="237"/>
      <c r="P46" s="275"/>
      <c r="Q46" s="237"/>
      <c r="R46" s="242"/>
      <c r="S46" s="266"/>
      <c r="T46" s="266"/>
    </row>
    <row r="47" spans="1:21" ht="16.5" thickBot="1">
      <c r="A47" s="891"/>
      <c r="B47" s="1173"/>
      <c r="C47" s="1174" t="s">
        <v>29</v>
      </c>
      <c r="D47" s="1192">
        <f>5600+67.3+132.2</f>
        <v>5799.5</v>
      </c>
      <c r="E47" s="1165">
        <v>7.1779999999999999</v>
      </c>
      <c r="F47" s="1166">
        <f t="shared" si="4"/>
        <v>7.1779999999999999</v>
      </c>
      <c r="G47" s="1193">
        <f t="shared" ref="G47" si="5">ROUND(D47*E47,2)</f>
        <v>41628.81</v>
      </c>
      <c r="H47" s="1330"/>
      <c r="I47" s="1331"/>
      <c r="J47" s="1331"/>
      <c r="K47" s="1332"/>
      <c r="L47" s="1424"/>
      <c r="M47" s="1198"/>
      <c r="N47" s="283"/>
      <c r="O47" s="252"/>
      <c r="P47" s="284"/>
      <c r="Q47" s="252"/>
      <c r="R47" s="242"/>
      <c r="S47" s="266"/>
      <c r="T47" s="266"/>
    </row>
    <row r="48" spans="1:21">
      <c r="A48" s="896">
        <v>111</v>
      </c>
      <c r="B48" s="192" t="s">
        <v>332</v>
      </c>
      <c r="C48" s="700" t="s">
        <v>260</v>
      </c>
      <c r="D48" s="985">
        <f>май.19!D49+май.19!D50</f>
        <v>466.03000000000003</v>
      </c>
      <c r="E48" s="261">
        <f>7.1389-7.4271</f>
        <v>-0.28820000000000068</v>
      </c>
      <c r="F48" s="261">
        <f t="shared" si="4"/>
        <v>-0.28820000000000068</v>
      </c>
      <c r="G48" s="195">
        <f>ROUND(D48*E48,2)</f>
        <v>-134.31</v>
      </c>
      <c r="H48" s="1333"/>
      <c r="I48" s="1290"/>
      <c r="J48" s="1290"/>
      <c r="K48" s="1334"/>
      <c r="L48" s="700">
        <f>SUM(G48:G50)</f>
        <v>4360.84</v>
      </c>
      <c r="M48" s="227">
        <v>4360.84</v>
      </c>
      <c r="N48" s="274"/>
      <c r="O48" s="237"/>
      <c r="P48" s="275"/>
      <c r="Q48" s="237"/>
      <c r="R48" s="242"/>
      <c r="S48" s="266"/>
      <c r="T48" s="266"/>
    </row>
    <row r="49" spans="1:20" ht="15.75">
      <c r="A49" s="896"/>
      <c r="B49" s="192"/>
      <c r="C49" s="48" t="s">
        <v>263</v>
      </c>
      <c r="D49" s="269">
        <v>6.67</v>
      </c>
      <c r="E49" s="41">
        <v>7.1388999999999996</v>
      </c>
      <c r="F49" s="41">
        <f t="shared" si="4"/>
        <v>7.1388999999999996</v>
      </c>
      <c r="G49" s="235">
        <f t="shared" ref="G49:G50" si="6">ROUND(D49*E49,2)</f>
        <v>47.62</v>
      </c>
      <c r="H49" s="1289"/>
      <c r="I49" s="1287"/>
      <c r="J49" s="1287"/>
      <c r="K49" s="1323"/>
      <c r="L49" s="1420"/>
      <c r="M49" s="273"/>
      <c r="N49" s="274"/>
      <c r="O49" s="237"/>
      <c r="P49" s="275"/>
      <c r="Q49" s="237"/>
      <c r="R49" s="242"/>
      <c r="S49" s="266"/>
      <c r="T49" s="266"/>
    </row>
    <row r="50" spans="1:20" ht="16.5" thickBot="1">
      <c r="A50" s="891"/>
      <c r="B50" s="887"/>
      <c r="C50" s="54" t="s">
        <v>29</v>
      </c>
      <c r="D50" s="279">
        <v>623</v>
      </c>
      <c r="E50" s="56">
        <v>7.1388999999999996</v>
      </c>
      <c r="F50" s="57">
        <f t="shared" si="4"/>
        <v>7.1388999999999996</v>
      </c>
      <c r="G50" s="247">
        <f t="shared" si="6"/>
        <v>4447.53</v>
      </c>
      <c r="H50" s="1324"/>
      <c r="I50" s="1311"/>
      <c r="J50" s="1311"/>
      <c r="K50" s="1325"/>
      <c r="L50" s="1421"/>
      <c r="M50" s="250"/>
      <c r="N50" s="283"/>
      <c r="O50" s="252"/>
      <c r="P50" s="284"/>
      <c r="Q50" s="252"/>
      <c r="R50" s="242"/>
      <c r="S50" s="266"/>
      <c r="T50" s="266"/>
    </row>
    <row r="51" spans="1:20" ht="15.75" thickBot="1">
      <c r="A51" s="892">
        <v>112</v>
      </c>
      <c r="B51" s="183" t="s">
        <v>307</v>
      </c>
      <c r="C51" s="439" t="s">
        <v>243</v>
      </c>
      <c r="D51" s="1008">
        <v>0.3</v>
      </c>
      <c r="E51" s="23">
        <v>41.244</v>
      </c>
      <c r="F51" s="23">
        <v>48.335999999999999</v>
      </c>
      <c r="G51" s="214">
        <f>ROUND(D51*(E51+F51),2)</f>
        <v>26.87</v>
      </c>
      <c r="H51" s="1308">
        <f>мар19!D48</f>
        <v>0.3</v>
      </c>
      <c r="I51" s="1285">
        <v>67.703999999999994</v>
      </c>
      <c r="J51" s="1285">
        <f>ROUND(H51*I51,2)</f>
        <v>20.309999999999999</v>
      </c>
      <c r="K51" s="1309">
        <v>43525</v>
      </c>
      <c r="L51" s="439">
        <f>SUM(G51:G55)+SUM(J51:J55)</f>
        <v>907.5</v>
      </c>
      <c r="M51" s="187">
        <v>907.5</v>
      </c>
      <c r="N51" s="274"/>
      <c r="O51" s="237"/>
      <c r="P51" s="275"/>
      <c r="Q51" s="237"/>
      <c r="R51" s="242"/>
      <c r="S51" s="266"/>
      <c r="T51" s="266"/>
    </row>
    <row r="52" spans="1:20" ht="15.75" thickBot="1">
      <c r="A52" s="896"/>
      <c r="B52" s="192"/>
      <c r="C52" s="48" t="s">
        <v>260</v>
      </c>
      <c r="D52" s="1009"/>
      <c r="E52" s="41"/>
      <c r="F52" s="41"/>
      <c r="G52" s="235">
        <f>ROUND(D52*(E52+F52),2)</f>
        <v>0</v>
      </c>
      <c r="H52" s="1310"/>
      <c r="I52" s="1311"/>
      <c r="J52" s="1285"/>
      <c r="K52" s="1312"/>
      <c r="L52" s="987"/>
      <c r="M52" s="989"/>
      <c r="N52" s="274"/>
      <c r="O52" s="237"/>
      <c r="P52" s="275"/>
      <c r="Q52" s="237"/>
      <c r="R52" s="242"/>
      <c r="S52" s="266"/>
      <c r="T52" s="266"/>
    </row>
    <row r="53" spans="1:20">
      <c r="A53" s="1034"/>
      <c r="C53" s="439" t="s">
        <v>260</v>
      </c>
      <c r="D53" s="296">
        <f>май.19!D54+май.19!D55</f>
        <v>169.39</v>
      </c>
      <c r="E53" s="41">
        <f>7.1389-7.4271</f>
        <v>-0.28820000000000068</v>
      </c>
      <c r="F53" s="41">
        <f t="shared" si="1"/>
        <v>-0.28820000000000068</v>
      </c>
      <c r="G53" s="235">
        <f>ROUND(D53*E53,2)</f>
        <v>-48.82</v>
      </c>
      <c r="H53" s="1289"/>
      <c r="I53" s="1287"/>
      <c r="J53" s="1287"/>
      <c r="K53" s="1323"/>
      <c r="L53" s="700"/>
      <c r="M53" s="227"/>
      <c r="N53" s="274"/>
      <c r="O53" s="237"/>
      <c r="P53" s="275"/>
      <c r="Q53" s="237"/>
      <c r="R53" s="242"/>
      <c r="S53" s="266"/>
      <c r="T53" s="266"/>
    </row>
    <row r="54" spans="1:20" ht="15.75">
      <c r="A54" s="896"/>
      <c r="B54" s="192"/>
      <c r="C54" s="48" t="s">
        <v>263</v>
      </c>
      <c r="D54" s="269">
        <v>1.35</v>
      </c>
      <c r="E54" s="41">
        <v>7.1388999999999996</v>
      </c>
      <c r="F54" s="41">
        <f t="shared" si="1"/>
        <v>7.1388999999999996</v>
      </c>
      <c r="G54" s="235">
        <f>ROUND(D54*E54,2)</f>
        <v>9.64</v>
      </c>
      <c r="H54" s="1289"/>
      <c r="I54" s="1287"/>
      <c r="J54" s="1287"/>
      <c r="K54" s="1323"/>
      <c r="L54" s="1420"/>
      <c r="M54" s="273"/>
      <c r="N54" s="274"/>
      <c r="O54" s="237"/>
      <c r="P54" s="275"/>
      <c r="Q54" s="237"/>
      <c r="R54" s="242"/>
      <c r="S54" s="266"/>
      <c r="T54" s="266"/>
    </row>
    <row r="55" spans="1:20" ht="16.5" thickBot="1">
      <c r="A55" s="891"/>
      <c r="B55" s="202"/>
      <c r="C55" s="54" t="s">
        <v>29</v>
      </c>
      <c r="D55" s="279">
        <v>126</v>
      </c>
      <c r="E55" s="56">
        <v>7.1388999999999996</v>
      </c>
      <c r="F55" s="57">
        <f t="shared" si="1"/>
        <v>7.1388999999999996</v>
      </c>
      <c r="G55" s="247">
        <f t="shared" ref="G55" si="7">ROUND(D55*E55,2)</f>
        <v>899.5</v>
      </c>
      <c r="H55" s="1324"/>
      <c r="I55" s="1311"/>
      <c r="J55" s="1311"/>
      <c r="K55" s="1325"/>
      <c r="L55" s="1421"/>
      <c r="M55" s="250"/>
      <c r="N55" s="283"/>
      <c r="O55" s="252"/>
      <c r="P55" s="284"/>
      <c r="Q55" s="252"/>
      <c r="R55" s="242"/>
      <c r="S55" s="266"/>
      <c r="T55" s="266"/>
    </row>
    <row r="56" spans="1:20">
      <c r="A56" s="896">
        <v>202</v>
      </c>
      <c r="B56" s="192" t="s">
        <v>159</v>
      </c>
      <c r="C56" s="700" t="s">
        <v>260</v>
      </c>
      <c r="D56" s="985">
        <f>май.19!D57+май.19!D58</f>
        <v>139.67999999999998</v>
      </c>
      <c r="E56" s="261">
        <f>7.1389-7.4271</f>
        <v>-0.28820000000000068</v>
      </c>
      <c r="F56" s="261">
        <f t="shared" si="1"/>
        <v>-0.28820000000000068</v>
      </c>
      <c r="G56" s="195">
        <f>ROUND(D56*E56,2)+0.01</f>
        <v>-40.25</v>
      </c>
      <c r="H56" s="1333"/>
      <c r="I56" s="1290"/>
      <c r="J56" s="1290"/>
      <c r="K56" s="1334"/>
      <c r="L56" s="700">
        <f>SUM(G56:G58)</f>
        <v>935.28</v>
      </c>
      <c r="M56" s="227">
        <v>935.28</v>
      </c>
      <c r="N56" s="274"/>
      <c r="O56" s="237"/>
      <c r="P56" s="275"/>
      <c r="Q56" s="237"/>
      <c r="R56" s="242"/>
      <c r="S56" s="266"/>
      <c r="T56" s="266"/>
    </row>
    <row r="57" spans="1:20" ht="15.75">
      <c r="A57" s="896"/>
      <c r="B57" s="192"/>
      <c r="C57" s="48" t="s">
        <v>263</v>
      </c>
      <c r="D57" s="269">
        <v>1.45</v>
      </c>
      <c r="E57" s="41">
        <v>7.1388999999999996</v>
      </c>
      <c r="F57" s="41">
        <f t="shared" si="1"/>
        <v>7.1388999999999996</v>
      </c>
      <c r="G57" s="235">
        <f t="shared" ref="G57:G58" si="8">ROUND(D57*E57,2)</f>
        <v>10.35</v>
      </c>
      <c r="H57" s="1289"/>
      <c r="I57" s="1287"/>
      <c r="J57" s="1287"/>
      <c r="K57" s="1323"/>
      <c r="L57" s="1420"/>
      <c r="M57" s="273"/>
      <c r="N57" s="274"/>
      <c r="O57" s="237"/>
      <c r="P57" s="275"/>
      <c r="Q57" s="237"/>
      <c r="R57" s="242"/>
      <c r="S57" s="266"/>
      <c r="T57" s="266"/>
    </row>
    <row r="58" spans="1:20" ht="16.5" thickBot="1">
      <c r="A58" s="891"/>
      <c r="B58" s="887"/>
      <c r="C58" s="54" t="s">
        <v>29</v>
      </c>
      <c r="D58" s="279">
        <v>135.19999999999999</v>
      </c>
      <c r="E58" s="56">
        <v>7.1388999999999996</v>
      </c>
      <c r="F58" s="57">
        <f t="shared" si="1"/>
        <v>7.1388999999999996</v>
      </c>
      <c r="G58" s="247">
        <f t="shared" si="8"/>
        <v>965.18</v>
      </c>
      <c r="H58" s="1324"/>
      <c r="I58" s="1311"/>
      <c r="J58" s="1311"/>
      <c r="K58" s="1325"/>
      <c r="L58" s="1421"/>
      <c r="M58" s="250"/>
      <c r="N58" s="283"/>
      <c r="O58" s="252"/>
      <c r="P58" s="284"/>
      <c r="Q58" s="252"/>
      <c r="R58" s="242"/>
      <c r="S58" s="266"/>
      <c r="T58" s="266"/>
    </row>
    <row r="59" spans="1:20" ht="15.75" hidden="1" thickBot="1">
      <c r="A59" s="892">
        <v>204</v>
      </c>
      <c r="B59" s="183" t="s">
        <v>137</v>
      </c>
      <c r="C59" s="439" t="s">
        <v>260</v>
      </c>
      <c r="D59" s="296"/>
      <c r="E59" s="41">
        <f>6.6439-6.7023</f>
        <v>-5.8399999999999785E-2</v>
      </c>
      <c r="F59" s="41">
        <f t="shared" si="1"/>
        <v>-5.8399999999999785E-2</v>
      </c>
      <c r="G59" s="235">
        <f>ROUND(D59*E59,2)</f>
        <v>0</v>
      </c>
      <c r="H59" s="1289"/>
      <c r="I59" s="1287"/>
      <c r="J59" s="1287"/>
      <c r="K59" s="1323"/>
      <c r="L59" s="700">
        <f>SUM(G59:G61)</f>
        <v>0</v>
      </c>
      <c r="M59" s="227"/>
      <c r="N59" s="274"/>
      <c r="O59" s="237"/>
      <c r="P59" s="275"/>
      <c r="Q59" s="237"/>
      <c r="R59" s="242"/>
      <c r="S59" s="266"/>
      <c r="T59" s="266"/>
    </row>
    <row r="60" spans="1:20" ht="16.5" hidden="1" thickBot="1">
      <c r="A60" s="896"/>
      <c r="B60" s="991" t="s">
        <v>275</v>
      </c>
      <c r="C60" s="48" t="s">
        <v>263</v>
      </c>
      <c r="D60" s="269"/>
      <c r="E60" s="41">
        <v>6.6439000000000004</v>
      </c>
      <c r="F60" s="41">
        <f t="shared" si="1"/>
        <v>6.6439000000000004</v>
      </c>
      <c r="G60" s="235">
        <f>ROUND(D60*E60,2)</f>
        <v>0</v>
      </c>
      <c r="H60" s="1289"/>
      <c r="I60" s="1287"/>
      <c r="J60" s="1287"/>
      <c r="K60" s="1323"/>
      <c r="L60" s="1420"/>
      <c r="M60" s="273"/>
      <c r="N60" s="274"/>
      <c r="O60" s="237"/>
      <c r="P60" s="275"/>
      <c r="Q60" s="237"/>
      <c r="R60" s="242"/>
      <c r="S60" s="266"/>
      <c r="T60" s="266"/>
    </row>
    <row r="61" spans="1:20" ht="16.5" hidden="1" thickBot="1">
      <c r="A61" s="891"/>
      <c r="B61" s="887"/>
      <c r="C61" s="54" t="s">
        <v>29</v>
      </c>
      <c r="D61" s="279"/>
      <c r="E61" s="56">
        <v>6.6439000000000004</v>
      </c>
      <c r="F61" s="57">
        <f t="shared" si="1"/>
        <v>6.6439000000000004</v>
      </c>
      <c r="G61" s="247">
        <f>ROUND(D61*E61,2)</f>
        <v>0</v>
      </c>
      <c r="H61" s="1324"/>
      <c r="I61" s="1311"/>
      <c r="J61" s="1311"/>
      <c r="K61" s="1325"/>
      <c r="L61" s="1421"/>
      <c r="M61" s="250"/>
      <c r="N61" s="283"/>
      <c r="O61" s="252"/>
      <c r="P61" s="284"/>
      <c r="Q61" s="252"/>
      <c r="R61" s="242"/>
      <c r="S61" s="266"/>
      <c r="T61" s="266"/>
    </row>
    <row r="62" spans="1:20">
      <c r="A62" s="892">
        <v>204</v>
      </c>
      <c r="B62" s="183" t="s">
        <v>289</v>
      </c>
      <c r="C62" s="439" t="s">
        <v>260</v>
      </c>
      <c r="D62" s="296">
        <f>май.19!D63+май.19!D64</f>
        <v>120.78</v>
      </c>
      <c r="E62" s="41">
        <f>7.1389-7.4271</f>
        <v>-0.28820000000000068</v>
      </c>
      <c r="F62" s="41">
        <f t="shared" si="1"/>
        <v>-0.28820000000000068</v>
      </c>
      <c r="G62" s="235">
        <f>ROUND(D62*E62,2)+0.01</f>
        <v>-34.800000000000004</v>
      </c>
      <c r="H62" s="1289"/>
      <c r="I62" s="1287"/>
      <c r="J62" s="1287"/>
      <c r="K62" s="1323"/>
      <c r="L62" s="700">
        <f>SUM(G62:G64)</f>
        <v>839.71</v>
      </c>
      <c r="M62" s="227">
        <v>839.71</v>
      </c>
      <c r="N62" s="274"/>
      <c r="O62" s="237"/>
      <c r="P62" s="275"/>
      <c r="Q62" s="237"/>
      <c r="R62" s="242"/>
      <c r="S62" s="266"/>
      <c r="T62" s="266"/>
    </row>
    <row r="63" spans="1:20" ht="15.75">
      <c r="A63" s="896"/>
      <c r="B63" s="192"/>
      <c r="C63" s="48" t="s">
        <v>263</v>
      </c>
      <c r="D63" s="269">
        <v>1.3</v>
      </c>
      <c r="E63" s="41">
        <v>7.1388999999999996</v>
      </c>
      <c r="F63" s="41">
        <f t="shared" si="1"/>
        <v>7.1388999999999996</v>
      </c>
      <c r="G63" s="235">
        <f>ROUND(D63*E63,2)</f>
        <v>9.2799999999999994</v>
      </c>
      <c r="H63" s="1289"/>
      <c r="I63" s="1287"/>
      <c r="J63" s="1287"/>
      <c r="K63" s="1323"/>
      <c r="L63" s="1420"/>
      <c r="M63" s="273"/>
      <c r="N63" s="274"/>
      <c r="O63" s="237"/>
      <c r="P63" s="275"/>
      <c r="Q63" s="237"/>
      <c r="R63" s="242"/>
      <c r="S63" s="266"/>
      <c r="T63" s="266"/>
    </row>
    <row r="64" spans="1:20" ht="16.5" thickBot="1">
      <c r="A64" s="891"/>
      <c r="B64" s="887"/>
      <c r="C64" s="54" t="s">
        <v>29</v>
      </c>
      <c r="D64" s="279">
        <v>121.2</v>
      </c>
      <c r="E64" s="56">
        <v>7.1388999999999996</v>
      </c>
      <c r="F64" s="57">
        <f t="shared" si="1"/>
        <v>7.1388999999999996</v>
      </c>
      <c r="G64" s="247">
        <f t="shared" ref="G64" si="9">ROUND(D64*E64,2)</f>
        <v>865.23</v>
      </c>
      <c r="H64" s="1324"/>
      <c r="I64" s="1311"/>
      <c r="J64" s="1311"/>
      <c r="K64" s="1325"/>
      <c r="L64" s="1421"/>
      <c r="M64" s="250"/>
      <c r="N64" s="283"/>
      <c r="O64" s="252"/>
      <c r="P64" s="284"/>
      <c r="Q64" s="252"/>
      <c r="R64" s="242"/>
      <c r="S64" s="266"/>
      <c r="T64" s="266"/>
    </row>
    <row r="65" spans="1:21">
      <c r="A65" s="892">
        <v>210</v>
      </c>
      <c r="B65" s="183" t="s">
        <v>245</v>
      </c>
      <c r="C65" s="439" t="s">
        <v>260</v>
      </c>
      <c r="D65" s="296">
        <f>май.19!D66+май.19!D67</f>
        <v>277.54000000000002</v>
      </c>
      <c r="E65" s="41">
        <f>7.1389-7.4271</f>
        <v>-0.28820000000000068</v>
      </c>
      <c r="F65" s="41">
        <f t="shared" si="1"/>
        <v>-0.28820000000000068</v>
      </c>
      <c r="G65" s="235">
        <f>ROUND(D65*E65,2)</f>
        <v>-79.989999999999995</v>
      </c>
      <c r="H65" s="1289"/>
      <c r="I65" s="1287"/>
      <c r="J65" s="1287"/>
      <c r="K65" s="1323"/>
      <c r="L65" s="700">
        <f>SUM(G65:G67)</f>
        <v>1872.5</v>
      </c>
      <c r="M65" s="227">
        <v>1872.5</v>
      </c>
      <c r="N65" s="274"/>
      <c r="O65" s="237"/>
      <c r="P65" s="275"/>
      <c r="Q65" s="237"/>
      <c r="R65" s="242"/>
      <c r="S65" s="266"/>
      <c r="T65" s="266"/>
    </row>
    <row r="66" spans="1:21" ht="15.75">
      <c r="A66" s="896"/>
      <c r="B66" s="192"/>
      <c r="C66" s="48" t="s">
        <v>263</v>
      </c>
      <c r="D66" s="269">
        <v>2.9</v>
      </c>
      <c r="E66" s="41">
        <v>7.1388999999999996</v>
      </c>
      <c r="F66" s="41">
        <f t="shared" si="1"/>
        <v>7.1388999999999996</v>
      </c>
      <c r="G66" s="235">
        <f>ROUND(D66*E66,2)</f>
        <v>20.7</v>
      </c>
      <c r="H66" s="1289"/>
      <c r="I66" s="1287"/>
      <c r="J66" s="1287"/>
      <c r="K66" s="1323"/>
      <c r="L66" s="1420"/>
      <c r="M66" s="273"/>
      <c r="N66" s="274"/>
      <c r="O66" s="237"/>
      <c r="P66" s="275"/>
      <c r="Q66" s="237"/>
      <c r="R66" s="242"/>
      <c r="S66" s="266"/>
      <c r="T66" s="266"/>
    </row>
    <row r="67" spans="1:21" ht="16.5" thickBot="1">
      <c r="A67" s="891"/>
      <c r="B67" s="887"/>
      <c r="C67" s="54" t="s">
        <v>29</v>
      </c>
      <c r="D67" s="279">
        <v>270.60000000000002</v>
      </c>
      <c r="E67" s="56">
        <v>7.1388999999999996</v>
      </c>
      <c r="F67" s="57">
        <f t="shared" si="1"/>
        <v>7.1388999999999996</v>
      </c>
      <c r="G67" s="247">
        <f t="shared" ref="G67" si="10">ROUND(D67*E67,2)</f>
        <v>1931.79</v>
      </c>
      <c r="H67" s="1324"/>
      <c r="I67" s="1311"/>
      <c r="J67" s="1311"/>
      <c r="K67" s="1325"/>
      <c r="L67" s="1421"/>
      <c r="M67" s="250"/>
      <c r="N67" s="283"/>
      <c r="O67" s="252"/>
      <c r="P67" s="284"/>
      <c r="Q67" s="252"/>
      <c r="R67" s="242"/>
      <c r="S67" s="266"/>
      <c r="T67" s="266"/>
    </row>
    <row r="68" spans="1:21">
      <c r="A68" s="892">
        <v>213</v>
      </c>
      <c r="B68" s="183" t="s">
        <v>262</v>
      </c>
      <c r="C68" s="439" t="s">
        <v>260</v>
      </c>
      <c r="D68" s="296">
        <f>май.19!D69+май.19!D70</f>
        <v>151.4</v>
      </c>
      <c r="E68" s="41">
        <f>7.1389-7.4271</f>
        <v>-0.28820000000000068</v>
      </c>
      <c r="F68" s="41">
        <f t="shared" si="1"/>
        <v>-0.28820000000000068</v>
      </c>
      <c r="G68" s="235">
        <f>ROUND(D68*E68,2)</f>
        <v>-43.63</v>
      </c>
      <c r="H68" s="1289"/>
      <c r="I68" s="1287"/>
      <c r="J68" s="1287"/>
      <c r="K68" s="1323"/>
      <c r="L68" s="700">
        <f>SUM(G68:G70)</f>
        <v>698.1</v>
      </c>
      <c r="M68" s="227">
        <v>698.1</v>
      </c>
      <c r="N68" s="274"/>
      <c r="O68" s="237"/>
      <c r="P68" s="275"/>
      <c r="Q68" s="237"/>
      <c r="R68" s="242"/>
      <c r="S68" s="266"/>
      <c r="T68" s="266"/>
    </row>
    <row r="69" spans="1:21" ht="15.75">
      <c r="A69" s="896"/>
      <c r="B69" s="1265" t="s">
        <v>340</v>
      </c>
      <c r="C69" s="48" t="s">
        <v>263</v>
      </c>
      <c r="D69" s="269">
        <v>1.1000000000000001</v>
      </c>
      <c r="E69" s="41">
        <v>7.1388999999999996</v>
      </c>
      <c r="F69" s="41">
        <f t="shared" si="1"/>
        <v>7.1388999999999996</v>
      </c>
      <c r="G69" s="235">
        <f>ROUND(D69*E69,2)</f>
        <v>7.85</v>
      </c>
      <c r="H69" s="1289"/>
      <c r="I69" s="1287"/>
      <c r="J69" s="1287"/>
      <c r="K69" s="1323"/>
      <c r="L69" s="1420"/>
      <c r="M69" s="273"/>
      <c r="N69" s="274"/>
      <c r="O69" s="237"/>
      <c r="P69" s="275"/>
      <c r="Q69" s="237"/>
      <c r="R69" s="242"/>
      <c r="S69" s="266"/>
      <c r="T69" s="266"/>
    </row>
    <row r="70" spans="1:21" ht="16.5" thickBot="1">
      <c r="A70" s="891"/>
      <c r="B70" s="887"/>
      <c r="C70" s="54" t="s">
        <v>29</v>
      </c>
      <c r="D70" s="279">
        <v>102.8</v>
      </c>
      <c r="E70" s="56">
        <v>7.1388999999999996</v>
      </c>
      <c r="F70" s="57">
        <f t="shared" si="1"/>
        <v>7.1388999999999996</v>
      </c>
      <c r="G70" s="247">
        <f t="shared" ref="G70" si="11">ROUND(D70*E70,2)</f>
        <v>733.88</v>
      </c>
      <c r="H70" s="1324"/>
      <c r="I70" s="1311"/>
      <c r="J70" s="1311"/>
      <c r="K70" s="1325"/>
      <c r="L70" s="1421"/>
      <c r="M70" s="250"/>
      <c r="N70" s="283"/>
      <c r="O70" s="252"/>
      <c r="P70" s="284"/>
      <c r="Q70" s="252"/>
      <c r="R70" s="242"/>
      <c r="S70" s="266"/>
      <c r="T70" s="266"/>
    </row>
    <row r="71" spans="1:21" ht="15.75" thickBot="1">
      <c r="A71" s="892">
        <v>215</v>
      </c>
      <c r="B71" s="183" t="s">
        <v>189</v>
      </c>
      <c r="C71" s="71" t="s">
        <v>243</v>
      </c>
      <c r="D71" s="213">
        <v>4.21</v>
      </c>
      <c r="E71" s="21">
        <v>41.244</v>
      </c>
      <c r="F71" s="21">
        <v>48.335999999999999</v>
      </c>
      <c r="G71" s="214">
        <f>ROUND(D71*(E71+F71),2)</f>
        <v>377.13</v>
      </c>
      <c r="H71" s="1320">
        <f>мар19!D68</f>
        <v>3.6240000000000001</v>
      </c>
      <c r="I71" s="1290">
        <v>67.703999999999994</v>
      </c>
      <c r="J71" s="1285">
        <f>ROUND(H71*I71,2)</f>
        <v>245.36</v>
      </c>
      <c r="K71" s="497">
        <v>43525</v>
      </c>
      <c r="L71" s="1425">
        <f>SUM(G71:G78)+SUM(J71:J78)</f>
        <v>1071.01</v>
      </c>
      <c r="M71" s="187">
        <v>1071.01</v>
      </c>
      <c r="N71" s="188"/>
      <c r="O71" s="217"/>
      <c r="P71" s="218"/>
      <c r="Q71" s="219"/>
      <c r="R71" s="220"/>
      <c r="S71" s="221"/>
      <c r="T71" s="222"/>
      <c r="U71" s="33"/>
    </row>
    <row r="72" spans="1:21">
      <c r="A72" s="890"/>
      <c r="B72" s="872"/>
      <c r="C72" s="84" t="s">
        <v>26</v>
      </c>
      <c r="D72" s="37"/>
      <c r="E72" s="38"/>
      <c r="F72" s="38"/>
      <c r="G72" s="39">
        <f>ROUND(D72*(E72+F72),2)</f>
        <v>0</v>
      </c>
      <c r="H72" s="1321"/>
      <c r="I72" s="1290"/>
      <c r="J72" s="1285"/>
      <c r="K72" s="543"/>
      <c r="L72" s="1418"/>
      <c r="M72" s="227"/>
      <c r="N72" s="228"/>
      <c r="O72" s="229"/>
      <c r="P72" s="230"/>
      <c r="Q72" s="231"/>
      <c r="R72" s="232"/>
      <c r="S72" s="233"/>
      <c r="T72" s="224"/>
      <c r="U72" s="33"/>
    </row>
    <row r="73" spans="1:21">
      <c r="A73" s="890"/>
      <c r="B73" s="873" t="s">
        <v>32</v>
      </c>
      <c r="C73" s="99" t="s">
        <v>33</v>
      </c>
      <c r="D73" s="234">
        <v>0</v>
      </c>
      <c r="E73" s="101">
        <v>106.5</v>
      </c>
      <c r="F73" s="38">
        <f>F71</f>
        <v>48.335999999999999</v>
      </c>
      <c r="G73" s="235">
        <f>ROUND(D73*(E73+F73),2)</f>
        <v>0</v>
      </c>
      <c r="H73" s="1335"/>
      <c r="I73" s="1290"/>
      <c r="J73" s="1290"/>
      <c r="K73" s="1314"/>
      <c r="L73" s="1418"/>
      <c r="M73" s="227"/>
      <c r="N73" s="236"/>
      <c r="O73" s="237"/>
      <c r="P73" s="230"/>
      <c r="Q73" s="238"/>
      <c r="R73" s="232"/>
      <c r="S73" s="233"/>
      <c r="T73" s="224"/>
    </row>
    <row r="74" spans="1:21">
      <c r="A74" s="890"/>
      <c r="B74" s="872" t="s">
        <v>33</v>
      </c>
      <c r="C74" s="239" t="s">
        <v>26</v>
      </c>
      <c r="D74" s="234"/>
      <c r="E74" s="240"/>
      <c r="F74" s="240"/>
      <c r="G74" s="235">
        <f>+ROUND(D74*E74,2)</f>
        <v>0</v>
      </c>
      <c r="H74" s="1336"/>
      <c r="I74" s="1290"/>
      <c r="J74" s="1290"/>
      <c r="K74" s="1314"/>
      <c r="L74" s="1418"/>
      <c r="M74" s="227"/>
      <c r="N74" s="236"/>
      <c r="O74" s="237"/>
      <c r="P74" s="230"/>
      <c r="Q74" s="238"/>
      <c r="R74" s="242"/>
      <c r="S74" s="233"/>
      <c r="T74" s="224"/>
    </row>
    <row r="75" spans="1:21">
      <c r="A75" s="890"/>
      <c r="B75" s="872"/>
      <c r="C75" s="239" t="s">
        <v>26</v>
      </c>
      <c r="D75" s="234"/>
      <c r="E75" s="240"/>
      <c r="F75" s="41"/>
      <c r="G75" s="235">
        <f>+ROUND(D75*F75,2)</f>
        <v>0</v>
      </c>
      <c r="H75" s="1336"/>
      <c r="I75" s="1290"/>
      <c r="J75" s="1290"/>
      <c r="K75" s="1314"/>
      <c r="L75" s="1418"/>
      <c r="M75" s="227"/>
      <c r="N75" s="236"/>
      <c r="O75" s="237"/>
      <c r="P75" s="230"/>
      <c r="Q75" s="238"/>
      <c r="R75" s="242"/>
      <c r="S75" s="233"/>
      <c r="T75" s="224"/>
    </row>
    <row r="76" spans="1:21">
      <c r="A76" s="890"/>
      <c r="B76" s="872"/>
      <c r="C76" s="48" t="s">
        <v>260</v>
      </c>
      <c r="D76" s="49">
        <f>май.19!D77+май.19!D78</f>
        <v>724.37</v>
      </c>
      <c r="E76" s="41">
        <f>7.1389-7.4271</f>
        <v>-0.28820000000000068</v>
      </c>
      <c r="F76" s="41">
        <f t="shared" ref="F76:F81" si="12">+E76</f>
        <v>-0.28820000000000068</v>
      </c>
      <c r="G76" s="50">
        <f>ROUND(D76*E76,2)+0.01</f>
        <v>-208.75</v>
      </c>
      <c r="H76" s="1336"/>
      <c r="I76" s="1290"/>
      <c r="J76" s="1290"/>
      <c r="K76" s="1314"/>
      <c r="L76" s="1418"/>
      <c r="M76" s="227"/>
      <c r="N76" s="236"/>
      <c r="O76" s="237"/>
      <c r="P76" s="230"/>
      <c r="Q76" s="238"/>
      <c r="R76" s="242"/>
      <c r="S76" s="233"/>
      <c r="T76" s="224"/>
    </row>
    <row r="77" spans="1:21">
      <c r="A77" s="890"/>
      <c r="B77" s="872"/>
      <c r="C77" s="48" t="s">
        <v>263</v>
      </c>
      <c r="D77" s="49">
        <v>0.97</v>
      </c>
      <c r="E77" s="41">
        <v>7.1388999999999996</v>
      </c>
      <c r="F77" s="41">
        <f t="shared" si="12"/>
        <v>7.1388999999999996</v>
      </c>
      <c r="G77" s="50">
        <f>ROUND(D77*E77,2)</f>
        <v>6.92</v>
      </c>
      <c r="H77" s="1336"/>
      <c r="I77" s="1290"/>
      <c r="J77" s="1315"/>
      <c r="K77" s="1314"/>
      <c r="L77" s="1418"/>
      <c r="M77" s="227"/>
      <c r="N77" s="236"/>
      <c r="O77" s="237"/>
      <c r="P77" s="230"/>
      <c r="Q77" s="238"/>
      <c r="R77" s="242"/>
      <c r="S77" s="233"/>
      <c r="T77" s="224"/>
      <c r="U77" s="33"/>
    </row>
    <row r="78" spans="1:21" ht="15.75" thickBot="1">
      <c r="A78" s="897"/>
      <c r="B78" s="875"/>
      <c r="C78" s="99" t="s">
        <v>29</v>
      </c>
      <c r="D78" s="246">
        <v>91.1</v>
      </c>
      <c r="E78" s="56">
        <v>7.1388999999999996</v>
      </c>
      <c r="F78" s="57">
        <f t="shared" si="12"/>
        <v>7.1388999999999996</v>
      </c>
      <c r="G78" s="247">
        <f>ROUND(D78*E78*70%+D78*F78*30%,2)</f>
        <v>650.35</v>
      </c>
      <c r="H78" s="1337"/>
      <c r="I78" s="1317"/>
      <c r="J78" s="1318"/>
      <c r="K78" s="1319"/>
      <c r="L78" s="1419"/>
      <c r="M78" s="250"/>
      <c r="N78" s="251"/>
      <c r="O78" s="252"/>
      <c r="P78" s="253"/>
      <c r="Q78" s="254"/>
      <c r="R78" s="255"/>
      <c r="S78" s="256"/>
      <c r="T78" s="256"/>
    </row>
    <row r="79" spans="1:21" ht="15.75" thickTop="1">
      <c r="A79" s="892">
        <v>217</v>
      </c>
      <c r="B79" s="183" t="s">
        <v>269</v>
      </c>
      <c r="C79" s="439" t="s">
        <v>260</v>
      </c>
      <c r="D79" s="296">
        <f>май.19!D80+май.19!D81</f>
        <v>43.56</v>
      </c>
      <c r="E79" s="41">
        <f>7.1389-7.4271</f>
        <v>-0.28820000000000068</v>
      </c>
      <c r="F79" s="41">
        <f t="shared" si="12"/>
        <v>-0.28820000000000068</v>
      </c>
      <c r="G79" s="235">
        <f>ROUND(D79*E79,2)</f>
        <v>-12.55</v>
      </c>
      <c r="H79" s="1289"/>
      <c r="I79" s="1287"/>
      <c r="J79" s="1287"/>
      <c r="K79" s="1323"/>
      <c r="L79" s="700">
        <f>SUM(G79:G81)</f>
        <v>309.99</v>
      </c>
      <c r="M79" s="227">
        <v>309.99</v>
      </c>
      <c r="N79" s="274"/>
      <c r="O79" s="237"/>
      <c r="P79" s="275"/>
      <c r="Q79" s="237"/>
      <c r="R79" s="242"/>
      <c r="S79" s="266"/>
      <c r="T79" s="266"/>
    </row>
    <row r="80" spans="1:21" ht="15.75">
      <c r="A80" s="896"/>
      <c r="B80" s="192"/>
      <c r="C80" s="48" t="s">
        <v>263</v>
      </c>
      <c r="D80" s="269">
        <v>0.48</v>
      </c>
      <c r="E80" s="41">
        <v>7.1388999999999996</v>
      </c>
      <c r="F80" s="41">
        <f t="shared" si="12"/>
        <v>7.1388999999999996</v>
      </c>
      <c r="G80" s="235">
        <f>ROUND(D80*E80,2)</f>
        <v>3.43</v>
      </c>
      <c r="H80" s="1289"/>
      <c r="I80" s="1287"/>
      <c r="J80" s="1287"/>
      <c r="K80" s="1323"/>
      <c r="L80" s="1420"/>
      <c r="M80" s="273"/>
      <c r="N80" s="274"/>
      <c r="O80" s="237"/>
      <c r="P80" s="275"/>
      <c r="Q80" s="237"/>
      <c r="R80" s="242"/>
      <c r="S80" s="266"/>
      <c r="T80" s="266"/>
    </row>
    <row r="81" spans="1:21" ht="16.5" thickBot="1">
      <c r="A81" s="891"/>
      <c r="B81" s="887"/>
      <c r="C81" s="54" t="s">
        <v>29</v>
      </c>
      <c r="D81" s="279">
        <v>44.7</v>
      </c>
      <c r="E81" s="56">
        <v>7.1388999999999996</v>
      </c>
      <c r="F81" s="57">
        <f t="shared" si="12"/>
        <v>7.1388999999999996</v>
      </c>
      <c r="G81" s="247">
        <f t="shared" ref="G81" si="13">ROUND(D81*E81,2)</f>
        <v>319.11</v>
      </c>
      <c r="H81" s="1324"/>
      <c r="I81" s="1311"/>
      <c r="J81" s="1311"/>
      <c r="K81" s="1325"/>
      <c r="L81" s="1421"/>
      <c r="M81" s="250"/>
      <c r="N81" s="283"/>
      <c r="O81" s="252"/>
      <c r="P81" s="284"/>
      <c r="Q81" s="252"/>
      <c r="R81" s="242"/>
      <c r="S81" s="266"/>
      <c r="T81" s="266"/>
    </row>
    <row r="82" spans="1:21" ht="15.75" collapsed="1" thickBot="1">
      <c r="A82" s="891">
        <v>309</v>
      </c>
      <c r="B82" s="887" t="s">
        <v>251</v>
      </c>
      <c r="C82" s="54" t="s">
        <v>260</v>
      </c>
      <c r="D82" s="296">
        <f>май.19!D83+май.19!D84</f>
        <v>365.06</v>
      </c>
      <c r="E82" s="41">
        <f>7.1389-7.4271</f>
        <v>-0.28820000000000068</v>
      </c>
      <c r="F82" s="41">
        <f>+E82</f>
        <v>-0.28820000000000068</v>
      </c>
      <c r="G82" s="235">
        <f>ROUND(D82*E82,2)</f>
        <v>-105.21</v>
      </c>
      <c r="H82" s="1289"/>
      <c r="I82" s="1287"/>
      <c r="J82" s="1287"/>
      <c r="K82" s="1323"/>
      <c r="L82" s="700">
        <f>SUM(G82:G84)</f>
        <v>2391.9699999999998</v>
      </c>
      <c r="M82" s="227">
        <v>2391.9699999999998</v>
      </c>
      <c r="N82" s="274"/>
      <c r="O82" s="237"/>
      <c r="P82" s="275"/>
      <c r="Q82" s="237"/>
      <c r="R82" s="242"/>
      <c r="S82" s="266"/>
      <c r="T82" s="266"/>
    </row>
    <row r="83" spans="1:21" ht="15.75">
      <c r="A83" s="896"/>
      <c r="B83" s="885"/>
      <c r="C83" s="48" t="s">
        <v>263</v>
      </c>
      <c r="D83" s="269">
        <v>3.7</v>
      </c>
      <c r="E83" s="41">
        <v>7.1388999999999996</v>
      </c>
      <c r="F83" s="41">
        <f>+E83</f>
        <v>7.1388999999999996</v>
      </c>
      <c r="G83" s="235">
        <f t="shared" ref="G83:G84" si="14">ROUND(D83*E83,2)</f>
        <v>26.41</v>
      </c>
      <c r="H83" s="1289"/>
      <c r="I83" s="1287"/>
      <c r="J83" s="1287"/>
      <c r="K83" s="1323"/>
      <c r="L83" s="1420"/>
      <c r="M83" s="273"/>
      <c r="N83" s="274"/>
      <c r="O83" s="237"/>
      <c r="P83" s="275"/>
      <c r="Q83" s="237"/>
      <c r="R83" s="242"/>
      <c r="S83" s="266"/>
      <c r="T83" s="266"/>
    </row>
    <row r="84" spans="1:21" ht="16.5" thickBot="1">
      <c r="A84" s="891"/>
      <c r="B84" s="887"/>
      <c r="C84" s="54" t="s">
        <v>29</v>
      </c>
      <c r="D84" s="279">
        <v>346.1</v>
      </c>
      <c r="E84" s="56">
        <v>7.1388999999999996</v>
      </c>
      <c r="F84" s="57">
        <f>+E84</f>
        <v>7.1388999999999996</v>
      </c>
      <c r="G84" s="247">
        <f t="shared" si="14"/>
        <v>2470.77</v>
      </c>
      <c r="H84" s="1324"/>
      <c r="I84" s="1311"/>
      <c r="J84" s="1311"/>
      <c r="K84" s="1325"/>
      <c r="L84" s="1421"/>
      <c r="M84" s="250"/>
      <c r="N84" s="283"/>
      <c r="O84" s="252"/>
      <c r="P84" s="284"/>
      <c r="Q84" s="252"/>
      <c r="R84" s="242"/>
      <c r="S84" s="266"/>
      <c r="T84" s="266"/>
    </row>
    <row r="85" spans="1:21" ht="15.75" thickBot="1">
      <c r="A85" s="888">
        <v>314</v>
      </c>
      <c r="B85" s="889" t="s">
        <v>52</v>
      </c>
      <c r="C85" s="71">
        <v>0</v>
      </c>
      <c r="D85" s="213">
        <v>370.375</v>
      </c>
      <c r="E85" s="21">
        <v>41.244</v>
      </c>
      <c r="F85" s="21">
        <v>48.335999999999999</v>
      </c>
      <c r="G85" s="214">
        <f>ROUND(D85*(E85+F85),2)</f>
        <v>33178.19</v>
      </c>
      <c r="H85" s="1320">
        <f>мар19!D82</f>
        <v>195</v>
      </c>
      <c r="I85" s="1290">
        <v>67.703999999999994</v>
      </c>
      <c r="J85" s="1285">
        <f>ROUND(H85*I85,2)</f>
        <v>13202.28</v>
      </c>
      <c r="K85" s="497">
        <v>43525</v>
      </c>
      <c r="L85" s="1425">
        <f>SUM(G85:G92)+SUM(J85:J92)</f>
        <v>128467.06</v>
      </c>
      <c r="M85" s="187">
        <v>128467.06</v>
      </c>
      <c r="N85" s="188"/>
      <c r="O85" s="217">
        <v>4253.6899999999996</v>
      </c>
      <c r="P85" s="218" t="s">
        <v>47</v>
      </c>
      <c r="Q85" s="219">
        <f t="shared" ref="Q85" si="15">C85+G85+J85-M85-N85-O85</f>
        <v>-86340.28</v>
      </c>
      <c r="R85" s="220" t="s">
        <v>53</v>
      </c>
      <c r="S85" s="221"/>
      <c r="T85" s="222"/>
      <c r="U85" s="33">
        <f>+C85+L85-M85</f>
        <v>0</v>
      </c>
    </row>
    <row r="86" spans="1:21" ht="15.75" thickBot="1">
      <c r="A86" s="890"/>
      <c r="B86" s="872"/>
      <c r="C86" s="84" t="s">
        <v>26</v>
      </c>
      <c r="D86" s="37"/>
      <c r="E86" s="38"/>
      <c r="F86" s="38"/>
      <c r="G86" s="39">
        <f>ROUND(D86*(E86+F86),2)</f>
        <v>0</v>
      </c>
      <c r="H86" s="1321"/>
      <c r="I86" s="1290"/>
      <c r="J86" s="1285"/>
      <c r="K86" s="543"/>
      <c r="L86" s="1418"/>
      <c r="M86" s="227"/>
      <c r="N86" s="228"/>
      <c r="O86" s="229"/>
      <c r="P86" s="230"/>
      <c r="Q86" s="231"/>
      <c r="R86" s="232"/>
      <c r="S86" s="233"/>
      <c r="T86" s="224"/>
      <c r="U86" s="33"/>
    </row>
    <row r="87" spans="1:21">
      <c r="A87" s="890"/>
      <c r="B87" s="873" t="s">
        <v>32</v>
      </c>
      <c r="C87" s="99" t="s">
        <v>33</v>
      </c>
      <c r="D87" s="234">
        <v>0</v>
      </c>
      <c r="E87" s="101">
        <v>106.5</v>
      </c>
      <c r="F87" s="21">
        <f>F85</f>
        <v>48.335999999999999</v>
      </c>
      <c r="G87" s="235">
        <f>ROUND(D87*(E87+F87),2)</f>
        <v>0</v>
      </c>
      <c r="H87" s="1335"/>
      <c r="I87" s="1290"/>
      <c r="J87" s="1290"/>
      <c r="K87" s="1314"/>
      <c r="L87" s="1418"/>
      <c r="M87" s="227"/>
      <c r="N87" s="236"/>
      <c r="O87" s="237">
        <v>5456.6</v>
      </c>
      <c r="P87" s="230" t="s">
        <v>47</v>
      </c>
      <c r="Q87" s="238">
        <f>+G87+J87-M87-N87-O87</f>
        <v>-5456.6</v>
      </c>
      <c r="R87" s="232"/>
      <c r="S87" s="233"/>
      <c r="T87" s="224"/>
    </row>
    <row r="88" spans="1:21">
      <c r="A88" s="890"/>
      <c r="B88" s="872" t="s">
        <v>33</v>
      </c>
      <c r="C88" s="239" t="s">
        <v>26</v>
      </c>
      <c r="D88" s="234"/>
      <c r="E88" s="240"/>
      <c r="F88" s="240">
        <f>F86</f>
        <v>0</v>
      </c>
      <c r="G88" s="235">
        <f>+ROUND(D88*E88,2)</f>
        <v>0</v>
      </c>
      <c r="H88" s="1336"/>
      <c r="I88" s="1290"/>
      <c r="J88" s="1290"/>
      <c r="K88" s="1314"/>
      <c r="L88" s="1418"/>
      <c r="M88" s="227"/>
      <c r="N88" s="236"/>
      <c r="O88" s="237"/>
      <c r="P88" s="230"/>
      <c r="Q88" s="238"/>
      <c r="R88" s="242"/>
      <c r="S88" s="233"/>
      <c r="T88" s="224"/>
    </row>
    <row r="89" spans="1:21">
      <c r="A89" s="890"/>
      <c r="B89" s="872"/>
      <c r="C89" s="239" t="s">
        <v>26</v>
      </c>
      <c r="D89" s="234"/>
      <c r="E89" s="240"/>
      <c r="F89" s="41"/>
      <c r="G89" s="235">
        <f>+ROUND(D89*F89,2)</f>
        <v>0</v>
      </c>
      <c r="H89" s="1336"/>
      <c r="I89" s="1290"/>
      <c r="J89" s="1290"/>
      <c r="K89" s="1314"/>
      <c r="L89" s="1418"/>
      <c r="M89" s="227"/>
      <c r="N89" s="236"/>
      <c r="O89" s="237"/>
      <c r="P89" s="230"/>
      <c r="Q89" s="238"/>
      <c r="R89" s="242"/>
      <c r="S89" s="233"/>
      <c r="T89" s="224"/>
    </row>
    <row r="90" spans="1:21">
      <c r="A90" s="890"/>
      <c r="B90" s="872"/>
      <c r="C90" s="48" t="s">
        <v>260</v>
      </c>
      <c r="D90" s="49">
        <f>май.19!D91+май.19!D92</f>
        <v>11787.79</v>
      </c>
      <c r="E90" s="41">
        <f>7.1389-7.4271</f>
        <v>-0.28820000000000068</v>
      </c>
      <c r="F90" s="41">
        <f t="shared" ref="F90:F147" si="16">+E90</f>
        <v>-0.28820000000000068</v>
      </c>
      <c r="G90" s="50">
        <f>ROUND(D90*E90,2)</f>
        <v>-3397.24</v>
      </c>
      <c r="H90" s="1336"/>
      <c r="I90" s="1290"/>
      <c r="J90" s="1290"/>
      <c r="K90" s="1314"/>
      <c r="L90" s="1418"/>
      <c r="M90" s="227"/>
      <c r="N90" s="236"/>
      <c r="O90" s="237"/>
      <c r="P90" s="230"/>
      <c r="Q90" s="238"/>
      <c r="R90" s="242"/>
      <c r="S90" s="233"/>
      <c r="T90" s="224"/>
    </row>
    <row r="91" spans="1:21">
      <c r="A91" s="890"/>
      <c r="B91" s="872"/>
      <c r="C91" s="48" t="s">
        <v>263</v>
      </c>
      <c r="D91" s="49">
        <v>126.77</v>
      </c>
      <c r="E91" s="41">
        <v>7.1388999999999996</v>
      </c>
      <c r="F91" s="41">
        <f t="shared" si="16"/>
        <v>7.1388999999999996</v>
      </c>
      <c r="G91" s="50">
        <f>ROUND(D91*E91,2)</f>
        <v>905</v>
      </c>
      <c r="H91" s="1336"/>
      <c r="I91" s="1290"/>
      <c r="J91" s="1315"/>
      <c r="K91" s="1314"/>
      <c r="L91" s="1418"/>
      <c r="M91" s="227"/>
      <c r="N91" s="236"/>
      <c r="O91" s="237"/>
      <c r="P91" s="230"/>
      <c r="Q91" s="238"/>
      <c r="R91" s="242"/>
      <c r="S91" s="233"/>
      <c r="T91" s="224"/>
      <c r="U91" s="33"/>
    </row>
    <row r="92" spans="1:21" ht="15.75" thickBot="1">
      <c r="A92" s="891"/>
      <c r="B92" s="887"/>
      <c r="C92" s="54" t="s">
        <v>29</v>
      </c>
      <c r="D92" s="246">
        <v>11847.6</v>
      </c>
      <c r="E92" s="56">
        <v>7.1388999999999996</v>
      </c>
      <c r="F92" s="57">
        <f t="shared" si="16"/>
        <v>7.1388999999999996</v>
      </c>
      <c r="G92" s="247">
        <f>ROUND(D92*E92*70%+D92*F92*30%,2)</f>
        <v>84578.83</v>
      </c>
      <c r="H92" s="1337"/>
      <c r="I92" s="1317"/>
      <c r="J92" s="1318"/>
      <c r="K92" s="1319"/>
      <c r="L92" s="1419"/>
      <c r="M92" s="250"/>
      <c r="N92" s="251"/>
      <c r="O92" s="252">
        <v>15777.9</v>
      </c>
      <c r="P92" s="253" t="s">
        <v>47</v>
      </c>
      <c r="Q92" s="254">
        <f>+G92+J92-M92-N92-O92</f>
        <v>68800.930000000008</v>
      </c>
      <c r="R92" s="255" t="s">
        <v>54</v>
      </c>
      <c r="S92" s="256">
        <f>SUM(O85:O92)</f>
        <v>25488.190000000002</v>
      </c>
      <c r="T92" s="256">
        <f>SUM(Q85:Q92)</f>
        <v>-22995.949999999997</v>
      </c>
    </row>
    <row r="93" spans="1:21">
      <c r="A93" s="892">
        <v>315</v>
      </c>
      <c r="B93" s="183" t="s">
        <v>318</v>
      </c>
      <c r="C93" s="439" t="s">
        <v>260</v>
      </c>
      <c r="D93" s="296">
        <f>май.19!D94+май.19!D95</f>
        <v>221.65</v>
      </c>
      <c r="E93" s="41">
        <f>7.1389-7.4271</f>
        <v>-0.28820000000000068</v>
      </c>
      <c r="F93" s="41">
        <f t="shared" si="16"/>
        <v>-0.28820000000000068</v>
      </c>
      <c r="G93" s="235">
        <f>ROUND(D93*E93,2)-0.01</f>
        <v>-63.89</v>
      </c>
      <c r="H93" s="1289"/>
      <c r="I93" s="1287"/>
      <c r="J93" s="1287"/>
      <c r="K93" s="1323"/>
      <c r="L93" s="700">
        <f>SUM(G93:G95)</f>
        <v>1521.3100000000002</v>
      </c>
      <c r="M93" s="227">
        <v>1521.31</v>
      </c>
      <c r="N93" s="274"/>
      <c r="O93" s="237"/>
      <c r="P93" s="275"/>
      <c r="Q93" s="237"/>
      <c r="R93" s="242"/>
      <c r="S93" s="266"/>
      <c r="T93" s="266"/>
    </row>
    <row r="94" spans="1:21" ht="15.75">
      <c r="A94" s="896"/>
      <c r="B94" s="192"/>
      <c r="C94" s="48" t="s">
        <v>263</v>
      </c>
      <c r="D94" s="269">
        <v>2.35</v>
      </c>
      <c r="E94" s="41">
        <v>7.1388999999999996</v>
      </c>
      <c r="F94" s="41">
        <f t="shared" si="16"/>
        <v>7.1388999999999996</v>
      </c>
      <c r="G94" s="235">
        <f t="shared" ref="G94:G95" si="17">ROUND(D94*E94,2)</f>
        <v>16.78</v>
      </c>
      <c r="H94" s="1289"/>
      <c r="I94" s="1287"/>
      <c r="J94" s="1287"/>
      <c r="K94" s="1323"/>
      <c r="L94" s="1420"/>
      <c r="M94" s="273"/>
      <c r="N94" s="274"/>
      <c r="O94" s="237"/>
      <c r="P94" s="275"/>
      <c r="Q94" s="237"/>
      <c r="R94" s="242"/>
      <c r="S94" s="266"/>
      <c r="T94" s="266"/>
    </row>
    <row r="95" spans="1:21" ht="16.5" thickBot="1">
      <c r="A95" s="891"/>
      <c r="B95" s="202"/>
      <c r="C95" s="54" t="s">
        <v>29</v>
      </c>
      <c r="D95" s="279">
        <v>219.7</v>
      </c>
      <c r="E95" s="56">
        <v>7.1388999999999996</v>
      </c>
      <c r="F95" s="57">
        <f t="shared" si="16"/>
        <v>7.1388999999999996</v>
      </c>
      <c r="G95" s="247">
        <f t="shared" si="17"/>
        <v>1568.42</v>
      </c>
      <c r="H95" s="1324"/>
      <c r="I95" s="1311"/>
      <c r="J95" s="1311"/>
      <c r="K95" s="1325"/>
      <c r="L95" s="1421"/>
      <c r="M95" s="250"/>
      <c r="N95" s="283"/>
      <c r="O95" s="252"/>
      <c r="P95" s="284"/>
      <c r="Q95" s="252"/>
      <c r="R95" s="242"/>
      <c r="S95" s="266"/>
      <c r="T95" s="266"/>
    </row>
    <row r="96" spans="1:21">
      <c r="A96" s="892">
        <v>402</v>
      </c>
      <c r="B96" s="183" t="s">
        <v>178</v>
      </c>
      <c r="C96" s="439" t="s">
        <v>260</v>
      </c>
      <c r="D96" s="296">
        <f>май.19!D97+май.19!D98</f>
        <v>137.57000000000002</v>
      </c>
      <c r="E96" s="41">
        <f>7.1389-7.4271</f>
        <v>-0.28820000000000068</v>
      </c>
      <c r="F96" s="41">
        <f t="shared" si="16"/>
        <v>-0.28820000000000068</v>
      </c>
      <c r="G96" s="235">
        <f>ROUND(D96*E96,2)+0.01</f>
        <v>-39.64</v>
      </c>
      <c r="H96" s="1289"/>
      <c r="I96" s="1287"/>
      <c r="J96" s="1287"/>
      <c r="K96" s="1323"/>
      <c r="L96" s="700">
        <f>SUM(G96:G98)</f>
        <v>931.31999999999994</v>
      </c>
      <c r="M96" s="227">
        <v>931.32</v>
      </c>
      <c r="N96" s="274"/>
      <c r="O96" s="237"/>
      <c r="P96" s="275"/>
      <c r="Q96" s="237"/>
      <c r="R96" s="242"/>
      <c r="S96" s="266"/>
      <c r="T96" s="266"/>
    </row>
    <row r="97" spans="1:20" ht="15.75">
      <c r="A97" s="896"/>
      <c r="B97" s="192"/>
      <c r="C97" s="48" t="s">
        <v>263</v>
      </c>
      <c r="D97" s="269">
        <v>1.44</v>
      </c>
      <c r="E97" s="41">
        <v>7.1388999999999996</v>
      </c>
      <c r="F97" s="41">
        <f t="shared" si="16"/>
        <v>7.1388999999999996</v>
      </c>
      <c r="G97" s="235">
        <f t="shared" ref="G97:G113" si="18">ROUND(D97*E97,2)</f>
        <v>10.28</v>
      </c>
      <c r="H97" s="1289"/>
      <c r="I97" s="1287"/>
      <c r="J97" s="1287"/>
      <c r="K97" s="1323"/>
      <c r="L97" s="1420"/>
      <c r="M97" s="273"/>
      <c r="N97" s="274"/>
      <c r="O97" s="237"/>
      <c r="P97" s="275"/>
      <c r="Q97" s="237"/>
      <c r="R97" s="242"/>
      <c r="S97" s="266"/>
      <c r="T97" s="266"/>
    </row>
    <row r="98" spans="1:20" ht="16.5" thickBot="1">
      <c r="A98" s="891"/>
      <c r="B98" s="202"/>
      <c r="C98" s="54" t="s">
        <v>29</v>
      </c>
      <c r="D98" s="279">
        <v>134.57</v>
      </c>
      <c r="E98" s="56">
        <v>7.1388999999999996</v>
      </c>
      <c r="F98" s="57">
        <f t="shared" si="16"/>
        <v>7.1388999999999996</v>
      </c>
      <c r="G98" s="247">
        <f t="shared" si="18"/>
        <v>960.68</v>
      </c>
      <c r="H98" s="1324"/>
      <c r="I98" s="1311"/>
      <c r="J98" s="1311"/>
      <c r="K98" s="1325"/>
      <c r="L98" s="1421"/>
      <c r="M98" s="250"/>
      <c r="N98" s="283"/>
      <c r="O98" s="252"/>
      <c r="P98" s="284"/>
      <c r="Q98" s="252"/>
      <c r="R98" s="242"/>
      <c r="S98" s="266"/>
      <c r="T98" s="266"/>
    </row>
    <row r="99" spans="1:20" ht="15.75" hidden="1" thickBot="1">
      <c r="A99" s="892">
        <v>403</v>
      </c>
      <c r="B99" s="183" t="s">
        <v>290</v>
      </c>
      <c r="C99" s="439" t="s">
        <v>260</v>
      </c>
      <c r="D99" s="296"/>
      <c r="E99" s="41">
        <f>7.1994-7.4969</f>
        <v>-0.29750000000000032</v>
      </c>
      <c r="F99" s="41">
        <f t="shared" si="16"/>
        <v>-0.29750000000000032</v>
      </c>
      <c r="G99" s="235">
        <f>ROUND(D99*E99,2)</f>
        <v>0</v>
      </c>
      <c r="H99" s="1289"/>
      <c r="I99" s="1287"/>
      <c r="J99" s="1287"/>
      <c r="K99" s="1323"/>
      <c r="L99" s="700">
        <f>SUM(G99:G101)</f>
        <v>0</v>
      </c>
      <c r="M99" s="996"/>
      <c r="N99" s="997"/>
      <c r="O99" s="998"/>
      <c r="P99" s="275"/>
      <c r="Q99" s="237"/>
      <c r="R99" s="242"/>
      <c r="S99" s="266"/>
      <c r="T99" s="266"/>
    </row>
    <row r="100" spans="1:20" ht="16.5" hidden="1" thickBot="1">
      <c r="A100" s="896"/>
      <c r="B100" s="192" t="s">
        <v>291</v>
      </c>
      <c r="C100" s="48" t="s">
        <v>263</v>
      </c>
      <c r="D100" s="269"/>
      <c r="E100" s="41">
        <v>7.1993999999999998</v>
      </c>
      <c r="F100" s="41">
        <f t="shared" si="16"/>
        <v>7.1993999999999998</v>
      </c>
      <c r="G100" s="235">
        <f>ROUND(D100*E100,2)</f>
        <v>0</v>
      </c>
      <c r="H100" s="1289"/>
      <c r="I100" s="1287"/>
      <c r="J100" s="1287"/>
      <c r="K100" s="1323"/>
      <c r="L100" s="1420"/>
      <c r="M100" s="273"/>
      <c r="N100" s="274"/>
      <c r="O100" s="237"/>
      <c r="P100" s="275"/>
      <c r="Q100" s="237"/>
      <c r="R100" s="242"/>
      <c r="S100" s="266"/>
      <c r="T100" s="266"/>
    </row>
    <row r="101" spans="1:20" ht="16.5" hidden="1" thickBot="1">
      <c r="A101" s="891"/>
      <c r="B101" s="202"/>
      <c r="C101" s="54" t="s">
        <v>29</v>
      </c>
      <c r="D101" s="279"/>
      <c r="E101" s="56">
        <v>7.1993999999999998</v>
      </c>
      <c r="F101" s="57">
        <f t="shared" si="16"/>
        <v>7.1993999999999998</v>
      </c>
      <c r="G101" s="247">
        <f t="shared" ref="G101" si="19">ROUND(D101*E101,2)</f>
        <v>0</v>
      </c>
      <c r="H101" s="1324"/>
      <c r="I101" s="1311"/>
      <c r="J101" s="1311"/>
      <c r="K101" s="1325"/>
      <c r="L101" s="1421"/>
      <c r="M101" s="250"/>
      <c r="N101" s="283"/>
      <c r="O101" s="252"/>
      <c r="P101" s="284"/>
      <c r="Q101" s="252"/>
      <c r="R101" s="242"/>
      <c r="S101" s="266"/>
      <c r="T101" s="266"/>
    </row>
    <row r="102" spans="1:20">
      <c r="A102" s="892">
        <v>403</v>
      </c>
      <c r="B102" s="183" t="s">
        <v>331</v>
      </c>
      <c r="C102" s="439" t="s">
        <v>260</v>
      </c>
      <c r="D102" s="296">
        <f>май.19!D103+май.19!D104</f>
        <v>101.58</v>
      </c>
      <c r="E102" s="41">
        <f>7.1389-7.4271</f>
        <v>-0.28820000000000068</v>
      </c>
      <c r="F102" s="41">
        <f t="shared" si="16"/>
        <v>-0.28820000000000068</v>
      </c>
      <c r="G102" s="235">
        <f>ROUND(D102*E102,2)+0.01</f>
        <v>-29.27</v>
      </c>
      <c r="H102" s="1289"/>
      <c r="I102" s="1287"/>
      <c r="J102" s="1287"/>
      <c r="K102" s="1323"/>
      <c r="L102" s="700">
        <f>SUM(G102:G104)</f>
        <v>784.64</v>
      </c>
      <c r="M102" s="227">
        <v>784.64</v>
      </c>
      <c r="N102" s="274"/>
      <c r="O102" s="237"/>
      <c r="P102" s="275"/>
      <c r="Q102" s="237"/>
      <c r="R102" s="242"/>
      <c r="S102" s="266"/>
      <c r="T102" s="266"/>
    </row>
    <row r="103" spans="1:20" ht="15.75">
      <c r="A103" s="896"/>
      <c r="B103" s="192"/>
      <c r="C103" s="48" t="s">
        <v>263</v>
      </c>
      <c r="D103" s="269">
        <v>1.21</v>
      </c>
      <c r="E103" s="41">
        <v>7.1388999999999996</v>
      </c>
      <c r="F103" s="41">
        <f t="shared" si="16"/>
        <v>7.1388999999999996</v>
      </c>
      <c r="G103" s="235">
        <f t="shared" ref="G103:G104" si="20">ROUND(D103*E103,2)</f>
        <v>8.64</v>
      </c>
      <c r="H103" s="1289"/>
      <c r="I103" s="1287"/>
      <c r="J103" s="1287"/>
      <c r="K103" s="1323"/>
      <c r="L103" s="1420"/>
      <c r="M103" s="273"/>
      <c r="N103" s="274"/>
      <c r="O103" s="237"/>
      <c r="P103" s="275"/>
      <c r="Q103" s="237"/>
      <c r="R103" s="242"/>
      <c r="S103" s="266"/>
      <c r="T103" s="266"/>
    </row>
    <row r="104" spans="1:20" ht="16.5" thickBot="1">
      <c r="A104" s="891"/>
      <c r="B104" s="202"/>
      <c r="C104" s="54" t="s">
        <v>29</v>
      </c>
      <c r="D104" s="279">
        <v>112.8</v>
      </c>
      <c r="E104" s="56">
        <v>7.1388999999999996</v>
      </c>
      <c r="F104" s="57">
        <f t="shared" si="16"/>
        <v>7.1388999999999996</v>
      </c>
      <c r="G104" s="247">
        <f t="shared" si="20"/>
        <v>805.27</v>
      </c>
      <c r="H104" s="1324"/>
      <c r="I104" s="1311"/>
      <c r="J104" s="1311"/>
      <c r="K104" s="1325"/>
      <c r="L104" s="1421"/>
      <c r="M104" s="250"/>
      <c r="N104" s="283"/>
      <c r="O104" s="252"/>
      <c r="P104" s="284"/>
      <c r="Q104" s="252"/>
      <c r="R104" s="242"/>
      <c r="S104" s="266"/>
      <c r="T104" s="266"/>
    </row>
    <row r="105" spans="1:20">
      <c r="A105" s="892">
        <v>409</v>
      </c>
      <c r="B105" s="183" t="s">
        <v>218</v>
      </c>
      <c r="C105" s="439" t="s">
        <v>260</v>
      </c>
      <c r="D105" s="296">
        <f>май.19!D106+май.19!D107</f>
        <v>129.87</v>
      </c>
      <c r="E105" s="41">
        <f>7.1389-7.4271</f>
        <v>-0.28820000000000068</v>
      </c>
      <c r="F105" s="41">
        <f t="shared" si="16"/>
        <v>-0.28820000000000068</v>
      </c>
      <c r="G105" s="235">
        <f>ROUND(D105*E105,2)</f>
        <v>-37.43</v>
      </c>
      <c r="H105" s="1289"/>
      <c r="I105" s="1287"/>
      <c r="J105" s="1287"/>
      <c r="K105" s="1323"/>
      <c r="L105" s="700">
        <f>SUM(G105:G107)</f>
        <v>616.99</v>
      </c>
      <c r="M105" s="227">
        <v>616.99</v>
      </c>
      <c r="N105" s="274"/>
      <c r="O105" s="237"/>
      <c r="P105" s="275"/>
      <c r="Q105" s="237"/>
      <c r="R105" s="242"/>
      <c r="S105" s="266"/>
      <c r="T105" s="266"/>
    </row>
    <row r="106" spans="1:20" ht="15.75">
      <c r="A106" s="896"/>
      <c r="B106" s="192"/>
      <c r="C106" s="48" t="s">
        <v>263</v>
      </c>
      <c r="D106" s="269">
        <v>0.97</v>
      </c>
      <c r="E106" s="41">
        <v>7.1388999999999996</v>
      </c>
      <c r="F106" s="41">
        <f t="shared" si="16"/>
        <v>7.1388999999999996</v>
      </c>
      <c r="G106" s="235">
        <f t="shared" si="18"/>
        <v>6.92</v>
      </c>
      <c r="H106" s="1289"/>
      <c r="I106" s="1287"/>
      <c r="J106" s="1287"/>
      <c r="K106" s="1323"/>
      <c r="L106" s="1420"/>
      <c r="M106" s="273"/>
      <c r="N106" s="274"/>
      <c r="O106" s="237"/>
      <c r="P106" s="275"/>
      <c r="Q106" s="237"/>
      <c r="R106" s="242"/>
      <c r="S106" s="266"/>
      <c r="T106" s="266"/>
    </row>
    <row r="107" spans="1:20" ht="16.5" thickBot="1">
      <c r="A107" s="891"/>
      <c r="B107" s="887"/>
      <c r="C107" s="54" t="s">
        <v>29</v>
      </c>
      <c r="D107" s="279">
        <v>90.7</v>
      </c>
      <c r="E107" s="56">
        <v>7.1388999999999996</v>
      </c>
      <c r="F107" s="57">
        <f t="shared" si="16"/>
        <v>7.1388999999999996</v>
      </c>
      <c r="G107" s="247">
        <f t="shared" si="18"/>
        <v>647.5</v>
      </c>
      <c r="H107" s="1324"/>
      <c r="I107" s="1311"/>
      <c r="J107" s="1311"/>
      <c r="K107" s="1325"/>
      <c r="L107" s="1421"/>
      <c r="M107" s="250"/>
      <c r="N107" s="283"/>
      <c r="O107" s="252"/>
      <c r="P107" s="284"/>
      <c r="Q107" s="252"/>
      <c r="R107" s="242"/>
      <c r="S107" s="266"/>
      <c r="T107" s="266"/>
    </row>
    <row r="108" spans="1:20">
      <c r="A108" s="892">
        <v>410</v>
      </c>
      <c r="B108" s="183" t="s">
        <v>138</v>
      </c>
      <c r="C108" s="439" t="s">
        <v>260</v>
      </c>
      <c r="D108" s="296">
        <f>май.19!D109+май.19!D110</f>
        <v>244.19</v>
      </c>
      <c r="E108" s="41">
        <f>7.1389-7.4271</f>
        <v>-0.28820000000000068</v>
      </c>
      <c r="F108" s="41">
        <f t="shared" si="16"/>
        <v>-0.28820000000000068</v>
      </c>
      <c r="G108" s="235">
        <f>ROUND(D108*E108,2)</f>
        <v>-70.38</v>
      </c>
      <c r="H108" s="1289"/>
      <c r="I108" s="1287"/>
      <c r="J108" s="1287"/>
      <c r="K108" s="1323"/>
      <c r="L108" s="700">
        <f>SUM(G108:G110)</f>
        <v>1762.32</v>
      </c>
      <c r="M108" s="227">
        <v>1762.32</v>
      </c>
      <c r="N108" s="274"/>
      <c r="O108" s="237"/>
      <c r="P108" s="275"/>
      <c r="Q108" s="237"/>
      <c r="R108" s="242"/>
      <c r="S108" s="266"/>
      <c r="T108" s="266"/>
    </row>
    <row r="109" spans="1:20" ht="15.75">
      <c r="A109" s="896"/>
      <c r="B109" s="192"/>
      <c r="C109" s="48" t="s">
        <v>263</v>
      </c>
      <c r="D109" s="269">
        <v>2.72</v>
      </c>
      <c r="E109" s="41">
        <v>7.1388999999999996</v>
      </c>
      <c r="F109" s="41">
        <f t="shared" si="16"/>
        <v>7.1388999999999996</v>
      </c>
      <c r="G109" s="235">
        <f t="shared" si="18"/>
        <v>19.420000000000002</v>
      </c>
      <c r="H109" s="1289"/>
      <c r="I109" s="1287"/>
      <c r="J109" s="1287"/>
      <c r="K109" s="1323"/>
      <c r="L109" s="1420"/>
      <c r="M109" s="273"/>
      <c r="N109" s="274"/>
      <c r="O109" s="237"/>
      <c r="P109" s="275"/>
      <c r="Q109" s="237"/>
      <c r="R109" s="242"/>
      <c r="S109" s="266"/>
      <c r="T109" s="266"/>
    </row>
    <row r="110" spans="1:20" ht="16.5" thickBot="1">
      <c r="A110" s="891"/>
      <c r="B110" s="887"/>
      <c r="C110" s="54" t="s">
        <v>29</v>
      </c>
      <c r="D110" s="279">
        <v>254</v>
      </c>
      <c r="E110" s="56">
        <v>7.1388999999999996</v>
      </c>
      <c r="F110" s="57">
        <f t="shared" si="16"/>
        <v>7.1388999999999996</v>
      </c>
      <c r="G110" s="247">
        <f t="shared" si="18"/>
        <v>1813.28</v>
      </c>
      <c r="H110" s="1324"/>
      <c r="I110" s="1311"/>
      <c r="J110" s="1311"/>
      <c r="K110" s="1325"/>
      <c r="L110" s="1421"/>
      <c r="M110" s="250"/>
      <c r="N110" s="283"/>
      <c r="O110" s="252"/>
      <c r="P110" s="284"/>
      <c r="Q110" s="252"/>
      <c r="R110" s="242"/>
      <c r="S110" s="266"/>
      <c r="T110" s="266"/>
    </row>
    <row r="111" spans="1:20" ht="15.75" hidden="1" thickBot="1">
      <c r="A111" s="892">
        <v>411</v>
      </c>
      <c r="B111" s="183" t="s">
        <v>229</v>
      </c>
      <c r="C111" s="439" t="s">
        <v>260</v>
      </c>
      <c r="D111" s="296"/>
      <c r="E111" s="41">
        <f>6.6439-6.7023</f>
        <v>-5.8399999999999785E-2</v>
      </c>
      <c r="F111" s="41">
        <f t="shared" si="16"/>
        <v>-5.8399999999999785E-2</v>
      </c>
      <c r="G111" s="235">
        <f t="shared" si="18"/>
        <v>0</v>
      </c>
      <c r="H111" s="1289"/>
      <c r="I111" s="1287"/>
      <c r="J111" s="1287"/>
      <c r="K111" s="1323"/>
      <c r="L111" s="700">
        <f>SUM(G111:G113)</f>
        <v>0</v>
      </c>
      <c r="M111" s="227"/>
      <c r="N111" s="274"/>
      <c r="O111" s="983" t="s">
        <v>271</v>
      </c>
      <c r="P111" s="275"/>
      <c r="Q111" s="237"/>
      <c r="R111" s="242"/>
      <c r="S111" s="266"/>
      <c r="T111" s="266"/>
    </row>
    <row r="112" spans="1:20" ht="16.5" hidden="1" thickBot="1">
      <c r="A112" s="896"/>
      <c r="B112" s="192"/>
      <c r="C112" s="48" t="s">
        <v>263</v>
      </c>
      <c r="D112" s="269"/>
      <c r="E112" s="41">
        <v>6.6439000000000004</v>
      </c>
      <c r="F112" s="41">
        <f t="shared" si="16"/>
        <v>6.6439000000000004</v>
      </c>
      <c r="G112" s="235">
        <f>ROUND(D112*E112,2)</f>
        <v>0</v>
      </c>
      <c r="H112" s="1289"/>
      <c r="I112" s="1287"/>
      <c r="J112" s="1287"/>
      <c r="K112" s="1323"/>
      <c r="L112" s="1420"/>
      <c r="M112" s="273"/>
      <c r="N112" s="274"/>
      <c r="O112" s="237"/>
      <c r="P112" s="275"/>
      <c r="Q112" s="237"/>
      <c r="R112" s="242"/>
      <c r="S112" s="266"/>
      <c r="T112" s="266"/>
    </row>
    <row r="113" spans="1:20" ht="16.5" hidden="1" thickBot="1">
      <c r="A113" s="891"/>
      <c r="B113" s="887"/>
      <c r="C113" s="54" t="s">
        <v>29</v>
      </c>
      <c r="D113" s="279"/>
      <c r="E113" s="56">
        <v>6.6439000000000004</v>
      </c>
      <c r="F113" s="57">
        <f t="shared" si="16"/>
        <v>6.6439000000000004</v>
      </c>
      <c r="G113" s="247">
        <f t="shared" si="18"/>
        <v>0</v>
      </c>
      <c r="H113" s="1324"/>
      <c r="I113" s="1311"/>
      <c r="J113" s="1311"/>
      <c r="K113" s="1325"/>
      <c r="L113" s="1421"/>
      <c r="M113" s="250"/>
      <c r="N113" s="283"/>
      <c r="O113" s="252"/>
      <c r="P113" s="284"/>
      <c r="Q113" s="252"/>
      <c r="R113" s="242"/>
      <c r="S113" s="266"/>
      <c r="T113" s="266"/>
    </row>
    <row r="114" spans="1:20" ht="16.5" collapsed="1" thickBot="1">
      <c r="A114" s="891">
        <v>412</v>
      </c>
      <c r="B114" s="887" t="s">
        <v>58</v>
      </c>
      <c r="C114" s="54" t="s">
        <v>59</v>
      </c>
      <c r="D114" s="822">
        <v>0.76700000000000002</v>
      </c>
      <c r="E114" s="21">
        <v>41.244</v>
      </c>
      <c r="F114" s="21">
        <v>48.335999999999999</v>
      </c>
      <c r="G114" s="214">
        <f>ROUND(D114*(E114+F114),2)</f>
        <v>68.709999999999994</v>
      </c>
      <c r="H114" s="1320">
        <f>мар19!D108</f>
        <v>0.71299999999999997</v>
      </c>
      <c r="I114" s="1287">
        <v>67.703999999999994</v>
      </c>
      <c r="J114" s="1285">
        <f>ROUND(H114*I114,2)</f>
        <v>48.27</v>
      </c>
      <c r="K114" s="497">
        <v>43525</v>
      </c>
      <c r="L114" s="700">
        <f>SUM(G114:G118)+SUM(J114:J118)</f>
        <v>1541.62</v>
      </c>
      <c r="M114" s="227">
        <v>1541.62</v>
      </c>
      <c r="N114" s="264"/>
      <c r="O114" s="229"/>
      <c r="P114" s="265"/>
      <c r="Q114" s="229"/>
      <c r="R114" s="242"/>
      <c r="S114" s="266"/>
      <c r="T114" s="266"/>
    </row>
    <row r="115" spans="1:20" ht="15.75">
      <c r="A115" s="896"/>
      <c r="B115" s="885"/>
      <c r="C115" s="292" t="s">
        <v>264</v>
      </c>
      <c r="D115" s="269"/>
      <c r="E115" s="38"/>
      <c r="F115" s="38"/>
      <c r="G115" s="235">
        <f>ROUND(D115*(E115+F115),2)</f>
        <v>0</v>
      </c>
      <c r="H115" s="1321"/>
      <c r="I115" s="1287"/>
      <c r="J115" s="1285"/>
      <c r="K115" s="1322"/>
      <c r="L115" s="700"/>
      <c r="M115" s="227"/>
      <c r="N115" s="264"/>
      <c r="O115" s="229"/>
      <c r="P115" s="265"/>
      <c r="Q115" s="229"/>
      <c r="R115" s="242"/>
      <c r="S115" s="266"/>
      <c r="T115" s="266"/>
    </row>
    <row r="116" spans="1:20">
      <c r="A116" s="896"/>
      <c r="B116" s="885"/>
      <c r="C116" s="48" t="s">
        <v>260</v>
      </c>
      <c r="D116" s="296">
        <f>май.19!D117+май.19!D118</f>
        <v>189</v>
      </c>
      <c r="E116" s="41">
        <f>7.1389-7.4271</f>
        <v>-0.28820000000000068</v>
      </c>
      <c r="F116" s="41">
        <f t="shared" ref="F116:F144" si="21">+E116</f>
        <v>-0.28820000000000068</v>
      </c>
      <c r="G116" s="235">
        <f>ROUND(D116*E116,2)+0.01</f>
        <v>-54.46</v>
      </c>
      <c r="H116" s="1289"/>
      <c r="I116" s="1287"/>
      <c r="J116" s="1287"/>
      <c r="K116" s="1323"/>
      <c r="L116" s="1420"/>
      <c r="M116" s="273"/>
      <c r="N116" s="274"/>
      <c r="O116" s="237"/>
      <c r="P116" s="275"/>
      <c r="Q116" s="237"/>
      <c r="R116" s="242"/>
      <c r="S116" s="266"/>
      <c r="T116" s="266"/>
    </row>
    <row r="117" spans="1:20" ht="15.75">
      <c r="A117" s="896"/>
      <c r="B117" s="885"/>
      <c r="C117" s="48" t="s">
        <v>263</v>
      </c>
      <c r="D117" s="269">
        <v>2.19</v>
      </c>
      <c r="E117" s="41">
        <v>7.1388999999999996</v>
      </c>
      <c r="F117" s="41">
        <f t="shared" si="21"/>
        <v>7.1388999999999996</v>
      </c>
      <c r="G117" s="235">
        <f t="shared" ref="G117:G118" si="22">ROUND(D117*E117,2)</f>
        <v>15.63</v>
      </c>
      <c r="H117" s="1289"/>
      <c r="I117" s="1287"/>
      <c r="J117" s="1287"/>
      <c r="K117" s="1323"/>
      <c r="L117" s="1420"/>
      <c r="M117" s="273"/>
      <c r="N117" s="274"/>
      <c r="O117" s="237"/>
      <c r="P117" s="275"/>
      <c r="Q117" s="237"/>
      <c r="R117" s="242"/>
      <c r="S117" s="266"/>
      <c r="T117" s="266"/>
    </row>
    <row r="118" spans="1:20" ht="16.5" thickBot="1">
      <c r="A118" s="891"/>
      <c r="B118" s="887"/>
      <c r="C118" s="54" t="s">
        <v>29</v>
      </c>
      <c r="D118" s="279">
        <v>205</v>
      </c>
      <c r="E118" s="56">
        <v>7.1388999999999996</v>
      </c>
      <c r="F118" s="57">
        <f t="shared" si="21"/>
        <v>7.1388999999999996</v>
      </c>
      <c r="G118" s="247">
        <f t="shared" si="22"/>
        <v>1463.47</v>
      </c>
      <c r="H118" s="1324"/>
      <c r="I118" s="1311"/>
      <c r="J118" s="1311"/>
      <c r="K118" s="1325"/>
      <c r="L118" s="1421"/>
      <c r="M118" s="250"/>
      <c r="N118" s="283"/>
      <c r="O118" s="252"/>
      <c r="P118" s="284"/>
      <c r="Q118" s="252"/>
      <c r="R118" s="242"/>
      <c r="S118" s="266"/>
      <c r="T118" s="266"/>
    </row>
    <row r="119" spans="1:20" ht="15" customHeight="1">
      <c r="A119" s="892">
        <v>413</v>
      </c>
      <c r="B119" s="883" t="s">
        <v>56</v>
      </c>
      <c r="C119" s="439" t="s">
        <v>260</v>
      </c>
      <c r="D119" s="894">
        <f>май.19!D120+май.19!D121</f>
        <v>289.06</v>
      </c>
      <c r="E119" s="41">
        <f>7.1389-7.4271</f>
        <v>-0.28820000000000068</v>
      </c>
      <c r="F119" s="41">
        <f t="shared" si="21"/>
        <v>-0.28820000000000068</v>
      </c>
      <c r="G119" s="214">
        <f>ROUND(D119*E119,2)-0.01</f>
        <v>-83.320000000000007</v>
      </c>
      <c r="H119" s="1333"/>
      <c r="I119" s="1290"/>
      <c r="J119" s="1290"/>
      <c r="K119" s="1334"/>
      <c r="L119" s="1426">
        <f>SUM(G119:G121)</f>
        <v>1889.3799999999999</v>
      </c>
      <c r="M119" s="227">
        <v>1889.38</v>
      </c>
      <c r="N119" s="264"/>
      <c r="O119" s="229"/>
      <c r="P119" s="265"/>
      <c r="Q119" s="229"/>
      <c r="R119" s="287"/>
      <c r="S119" s="288"/>
      <c r="T119" s="288"/>
    </row>
    <row r="120" spans="1:20" ht="15.75">
      <c r="A120" s="893"/>
      <c r="B120" s="885"/>
      <c r="C120" s="48" t="s">
        <v>263</v>
      </c>
      <c r="D120" s="895">
        <v>2.93</v>
      </c>
      <c r="E120" s="41">
        <v>7.1388999999999996</v>
      </c>
      <c r="F120" s="41">
        <f t="shared" si="21"/>
        <v>7.1388999999999996</v>
      </c>
      <c r="G120" s="235">
        <f t="shared" ref="G120:G124" si="23">ROUND(D120*E120,2)</f>
        <v>20.92</v>
      </c>
      <c r="H120" s="1289"/>
      <c r="I120" s="1287"/>
      <c r="J120" s="1287"/>
      <c r="K120" s="1323"/>
      <c r="L120" s="1420"/>
      <c r="M120" s="273"/>
      <c r="N120" s="274"/>
      <c r="O120" s="237"/>
      <c r="P120" s="275"/>
      <c r="Q120" s="237"/>
      <c r="R120" s="287"/>
      <c r="S120" s="288"/>
      <c r="T120" s="288"/>
    </row>
    <row r="121" spans="1:20" ht="16.5" thickBot="1">
      <c r="A121" s="891"/>
      <c r="B121" s="887"/>
      <c r="C121" s="54" t="s">
        <v>29</v>
      </c>
      <c r="D121" s="279">
        <v>273.39999999999998</v>
      </c>
      <c r="E121" s="56">
        <v>7.1388999999999996</v>
      </c>
      <c r="F121" s="57">
        <f t="shared" si="21"/>
        <v>7.1388999999999996</v>
      </c>
      <c r="G121" s="247">
        <f t="shared" si="23"/>
        <v>1951.78</v>
      </c>
      <c r="H121" s="1324"/>
      <c r="I121" s="1311"/>
      <c r="J121" s="1311"/>
      <c r="K121" s="1325"/>
      <c r="L121" s="1421"/>
      <c r="M121" s="250"/>
      <c r="N121" s="283"/>
      <c r="O121" s="252"/>
      <c r="P121" s="284"/>
      <c r="Q121" s="252"/>
      <c r="R121" s="287"/>
      <c r="S121" s="288"/>
      <c r="T121" s="288"/>
    </row>
    <row r="122" spans="1:20">
      <c r="A122" s="892">
        <v>414</v>
      </c>
      <c r="B122" s="183" t="s">
        <v>179</v>
      </c>
      <c r="C122" s="439" t="s">
        <v>260</v>
      </c>
      <c r="D122" s="296">
        <f>май.19!D123+май.19!D124</f>
        <v>53.67</v>
      </c>
      <c r="E122" s="41">
        <f>7.1389-7.4271</f>
        <v>-0.28820000000000068</v>
      </c>
      <c r="F122" s="41">
        <f t="shared" si="21"/>
        <v>-0.28820000000000068</v>
      </c>
      <c r="G122" s="235">
        <f>ROUND(D122*E122,2)</f>
        <v>-15.47</v>
      </c>
      <c r="H122" s="1289"/>
      <c r="I122" s="1287"/>
      <c r="J122" s="1287"/>
      <c r="K122" s="1323"/>
      <c r="L122" s="700">
        <f>SUM(G122:G124)</f>
        <v>114.39</v>
      </c>
      <c r="M122" s="227">
        <v>114.39</v>
      </c>
      <c r="N122" s="274"/>
      <c r="O122" s="237"/>
      <c r="P122" s="275"/>
      <c r="Q122" s="237"/>
      <c r="R122" s="242"/>
      <c r="S122" s="266"/>
      <c r="T122" s="266"/>
    </row>
    <row r="123" spans="1:20" ht="15.75">
      <c r="A123" s="896"/>
      <c r="B123" s="192"/>
      <c r="C123" s="48" t="s">
        <v>263</v>
      </c>
      <c r="D123" s="269">
        <v>0.19</v>
      </c>
      <c r="E123" s="41">
        <v>7.1388999999999996</v>
      </c>
      <c r="F123" s="41">
        <f t="shared" si="21"/>
        <v>7.1388999999999996</v>
      </c>
      <c r="G123" s="235">
        <f t="shared" si="23"/>
        <v>1.36</v>
      </c>
      <c r="H123" s="1289"/>
      <c r="I123" s="1287"/>
      <c r="J123" s="1287"/>
      <c r="K123" s="1323"/>
      <c r="L123" s="1420"/>
      <c r="M123" s="273"/>
      <c r="N123" s="274"/>
      <c r="O123" s="237"/>
      <c r="P123" s="275"/>
      <c r="Q123" s="237"/>
      <c r="R123" s="242"/>
      <c r="S123" s="266"/>
      <c r="T123" s="266"/>
    </row>
    <row r="124" spans="1:20" ht="16.5" thickBot="1">
      <c r="A124" s="891"/>
      <c r="B124" s="887"/>
      <c r="C124" s="99" t="s">
        <v>29</v>
      </c>
      <c r="D124" s="279">
        <v>18</v>
      </c>
      <c r="E124" s="56">
        <v>7.1388999999999996</v>
      </c>
      <c r="F124" s="57">
        <f t="shared" si="21"/>
        <v>7.1388999999999996</v>
      </c>
      <c r="G124" s="247">
        <f t="shared" si="23"/>
        <v>128.5</v>
      </c>
      <c r="H124" s="1324"/>
      <c r="I124" s="1311"/>
      <c r="J124" s="1311"/>
      <c r="K124" s="1325"/>
      <c r="L124" s="1421"/>
      <c r="M124" s="250"/>
      <c r="N124" s="283"/>
      <c r="O124" s="252"/>
      <c r="P124" s="284"/>
      <c r="Q124" s="252"/>
      <c r="R124" s="242"/>
      <c r="S124" s="266"/>
      <c r="T124" s="266"/>
    </row>
    <row r="125" spans="1:20" collapsed="1">
      <c r="A125" s="892">
        <v>415</v>
      </c>
      <c r="B125" s="183" t="s">
        <v>339</v>
      </c>
      <c r="C125" s="439" t="s">
        <v>260</v>
      </c>
      <c r="D125" s="296">
        <f>май.19!D126+май.19!D127</f>
        <v>238.83</v>
      </c>
      <c r="E125" s="41">
        <f>7.1389-7.4271</f>
        <v>-0.28820000000000068</v>
      </c>
      <c r="F125" s="41">
        <f t="shared" si="21"/>
        <v>-0.28820000000000068</v>
      </c>
      <c r="G125" s="235">
        <f>ROUND(D125*E125,2)-0.01</f>
        <v>-68.84</v>
      </c>
      <c r="H125" s="1289"/>
      <c r="I125" s="1287"/>
      <c r="J125" s="1287"/>
      <c r="K125" s="1323"/>
      <c r="L125" s="700">
        <f>SUM(G125:G127)</f>
        <v>2017.0800000000002</v>
      </c>
      <c r="M125" s="227">
        <v>2017.08</v>
      </c>
      <c r="N125" s="274"/>
      <c r="O125" s="237"/>
      <c r="P125" s="275"/>
      <c r="Q125" s="237"/>
      <c r="R125" s="242"/>
      <c r="S125" s="266"/>
      <c r="T125" s="266"/>
    </row>
    <row r="126" spans="1:20" ht="15.75">
      <c r="A126" s="896"/>
      <c r="B126" s="192"/>
      <c r="C126" s="48" t="s">
        <v>263</v>
      </c>
      <c r="D126" s="269">
        <v>3.09</v>
      </c>
      <c r="E126" s="41">
        <v>7.1388999999999996</v>
      </c>
      <c r="F126" s="41">
        <f t="shared" si="21"/>
        <v>7.1388999999999996</v>
      </c>
      <c r="G126" s="235">
        <f t="shared" ref="G126:G127" si="24">ROUND(D126*E126,2)</f>
        <v>22.06</v>
      </c>
      <c r="H126" s="1289"/>
      <c r="I126" s="1287"/>
      <c r="J126" s="1287"/>
      <c r="K126" s="1323"/>
      <c r="L126" s="1420"/>
      <c r="M126" s="273"/>
      <c r="N126" s="274"/>
      <c r="O126" s="237"/>
      <c r="P126" s="275"/>
      <c r="Q126" s="237"/>
      <c r="R126" s="242"/>
      <c r="S126" s="266"/>
      <c r="T126" s="266"/>
    </row>
    <row r="127" spans="1:20" ht="16.5" thickBot="1">
      <c r="A127" s="891"/>
      <c r="B127" s="887"/>
      <c r="C127" s="54" t="s">
        <v>29</v>
      </c>
      <c r="D127" s="279">
        <v>289.10000000000002</v>
      </c>
      <c r="E127" s="56">
        <v>7.1388999999999996</v>
      </c>
      <c r="F127" s="57">
        <f t="shared" si="21"/>
        <v>7.1388999999999996</v>
      </c>
      <c r="G127" s="247">
        <f t="shared" si="24"/>
        <v>2063.86</v>
      </c>
      <c r="H127" s="1324"/>
      <c r="I127" s="1311"/>
      <c r="J127" s="1311"/>
      <c r="K127" s="1325"/>
      <c r="L127" s="1421"/>
      <c r="M127" s="250"/>
      <c r="N127" s="283"/>
      <c r="O127" s="252"/>
      <c r="P127" s="284"/>
      <c r="Q127" s="252"/>
      <c r="R127" s="242"/>
      <c r="S127" s="266"/>
      <c r="T127" s="266"/>
    </row>
    <row r="128" spans="1:20" ht="15.75" hidden="1" thickBot="1">
      <c r="A128" s="892">
        <v>416</v>
      </c>
      <c r="B128" s="183" t="s">
        <v>173</v>
      </c>
      <c r="C128" s="439" t="s">
        <v>260</v>
      </c>
      <c r="D128" s="296"/>
      <c r="E128" s="41">
        <f>6.7023-6.509</f>
        <v>0.19329999999999981</v>
      </c>
      <c r="F128" s="41">
        <f t="shared" si="21"/>
        <v>0.19329999999999981</v>
      </c>
      <c r="G128" s="235">
        <f>ROUND(D128*E128,2)+0.01</f>
        <v>0.01</v>
      </c>
      <c r="H128" s="1289"/>
      <c r="I128" s="1287"/>
      <c r="J128" s="1287"/>
      <c r="K128" s="1323"/>
      <c r="L128" s="700">
        <f>SUM(G128:G130)</f>
        <v>0.01</v>
      </c>
      <c r="M128" s="227"/>
      <c r="N128" s="274"/>
      <c r="O128" s="237"/>
      <c r="P128" s="275"/>
      <c r="Q128" s="237"/>
      <c r="R128" s="242"/>
      <c r="S128" s="266"/>
      <c r="T128" s="266"/>
    </row>
    <row r="129" spans="1:20" ht="16.5" hidden="1" thickBot="1">
      <c r="A129" s="896"/>
      <c r="B129" s="192"/>
      <c r="C129" s="48" t="s">
        <v>263</v>
      </c>
      <c r="D129" s="269"/>
      <c r="E129" s="41">
        <v>6.7023000000000001</v>
      </c>
      <c r="F129" s="41">
        <f t="shared" si="21"/>
        <v>6.7023000000000001</v>
      </c>
      <c r="G129" s="235">
        <f>ROUND(D129*E129,2)</f>
        <v>0</v>
      </c>
      <c r="H129" s="1289"/>
      <c r="I129" s="1287"/>
      <c r="J129" s="1287"/>
      <c r="K129" s="1323"/>
      <c r="L129" s="1420"/>
      <c r="M129" s="273"/>
      <c r="N129" s="274"/>
      <c r="O129" s="237"/>
      <c r="P129" s="275"/>
      <c r="Q129" s="237"/>
      <c r="R129" s="242"/>
      <c r="S129" s="266"/>
      <c r="T129" s="266"/>
    </row>
    <row r="130" spans="1:20" ht="16.5" hidden="1" thickBot="1">
      <c r="A130" s="891"/>
      <c r="B130" s="887"/>
      <c r="C130" s="54" t="s">
        <v>29</v>
      </c>
      <c r="D130" s="279"/>
      <c r="E130" s="56">
        <v>6.7023000000000001</v>
      </c>
      <c r="F130" s="57">
        <f t="shared" si="21"/>
        <v>6.7023000000000001</v>
      </c>
      <c r="G130" s="247">
        <f>ROUND(D130*E130,2)</f>
        <v>0</v>
      </c>
      <c r="H130" s="1324"/>
      <c r="I130" s="1311"/>
      <c r="J130" s="1311"/>
      <c r="K130" s="1325"/>
      <c r="L130" s="1421"/>
      <c r="M130" s="250"/>
      <c r="N130" s="283"/>
      <c r="O130" s="252"/>
      <c r="P130" s="284"/>
      <c r="Q130" s="252"/>
      <c r="R130" s="242"/>
      <c r="S130" s="266"/>
      <c r="T130" s="266"/>
    </row>
    <row r="131" spans="1:20">
      <c r="A131" s="892">
        <v>416</v>
      </c>
      <c r="B131" s="183" t="s">
        <v>295</v>
      </c>
      <c r="C131" s="439" t="s">
        <v>260</v>
      </c>
      <c r="D131" s="296">
        <f>май.19!D132+май.19!D133</f>
        <v>80.149999999999991</v>
      </c>
      <c r="E131" s="41">
        <f>7.1389-7.4271</f>
        <v>-0.28820000000000068</v>
      </c>
      <c r="F131" s="41">
        <f t="shared" si="21"/>
        <v>-0.28820000000000068</v>
      </c>
      <c r="G131" s="235">
        <f>ROUND(D131*E131,2)</f>
        <v>-23.1</v>
      </c>
      <c r="H131" s="1289"/>
      <c r="I131" s="1287"/>
      <c r="J131" s="1287"/>
      <c r="K131" s="1323"/>
      <c r="L131" s="700">
        <f>SUM(G131:G133)</f>
        <v>698.43</v>
      </c>
      <c r="M131" s="227">
        <v>698.43</v>
      </c>
      <c r="N131" s="274"/>
      <c r="O131" s="237"/>
      <c r="P131" s="275"/>
      <c r="Q131" s="237"/>
      <c r="R131" s="242"/>
      <c r="S131" s="266"/>
      <c r="T131" s="266"/>
    </row>
    <row r="132" spans="1:20" ht="15.75">
      <c r="A132" s="896"/>
      <c r="B132" s="192"/>
      <c r="C132" s="48" t="s">
        <v>263</v>
      </c>
      <c r="D132" s="269">
        <v>1.07</v>
      </c>
      <c r="E132" s="41">
        <v>7.1388999999999996</v>
      </c>
      <c r="F132" s="41">
        <f t="shared" si="21"/>
        <v>7.1388999999999996</v>
      </c>
      <c r="G132" s="235">
        <f t="shared" ref="G132:G133" si="25">ROUND(D132*E132,2)</f>
        <v>7.64</v>
      </c>
      <c r="H132" s="1289"/>
      <c r="I132" s="1287"/>
      <c r="J132" s="1287"/>
      <c r="K132" s="1323"/>
      <c r="L132" s="1420"/>
      <c r="M132" s="273"/>
      <c r="N132" s="274"/>
      <c r="O132" s="237"/>
      <c r="P132" s="275"/>
      <c r="Q132" s="237"/>
      <c r="R132" s="242"/>
      <c r="S132" s="266"/>
      <c r="T132" s="266"/>
    </row>
    <row r="133" spans="1:20" ht="16.5" thickBot="1">
      <c r="A133" s="891"/>
      <c r="B133" s="202"/>
      <c r="C133" s="54" t="s">
        <v>29</v>
      </c>
      <c r="D133" s="279">
        <v>100</v>
      </c>
      <c r="E133" s="56">
        <v>7.1388999999999996</v>
      </c>
      <c r="F133" s="57">
        <f t="shared" si="21"/>
        <v>7.1388999999999996</v>
      </c>
      <c r="G133" s="247">
        <f t="shared" si="25"/>
        <v>713.89</v>
      </c>
      <c r="H133" s="1324"/>
      <c r="I133" s="1311"/>
      <c r="J133" s="1311"/>
      <c r="K133" s="1325"/>
      <c r="L133" s="1421"/>
      <c r="M133" s="250"/>
      <c r="N133" s="283"/>
      <c r="O133" s="252"/>
      <c r="P133" s="284"/>
      <c r="Q133" s="252"/>
      <c r="R133" s="242"/>
      <c r="S133" s="266"/>
      <c r="T133" s="266"/>
    </row>
    <row r="134" spans="1:20">
      <c r="A134" s="892">
        <v>417</v>
      </c>
      <c r="B134" s="183" t="s">
        <v>174</v>
      </c>
      <c r="C134" s="439" t="s">
        <v>260</v>
      </c>
      <c r="D134" s="296">
        <f>май.19!D135+май.19!D136</f>
        <v>122.29</v>
      </c>
      <c r="E134" s="41">
        <f>7.1389-7.4271</f>
        <v>-0.28820000000000068</v>
      </c>
      <c r="F134" s="41">
        <f t="shared" si="21"/>
        <v>-0.28820000000000068</v>
      </c>
      <c r="G134" s="235">
        <f>ROUND(D134*E134,2)-0.01</f>
        <v>-35.25</v>
      </c>
      <c r="H134" s="1289"/>
      <c r="I134" s="1287"/>
      <c r="J134" s="1287"/>
      <c r="K134" s="1323"/>
      <c r="L134" s="700">
        <f>SUM(G134:G136)</f>
        <v>503.73999999999995</v>
      </c>
      <c r="M134" s="227">
        <v>503.74</v>
      </c>
      <c r="N134" s="274"/>
      <c r="O134" s="237"/>
      <c r="P134" s="275"/>
      <c r="Q134" s="237"/>
      <c r="R134" s="242"/>
      <c r="S134" s="266"/>
      <c r="T134" s="266"/>
    </row>
    <row r="135" spans="1:20" ht="15.75">
      <c r="A135" s="896"/>
      <c r="B135" s="192"/>
      <c r="C135" s="48" t="s">
        <v>263</v>
      </c>
      <c r="D135" s="269">
        <v>0.8</v>
      </c>
      <c r="E135" s="41">
        <v>7.1388999999999996</v>
      </c>
      <c r="F135" s="41">
        <f t="shared" si="21"/>
        <v>7.1388999999999996</v>
      </c>
      <c r="G135" s="235">
        <f t="shared" ref="G135:G136" si="26">ROUND(D135*E135,2)</f>
        <v>5.71</v>
      </c>
      <c r="H135" s="1289"/>
      <c r="I135" s="1287"/>
      <c r="J135" s="1287"/>
      <c r="K135" s="1323"/>
      <c r="L135" s="1420"/>
      <c r="M135" s="273"/>
      <c r="N135" s="274"/>
      <c r="O135" s="237"/>
      <c r="P135" s="275"/>
      <c r="Q135" s="237"/>
      <c r="R135" s="242"/>
      <c r="S135" s="266"/>
      <c r="T135" s="266"/>
    </row>
    <row r="136" spans="1:20" ht="16.5" thickBot="1">
      <c r="A136" s="891"/>
      <c r="B136" s="202"/>
      <c r="C136" s="54" t="s">
        <v>29</v>
      </c>
      <c r="D136" s="279">
        <v>74.7</v>
      </c>
      <c r="E136" s="56">
        <v>7.1388999999999996</v>
      </c>
      <c r="F136" s="57">
        <f t="shared" si="21"/>
        <v>7.1388999999999996</v>
      </c>
      <c r="G136" s="247">
        <f t="shared" si="26"/>
        <v>533.28</v>
      </c>
      <c r="H136" s="1324"/>
      <c r="I136" s="1311"/>
      <c r="J136" s="1311"/>
      <c r="K136" s="1325"/>
      <c r="L136" s="1421"/>
      <c r="M136" s="250"/>
      <c r="N136" s="283"/>
      <c r="O136" s="252"/>
      <c r="P136" s="284"/>
      <c r="Q136" s="252"/>
      <c r="R136" s="242"/>
      <c r="S136" s="266"/>
      <c r="T136" s="266"/>
    </row>
    <row r="137" spans="1:20" ht="15.75" thickBot="1">
      <c r="A137" s="892">
        <v>420</v>
      </c>
      <c r="B137" s="183" t="s">
        <v>306</v>
      </c>
      <c r="C137" s="439" t="s">
        <v>243</v>
      </c>
      <c r="D137" s="1008">
        <v>0.13200000000000001</v>
      </c>
      <c r="E137" s="23">
        <v>41.244</v>
      </c>
      <c r="F137" s="23">
        <v>48.335999999999999</v>
      </c>
      <c r="G137" s="214">
        <f>ROUND(D137*(E137+F137),2)</f>
        <v>11.82</v>
      </c>
      <c r="H137" s="1308">
        <f>мар19!D131</f>
        <v>0.33600000000000002</v>
      </c>
      <c r="I137" s="1285">
        <v>67.703999999999994</v>
      </c>
      <c r="J137" s="1285">
        <f>ROUND(H137*I137,2)</f>
        <v>22.75</v>
      </c>
      <c r="K137" s="1309">
        <v>43525</v>
      </c>
      <c r="L137" s="439">
        <f>SUM(G137:G141)+SUM(J137:J141)</f>
        <v>389.97999999999996</v>
      </c>
      <c r="M137" s="187">
        <v>389.98</v>
      </c>
      <c r="N137" s="274"/>
      <c r="O137" s="237"/>
      <c r="P137" s="275"/>
      <c r="Q137" s="237"/>
      <c r="R137" s="242"/>
      <c r="S137" s="266"/>
      <c r="T137" s="266"/>
    </row>
    <row r="138" spans="1:20" ht="15.75" thickBot="1">
      <c r="A138" s="892"/>
      <c r="B138" s="183"/>
      <c r="C138" s="48" t="s">
        <v>260</v>
      </c>
      <c r="D138" s="1009"/>
      <c r="E138" s="41"/>
      <c r="F138" s="41"/>
      <c r="G138" s="235">
        <f>ROUND(D138*(E138+F138),2)</f>
        <v>0</v>
      </c>
      <c r="H138" s="1310"/>
      <c r="I138" s="1311"/>
      <c r="J138" s="1285"/>
      <c r="K138" s="1312"/>
      <c r="L138" s="987"/>
      <c r="M138" s="989"/>
      <c r="N138" s="274"/>
      <c r="O138" s="237"/>
      <c r="P138" s="275"/>
      <c r="Q138" s="237"/>
      <c r="R138" s="242"/>
      <c r="S138" s="266"/>
      <c r="T138" s="266"/>
    </row>
    <row r="139" spans="1:20">
      <c r="A139" s="896"/>
      <c r="B139" s="192"/>
      <c r="C139" s="439" t="s">
        <v>260</v>
      </c>
      <c r="D139" s="296">
        <f>май.19!D140+май.19!D141</f>
        <v>138.87</v>
      </c>
      <c r="E139" s="41">
        <f>7.1389-7.4271</f>
        <v>-0.28820000000000068</v>
      </c>
      <c r="F139" s="41">
        <f t="shared" si="21"/>
        <v>-0.28820000000000068</v>
      </c>
      <c r="G139" s="235">
        <f>ROUND(D139*E139,2)+0.01</f>
        <v>-40.010000000000005</v>
      </c>
      <c r="H139" s="1289"/>
      <c r="I139" s="1287"/>
      <c r="J139" s="1287"/>
      <c r="K139" s="1323"/>
      <c r="L139" s="700"/>
      <c r="M139" s="227"/>
      <c r="N139" s="274"/>
      <c r="O139" s="237"/>
      <c r="P139" s="275"/>
      <c r="Q139" s="237"/>
      <c r="R139" s="242"/>
      <c r="S139" s="266"/>
      <c r="T139" s="266"/>
    </row>
    <row r="140" spans="1:20" ht="15.75">
      <c r="A140" s="896"/>
      <c r="B140" s="192"/>
      <c r="C140" s="48" t="s">
        <v>263</v>
      </c>
      <c r="D140" s="269">
        <v>0.59</v>
      </c>
      <c r="E140" s="41">
        <v>7.1388999999999996</v>
      </c>
      <c r="F140" s="41">
        <f t="shared" si="21"/>
        <v>7.1388999999999996</v>
      </c>
      <c r="G140" s="235">
        <f>ROUND(D140*E140,2)</f>
        <v>4.21</v>
      </c>
      <c r="H140" s="1289"/>
      <c r="I140" s="1287"/>
      <c r="J140" s="1287"/>
      <c r="K140" s="1323"/>
      <c r="L140" s="1420"/>
      <c r="M140" s="273"/>
      <c r="N140" s="274"/>
      <c r="O140" s="237"/>
      <c r="P140" s="275"/>
      <c r="Q140" s="237"/>
      <c r="R140" s="242"/>
      <c r="S140" s="266"/>
      <c r="T140" s="266"/>
    </row>
    <row r="141" spans="1:20" ht="16.5" thickBot="1">
      <c r="A141" s="891"/>
      <c r="B141" s="202"/>
      <c r="C141" s="54" t="s">
        <v>29</v>
      </c>
      <c r="D141" s="279">
        <v>54.8</v>
      </c>
      <c r="E141" s="56">
        <v>7.1388999999999996</v>
      </c>
      <c r="F141" s="57">
        <f t="shared" si="21"/>
        <v>7.1388999999999996</v>
      </c>
      <c r="G141" s="247">
        <f t="shared" ref="G141" si="27">ROUND(D141*E141,2)</f>
        <v>391.21</v>
      </c>
      <c r="H141" s="1324"/>
      <c r="I141" s="1311"/>
      <c r="J141" s="1311"/>
      <c r="K141" s="1325"/>
      <c r="L141" s="1421"/>
      <c r="M141" s="250"/>
      <c r="N141" s="283"/>
      <c r="O141" s="252"/>
      <c r="P141" s="284"/>
      <c r="Q141" s="252"/>
      <c r="R141" s="242"/>
      <c r="S141" s="266"/>
      <c r="T141" s="266"/>
    </row>
    <row r="142" spans="1:20">
      <c r="A142" s="892">
        <v>422</v>
      </c>
      <c r="B142" s="183" t="s">
        <v>333</v>
      </c>
      <c r="C142" s="439" t="s">
        <v>260</v>
      </c>
      <c r="D142" s="296">
        <f>май.19!D143+май.19!D144</f>
        <v>107.13</v>
      </c>
      <c r="E142" s="41">
        <f>7.1389-7.4271</f>
        <v>-0.28820000000000068</v>
      </c>
      <c r="F142" s="41">
        <f t="shared" si="21"/>
        <v>-0.28820000000000068</v>
      </c>
      <c r="G142" s="235">
        <f>ROUND(D142*E142,2)</f>
        <v>-30.87</v>
      </c>
      <c r="H142" s="1289"/>
      <c r="I142" s="1287"/>
      <c r="J142" s="1287"/>
      <c r="K142" s="1323"/>
      <c r="L142" s="700">
        <f>SUM(G142:G144)</f>
        <v>756.33</v>
      </c>
      <c r="M142" s="227">
        <v>756.33</v>
      </c>
      <c r="N142" s="274"/>
      <c r="O142" s="237"/>
      <c r="P142" s="275"/>
      <c r="Q142" s="237"/>
      <c r="R142" s="242"/>
      <c r="S142" s="266"/>
      <c r="T142" s="266"/>
    </row>
    <row r="143" spans="1:20" ht="15.75">
      <c r="A143" s="896"/>
      <c r="B143" s="192"/>
      <c r="C143" s="48" t="s">
        <v>263</v>
      </c>
      <c r="D143" s="269">
        <v>1.17</v>
      </c>
      <c r="E143" s="41">
        <v>7.1388999999999996</v>
      </c>
      <c r="F143" s="41">
        <f t="shared" si="21"/>
        <v>7.1388999999999996</v>
      </c>
      <c r="G143" s="235">
        <f t="shared" ref="G143:G144" si="28">ROUND(D143*E143,2)</f>
        <v>8.35</v>
      </c>
      <c r="H143" s="1289"/>
      <c r="I143" s="1287"/>
      <c r="J143" s="1287"/>
      <c r="K143" s="1323"/>
      <c r="L143" s="1420"/>
      <c r="M143" s="273"/>
      <c r="N143" s="274"/>
      <c r="O143" s="237"/>
      <c r="P143" s="275"/>
      <c r="Q143" s="237"/>
      <c r="R143" s="242"/>
      <c r="S143" s="266"/>
      <c r="T143" s="266"/>
    </row>
    <row r="144" spans="1:20" ht="16.5" thickBot="1">
      <c r="A144" s="891"/>
      <c r="B144" s="202"/>
      <c r="C144" s="54" t="s">
        <v>29</v>
      </c>
      <c r="D144" s="279">
        <v>109.1</v>
      </c>
      <c r="E144" s="56">
        <v>7.1388999999999996</v>
      </c>
      <c r="F144" s="57">
        <f t="shared" si="21"/>
        <v>7.1388999999999996</v>
      </c>
      <c r="G144" s="247">
        <f t="shared" si="28"/>
        <v>778.85</v>
      </c>
      <c r="H144" s="1324"/>
      <c r="I144" s="1311"/>
      <c r="J144" s="1311"/>
      <c r="K144" s="1325"/>
      <c r="L144" s="1421"/>
      <c r="M144" s="250"/>
      <c r="N144" s="283"/>
      <c r="O144" s="252"/>
      <c r="P144" s="284"/>
      <c r="Q144" s="252"/>
      <c r="R144" s="242"/>
      <c r="S144" s="266"/>
      <c r="T144" s="266"/>
    </row>
    <row r="145" spans="1:21" ht="15.75">
      <c r="A145" s="892">
        <v>500</v>
      </c>
      <c r="B145" s="883" t="s">
        <v>55</v>
      </c>
      <c r="C145" s="439" t="s">
        <v>260</v>
      </c>
      <c r="D145" s="259">
        <f>май.19!D146+май.19!D147</f>
        <v>2912.84</v>
      </c>
      <c r="E145" s="41">
        <f>7.1389-7.4271</f>
        <v>-0.28820000000000068</v>
      </c>
      <c r="F145" s="41">
        <f t="shared" si="16"/>
        <v>-0.28820000000000068</v>
      </c>
      <c r="G145" s="214">
        <f>ROUND(D145*E145,2)</f>
        <v>-839.48</v>
      </c>
      <c r="H145" s="1333"/>
      <c r="I145" s="1290"/>
      <c r="J145" s="1290"/>
      <c r="K145" s="1334"/>
      <c r="L145" s="19">
        <f>SUM(G145:G147)</f>
        <v>20255.25</v>
      </c>
      <c r="M145" s="187">
        <v>20255.25</v>
      </c>
      <c r="N145" s="264"/>
      <c r="O145" s="229"/>
      <c r="P145" s="265"/>
      <c r="Q145" s="229"/>
      <c r="R145" s="242"/>
      <c r="S145" s="266"/>
      <c r="T145" s="266"/>
    </row>
    <row r="146" spans="1:21" ht="15.75">
      <c r="A146" s="893" t="s">
        <v>197</v>
      </c>
      <c r="B146" s="885"/>
      <c r="C146" s="48" t="s">
        <v>263</v>
      </c>
      <c r="D146" s="269">
        <v>31.28</v>
      </c>
      <c r="E146" s="41">
        <v>7.1388999999999996</v>
      </c>
      <c r="F146" s="41">
        <f t="shared" si="16"/>
        <v>7.1388999999999996</v>
      </c>
      <c r="G146" s="235">
        <f>ROUND(D146*E146,2)</f>
        <v>223.3</v>
      </c>
      <c r="H146" s="1289"/>
      <c r="I146" s="1287"/>
      <c r="J146" s="1287"/>
      <c r="K146" s="1323"/>
      <c r="L146" s="1420"/>
      <c r="M146" s="273"/>
      <c r="N146" s="274"/>
      <c r="O146" s="237"/>
      <c r="P146" s="275"/>
      <c r="Q146" s="237"/>
      <c r="R146" s="242"/>
      <c r="S146" s="266"/>
      <c r="T146" s="266"/>
    </row>
    <row r="147" spans="1:21" ht="16.5" thickBot="1">
      <c r="A147" s="891"/>
      <c r="B147" s="887"/>
      <c r="C147" s="54" t="s">
        <v>29</v>
      </c>
      <c r="D147" s="279">
        <v>2923.62</v>
      </c>
      <c r="E147" s="56">
        <v>7.1388999999999996</v>
      </c>
      <c r="F147" s="57">
        <f t="shared" si="16"/>
        <v>7.1388999999999996</v>
      </c>
      <c r="G147" s="247">
        <f t="shared" ref="G147" si="29">ROUND(D147*E147,2)</f>
        <v>20871.43</v>
      </c>
      <c r="H147" s="1324"/>
      <c r="I147" s="1311"/>
      <c r="J147" s="1311"/>
      <c r="K147" s="1325"/>
      <c r="L147" s="1421"/>
      <c r="M147" s="250"/>
      <c r="N147" s="283"/>
      <c r="O147" s="252"/>
      <c r="P147" s="284"/>
      <c r="Q147" s="252"/>
      <c r="R147" s="242"/>
      <c r="S147" s="266"/>
      <c r="T147" s="266"/>
    </row>
    <row r="148" spans="1:21" ht="16.5" hidden="1" outlineLevel="1" thickBot="1">
      <c r="A148" s="892"/>
      <c r="B148" s="883" t="s">
        <v>57</v>
      </c>
      <c r="C148" s="439"/>
      <c r="D148" s="259"/>
      <c r="E148" s="21">
        <v>36.214199999999998</v>
      </c>
      <c r="F148" s="21">
        <v>42.4328</v>
      </c>
      <c r="G148" s="214">
        <f>ROUND(D148*(E148+F148),2)</f>
        <v>0</v>
      </c>
      <c r="H148" s="1320">
        <v>0</v>
      </c>
      <c r="I148" s="1338">
        <v>22.478999999999999</v>
      </c>
      <c r="J148" s="1285">
        <f t="shared" ref="J148" si="30">H148*I148</f>
        <v>0</v>
      </c>
      <c r="K148" s="497">
        <v>42705</v>
      </c>
      <c r="L148" s="700">
        <f>SUM(G148:G152)+J148+J150</f>
        <v>0</v>
      </c>
      <c r="M148" s="227"/>
      <c r="N148" s="264"/>
      <c r="O148" s="229"/>
      <c r="P148" s="265"/>
      <c r="Q148" s="229"/>
      <c r="R148" s="242"/>
      <c r="S148" s="266"/>
      <c r="T148" s="266"/>
    </row>
    <row r="149" spans="1:21" ht="16.5" hidden="1" outlineLevel="1" thickBot="1">
      <c r="A149" s="891"/>
      <c r="B149" s="887"/>
      <c r="C149" s="54"/>
      <c r="D149" s="269"/>
      <c r="E149" s="38">
        <f>32.332-28.8628</f>
        <v>3.4692000000000007</v>
      </c>
      <c r="F149" s="38">
        <f>37.8898-33.8306</f>
        <v>4.0592000000000041</v>
      </c>
      <c r="G149" s="235">
        <f>ROUND(D149*(E149+F149),2)</f>
        <v>0</v>
      </c>
      <c r="H149" s="1321"/>
      <c r="J149" s="1290"/>
      <c r="K149" s="1322"/>
      <c r="L149" s="700"/>
      <c r="M149" s="227"/>
      <c r="N149" s="264"/>
      <c r="O149" s="229"/>
      <c r="P149" s="265"/>
      <c r="Q149" s="229"/>
      <c r="R149" s="242"/>
      <c r="S149" s="266"/>
      <c r="T149" s="266"/>
    </row>
    <row r="150" spans="1:21" ht="15.75" hidden="1" outlineLevel="1" thickBot="1">
      <c r="A150" s="892"/>
      <c r="B150" s="883"/>
      <c r="C150" s="439" t="s">
        <v>170</v>
      </c>
      <c r="D150" s="296"/>
      <c r="E150" s="41">
        <f>7.0207-6.6426</f>
        <v>0.37809999999999988</v>
      </c>
      <c r="F150" s="41">
        <f>+E150</f>
        <v>0.37809999999999988</v>
      </c>
      <c r="G150" s="235">
        <f>ROUND(D150*E150,2)</f>
        <v>0</v>
      </c>
      <c r="H150" s="1289"/>
      <c r="I150" s="1287"/>
      <c r="J150" s="1287"/>
      <c r="K150" s="1323"/>
      <c r="L150" s="1420"/>
      <c r="M150" s="273"/>
      <c r="N150" s="274"/>
      <c r="O150" s="237"/>
      <c r="P150" s="275"/>
      <c r="Q150" s="237"/>
      <c r="R150" s="242"/>
      <c r="S150" s="266"/>
      <c r="T150" s="266"/>
    </row>
    <row r="151" spans="1:21" ht="16.5" hidden="1" outlineLevel="1" thickBot="1">
      <c r="A151" s="891"/>
      <c r="B151" s="887"/>
      <c r="C151" s="54" t="s">
        <v>171</v>
      </c>
      <c r="D151" s="269"/>
      <c r="E151" s="41">
        <v>7.0206999999999997</v>
      </c>
      <c r="F151" s="41">
        <f>+E151</f>
        <v>7.0206999999999997</v>
      </c>
      <c r="G151" s="235">
        <f>ROUND(D151*E151,2)</f>
        <v>0</v>
      </c>
      <c r="H151" s="1289"/>
      <c r="I151" s="1287"/>
      <c r="J151" s="1287"/>
      <c r="K151" s="1323"/>
      <c r="L151" s="1420"/>
      <c r="M151" s="273"/>
      <c r="N151" s="274"/>
      <c r="O151" s="237"/>
      <c r="P151" s="275"/>
      <c r="Q151" s="237"/>
      <c r="R151" s="242"/>
      <c r="S151" s="266"/>
      <c r="T151" s="266"/>
    </row>
    <row r="152" spans="1:21" ht="16.5" hidden="1" outlineLevel="1" thickBot="1">
      <c r="A152" s="892"/>
      <c r="B152" s="883"/>
      <c r="C152" s="439" t="s">
        <v>29</v>
      </c>
      <c r="D152" s="279"/>
      <c r="E152" s="56">
        <v>7.0206999999999997</v>
      </c>
      <c r="F152" s="57">
        <f>+E152</f>
        <v>7.0206999999999997</v>
      </c>
      <c r="G152" s="247">
        <f>ROUND(D152*E152,2)</f>
        <v>0</v>
      </c>
      <c r="H152" s="1324"/>
      <c r="I152" s="1311"/>
      <c r="J152" s="1311"/>
      <c r="K152" s="1325"/>
      <c r="L152" s="1421"/>
      <c r="M152" s="250"/>
      <c r="N152" s="283"/>
      <c r="O152" s="252"/>
      <c r="P152" s="284"/>
      <c r="Q152" s="252"/>
      <c r="R152" s="242"/>
      <c r="S152" s="266"/>
      <c r="T152" s="266"/>
    </row>
    <row r="153" spans="1:21" ht="15.75" hidden="1" outlineLevel="1" thickBot="1">
      <c r="A153" s="892"/>
      <c r="B153" s="183" t="s">
        <v>145</v>
      </c>
      <c r="C153" s="439" t="s">
        <v>170</v>
      </c>
      <c r="D153" s="296"/>
      <c r="E153" s="41">
        <f>7.0207-6.6426</f>
        <v>0.37809999999999988</v>
      </c>
      <c r="F153" s="41">
        <f t="shared" ref="F153:F155" si="31">+E153</f>
        <v>0.37809999999999988</v>
      </c>
      <c r="G153" s="235">
        <f>ROUND(D153*E153,2)</f>
        <v>0</v>
      </c>
      <c r="H153" s="1289"/>
      <c r="I153" s="1287"/>
      <c r="J153" s="1287"/>
      <c r="K153" s="1323"/>
      <c r="L153" s="700">
        <f>SUM(G153:G155)</f>
        <v>0</v>
      </c>
      <c r="M153" s="227"/>
      <c r="N153" s="274"/>
      <c r="O153" s="237"/>
      <c r="P153" s="275"/>
      <c r="Q153" s="237"/>
      <c r="R153" s="242"/>
      <c r="S153" s="266"/>
      <c r="T153" s="266"/>
    </row>
    <row r="154" spans="1:21" ht="16.5" hidden="1" outlineLevel="1" thickBot="1">
      <c r="A154" s="891"/>
      <c r="B154" s="887"/>
      <c r="C154" s="54" t="s">
        <v>171</v>
      </c>
      <c r="D154" s="269"/>
      <c r="E154" s="41">
        <v>7.0206999999999997</v>
      </c>
      <c r="F154" s="41">
        <f t="shared" si="31"/>
        <v>7.0206999999999997</v>
      </c>
      <c r="G154" s="235">
        <f t="shared" ref="G154:G155" si="32">ROUND(D154*E154,2)</f>
        <v>0</v>
      </c>
      <c r="H154" s="1289"/>
      <c r="I154" s="1287"/>
      <c r="J154" s="1287"/>
      <c r="K154" s="1323"/>
      <c r="L154" s="1420"/>
      <c r="M154" s="273"/>
      <c r="N154" s="274"/>
      <c r="O154" s="237"/>
      <c r="P154" s="275"/>
      <c r="Q154" s="237"/>
      <c r="R154" s="242"/>
      <c r="S154" s="266"/>
      <c r="T154" s="266"/>
    </row>
    <row r="155" spans="1:21" ht="16.5" hidden="1" outlineLevel="1" thickBot="1">
      <c r="A155" s="892"/>
      <c r="B155" s="183"/>
      <c r="C155" s="439" t="s">
        <v>29</v>
      </c>
      <c r="D155" s="279"/>
      <c r="E155" s="56">
        <v>7.0206999999999997</v>
      </c>
      <c r="F155" s="57">
        <f t="shared" si="31"/>
        <v>7.0206999999999997</v>
      </c>
      <c r="G155" s="247">
        <f t="shared" si="32"/>
        <v>0</v>
      </c>
      <c r="H155" s="1324"/>
      <c r="I155" s="1311"/>
      <c r="J155" s="1311"/>
      <c r="K155" s="1325"/>
      <c r="L155" s="1421"/>
      <c r="M155" s="250"/>
      <c r="N155" s="283"/>
      <c r="O155" s="252"/>
      <c r="P155" s="284"/>
      <c r="Q155" s="252"/>
      <c r="R155" s="242"/>
      <c r="S155" s="266"/>
      <c r="T155" s="266"/>
    </row>
    <row r="156" spans="1:21" ht="16.5" collapsed="1" thickTop="1">
      <c r="A156" s="898"/>
      <c r="B156" s="321"/>
      <c r="C156" s="322"/>
      <c r="D156" s="323"/>
      <c r="E156" s="163"/>
      <c r="F156" s="324"/>
      <c r="G156" s="325"/>
      <c r="H156" s="1339"/>
      <c r="I156" s="1339"/>
      <c r="J156" s="1339"/>
      <c r="K156" s="1339"/>
      <c r="L156" s="1339"/>
      <c r="M156" s="326"/>
      <c r="N156" s="327"/>
      <c r="O156" s="328"/>
      <c r="P156" s="329"/>
      <c r="Q156" s="328"/>
      <c r="R156" s="330"/>
      <c r="S156" s="331"/>
      <c r="T156" s="266"/>
    </row>
    <row r="157" spans="1:21" ht="21.75" thickBot="1">
      <c r="A157" s="171" t="s">
        <v>60</v>
      </c>
      <c r="B157" s="2"/>
      <c r="C157" s="3"/>
      <c r="D157" s="2"/>
      <c r="E157" s="2"/>
      <c r="F157" s="2"/>
      <c r="G157" s="332"/>
      <c r="H157" s="1340"/>
      <c r="I157" s="1340"/>
      <c r="J157" s="1269"/>
      <c r="K157" s="1269"/>
      <c r="L157" s="1269"/>
      <c r="M157" s="3"/>
      <c r="N157" s="2"/>
      <c r="O157" s="2"/>
      <c r="P157" s="2"/>
      <c r="Q157" s="2"/>
      <c r="R157" s="2"/>
      <c r="S157" s="2"/>
    </row>
    <row r="158" spans="1:21" ht="15" customHeight="1" thickTop="1">
      <c r="A158" s="1553" t="s">
        <v>1</v>
      </c>
      <c r="B158" s="1516" t="s">
        <v>2</v>
      </c>
      <c r="C158" s="1518" t="s">
        <v>3</v>
      </c>
      <c r="D158" s="1532" t="s">
        <v>4</v>
      </c>
      <c r="E158" s="1532"/>
      <c r="F158" s="1532"/>
      <c r="G158" s="1532"/>
      <c r="H158" s="1570" t="s">
        <v>5</v>
      </c>
      <c r="I158" s="1571"/>
      <c r="J158" s="1571"/>
      <c r="K158" s="1571"/>
      <c r="L158" s="1568" t="s">
        <v>6</v>
      </c>
      <c r="M158" s="1537" t="s">
        <v>7</v>
      </c>
      <c r="N158" s="1538" t="s">
        <v>8</v>
      </c>
      <c r="O158" s="1538"/>
      <c r="P158" s="1538"/>
      <c r="Q158" s="1539"/>
      <c r="R158" s="5"/>
      <c r="S158" s="5"/>
      <c r="T158" s="5" t="s">
        <v>61</v>
      </c>
      <c r="U158" t="s">
        <v>21</v>
      </c>
    </row>
    <row r="159" spans="1:21" ht="27" customHeight="1" thickBot="1">
      <c r="A159" s="1531"/>
      <c r="B159" s="1517"/>
      <c r="C159" s="1519" t="s">
        <v>10</v>
      </c>
      <c r="D159" s="333" t="s">
        <v>11</v>
      </c>
      <c r="E159" s="7" t="s">
        <v>12</v>
      </c>
      <c r="F159" s="7" t="s">
        <v>13</v>
      </c>
      <c r="G159" s="334" t="s">
        <v>14</v>
      </c>
      <c r="H159" s="1341" t="s">
        <v>11</v>
      </c>
      <c r="I159" s="1342" t="s">
        <v>15</v>
      </c>
      <c r="J159" s="1342" t="s">
        <v>14</v>
      </c>
      <c r="K159" s="1273" t="s">
        <v>16</v>
      </c>
      <c r="L159" s="1569"/>
      <c r="M159" s="1511"/>
      <c r="N159" s="337" t="s">
        <v>62</v>
      </c>
      <c r="O159" s="338" t="s">
        <v>44</v>
      </c>
      <c r="P159" s="13" t="s">
        <v>18</v>
      </c>
      <c r="Q159" s="14" t="s">
        <v>19</v>
      </c>
    </row>
    <row r="160" spans="1:21" ht="14.25" customHeight="1">
      <c r="A160" s="339" t="s">
        <v>63</v>
      </c>
      <c r="B160" s="1143" t="s">
        <v>64</v>
      </c>
      <c r="C160" s="1200" t="s">
        <v>243</v>
      </c>
      <c r="D160" s="1201">
        <v>45</v>
      </c>
      <c r="E160" s="1146">
        <v>41.244</v>
      </c>
      <c r="F160" s="1146">
        <v>48.335999999999999</v>
      </c>
      <c r="G160" s="1202">
        <f>ROUND(D160*(E160+F160),2)</f>
        <v>4031.1</v>
      </c>
      <c r="H160" s="1326"/>
      <c r="I160" s="1275"/>
      <c r="J160" s="1275"/>
      <c r="K160" s="1343"/>
      <c r="L160" s="1443">
        <f>SUM(G160:G165,J160:J164)</f>
        <v>387401.93</v>
      </c>
      <c r="M160" s="1206">
        <v>387401.93</v>
      </c>
      <c r="N160" s="345"/>
      <c r="O160" s="346">
        <v>7157.88</v>
      </c>
      <c r="P160" s="347" t="s">
        <v>24</v>
      </c>
      <c r="Q160" s="348" t="e">
        <f t="shared" ref="Q160:Q245" si="33">C160+G160+J160-M160-N160-O160</f>
        <v>#VALUE!</v>
      </c>
      <c r="R160" s="349" t="s">
        <v>65</v>
      </c>
      <c r="S160" s="350" t="s">
        <v>20</v>
      </c>
      <c r="T160" s="351" t="s">
        <v>21</v>
      </c>
      <c r="U160" s="352" t="e">
        <f>+L160-M160+C160</f>
        <v>#VALUE!</v>
      </c>
    </row>
    <row r="161" spans="1:21" ht="14.25" customHeight="1">
      <c r="A161" s="353"/>
      <c r="B161" s="1151" t="s">
        <v>221</v>
      </c>
      <c r="C161" s="1207" t="s">
        <v>26</v>
      </c>
      <c r="D161" s="401"/>
      <c r="E161" s="1153"/>
      <c r="F161" s="1153"/>
      <c r="G161" s="400">
        <f>ROUND(D161*(E161+F161),2)</f>
        <v>0</v>
      </c>
      <c r="H161" s="1344"/>
      <c r="I161" s="1329"/>
      <c r="J161" s="1278"/>
      <c r="K161" s="1345"/>
      <c r="L161" s="1160"/>
      <c r="M161" s="1211"/>
      <c r="N161" s="357"/>
      <c r="O161" s="358"/>
      <c r="P161" s="359"/>
      <c r="Q161" s="358"/>
      <c r="R161" s="349"/>
      <c r="S161" s="350"/>
      <c r="T161" s="351"/>
      <c r="U161" s="352"/>
    </row>
    <row r="162" spans="1:21">
      <c r="A162" s="353"/>
      <c r="B162" s="1159"/>
      <c r="C162" s="1160"/>
      <c r="D162" s="623"/>
      <c r="E162" s="1155"/>
      <c r="F162" s="1155"/>
      <c r="G162" s="1161">
        <f>ROUND(D162*E162*70%+D162*F162*30%,2)</f>
        <v>0</v>
      </c>
      <c r="H162" s="1344"/>
      <c r="I162" s="1329"/>
      <c r="J162" s="1278"/>
      <c r="K162" s="1345"/>
      <c r="L162" s="1160"/>
      <c r="M162" s="1211"/>
      <c r="N162" s="357"/>
      <c r="O162" s="358"/>
      <c r="P162" s="359"/>
      <c r="Q162" s="358"/>
      <c r="R162" s="349"/>
      <c r="S162" s="350"/>
      <c r="T162" s="351"/>
      <c r="U162" s="352"/>
    </row>
    <row r="163" spans="1:21">
      <c r="A163" s="353"/>
      <c r="B163" s="1159"/>
      <c r="C163" s="1160" t="s">
        <v>260</v>
      </c>
      <c r="D163" s="623"/>
      <c r="E163" s="1155"/>
      <c r="F163" s="1153"/>
      <c r="G163" s="1161">
        <f>ROUND(+D163*E163,2)</f>
        <v>0</v>
      </c>
      <c r="H163" s="1344"/>
      <c r="I163" s="1329"/>
      <c r="J163" s="1278"/>
      <c r="K163" s="1345"/>
      <c r="L163" s="1160"/>
      <c r="M163" s="1211"/>
      <c r="N163" s="357"/>
      <c r="O163" s="358"/>
      <c r="P163" s="359"/>
      <c r="Q163" s="358"/>
      <c r="R163" s="349"/>
      <c r="S163" s="350"/>
      <c r="T163" s="351"/>
      <c r="U163" s="352"/>
    </row>
    <row r="164" spans="1:21">
      <c r="A164" s="353"/>
      <c r="B164" s="1159"/>
      <c r="C164" s="1160" t="s">
        <v>263</v>
      </c>
      <c r="D164" s="623">
        <f>91.03+22.82+10.01</f>
        <v>123.86</v>
      </c>
      <c r="E164" s="1155">
        <v>7.4103000000000003</v>
      </c>
      <c r="F164" s="1155">
        <f>+E164</f>
        <v>7.4103000000000003</v>
      </c>
      <c r="G164" s="1161">
        <f>ROUND(D164*E164,2)</f>
        <v>917.84</v>
      </c>
      <c r="H164" s="1346"/>
      <c r="I164" s="1347"/>
      <c r="J164" s="1348"/>
      <c r="K164" s="1349"/>
      <c r="L164" s="1427"/>
      <c r="M164" s="1217"/>
      <c r="N164" s="366"/>
      <c r="O164" s="367"/>
      <c r="P164" s="368"/>
      <c r="Q164" s="358"/>
      <c r="R164" s="349"/>
      <c r="S164" s="350"/>
      <c r="T164" s="351"/>
      <c r="U164" s="352"/>
    </row>
    <row r="165" spans="1:21" ht="15.75" thickBot="1">
      <c r="A165" s="369"/>
      <c r="B165" s="1163" t="s">
        <v>66</v>
      </c>
      <c r="C165" s="1164" t="s">
        <v>29</v>
      </c>
      <c r="D165" s="941">
        <f>37931+9510+4170</f>
        <v>51611</v>
      </c>
      <c r="E165" s="1165">
        <v>7.4103000000000003</v>
      </c>
      <c r="F165" s="1218">
        <f>+E165</f>
        <v>7.4103000000000003</v>
      </c>
      <c r="G165" s="1167">
        <f>ROUND(D165*E165,2)</f>
        <v>382452.99</v>
      </c>
      <c r="H165" s="1350"/>
      <c r="I165" s="1351"/>
      <c r="J165" s="1282"/>
      <c r="K165" s="1351"/>
      <c r="L165" s="1424"/>
      <c r="M165" s="1221"/>
      <c r="N165" s="372"/>
      <c r="O165" s="373">
        <v>165882.5</v>
      </c>
      <c r="P165" s="374" t="s">
        <v>24</v>
      </c>
      <c r="Q165" s="373">
        <f>G165+J165-M165-N165-O165</f>
        <v>216570.49</v>
      </c>
      <c r="R165" s="349" t="s">
        <v>65</v>
      </c>
      <c r="S165" s="375">
        <f>SUM(O160:O165)</f>
        <v>173040.38</v>
      </c>
      <c r="T165" s="375" t="e">
        <f>SUM(Q160:Q165)</f>
        <v>#VALUE!</v>
      </c>
    </row>
    <row r="166" spans="1:21" s="81" customFormat="1" ht="15" customHeight="1">
      <c r="A166" s="437">
        <v>101</v>
      </c>
      <c r="B166" s="438" t="s">
        <v>82</v>
      </c>
      <c r="C166" s="377" t="s">
        <v>73</v>
      </c>
      <c r="D166" s="378">
        <v>32</v>
      </c>
      <c r="E166" s="21">
        <v>41.244</v>
      </c>
      <c r="F166" s="21">
        <v>48.335999999999999</v>
      </c>
      <c r="G166" s="22">
        <f>+D166*(E166+F166)</f>
        <v>2866.56</v>
      </c>
      <c r="H166" s="1305"/>
      <c r="I166" s="1275"/>
      <c r="J166" s="1275"/>
      <c r="K166" s="1352"/>
      <c r="L166" s="19">
        <f>SUM(G166:G170,J166:J170)</f>
        <v>84905.239999999991</v>
      </c>
      <c r="M166" s="26">
        <v>84905.24</v>
      </c>
      <c r="N166" s="421"/>
      <c r="O166" s="77"/>
      <c r="P166" s="77"/>
      <c r="Q166" s="384"/>
      <c r="R166" s="422"/>
      <c r="S166" s="399"/>
      <c r="T166" s="399"/>
    </row>
    <row r="167" spans="1:21" s="81" customFormat="1" ht="15" customHeight="1">
      <c r="A167" s="441"/>
      <c r="B167" s="442"/>
      <c r="C167" s="36" t="s">
        <v>26</v>
      </c>
      <c r="D167" s="37"/>
      <c r="E167" s="38"/>
      <c r="F167" s="38"/>
      <c r="G167" s="39">
        <f>ROUND(D167*(E167+F167),2)</f>
        <v>0</v>
      </c>
      <c r="H167" s="1353"/>
      <c r="I167" s="1354"/>
      <c r="J167" s="1278"/>
      <c r="K167" s="1355"/>
      <c r="L167" s="1428"/>
      <c r="M167" s="44"/>
      <c r="N167" s="430"/>
      <c r="O167" s="435"/>
      <c r="P167" s="435"/>
      <c r="Q167" s="425"/>
      <c r="R167" s="422"/>
      <c r="S167" s="399"/>
      <c r="T167" s="399"/>
    </row>
    <row r="168" spans="1:21" s="81" customFormat="1" ht="15" customHeight="1">
      <c r="A168" s="441"/>
      <c r="B168" s="442"/>
      <c r="C168" s="48" t="s">
        <v>260</v>
      </c>
      <c r="D168" s="37">
        <f>май.19!D169+май.19!D170</f>
        <v>12932.96</v>
      </c>
      <c r="E168" s="41">
        <f>7.4594-7.6099</f>
        <v>-0.15050000000000008</v>
      </c>
      <c r="F168" s="38"/>
      <c r="G168" s="39">
        <f>ROUND(D168*(E168),2)</f>
        <v>-1946.41</v>
      </c>
      <c r="H168" s="1289"/>
      <c r="I168" s="1287"/>
      <c r="J168" s="1287"/>
      <c r="K168" s="1323"/>
      <c r="L168" s="1420"/>
      <c r="M168" s="102"/>
      <c r="N168" s="430"/>
      <c r="O168" s="435"/>
      <c r="P168" s="435"/>
      <c r="Q168" s="425"/>
      <c r="R168" s="422"/>
      <c r="S168" s="399"/>
      <c r="T168" s="399"/>
    </row>
    <row r="169" spans="1:21" s="81" customFormat="1" ht="15" customHeight="1">
      <c r="A169" s="441"/>
      <c r="B169" s="442"/>
      <c r="C169" s="48" t="s">
        <v>263</v>
      </c>
      <c r="D169" s="37">
        <v>26.96</v>
      </c>
      <c r="E169" s="41">
        <v>7.4593999999999996</v>
      </c>
      <c r="F169" s="38"/>
      <c r="G169" s="39">
        <f>ROUND(D169*(E169),2)</f>
        <v>201.11</v>
      </c>
      <c r="H169" s="1289"/>
      <c r="I169" s="1287"/>
      <c r="J169" s="1287"/>
      <c r="K169" s="1323"/>
      <c r="L169" s="1420"/>
      <c r="M169" s="102"/>
      <c r="N169" s="434"/>
      <c r="O169" s="435"/>
      <c r="P169" s="435"/>
      <c r="Q169" s="425"/>
      <c r="R169" s="422"/>
      <c r="S169" s="399"/>
      <c r="T169" s="399"/>
    </row>
    <row r="170" spans="1:21" s="81" customFormat="1" ht="15" customHeight="1" thickBot="1">
      <c r="A170" s="445"/>
      <c r="B170" s="446"/>
      <c r="C170" s="54" t="s">
        <v>29</v>
      </c>
      <c r="D170" s="413">
        <v>11232</v>
      </c>
      <c r="E170" s="56">
        <v>7.4593999999999996</v>
      </c>
      <c r="F170" s="281"/>
      <c r="G170" s="414">
        <f>ROUND(D170*(E170),2)</f>
        <v>83783.98</v>
      </c>
      <c r="H170" s="1324"/>
      <c r="I170" s="1311"/>
      <c r="J170" s="1311"/>
      <c r="K170" s="1325"/>
      <c r="L170" s="1421"/>
      <c r="M170" s="371"/>
      <c r="N170" s="426"/>
      <c r="O170" s="416"/>
      <c r="P170" s="416"/>
      <c r="Q170" s="417"/>
      <c r="R170" s="899"/>
      <c r="S170" s="399"/>
      <c r="T170" s="399"/>
    </row>
    <row r="171" spans="1:21" s="81" customFormat="1" ht="15.75" customHeight="1">
      <c r="A171" s="902">
        <v>105</v>
      </c>
      <c r="B171" s="903" t="s">
        <v>256</v>
      </c>
      <c r="C171" s="439" t="s">
        <v>260</v>
      </c>
      <c r="D171" s="904">
        <f>май.19!D172+май.19!D173</f>
        <v>1500.59</v>
      </c>
      <c r="E171" s="23">
        <f>7.4594-7.6099</f>
        <v>-0.15050000000000008</v>
      </c>
      <c r="F171" s="905"/>
      <c r="G171" s="22">
        <f>ROUND(D171*E171,2)</f>
        <v>-225.84</v>
      </c>
      <c r="H171" s="1305"/>
      <c r="I171" s="1285"/>
      <c r="J171" s="1285"/>
      <c r="K171" s="1356"/>
      <c r="L171" s="19">
        <f>SUM(G171:G173)</f>
        <v>10773.27</v>
      </c>
      <c r="M171" s="26">
        <v>10773.27</v>
      </c>
      <c r="N171" s="421"/>
      <c r="O171" s="77"/>
      <c r="P171" s="77"/>
      <c r="Q171" s="384"/>
      <c r="R171" s="422"/>
      <c r="S171" s="399"/>
      <c r="T171" s="399"/>
    </row>
    <row r="172" spans="1:21" s="81" customFormat="1" ht="15.75" customHeight="1">
      <c r="A172" s="468"/>
      <c r="B172" s="469"/>
      <c r="C172" s="48" t="s">
        <v>263</v>
      </c>
      <c r="D172" s="471">
        <v>3.53</v>
      </c>
      <c r="E172" s="41">
        <v>7.4593999999999996</v>
      </c>
      <c r="F172" s="473"/>
      <c r="G172" s="449">
        <f>ROUND(D172*E172,2)</f>
        <v>26.33</v>
      </c>
      <c r="H172" s="1333"/>
      <c r="I172" s="1290"/>
      <c r="J172" s="1290"/>
      <c r="K172" s="1334"/>
      <c r="L172" s="1426"/>
      <c r="M172" s="90"/>
      <c r="N172" s="423"/>
      <c r="O172" s="406"/>
      <c r="P172" s="406"/>
      <c r="Q172" s="407"/>
      <c r="R172" s="422"/>
      <c r="S172" s="399"/>
      <c r="T172" s="399"/>
    </row>
    <row r="173" spans="1:21" s="81" customFormat="1" ht="15.75" customHeight="1" thickBot="1">
      <c r="A173" s="858"/>
      <c r="B173" s="859"/>
      <c r="C173" s="54" t="s">
        <v>29</v>
      </c>
      <c r="D173" s="860">
        <v>1471</v>
      </c>
      <c r="E173" s="56">
        <v>7.4593999999999996</v>
      </c>
      <c r="F173" s="861"/>
      <c r="G173" s="414">
        <f t="shared" ref="G173" si="34">ROUND(D173*E173,2)</f>
        <v>10972.78</v>
      </c>
      <c r="H173" s="1324"/>
      <c r="I173" s="1311"/>
      <c r="J173" s="1311"/>
      <c r="K173" s="1325"/>
      <c r="L173" s="1421"/>
      <c r="M173" s="371"/>
      <c r="N173" s="426"/>
      <c r="O173" s="416"/>
      <c r="P173" s="416"/>
      <c r="Q173" s="417"/>
      <c r="R173" s="422"/>
      <c r="S173" s="399"/>
      <c r="T173" s="399"/>
    </row>
    <row r="174" spans="1:21" s="81" customFormat="1" ht="15.75" hidden="1" customHeight="1">
      <c r="A174" s="902">
        <v>107</v>
      </c>
      <c r="B174" s="903" t="s">
        <v>239</v>
      </c>
      <c r="C174" s="439" t="s">
        <v>260</v>
      </c>
      <c r="D174" s="904"/>
      <c r="E174" s="23">
        <f>6.9835-7.2015</f>
        <v>-0.21799999999999997</v>
      </c>
      <c r="F174" s="905"/>
      <c r="G174" s="22">
        <f>ROUND(D174*E174,2)</f>
        <v>0</v>
      </c>
      <c r="H174" s="1305"/>
      <c r="I174" s="1285"/>
      <c r="J174" s="1285"/>
      <c r="K174" s="1356"/>
      <c r="L174" s="19">
        <f>SUM(G174:G176)</f>
        <v>0</v>
      </c>
      <c r="M174" s="26"/>
      <c r="N174" s="421"/>
      <c r="O174" s="77"/>
      <c r="P174" s="77"/>
      <c r="Q174" s="384"/>
      <c r="R174" s="422"/>
      <c r="S174" s="399"/>
      <c r="T174" s="399"/>
    </row>
    <row r="175" spans="1:21" s="81" customFormat="1" ht="15.75" hidden="1" customHeight="1">
      <c r="A175" s="468"/>
      <c r="B175" s="469"/>
      <c r="C175" s="48" t="s">
        <v>263</v>
      </c>
      <c r="D175" s="471"/>
      <c r="E175" s="41">
        <v>6.9835000000000003</v>
      </c>
      <c r="F175" s="473"/>
      <c r="G175" s="449">
        <f>ROUND(D175*E175,2)</f>
        <v>0</v>
      </c>
      <c r="H175" s="1333"/>
      <c r="I175" s="1290"/>
      <c r="J175" s="1290"/>
      <c r="K175" s="1334"/>
      <c r="L175" s="1426"/>
      <c r="M175" s="90"/>
      <c r="N175" s="423"/>
      <c r="O175" s="406"/>
      <c r="P175" s="406"/>
      <c r="Q175" s="407"/>
      <c r="R175" s="422"/>
      <c r="S175" s="399"/>
      <c r="T175" s="399"/>
    </row>
    <row r="176" spans="1:21" s="81" customFormat="1" ht="15.75" hidden="1" customHeight="1" thickBot="1">
      <c r="A176" s="858"/>
      <c r="B176" s="859"/>
      <c r="C176" s="54" t="s">
        <v>29</v>
      </c>
      <c r="D176" s="860"/>
      <c r="E176" s="56">
        <v>6.9835000000000003</v>
      </c>
      <c r="F176" s="861"/>
      <c r="G176" s="414">
        <f t="shared" ref="G176" si="35">ROUND(D176*E176,2)</f>
        <v>0</v>
      </c>
      <c r="H176" s="1324"/>
      <c r="I176" s="1311"/>
      <c r="J176" s="1311"/>
      <c r="K176" s="1325"/>
      <c r="L176" s="1421"/>
      <c r="M176" s="371"/>
      <c r="N176" s="426"/>
      <c r="O176" s="416"/>
      <c r="P176" s="416"/>
      <c r="Q176" s="417"/>
      <c r="R176" s="422"/>
      <c r="S176" s="399"/>
      <c r="T176" s="399"/>
    </row>
    <row r="177" spans="1:20" s="81" customFormat="1" ht="15.75" customHeight="1">
      <c r="A177" s="447">
        <v>107</v>
      </c>
      <c r="B177" s="438" t="s">
        <v>325</v>
      </c>
      <c r="C177" s="439" t="s">
        <v>260</v>
      </c>
      <c r="D177" s="900">
        <f>май.19!D178+май.19!D179</f>
        <v>521.25</v>
      </c>
      <c r="E177" s="23">
        <f>7.4594-7.6099</f>
        <v>-0.15050000000000008</v>
      </c>
      <c r="F177" s="23"/>
      <c r="G177" s="22">
        <f>ROUND(D177*E177,2)</f>
        <v>-78.45</v>
      </c>
      <c r="H177" s="1305"/>
      <c r="I177" s="1285"/>
      <c r="J177" s="1285"/>
      <c r="K177" s="1356"/>
      <c r="L177" s="19">
        <f>SUM(G177:G179)</f>
        <v>5357.5099999999993</v>
      </c>
      <c r="M177" s="26">
        <v>5357.51</v>
      </c>
      <c r="N177" s="421"/>
      <c r="O177" s="77"/>
      <c r="P177" s="77"/>
      <c r="Q177" s="384"/>
      <c r="R177" s="422"/>
      <c r="S177" s="399"/>
      <c r="T177" s="399"/>
    </row>
    <row r="178" spans="1:20" s="81" customFormat="1" ht="15.75" customHeight="1">
      <c r="A178" s="450"/>
      <c r="B178" s="442"/>
      <c r="C178" s="48" t="s">
        <v>263</v>
      </c>
      <c r="D178" s="448">
        <v>1.74</v>
      </c>
      <c r="E178" s="41">
        <v>7.4593999999999996</v>
      </c>
      <c r="F178" s="261"/>
      <c r="G178" s="449">
        <f t="shared" ref="G178:G179" si="36">ROUND(D178*E178,2)</f>
        <v>12.98</v>
      </c>
      <c r="H178" s="1333"/>
      <c r="I178" s="1290"/>
      <c r="J178" s="1290"/>
      <c r="K178" s="1334"/>
      <c r="L178" s="1426"/>
      <c r="M178" s="90"/>
      <c r="N178" s="423"/>
      <c r="O178" s="406"/>
      <c r="P178" s="406"/>
      <c r="Q178" s="407"/>
      <c r="R178" s="422"/>
      <c r="S178" s="399"/>
      <c r="T178" s="399"/>
    </row>
    <row r="179" spans="1:20" s="81" customFormat="1" ht="15.75" customHeight="1" thickBot="1">
      <c r="A179" s="451"/>
      <c r="B179" s="446"/>
      <c r="C179" s="54" t="s">
        <v>29</v>
      </c>
      <c r="D179" s="901">
        <v>727</v>
      </c>
      <c r="E179" s="56">
        <v>7.4593999999999996</v>
      </c>
      <c r="F179" s="281"/>
      <c r="G179" s="414">
        <f t="shared" si="36"/>
        <v>5422.98</v>
      </c>
      <c r="H179" s="1324"/>
      <c r="I179" s="1311"/>
      <c r="J179" s="1311"/>
      <c r="K179" s="1325"/>
      <c r="L179" s="1421"/>
      <c r="M179" s="371"/>
      <c r="N179" s="426"/>
      <c r="O179" s="416"/>
      <c r="P179" s="416"/>
      <c r="Q179" s="417"/>
      <c r="R179" s="422"/>
      <c r="S179" s="399"/>
      <c r="T179" s="399"/>
    </row>
    <row r="180" spans="1:20" s="81" customFormat="1" ht="15.75" customHeight="1">
      <c r="A180" s="902">
        <v>108</v>
      </c>
      <c r="B180" s="903" t="s">
        <v>168</v>
      </c>
      <c r="C180" s="439" t="s">
        <v>260</v>
      </c>
      <c r="D180" s="904">
        <f>май.19!D181+май.19!D182</f>
        <v>278.67</v>
      </c>
      <c r="E180" s="23">
        <f>7.4594-7.6099</f>
        <v>-0.15050000000000008</v>
      </c>
      <c r="F180" s="905"/>
      <c r="G180" s="22">
        <f>ROUND(D180*E180,2)</f>
        <v>-41.94</v>
      </c>
      <c r="H180" s="1305"/>
      <c r="I180" s="1285"/>
      <c r="J180" s="1285"/>
      <c r="K180" s="1356"/>
      <c r="L180" s="19">
        <f>SUM(G180:G182)</f>
        <v>1700.28</v>
      </c>
      <c r="M180" s="26">
        <v>1700.28</v>
      </c>
      <c r="N180" s="421"/>
      <c r="O180" s="77"/>
      <c r="P180" s="77"/>
      <c r="Q180" s="384"/>
      <c r="R180" s="422"/>
      <c r="S180" s="399"/>
      <c r="T180" s="399"/>
    </row>
    <row r="181" spans="1:20" s="81" customFormat="1" ht="15.75" customHeight="1">
      <c r="A181" s="468"/>
      <c r="B181" s="469"/>
      <c r="C181" s="48" t="s">
        <v>263</v>
      </c>
      <c r="D181" s="471">
        <v>0.56000000000000005</v>
      </c>
      <c r="E181" s="41">
        <v>7.4593999999999996</v>
      </c>
      <c r="F181" s="473"/>
      <c r="G181" s="449">
        <f>ROUND(D181*E181,2)</f>
        <v>4.18</v>
      </c>
      <c r="H181" s="1333"/>
      <c r="I181" s="1290"/>
      <c r="J181" s="1290"/>
      <c r="K181" s="1334"/>
      <c r="L181" s="1426"/>
      <c r="M181" s="90"/>
      <c r="N181" s="423"/>
      <c r="O181" s="406"/>
      <c r="P181" s="406"/>
      <c r="Q181" s="407"/>
      <c r="R181" s="422"/>
      <c r="S181" s="399"/>
      <c r="T181" s="399"/>
    </row>
    <row r="182" spans="1:20" s="81" customFormat="1" ht="15.75" customHeight="1" thickBot="1">
      <c r="A182" s="858"/>
      <c r="B182" s="859"/>
      <c r="C182" s="520" t="s">
        <v>29</v>
      </c>
      <c r="D182" s="471">
        <v>233</v>
      </c>
      <c r="E182" s="876">
        <v>7.4593999999999996</v>
      </c>
      <c r="F182" s="473"/>
      <c r="G182" s="453">
        <f t="shared" ref="G182" si="37">ROUND(D182*E182,2)</f>
        <v>1738.04</v>
      </c>
      <c r="H182" s="1357"/>
      <c r="I182" s="1291"/>
      <c r="J182" s="1291"/>
      <c r="K182" s="1358"/>
      <c r="L182" s="1429"/>
      <c r="M182" s="371"/>
      <c r="N182" s="426"/>
      <c r="O182" s="416"/>
      <c r="P182" s="416"/>
      <c r="Q182" s="417"/>
      <c r="R182" s="422"/>
      <c r="S182" s="399"/>
      <c r="T182" s="399"/>
    </row>
    <row r="183" spans="1:20" s="81" customFormat="1" ht="15.75" customHeight="1">
      <c r="A183" s="376">
        <v>109</v>
      </c>
      <c r="B183" s="924" t="s">
        <v>175</v>
      </c>
      <c r="C183" s="439" t="s">
        <v>260</v>
      </c>
      <c r="D183" s="378">
        <f>май.19!D184+май.19!D185</f>
        <v>751.8</v>
      </c>
      <c r="E183" s="23">
        <f>7.4594-7.6099</f>
        <v>-0.15050000000000008</v>
      </c>
      <c r="F183" s="23"/>
      <c r="G183" s="22">
        <f>ROUND(D183*E183,2)+0.01</f>
        <v>-113.14</v>
      </c>
      <c r="H183" s="1305"/>
      <c r="I183" s="1285"/>
      <c r="J183" s="1285"/>
      <c r="K183" s="1359"/>
      <c r="L183" s="19">
        <f>SUM(G183:G187)+SUM(J183:J187)</f>
        <v>5793.8</v>
      </c>
      <c r="M183" s="877">
        <v>5793.8</v>
      </c>
      <c r="N183" s="443"/>
      <c r="O183" s="94"/>
      <c r="P183" s="94"/>
      <c r="Q183" s="396"/>
      <c r="R183" s="422"/>
      <c r="S183" s="399"/>
      <c r="T183" s="399"/>
    </row>
    <row r="184" spans="1:20" s="81" customFormat="1" ht="15.75" customHeight="1">
      <c r="A184" s="389"/>
      <c r="B184" s="920"/>
      <c r="C184" s="48" t="s">
        <v>263</v>
      </c>
      <c r="D184" s="37">
        <v>1.87</v>
      </c>
      <c r="E184" s="41">
        <v>7.4593999999999996</v>
      </c>
      <c r="F184" s="41"/>
      <c r="G184" s="39">
        <f>ROUND(D184*E184,2)</f>
        <v>13.95</v>
      </c>
      <c r="H184" s="1289"/>
      <c r="I184" s="1287"/>
      <c r="J184" s="1287"/>
      <c r="K184" s="1360"/>
      <c r="L184" s="1420"/>
      <c r="M184" s="990"/>
      <c r="N184" s="423"/>
      <c r="O184" s="406"/>
      <c r="P184" s="406"/>
      <c r="Q184" s="407"/>
      <c r="R184" s="422"/>
      <c r="S184" s="399"/>
      <c r="T184" s="399"/>
    </row>
    <row r="185" spans="1:20" s="81" customFormat="1" ht="15.75" customHeight="1">
      <c r="A185" s="389"/>
      <c r="B185" s="920"/>
      <c r="C185" s="99" t="s">
        <v>29</v>
      </c>
      <c r="D185" s="37">
        <v>778</v>
      </c>
      <c r="E185" s="101">
        <v>7.4593999999999996</v>
      </c>
      <c r="F185" s="41"/>
      <c r="G185" s="39">
        <f t="shared" ref="G185" si="38">ROUND(D185*E185,2)</f>
        <v>5803.41</v>
      </c>
      <c r="H185" s="1289"/>
      <c r="I185" s="1287"/>
      <c r="J185" s="1287"/>
      <c r="K185" s="1360"/>
      <c r="L185" s="1420"/>
      <c r="M185" s="990"/>
      <c r="N185" s="423"/>
      <c r="O185" s="406"/>
      <c r="P185" s="406"/>
      <c r="Q185" s="407"/>
      <c r="R185" s="422"/>
      <c r="S185" s="399"/>
      <c r="T185" s="399"/>
    </row>
    <row r="186" spans="1:20" s="81" customFormat="1" ht="15.75" customHeight="1" thickBot="1">
      <c r="A186" s="389"/>
      <c r="B186" s="920"/>
      <c r="C186" s="99" t="s">
        <v>73</v>
      </c>
      <c r="D186" s="37">
        <v>1</v>
      </c>
      <c r="E186" s="101">
        <v>41.244</v>
      </c>
      <c r="F186" s="41">
        <v>48.335999999999999</v>
      </c>
      <c r="G186" s="39">
        <f>+D186*(E186+F186)</f>
        <v>89.58</v>
      </c>
      <c r="H186" s="1289"/>
      <c r="I186" s="1287"/>
      <c r="J186" s="1287"/>
      <c r="K186" s="1360"/>
      <c r="L186" s="1420"/>
      <c r="M186" s="880"/>
      <c r="N186" s="426"/>
      <c r="O186" s="416"/>
      <c r="P186" s="416"/>
      <c r="Q186" s="417"/>
      <c r="R186" s="422"/>
      <c r="S186" s="399"/>
      <c r="T186" s="399"/>
    </row>
    <row r="187" spans="1:20" s="81" customFormat="1" ht="15.75" customHeight="1" thickBot="1">
      <c r="A187" s="411"/>
      <c r="B187" s="921"/>
      <c r="C187" s="54" t="s">
        <v>264</v>
      </c>
      <c r="D187" s="413"/>
      <c r="E187" s="56"/>
      <c r="F187" s="281"/>
      <c r="G187" s="414">
        <f>+D187*(E187+F187)</f>
        <v>0</v>
      </c>
      <c r="H187" s="1324"/>
      <c r="I187" s="1311"/>
      <c r="J187" s="1311"/>
      <c r="K187" s="1361"/>
      <c r="L187" s="1421"/>
      <c r="M187" s="880"/>
      <c r="N187" s="426"/>
      <c r="O187" s="416"/>
      <c r="P187" s="416"/>
      <c r="Q187" s="417"/>
      <c r="R187" s="422"/>
      <c r="S187" s="399"/>
      <c r="T187" s="399"/>
    </row>
    <row r="188" spans="1:20" s="81" customFormat="1" ht="15.75" customHeight="1">
      <c r="A188" s="376">
        <v>117</v>
      </c>
      <c r="B188" s="420" t="s">
        <v>72</v>
      </c>
      <c r="C188" s="390" t="s">
        <v>73</v>
      </c>
      <c r="D188" s="869">
        <v>164</v>
      </c>
      <c r="E188" s="86">
        <v>41.244</v>
      </c>
      <c r="F188" s="86">
        <v>48.335999999999999</v>
      </c>
      <c r="G188" s="449">
        <f>+D188*(E188+F188)</f>
        <v>14691.119999999999</v>
      </c>
      <c r="H188" s="1333"/>
      <c r="I188" s="1354"/>
      <c r="J188" s="1354"/>
      <c r="K188" s="1322"/>
      <c r="L188" s="1426">
        <f>SUM(G188:G192,J188:J192)</f>
        <v>254492.04</v>
      </c>
      <c r="M188" s="26">
        <v>254492.04</v>
      </c>
      <c r="N188" s="421"/>
      <c r="O188" s="77"/>
      <c r="P188" s="77"/>
      <c r="Q188" s="384"/>
      <c r="R188" s="422"/>
      <c r="S188" s="399"/>
      <c r="T188" s="399"/>
    </row>
    <row r="189" spans="1:20" s="81" customFormat="1" ht="15.75" customHeight="1">
      <c r="A189" s="389"/>
      <c r="B189" s="83"/>
      <c r="C189" s="84" t="s">
        <v>26</v>
      </c>
      <c r="D189" s="37"/>
      <c r="E189" s="38"/>
      <c r="F189" s="38"/>
      <c r="G189" s="39">
        <f>ROUND(D189*(E189+F189),2)</f>
        <v>0</v>
      </c>
      <c r="H189" s="1289"/>
      <c r="I189" s="1354"/>
      <c r="J189" s="1278"/>
      <c r="K189" s="1355"/>
      <c r="L189" s="1420"/>
      <c r="M189" s="102"/>
      <c r="N189" s="423"/>
      <c r="O189" s="406"/>
      <c r="P189" s="406"/>
      <c r="Q189" s="407"/>
      <c r="R189" s="422"/>
      <c r="S189" s="399"/>
      <c r="T189" s="399"/>
    </row>
    <row r="190" spans="1:20" s="81" customFormat="1" ht="15.75" customHeight="1">
      <c r="A190" s="389"/>
      <c r="B190" s="83"/>
      <c r="C190" s="48" t="s">
        <v>260</v>
      </c>
      <c r="D190" s="37">
        <f>май.19!D191+май.19!D192</f>
        <v>31274.880000000001</v>
      </c>
      <c r="E190" s="41">
        <f>7.4594-7.6099</f>
        <v>-0.15050000000000008</v>
      </c>
      <c r="F190" s="38"/>
      <c r="G190" s="39">
        <f>ROUND(D190*(E190),2)</f>
        <v>-4706.87</v>
      </c>
      <c r="H190" s="1289"/>
      <c r="I190" s="1287"/>
      <c r="J190" s="1287"/>
      <c r="K190" s="1323"/>
      <c r="L190" s="1420"/>
      <c r="M190" s="102"/>
      <c r="N190" s="423"/>
      <c r="O190" s="406"/>
      <c r="P190" s="406"/>
      <c r="Q190" s="407"/>
      <c r="R190" s="422"/>
      <c r="S190" s="399"/>
      <c r="T190" s="399"/>
    </row>
    <row r="191" spans="1:20" s="81" customFormat="1" ht="15.75" customHeight="1">
      <c r="A191" s="389"/>
      <c r="B191" s="83"/>
      <c r="C191" s="48" t="s">
        <v>263</v>
      </c>
      <c r="D191" s="37">
        <v>78.48</v>
      </c>
      <c r="E191" s="41">
        <v>7.4593999999999996</v>
      </c>
      <c r="F191" s="38"/>
      <c r="G191" s="39">
        <f>ROUND(D191*(E191),2)</f>
        <v>585.41</v>
      </c>
      <c r="H191" s="1289"/>
      <c r="I191" s="1287"/>
      <c r="J191" s="1287"/>
      <c r="K191" s="1323"/>
      <c r="L191" s="1420"/>
      <c r="M191" s="102"/>
      <c r="N191" s="423"/>
      <c r="O191" s="406"/>
      <c r="P191" s="406"/>
      <c r="Q191" s="425"/>
      <c r="R191" s="422"/>
      <c r="S191" s="399"/>
      <c r="T191" s="399"/>
    </row>
    <row r="192" spans="1:20" s="81" customFormat="1" ht="15.75" customHeight="1" thickBot="1">
      <c r="A192" s="411"/>
      <c r="B192" s="412"/>
      <c r="C192" s="99" t="s">
        <v>29</v>
      </c>
      <c r="D192" s="413">
        <v>32700</v>
      </c>
      <c r="E192" s="56">
        <v>7.4593999999999996</v>
      </c>
      <c r="F192" s="281"/>
      <c r="G192" s="414">
        <f>ROUND(D192*(E192),2)</f>
        <v>243922.38</v>
      </c>
      <c r="H192" s="1324"/>
      <c r="I192" s="1311"/>
      <c r="J192" s="1311"/>
      <c r="K192" s="1325"/>
      <c r="L192" s="1421"/>
      <c r="M192" s="371"/>
      <c r="N192" s="426"/>
      <c r="O192" s="416"/>
      <c r="P192" s="416"/>
      <c r="Q192" s="417"/>
      <c r="R192" s="422"/>
      <c r="S192" s="399"/>
      <c r="T192" s="399"/>
    </row>
    <row r="193" spans="1:20" s="81" customFormat="1" ht="15.75" customHeight="1">
      <c r="A193" s="376">
        <v>118</v>
      </c>
      <c r="B193" s="924" t="s">
        <v>321</v>
      </c>
      <c r="C193" s="377" t="s">
        <v>73</v>
      </c>
      <c r="D193" s="378">
        <v>63</v>
      </c>
      <c r="E193" s="21">
        <v>41.244</v>
      </c>
      <c r="F193" s="21">
        <v>48.335999999999999</v>
      </c>
      <c r="G193" s="22">
        <f>+D193*(E193+F193)</f>
        <v>5643.54</v>
      </c>
      <c r="H193" s="1305"/>
      <c r="I193" s="1275"/>
      <c r="J193" s="1287"/>
      <c r="K193" s="1352"/>
      <c r="L193" s="19">
        <f>SUM(G193:G197,J193:J197)</f>
        <v>50658.32</v>
      </c>
      <c r="M193" s="26">
        <v>50658.32</v>
      </c>
      <c r="N193" s="421"/>
      <c r="O193" s="77"/>
      <c r="P193" s="77"/>
      <c r="Q193" s="384"/>
      <c r="R193" s="422"/>
      <c r="S193" s="399"/>
      <c r="T193" s="399"/>
    </row>
    <row r="194" spans="1:20" s="81" customFormat="1" ht="15.75" customHeight="1">
      <c r="A194" s="389"/>
      <c r="B194" s="920"/>
      <c r="C194" s="36" t="s">
        <v>26</v>
      </c>
      <c r="D194" s="37"/>
      <c r="E194" s="38"/>
      <c r="F194" s="38"/>
      <c r="G194" s="39">
        <f>ROUND(D194*(E194+F194),2)</f>
        <v>0</v>
      </c>
      <c r="H194" s="1353"/>
      <c r="I194" s="1354"/>
      <c r="J194" s="1287"/>
      <c r="K194" s="1355"/>
      <c r="L194" s="1428"/>
      <c r="M194" s="44"/>
      <c r="N194" s="430"/>
      <c r="O194" s="406"/>
      <c r="P194" s="406"/>
      <c r="Q194" s="407"/>
      <c r="R194" s="422"/>
      <c r="S194" s="399"/>
      <c r="T194" s="399"/>
    </row>
    <row r="195" spans="1:20" s="81" customFormat="1" ht="15.75" customHeight="1">
      <c r="A195" s="389"/>
      <c r="B195" s="920"/>
      <c r="C195" s="48" t="s">
        <v>260</v>
      </c>
      <c r="D195" s="37">
        <f>май.19!D196+май.19!D197</f>
        <v>6350.2</v>
      </c>
      <c r="E195" s="41">
        <f>7.4594-7.6099</f>
        <v>-0.15050000000000008</v>
      </c>
      <c r="F195" s="38"/>
      <c r="G195" s="39">
        <f>ROUND(D195*(E195),2)</f>
        <v>-955.71</v>
      </c>
      <c r="H195" s="1289"/>
      <c r="I195" s="1287"/>
      <c r="J195" s="1287"/>
      <c r="K195" s="1323"/>
      <c r="L195" s="1420"/>
      <c r="M195" s="102"/>
      <c r="N195" s="430"/>
      <c r="O195" s="406"/>
      <c r="P195" s="406"/>
      <c r="Q195" s="407"/>
      <c r="R195" s="422"/>
      <c r="S195" s="399"/>
      <c r="T195" s="399"/>
    </row>
    <row r="196" spans="1:20" s="81" customFormat="1" ht="15.75" customHeight="1">
      <c r="A196" s="389"/>
      <c r="B196" s="920"/>
      <c r="C196" s="48" t="s">
        <v>263</v>
      </c>
      <c r="D196" s="37">
        <v>14.76</v>
      </c>
      <c r="E196" s="41">
        <v>7.4593999999999996</v>
      </c>
      <c r="F196" s="38"/>
      <c r="G196" s="39">
        <f>ROUND(D196*(E196),2)</f>
        <v>110.1</v>
      </c>
      <c r="H196" s="1289"/>
      <c r="I196" s="1287"/>
      <c r="J196" s="1287"/>
      <c r="K196" s="1323"/>
      <c r="L196" s="1420"/>
      <c r="M196" s="102"/>
      <c r="N196" s="434"/>
      <c r="O196" s="435"/>
      <c r="P196" s="435"/>
      <c r="Q196" s="425"/>
      <c r="R196" s="422"/>
      <c r="S196" s="399"/>
      <c r="T196" s="399"/>
    </row>
    <row r="197" spans="1:20" s="81" customFormat="1" ht="15.75" customHeight="1" thickBot="1">
      <c r="A197" s="411"/>
      <c r="B197" s="921"/>
      <c r="C197" s="54" t="s">
        <v>29</v>
      </c>
      <c r="D197" s="413">
        <v>6148</v>
      </c>
      <c r="E197" s="56">
        <v>7.4593999999999996</v>
      </c>
      <c r="F197" s="281"/>
      <c r="G197" s="414">
        <f>ROUND(D197*(E197),2)</f>
        <v>45860.39</v>
      </c>
      <c r="H197" s="1357"/>
      <c r="I197" s="1291"/>
      <c r="J197" s="1291"/>
      <c r="K197" s="1358"/>
      <c r="L197" s="1429"/>
      <c r="M197" s="63"/>
      <c r="N197" s="434"/>
      <c r="O197" s="435"/>
      <c r="P197" s="435"/>
      <c r="Q197" s="425"/>
      <c r="R197" s="422"/>
      <c r="S197" s="399"/>
      <c r="T197" s="399"/>
    </row>
    <row r="198" spans="1:20" s="81" customFormat="1" ht="15.75" customHeight="1">
      <c r="A198" s="468">
        <v>121</v>
      </c>
      <c r="B198" s="699" t="s">
        <v>154</v>
      </c>
      <c r="C198" s="700" t="s">
        <v>260</v>
      </c>
      <c r="D198" s="471">
        <f>май.19!D199+май.19!D200</f>
        <v>296.70999999999998</v>
      </c>
      <c r="E198" s="261">
        <f>7.4594-7.6099</f>
        <v>-0.15050000000000008</v>
      </c>
      <c r="F198" s="473"/>
      <c r="G198" s="449">
        <f>ROUND(D198*E198,2)</f>
        <v>-44.65</v>
      </c>
      <c r="H198" s="1305"/>
      <c r="I198" s="1285"/>
      <c r="J198" s="1285"/>
      <c r="K198" s="1356"/>
      <c r="L198" s="19">
        <f>SUM(G198:G200)</f>
        <v>2146.17</v>
      </c>
      <c r="M198" s="26">
        <v>2146.17</v>
      </c>
      <c r="N198" s="421"/>
      <c r="O198" s="77"/>
      <c r="P198" s="77"/>
      <c r="Q198" s="384"/>
      <c r="R198" s="422"/>
      <c r="S198" s="399"/>
      <c r="T198" s="399"/>
    </row>
    <row r="199" spans="1:20" s="81" customFormat="1" ht="15.75" customHeight="1">
      <c r="A199" s="468"/>
      <c r="B199" s="469"/>
      <c r="C199" s="48" t="s">
        <v>263</v>
      </c>
      <c r="D199" s="471">
        <v>0.7</v>
      </c>
      <c r="E199" s="41">
        <v>7.4593999999999996</v>
      </c>
      <c r="F199" s="473"/>
      <c r="G199" s="449">
        <f>ROUND(D199*E199,2)</f>
        <v>5.22</v>
      </c>
      <c r="H199" s="1333"/>
      <c r="I199" s="1290"/>
      <c r="J199" s="1290"/>
      <c r="K199" s="1334"/>
      <c r="L199" s="1426"/>
      <c r="M199" s="90"/>
      <c r="N199" s="423"/>
      <c r="O199" s="406"/>
      <c r="P199" s="406"/>
      <c r="Q199" s="407"/>
      <c r="R199" s="422"/>
      <c r="S199" s="399"/>
      <c r="T199" s="399"/>
    </row>
    <row r="200" spans="1:20" s="81" customFormat="1" ht="15.75" customHeight="1" thickBot="1">
      <c r="A200" s="858"/>
      <c r="B200" s="859"/>
      <c r="C200" s="54" t="s">
        <v>29</v>
      </c>
      <c r="D200" s="860">
        <v>293</v>
      </c>
      <c r="E200" s="56">
        <v>7.4593999999999996</v>
      </c>
      <c r="F200" s="861"/>
      <c r="G200" s="414">
        <f t="shared" ref="G200" si="39">ROUND(D200*E200,2)</f>
        <v>2185.6</v>
      </c>
      <c r="H200" s="1324"/>
      <c r="I200" s="1311"/>
      <c r="J200" s="1311"/>
      <c r="K200" s="1325"/>
      <c r="L200" s="1421"/>
      <c r="M200" s="371"/>
      <c r="N200" s="426"/>
      <c r="O200" s="416"/>
      <c r="P200" s="416"/>
      <c r="Q200" s="417"/>
      <c r="R200" s="422"/>
      <c r="S200" s="399"/>
      <c r="T200" s="399"/>
    </row>
    <row r="201" spans="1:20" s="81" customFormat="1" ht="15.75" customHeight="1">
      <c r="A201" s="376">
        <v>202</v>
      </c>
      <c r="B201" s="420" t="s">
        <v>74</v>
      </c>
      <c r="C201" s="377" t="s">
        <v>73</v>
      </c>
      <c r="D201" s="378">
        <v>13</v>
      </c>
      <c r="E201" s="21">
        <v>41.244</v>
      </c>
      <c r="F201" s="21">
        <v>48.335999999999999</v>
      </c>
      <c r="G201" s="22">
        <f>ROUND(D201*(E201+F201),2)</f>
        <v>1164.54</v>
      </c>
      <c r="H201" s="1305"/>
      <c r="I201" s="1275"/>
      <c r="J201" s="1275"/>
      <c r="K201" s="1352"/>
      <c r="L201" s="19">
        <f>SUM(G201:G207,J201:J207)</f>
        <v>20347.28</v>
      </c>
      <c r="M201" s="26">
        <v>20347.28</v>
      </c>
      <c r="N201" s="421"/>
      <c r="O201" s="77"/>
      <c r="P201" s="77"/>
      <c r="Q201" s="384"/>
      <c r="R201" s="422"/>
      <c r="S201" s="399"/>
      <c r="T201" s="399"/>
    </row>
    <row r="202" spans="1:20" s="81" customFormat="1" ht="15.75" customHeight="1">
      <c r="A202" s="389"/>
      <c r="B202" s="98"/>
      <c r="C202" s="84" t="s">
        <v>26</v>
      </c>
      <c r="D202" s="37"/>
      <c r="E202" s="38"/>
      <c r="F202" s="38"/>
      <c r="G202" s="39">
        <f>ROUND(D202*(E202+F202),2)</f>
        <v>0</v>
      </c>
      <c r="H202" s="1289"/>
      <c r="I202" s="1354"/>
      <c r="J202" s="1278"/>
      <c r="K202" s="1355"/>
      <c r="L202" s="1420"/>
      <c r="M202" s="102"/>
      <c r="N202" s="423"/>
      <c r="O202" s="406"/>
      <c r="P202" s="406"/>
      <c r="Q202" s="407"/>
      <c r="R202" s="422"/>
      <c r="S202" s="399"/>
      <c r="T202" s="399"/>
    </row>
    <row r="203" spans="1:20" s="81" customFormat="1" ht="15.75" customHeight="1">
      <c r="A203" s="389"/>
      <c r="B203" s="98" t="s">
        <v>32</v>
      </c>
      <c r="C203" s="99" t="s">
        <v>33</v>
      </c>
      <c r="D203" s="428">
        <v>4</v>
      </c>
      <c r="E203" s="101">
        <v>276.93</v>
      </c>
      <c r="F203" s="38">
        <f>F201</f>
        <v>48.335999999999999</v>
      </c>
      <c r="G203" s="39">
        <f>ROUND(D203*(E203+F203),2)</f>
        <v>1301.06</v>
      </c>
      <c r="H203" s="1289"/>
      <c r="I203" s="1287"/>
      <c r="J203" s="1287"/>
      <c r="K203" s="1323"/>
      <c r="L203" s="1420"/>
      <c r="M203" s="102"/>
      <c r="N203" s="423"/>
      <c r="O203" s="406"/>
      <c r="P203" s="406"/>
      <c r="Q203" s="407"/>
      <c r="R203" s="422"/>
      <c r="S203" s="399"/>
      <c r="T203" s="399"/>
    </row>
    <row r="204" spans="1:20" s="81" customFormat="1" ht="15.75" customHeight="1">
      <c r="A204" s="389"/>
      <c r="B204" s="83"/>
      <c r="C204" s="48" t="s">
        <v>76</v>
      </c>
      <c r="D204" s="37">
        <f>май.19!D203</f>
        <v>6</v>
      </c>
      <c r="E204" s="41"/>
      <c r="F204" s="38">
        <f>F202</f>
        <v>0</v>
      </c>
      <c r="G204" s="39">
        <f>ROUND(D204*(E204+F204),2)</f>
        <v>0</v>
      </c>
      <c r="H204" s="1289"/>
      <c r="I204" s="1287"/>
      <c r="J204" s="1287"/>
      <c r="K204" s="1323"/>
      <c r="L204" s="1420"/>
      <c r="M204" s="102"/>
      <c r="N204" s="423"/>
      <c r="O204" s="406"/>
      <c r="P204" s="406"/>
      <c r="Q204" s="407"/>
      <c r="R204" s="422"/>
      <c r="S204" s="399"/>
      <c r="T204" s="399"/>
    </row>
    <row r="205" spans="1:20" s="81" customFormat="1" ht="15.75" customHeight="1">
      <c r="A205" s="389"/>
      <c r="B205" s="83"/>
      <c r="C205" s="48" t="s">
        <v>260</v>
      </c>
      <c r="D205" s="37">
        <f>май.19!D206+май.19!D207</f>
        <v>2411.77</v>
      </c>
      <c r="E205" s="41">
        <f>7.4594-7.6099</f>
        <v>-0.15050000000000008</v>
      </c>
      <c r="F205" s="38"/>
      <c r="G205" s="39">
        <f>ROUND(D205*(E205+F205),2)</f>
        <v>-362.97</v>
      </c>
      <c r="H205" s="1289"/>
      <c r="I205" s="1287"/>
      <c r="J205" s="1287"/>
      <c r="K205" s="1323"/>
      <c r="L205" s="1420"/>
      <c r="M205" s="102"/>
      <c r="N205" s="423"/>
      <c r="O205" s="406"/>
      <c r="P205" s="406"/>
      <c r="Q205" s="407"/>
      <c r="R205" s="422"/>
      <c r="S205" s="399"/>
      <c r="T205" s="399"/>
    </row>
    <row r="206" spans="1:20" s="81" customFormat="1" ht="15.75" customHeight="1">
      <c r="A206" s="389"/>
      <c r="B206" s="83"/>
      <c r="C206" s="48" t="s">
        <v>263</v>
      </c>
      <c r="D206" s="37">
        <v>5.86</v>
      </c>
      <c r="E206" s="41">
        <v>7.4593999999999996</v>
      </c>
      <c r="F206" s="38"/>
      <c r="G206" s="39">
        <f>ROUND(D206*E206,2)</f>
        <v>43.71</v>
      </c>
      <c r="H206" s="1289"/>
      <c r="I206" s="1287"/>
      <c r="J206" s="1287"/>
      <c r="K206" s="1323"/>
      <c r="L206" s="1420"/>
      <c r="M206" s="102"/>
      <c r="N206" s="423"/>
      <c r="O206" s="406"/>
      <c r="P206" s="406"/>
      <c r="Q206" s="425"/>
      <c r="R206" s="422"/>
      <c r="S206" s="399"/>
      <c r="T206" s="399"/>
    </row>
    <row r="207" spans="1:20" s="81" customFormat="1" ht="15" customHeight="1" thickBot="1">
      <c r="A207" s="411"/>
      <c r="B207" s="412"/>
      <c r="C207" s="99" t="s">
        <v>29</v>
      </c>
      <c r="D207" s="413">
        <v>2440</v>
      </c>
      <c r="E207" s="56">
        <v>7.4593999999999996</v>
      </c>
      <c r="F207" s="281"/>
      <c r="G207" s="414">
        <f>ROUND(D207*(E207+F207),2)</f>
        <v>18200.939999999999</v>
      </c>
      <c r="H207" s="1324"/>
      <c r="I207" s="1311"/>
      <c r="J207" s="1311"/>
      <c r="K207" s="1325"/>
      <c r="L207" s="1421"/>
      <c r="M207" s="371"/>
      <c r="N207" s="426"/>
      <c r="O207" s="416"/>
      <c r="P207" s="416"/>
      <c r="Q207" s="417"/>
      <c r="R207" s="422"/>
      <c r="S207" s="399"/>
      <c r="T207" s="399"/>
    </row>
    <row r="208" spans="1:20" s="81" customFormat="1" ht="15.75" hidden="1" customHeight="1">
      <c r="A208" s="902">
        <v>203</v>
      </c>
      <c r="B208" s="903" t="s">
        <v>230</v>
      </c>
      <c r="C208" s="439" t="s">
        <v>260</v>
      </c>
      <c r="D208" s="904"/>
      <c r="E208" s="23">
        <f>7.3771-7.5269</f>
        <v>-0.14979999999999993</v>
      </c>
      <c r="F208" s="905"/>
      <c r="G208" s="22">
        <f>ROUND(D208*E208,2)</f>
        <v>0</v>
      </c>
      <c r="H208" s="1305"/>
      <c r="I208" s="1285"/>
      <c r="J208" s="1285"/>
      <c r="K208" s="1356"/>
      <c r="L208" s="19">
        <f>SUM(G208:G210)</f>
        <v>0</v>
      </c>
      <c r="M208" s="26"/>
      <c r="N208" s="421"/>
      <c r="O208" s="1013" t="s">
        <v>319</v>
      </c>
      <c r="P208" s="77"/>
      <c r="Q208" s="384"/>
      <c r="R208" s="422"/>
      <c r="S208" s="399"/>
      <c r="T208" s="399"/>
    </row>
    <row r="209" spans="1:20" s="81" customFormat="1" ht="15.75" hidden="1" customHeight="1">
      <c r="A209" s="468"/>
      <c r="B209" s="469" t="s">
        <v>291</v>
      </c>
      <c r="C209" s="48" t="s">
        <v>263</v>
      </c>
      <c r="D209" s="471"/>
      <c r="E209" s="41">
        <v>7.3771000000000004</v>
      </c>
      <c r="F209" s="473"/>
      <c r="G209" s="449">
        <f>ROUND(D209*E209,2)</f>
        <v>0</v>
      </c>
      <c r="H209" s="1333"/>
      <c r="I209" s="1290"/>
      <c r="J209" s="1290"/>
      <c r="K209" s="1334"/>
      <c r="L209" s="1426"/>
      <c r="M209" s="90"/>
      <c r="N209" s="423"/>
      <c r="O209" s="406"/>
      <c r="P209" s="406"/>
      <c r="Q209" s="407"/>
      <c r="R209" s="422"/>
      <c r="S209" s="399"/>
      <c r="T209" s="399"/>
    </row>
    <row r="210" spans="1:20" s="81" customFormat="1" ht="15.75" hidden="1" customHeight="1" thickBot="1">
      <c r="A210" s="858"/>
      <c r="B210" s="859"/>
      <c r="C210" s="54" t="s">
        <v>29</v>
      </c>
      <c r="D210" s="860"/>
      <c r="E210" s="56">
        <v>7.3771000000000004</v>
      </c>
      <c r="F210" s="861"/>
      <c r="G210" s="414">
        <f t="shared" ref="G210" si="40">ROUND(D210*E210,2)</f>
        <v>0</v>
      </c>
      <c r="H210" s="1324"/>
      <c r="I210" s="1311"/>
      <c r="J210" s="1291"/>
      <c r="K210" s="1358"/>
      <c r="L210" s="1429"/>
      <c r="M210" s="63"/>
      <c r="N210" s="426"/>
      <c r="O210" s="416"/>
      <c r="P210" s="416"/>
      <c r="Q210" s="417"/>
      <c r="R210" s="422"/>
      <c r="S210" s="399"/>
      <c r="T210" s="399"/>
    </row>
    <row r="211" spans="1:20" s="81" customFormat="1" ht="15.75" hidden="1" customHeight="1">
      <c r="A211" s="902">
        <v>204</v>
      </c>
      <c r="B211" s="903" t="s">
        <v>257</v>
      </c>
      <c r="C211" s="439" t="s">
        <v>260</v>
      </c>
      <c r="D211" s="904"/>
      <c r="E211" s="23">
        <f>7.3771-7.5269</f>
        <v>-0.14979999999999993</v>
      </c>
      <c r="F211" s="905"/>
      <c r="G211" s="22">
        <f>ROUND(D211*E211,2)</f>
        <v>0</v>
      </c>
      <c r="H211" s="1305"/>
      <c r="I211" s="1285"/>
      <c r="J211" s="1285"/>
      <c r="K211" s="1356"/>
      <c r="L211" s="19">
        <f>SUM(G211:G213)</f>
        <v>0</v>
      </c>
      <c r="M211" s="26"/>
      <c r="N211" s="421"/>
      <c r="O211" s="77"/>
      <c r="P211" s="77"/>
      <c r="Q211" s="384"/>
      <c r="R211" s="422"/>
      <c r="S211" s="399"/>
      <c r="T211" s="399"/>
    </row>
    <row r="212" spans="1:20" s="81" customFormat="1" ht="15.75" hidden="1" customHeight="1">
      <c r="A212" s="468"/>
      <c r="B212" s="469"/>
      <c r="C212" s="48" t="s">
        <v>263</v>
      </c>
      <c r="D212" s="471"/>
      <c r="E212" s="41">
        <v>7.3771000000000004</v>
      </c>
      <c r="F212" s="473"/>
      <c r="G212" s="449">
        <f>ROUND(D212*E212,2)</f>
        <v>0</v>
      </c>
      <c r="H212" s="1333"/>
      <c r="I212" s="1290"/>
      <c r="J212" s="1290"/>
      <c r="K212" s="1334"/>
      <c r="L212" s="1426"/>
      <c r="M212" s="90"/>
      <c r="N212" s="423"/>
      <c r="O212" s="406"/>
      <c r="P212" s="406"/>
      <c r="Q212" s="407"/>
      <c r="R212" s="422"/>
      <c r="S212" s="399"/>
      <c r="T212" s="399"/>
    </row>
    <row r="213" spans="1:20" s="81" customFormat="1" ht="15.75" hidden="1" customHeight="1" thickBot="1">
      <c r="A213" s="858"/>
      <c r="B213" s="859"/>
      <c r="C213" s="54" t="s">
        <v>29</v>
      </c>
      <c r="D213" s="860"/>
      <c r="E213" s="56">
        <v>7.3771000000000004</v>
      </c>
      <c r="F213" s="861"/>
      <c r="G213" s="414">
        <f t="shared" ref="G213" si="41">ROUND(D213*E213,2)</f>
        <v>0</v>
      </c>
      <c r="H213" s="1324"/>
      <c r="I213" s="1311"/>
      <c r="J213" s="1311"/>
      <c r="K213" s="1325"/>
      <c r="L213" s="1421"/>
      <c r="M213" s="371"/>
      <c r="N213" s="426"/>
      <c r="O213" s="416"/>
      <c r="P213" s="416"/>
      <c r="Q213" s="417"/>
      <c r="R213" s="422"/>
      <c r="S213" s="399"/>
      <c r="T213" s="399"/>
    </row>
    <row r="214" spans="1:20" s="81" customFormat="1" ht="15.75" customHeight="1">
      <c r="A214" s="447">
        <v>203</v>
      </c>
      <c r="B214" s="903" t="s">
        <v>336</v>
      </c>
      <c r="C214" s="439" t="s">
        <v>260</v>
      </c>
      <c r="D214" s="904">
        <f>май.19!D215+май.19!D216</f>
        <v>54.13</v>
      </c>
      <c r="E214" s="23">
        <f>7.4594-7.6099</f>
        <v>-0.15050000000000008</v>
      </c>
      <c r="F214" s="905"/>
      <c r="G214" s="22">
        <f>ROUND(D214*E214,2)+0.01</f>
        <v>-8.14</v>
      </c>
      <c r="H214" s="1305"/>
      <c r="I214" s="1285"/>
      <c r="J214" s="1285"/>
      <c r="K214" s="1356"/>
      <c r="L214" s="19">
        <f>SUM(G214:G216)</f>
        <v>806.87</v>
      </c>
      <c r="M214" s="26">
        <v>806.87</v>
      </c>
      <c r="N214" s="421"/>
      <c r="O214" s="77"/>
      <c r="P214" s="77"/>
      <c r="Q214" s="384"/>
      <c r="R214" s="422"/>
      <c r="S214" s="399"/>
      <c r="T214" s="399"/>
    </row>
    <row r="215" spans="1:20" s="81" customFormat="1" ht="15.75" customHeight="1">
      <c r="A215" s="450"/>
      <c r="B215" s="469"/>
      <c r="C215" s="48" t="s">
        <v>263</v>
      </c>
      <c r="D215" s="471">
        <v>0.26</v>
      </c>
      <c r="E215" s="41">
        <v>7.4593999999999996</v>
      </c>
      <c r="F215" s="473"/>
      <c r="G215" s="449">
        <f>ROUND(D215*E215,2)</f>
        <v>1.94</v>
      </c>
      <c r="H215" s="1333"/>
      <c r="I215" s="1290"/>
      <c r="J215" s="1290"/>
      <c r="K215" s="1334"/>
      <c r="L215" s="1426"/>
      <c r="M215" s="90"/>
      <c r="N215" s="423"/>
      <c r="O215" s="406"/>
      <c r="P215" s="406"/>
      <c r="Q215" s="407"/>
      <c r="R215" s="422"/>
      <c r="S215" s="399"/>
      <c r="T215" s="399"/>
    </row>
    <row r="216" spans="1:20" s="81" customFormat="1" ht="15.75" customHeight="1" thickBot="1">
      <c r="A216" s="451"/>
      <c r="B216" s="859"/>
      <c r="C216" s="54" t="s">
        <v>29</v>
      </c>
      <c r="D216" s="860">
        <v>109</v>
      </c>
      <c r="E216" s="56">
        <v>7.4593999999999996</v>
      </c>
      <c r="F216" s="861"/>
      <c r="G216" s="414">
        <f t="shared" ref="G216" si="42">ROUND(D216*E216,2)</f>
        <v>813.07</v>
      </c>
      <c r="H216" s="1324"/>
      <c r="I216" s="1311"/>
      <c r="J216" s="1291"/>
      <c r="K216" s="1358"/>
      <c r="L216" s="1429"/>
      <c r="M216" s="63"/>
      <c r="N216" s="426"/>
      <c r="O216" s="416"/>
      <c r="P216" s="416"/>
      <c r="Q216" s="417"/>
      <c r="R216" s="422"/>
      <c r="S216" s="399"/>
      <c r="T216" s="399"/>
    </row>
    <row r="217" spans="1:20" s="81" customFormat="1" ht="15.75" customHeight="1">
      <c r="A217" s="902">
        <v>207</v>
      </c>
      <c r="B217" s="903" t="s">
        <v>248</v>
      </c>
      <c r="C217" s="439" t="s">
        <v>260</v>
      </c>
      <c r="D217" s="904">
        <f>май.19!D218+май.19!D219</f>
        <v>362.87</v>
      </c>
      <c r="E217" s="23">
        <f>7.4594-7.6099</f>
        <v>-0.15050000000000008</v>
      </c>
      <c r="F217" s="905"/>
      <c r="G217" s="22">
        <f>ROUND(D217*E217,2)</f>
        <v>-54.61</v>
      </c>
      <c r="H217" s="1305"/>
      <c r="I217" s="1285"/>
      <c r="J217" s="1285"/>
      <c r="K217" s="1356"/>
      <c r="L217" s="19">
        <f>SUM(G217:G219)</f>
        <v>2390.4299999999998</v>
      </c>
      <c r="M217" s="26">
        <v>2390.4299999999998</v>
      </c>
      <c r="N217" s="421"/>
      <c r="O217" s="77"/>
      <c r="P217" s="77"/>
      <c r="Q217" s="384"/>
      <c r="R217" s="422"/>
      <c r="S217" s="399"/>
      <c r="T217" s="399"/>
    </row>
    <row r="218" spans="1:20" s="81" customFormat="1" ht="15.75" customHeight="1">
      <c r="A218" s="468"/>
      <c r="B218" s="469"/>
      <c r="C218" s="48" t="s">
        <v>263</v>
      </c>
      <c r="D218" s="471">
        <v>0.78</v>
      </c>
      <c r="E218" s="41">
        <v>7.4593999999999996</v>
      </c>
      <c r="F218" s="473"/>
      <c r="G218" s="449">
        <f>ROUND(D218*E218,2)</f>
        <v>5.82</v>
      </c>
      <c r="H218" s="1333"/>
      <c r="I218" s="1290"/>
      <c r="J218" s="1290"/>
      <c r="K218" s="1334"/>
      <c r="L218" s="1426"/>
      <c r="M218" s="90"/>
      <c r="N218" s="423"/>
      <c r="O218" s="406"/>
      <c r="P218" s="406"/>
      <c r="Q218" s="407"/>
      <c r="R218" s="422"/>
      <c r="S218" s="399"/>
      <c r="T218" s="399"/>
    </row>
    <row r="219" spans="1:20" s="81" customFormat="1" ht="15.75" customHeight="1" thickBot="1">
      <c r="A219" s="858"/>
      <c r="B219" s="859"/>
      <c r="C219" s="54" t="s">
        <v>29</v>
      </c>
      <c r="D219" s="860">
        <v>327</v>
      </c>
      <c r="E219" s="56">
        <v>7.4593999999999996</v>
      </c>
      <c r="F219" s="861"/>
      <c r="G219" s="414">
        <f t="shared" ref="G219" si="43">ROUND(D219*E219,2)</f>
        <v>2439.2199999999998</v>
      </c>
      <c r="H219" s="1324"/>
      <c r="I219" s="1311"/>
      <c r="J219" s="1291"/>
      <c r="K219" s="1358"/>
      <c r="L219" s="1429"/>
      <c r="M219" s="63"/>
      <c r="N219" s="426"/>
      <c r="O219" s="416"/>
      <c r="P219" s="416"/>
      <c r="Q219" s="417"/>
      <c r="R219" s="422"/>
      <c r="S219" s="399"/>
      <c r="T219" s="399"/>
    </row>
    <row r="220" spans="1:20" s="81" customFormat="1" ht="15.75" customHeight="1">
      <c r="A220" s="906">
        <v>208</v>
      </c>
      <c r="B220" s="903" t="s">
        <v>316</v>
      </c>
      <c r="C220" s="48" t="s">
        <v>260</v>
      </c>
      <c r="D220" s="471">
        <f>май.19!D221+май.19!D222</f>
        <v>285.68</v>
      </c>
      <c r="E220" s="41">
        <f>7.4594-7.6099</f>
        <v>-0.15050000000000008</v>
      </c>
      <c r="F220" s="473"/>
      <c r="G220" s="862">
        <f>ROUND(D220*E220,2)-0.01</f>
        <v>-43</v>
      </c>
      <c r="H220" s="1289"/>
      <c r="I220" s="1287"/>
      <c r="J220" s="1287"/>
      <c r="K220" s="1323"/>
      <c r="L220" s="19">
        <f>SUM(G220:G222)</f>
        <v>1953.43</v>
      </c>
      <c r="M220" s="878">
        <v>1953.43</v>
      </c>
      <c r="N220" s="421"/>
      <c r="O220" s="406"/>
      <c r="P220" s="406"/>
      <c r="Q220" s="407"/>
      <c r="R220" s="422"/>
      <c r="S220" s="399"/>
      <c r="T220" s="399"/>
    </row>
    <row r="221" spans="1:20" s="81" customFormat="1" ht="15.75" customHeight="1">
      <c r="A221" s="468"/>
      <c r="B221" s="469"/>
      <c r="C221" s="48" t="s">
        <v>263</v>
      </c>
      <c r="D221" s="471">
        <v>0.64</v>
      </c>
      <c r="E221" s="41">
        <v>7.4593999999999996</v>
      </c>
      <c r="F221" s="473"/>
      <c r="G221" s="862">
        <f>ROUND(D221*E221,2)</f>
        <v>4.7699999999999996</v>
      </c>
      <c r="H221" s="1289"/>
      <c r="I221" s="1287"/>
      <c r="J221" s="1287"/>
      <c r="K221" s="1323"/>
      <c r="L221" s="1420"/>
      <c r="M221" s="878"/>
      <c r="N221" s="423"/>
      <c r="O221" s="406"/>
      <c r="P221" s="406"/>
      <c r="Q221" s="407"/>
      <c r="R221" s="422"/>
      <c r="S221" s="399"/>
      <c r="T221" s="399"/>
    </row>
    <row r="222" spans="1:20" s="81" customFormat="1" ht="15.75" customHeight="1" thickBot="1">
      <c r="A222" s="858"/>
      <c r="B222" s="859"/>
      <c r="C222" s="54" t="s">
        <v>29</v>
      </c>
      <c r="D222" s="860">
        <v>267</v>
      </c>
      <c r="E222" s="56">
        <v>7.4593999999999996</v>
      </c>
      <c r="F222" s="861"/>
      <c r="G222" s="866">
        <f t="shared" ref="G222" si="44">ROUND(D222*E222,2)</f>
        <v>1991.66</v>
      </c>
      <c r="H222" s="1324"/>
      <c r="I222" s="1311"/>
      <c r="J222" s="1311"/>
      <c r="K222" s="1325"/>
      <c r="L222" s="1421"/>
      <c r="M222" s="880"/>
      <c r="N222" s="426"/>
      <c r="O222" s="416"/>
      <c r="P222" s="416"/>
      <c r="Q222" s="417"/>
      <c r="R222" s="422"/>
      <c r="S222" s="399"/>
      <c r="T222" s="399"/>
    </row>
    <row r="223" spans="1:20" s="81" customFormat="1" ht="15" customHeight="1">
      <c r="A223" s="376">
        <v>210</v>
      </c>
      <c r="B223" s="420" t="s">
        <v>77</v>
      </c>
      <c r="C223" s="377" t="s">
        <v>73</v>
      </c>
      <c r="D223" s="378">
        <v>4</v>
      </c>
      <c r="E223" s="21">
        <v>41.244</v>
      </c>
      <c r="F223" s="21">
        <v>48.335999999999999</v>
      </c>
      <c r="G223" s="22">
        <f t="shared" ref="G223:G229" si="45">ROUND(D223*(E223+F223),2)</f>
        <v>358.32</v>
      </c>
      <c r="H223" s="1305"/>
      <c r="I223" s="1275"/>
      <c r="J223" s="1275"/>
      <c r="K223" s="1352"/>
      <c r="L223" s="439">
        <f>+SUM(G223:G229,J223:J229)</f>
        <v>4329.3499999999995</v>
      </c>
      <c r="M223" s="26">
        <v>4329.3500000000004</v>
      </c>
      <c r="N223" s="421"/>
      <c r="O223" s="77"/>
      <c r="P223" s="77"/>
      <c r="Q223" s="384"/>
      <c r="R223" s="422"/>
      <c r="S223" s="399"/>
      <c r="T223" s="399"/>
    </row>
    <row r="224" spans="1:20" s="81" customFormat="1" ht="15" customHeight="1">
      <c r="A224" s="389"/>
      <c r="B224" s="83"/>
      <c r="C224" s="84" t="s">
        <v>26</v>
      </c>
      <c r="D224" s="37"/>
      <c r="E224" s="38"/>
      <c r="F224" s="38"/>
      <c r="G224" s="39">
        <f t="shared" si="45"/>
        <v>0</v>
      </c>
      <c r="H224" s="1289"/>
      <c r="I224" s="1354"/>
      <c r="J224" s="1278"/>
      <c r="K224" s="1355"/>
      <c r="L224" s="48"/>
      <c r="M224" s="102"/>
      <c r="N224" s="430"/>
      <c r="O224" s="406"/>
      <c r="P224" s="406"/>
      <c r="Q224" s="407"/>
      <c r="R224" s="422"/>
      <c r="S224" s="399"/>
      <c r="T224" s="399"/>
    </row>
    <row r="225" spans="1:20" s="81" customFormat="1" ht="15" customHeight="1">
      <c r="A225" s="389"/>
      <c r="B225" s="98" t="s">
        <v>32</v>
      </c>
      <c r="C225" s="99" t="s">
        <v>33</v>
      </c>
      <c r="D225" s="37">
        <v>4</v>
      </c>
      <c r="E225" s="101">
        <v>276.93</v>
      </c>
      <c r="F225" s="38">
        <f>F223</f>
        <v>48.335999999999999</v>
      </c>
      <c r="G225" s="39">
        <f t="shared" si="45"/>
        <v>1301.06</v>
      </c>
      <c r="H225" s="1289"/>
      <c r="I225" s="1287"/>
      <c r="J225" s="1287"/>
      <c r="K225" s="1323"/>
      <c r="L225" s="1420"/>
      <c r="M225" s="102"/>
      <c r="N225" s="430"/>
      <c r="O225" s="406"/>
      <c r="P225" s="406"/>
      <c r="Q225" s="407"/>
      <c r="R225" s="422"/>
      <c r="S225" s="399"/>
      <c r="T225" s="399"/>
    </row>
    <row r="226" spans="1:20" s="81" customFormat="1" ht="15" customHeight="1">
      <c r="A226" s="389"/>
      <c r="B226" s="83"/>
      <c r="C226" s="48" t="s">
        <v>190</v>
      </c>
      <c r="D226" s="37">
        <f>май.19!D225</f>
        <v>3</v>
      </c>
      <c r="E226" s="41"/>
      <c r="F226" s="38">
        <f>F224</f>
        <v>0</v>
      </c>
      <c r="G226" s="39">
        <f>ROUND(D226*(E226+F226),2)</f>
        <v>0</v>
      </c>
      <c r="H226" s="1289"/>
      <c r="I226" s="1287"/>
      <c r="J226" s="1287"/>
      <c r="K226" s="1323"/>
      <c r="L226" s="1420"/>
      <c r="M226" s="102"/>
      <c r="N226" s="430"/>
      <c r="O226" s="406"/>
      <c r="P226" s="406"/>
      <c r="Q226" s="407"/>
      <c r="R226" s="422"/>
      <c r="S226" s="399"/>
      <c r="T226" s="399"/>
    </row>
    <row r="227" spans="1:20" s="81" customFormat="1" ht="15" customHeight="1">
      <c r="A227" s="389"/>
      <c r="B227" s="83"/>
      <c r="C227" s="48" t="s">
        <v>260</v>
      </c>
      <c r="D227" s="37">
        <f>май.19!D228+май.19!D229</f>
        <v>343.82</v>
      </c>
      <c r="E227" s="41">
        <f>7.4594-7.6099</f>
        <v>-0.15050000000000008</v>
      </c>
      <c r="F227" s="38"/>
      <c r="G227" s="39">
        <f>ROUND(D227*(E227+F227),2)</f>
        <v>-51.74</v>
      </c>
      <c r="H227" s="1289"/>
      <c r="I227" s="1287"/>
      <c r="J227" s="1287"/>
      <c r="K227" s="1323"/>
      <c r="L227" s="1420"/>
      <c r="M227" s="102"/>
      <c r="N227" s="430"/>
      <c r="O227" s="406"/>
      <c r="P227" s="406"/>
      <c r="Q227" s="407"/>
      <c r="R227" s="899"/>
      <c r="S227" s="399"/>
      <c r="T227" s="399"/>
    </row>
    <row r="228" spans="1:20" s="81" customFormat="1" ht="15" customHeight="1">
      <c r="A228" s="389"/>
      <c r="B228" s="83"/>
      <c r="C228" s="48" t="s">
        <v>263</v>
      </c>
      <c r="D228" s="37">
        <v>0.87</v>
      </c>
      <c r="E228" s="41">
        <v>7.4593999999999996</v>
      </c>
      <c r="F228" s="38"/>
      <c r="G228" s="39">
        <f t="shared" si="45"/>
        <v>6.49</v>
      </c>
      <c r="H228" s="1357"/>
      <c r="I228" s="1291"/>
      <c r="J228" s="1291"/>
      <c r="K228" s="1358"/>
      <c r="L228" s="1429"/>
      <c r="M228" s="63"/>
      <c r="N228" s="434"/>
      <c r="O228" s="435"/>
      <c r="P228" s="435"/>
      <c r="Q228" s="425"/>
      <c r="R228" s="899"/>
      <c r="S228" s="399"/>
      <c r="T228" s="399"/>
    </row>
    <row r="229" spans="1:20" s="81" customFormat="1" ht="15" customHeight="1" thickBot="1">
      <c r="A229" s="411"/>
      <c r="B229" s="412"/>
      <c r="C229" s="99" t="s">
        <v>29</v>
      </c>
      <c r="D229" s="413">
        <v>364</v>
      </c>
      <c r="E229" s="56">
        <v>7.4593999999999996</v>
      </c>
      <c r="F229" s="281"/>
      <c r="G229" s="414">
        <f t="shared" si="45"/>
        <v>2715.22</v>
      </c>
      <c r="H229" s="1324"/>
      <c r="I229" s="1311"/>
      <c r="J229" s="1311"/>
      <c r="K229" s="1325"/>
      <c r="L229" s="1421"/>
      <c r="M229" s="371"/>
      <c r="N229" s="426"/>
      <c r="O229" s="416"/>
      <c r="P229" s="416"/>
      <c r="Q229" s="417"/>
      <c r="R229" s="899"/>
      <c r="S229" s="399"/>
      <c r="T229" s="399"/>
    </row>
    <row r="230" spans="1:20" s="81" customFormat="1" ht="15.75" customHeight="1">
      <c r="A230" s="447">
        <v>211</v>
      </c>
      <c r="B230" s="903" t="s">
        <v>231</v>
      </c>
      <c r="C230" s="439" t="s">
        <v>260</v>
      </c>
      <c r="D230" s="904">
        <f>май.19!D231+май.19!D232</f>
        <v>259.62</v>
      </c>
      <c r="E230" s="23">
        <f>7.4594-7.6099</f>
        <v>-0.15050000000000008</v>
      </c>
      <c r="F230" s="905"/>
      <c r="G230" s="22">
        <f>ROUND(D230*E230,2)+0.01</f>
        <v>-39.06</v>
      </c>
      <c r="H230" s="1305"/>
      <c r="I230" s="1285"/>
      <c r="J230" s="1285"/>
      <c r="K230" s="1356"/>
      <c r="L230" s="19">
        <f>SUM(G230:G232)</f>
        <v>1942.45</v>
      </c>
      <c r="M230" s="26">
        <v>1942.45</v>
      </c>
      <c r="N230" s="421"/>
      <c r="O230" s="77"/>
      <c r="P230" s="77"/>
      <c r="Q230" s="384"/>
      <c r="R230" s="422"/>
      <c r="S230" s="399"/>
      <c r="T230" s="399"/>
    </row>
    <row r="231" spans="1:20" s="81" customFormat="1" ht="15.75" customHeight="1">
      <c r="A231" s="450"/>
      <c r="B231" s="469"/>
      <c r="C231" s="48" t="s">
        <v>263</v>
      </c>
      <c r="D231" s="471">
        <v>0.64</v>
      </c>
      <c r="E231" s="41">
        <v>7.4593999999999996</v>
      </c>
      <c r="F231" s="473"/>
      <c r="G231" s="449">
        <f>ROUND(D231*E231,2)</f>
        <v>4.7699999999999996</v>
      </c>
      <c r="H231" s="1333"/>
      <c r="I231" s="1290"/>
      <c r="J231" s="1290"/>
      <c r="K231" s="1334"/>
      <c r="L231" s="1426"/>
      <c r="M231" s="90"/>
      <c r="N231" s="423"/>
      <c r="O231" s="406"/>
      <c r="P231" s="406"/>
      <c r="Q231" s="407"/>
      <c r="R231" s="422"/>
      <c r="S231" s="399"/>
      <c r="T231" s="399"/>
    </row>
    <row r="232" spans="1:20" s="81" customFormat="1" ht="15.75" customHeight="1" thickBot="1">
      <c r="A232" s="451"/>
      <c r="B232" s="859"/>
      <c r="C232" s="54" t="s">
        <v>29</v>
      </c>
      <c r="D232" s="860">
        <v>265</v>
      </c>
      <c r="E232" s="56">
        <v>7.4593999999999996</v>
      </c>
      <c r="F232" s="861"/>
      <c r="G232" s="414">
        <f t="shared" ref="G232" si="46">ROUND(D232*E232,2)</f>
        <v>1976.74</v>
      </c>
      <c r="H232" s="1324"/>
      <c r="I232" s="1311"/>
      <c r="J232" s="1291"/>
      <c r="K232" s="1358"/>
      <c r="L232" s="1429"/>
      <c r="M232" s="63"/>
      <c r="N232" s="426"/>
      <c r="O232" s="416"/>
      <c r="P232" s="416"/>
      <c r="Q232" s="417"/>
      <c r="R232" s="422"/>
      <c r="S232" s="399"/>
      <c r="T232" s="399"/>
    </row>
    <row r="233" spans="1:20" s="81" customFormat="1" ht="15.75" customHeight="1">
      <c r="A233" s="447">
        <v>212</v>
      </c>
      <c r="B233" s="903" t="s">
        <v>140</v>
      </c>
      <c r="C233" s="439" t="s">
        <v>260</v>
      </c>
      <c r="D233" s="904">
        <f>май.19!D234+май.19!D235</f>
        <v>591.41999999999996</v>
      </c>
      <c r="E233" s="23">
        <f>7.4594-7.6099</f>
        <v>-0.15050000000000008</v>
      </c>
      <c r="F233" s="905"/>
      <c r="G233" s="22">
        <f>ROUND(D233*E233,2)</f>
        <v>-89.01</v>
      </c>
      <c r="H233" s="1305"/>
      <c r="I233" s="1285"/>
      <c r="J233" s="1285"/>
      <c r="K233" s="1356"/>
      <c r="L233" s="19">
        <f>SUM(G233:G235)</f>
        <v>5175.0200000000004</v>
      </c>
      <c r="M233" s="26">
        <v>5175.0200000000004</v>
      </c>
      <c r="N233" s="421"/>
      <c r="O233" s="77"/>
      <c r="P233" s="77"/>
      <c r="Q233" s="384"/>
      <c r="R233" s="422"/>
      <c r="S233" s="399"/>
      <c r="T233" s="399"/>
    </row>
    <row r="234" spans="1:20" s="81" customFormat="1" ht="15.75" customHeight="1">
      <c r="A234" s="450"/>
      <c r="B234" s="469"/>
      <c r="C234" s="48" t="s">
        <v>263</v>
      </c>
      <c r="D234" s="471">
        <v>1.69</v>
      </c>
      <c r="E234" s="41">
        <v>7.4593999999999996</v>
      </c>
      <c r="F234" s="473"/>
      <c r="G234" s="449">
        <f>ROUND(D234*E234,2)</f>
        <v>12.61</v>
      </c>
      <c r="H234" s="1333"/>
      <c r="I234" s="1290"/>
      <c r="J234" s="1290"/>
      <c r="K234" s="1334"/>
      <c r="L234" s="1426"/>
      <c r="M234" s="90"/>
      <c r="N234" s="423"/>
      <c r="O234" s="406"/>
      <c r="P234" s="406"/>
      <c r="Q234" s="407"/>
      <c r="R234" s="422"/>
      <c r="S234" s="399"/>
      <c r="T234" s="399"/>
    </row>
    <row r="235" spans="1:20" s="81" customFormat="1" ht="15.75" customHeight="1" thickBot="1">
      <c r="A235" s="451"/>
      <c r="B235" s="859"/>
      <c r="C235" s="54" t="s">
        <v>29</v>
      </c>
      <c r="D235" s="860">
        <v>704</v>
      </c>
      <c r="E235" s="56">
        <v>7.4593999999999996</v>
      </c>
      <c r="F235" s="861"/>
      <c r="G235" s="414">
        <f t="shared" ref="G235" si="47">ROUND(D235*E235,2)</f>
        <v>5251.42</v>
      </c>
      <c r="H235" s="1324"/>
      <c r="I235" s="1311"/>
      <c r="J235" s="1291"/>
      <c r="K235" s="1358"/>
      <c r="L235" s="1429"/>
      <c r="M235" s="63"/>
      <c r="N235" s="426"/>
      <c r="O235" s="416"/>
      <c r="P235" s="416"/>
      <c r="Q235" s="417"/>
      <c r="R235" s="422"/>
      <c r="S235" s="399"/>
      <c r="T235" s="399"/>
    </row>
    <row r="236" spans="1:20" s="81" customFormat="1" ht="15.75" hidden="1" customHeight="1">
      <c r="A236" s="447">
        <v>213</v>
      </c>
      <c r="B236" s="903" t="s">
        <v>134</v>
      </c>
      <c r="C236" s="439" t="s">
        <v>260</v>
      </c>
      <c r="D236" s="904"/>
      <c r="E236" s="23">
        <f>7.0999-6.7991</f>
        <v>0.30079999999999973</v>
      </c>
      <c r="F236" s="905"/>
      <c r="G236" s="22">
        <f>ROUND(D236*E236,2)-0.01</f>
        <v>-0.01</v>
      </c>
      <c r="H236" s="1305"/>
      <c r="I236" s="1285"/>
      <c r="J236" s="1285"/>
      <c r="K236" s="1356"/>
      <c r="L236" s="19">
        <f>SUM(G236:G238)</f>
        <v>-0.01</v>
      </c>
      <c r="M236" s="26"/>
      <c r="N236" s="421"/>
      <c r="O236" s="77"/>
      <c r="P236" s="77"/>
      <c r="Q236" s="384"/>
      <c r="R236" s="422"/>
      <c r="S236" s="399"/>
      <c r="T236" s="399"/>
    </row>
    <row r="237" spans="1:20" s="81" customFormat="1" ht="15.75" hidden="1" customHeight="1">
      <c r="A237" s="450"/>
      <c r="B237" s="469"/>
      <c r="C237" s="48" t="s">
        <v>263</v>
      </c>
      <c r="D237" s="471"/>
      <c r="E237" s="41">
        <v>7.0998999999999999</v>
      </c>
      <c r="F237" s="473"/>
      <c r="G237" s="449">
        <f t="shared" ref="G237:G238" si="48">ROUND(D237*E237,2)</f>
        <v>0</v>
      </c>
      <c r="H237" s="1333"/>
      <c r="I237" s="1290"/>
      <c r="J237" s="1290"/>
      <c r="K237" s="1334"/>
      <c r="L237" s="1426"/>
      <c r="M237" s="90"/>
      <c r="N237" s="423"/>
      <c r="O237" s="406"/>
      <c r="P237" s="406"/>
      <c r="Q237" s="407"/>
      <c r="R237" s="422"/>
      <c r="S237" s="399"/>
      <c r="T237" s="399"/>
    </row>
    <row r="238" spans="1:20" s="81" customFormat="1" ht="15.75" hidden="1" customHeight="1" thickBot="1">
      <c r="A238" s="451"/>
      <c r="B238" s="859"/>
      <c r="C238" s="54" t="s">
        <v>29</v>
      </c>
      <c r="D238" s="860"/>
      <c r="E238" s="56">
        <v>7.0998999999999999</v>
      </c>
      <c r="F238" s="861"/>
      <c r="G238" s="414">
        <f t="shared" si="48"/>
        <v>0</v>
      </c>
      <c r="H238" s="1324"/>
      <c r="I238" s="1311"/>
      <c r="J238" s="1311"/>
      <c r="K238" s="1325"/>
      <c r="L238" s="1421"/>
      <c r="M238" s="371"/>
      <c r="N238" s="426"/>
      <c r="O238" s="416"/>
      <c r="P238" s="416"/>
      <c r="Q238" s="417"/>
      <c r="R238" s="422"/>
      <c r="S238" s="399"/>
      <c r="T238" s="399"/>
    </row>
    <row r="239" spans="1:20" s="81" customFormat="1" ht="15.75" customHeight="1">
      <c r="A239" s="447">
        <v>215</v>
      </c>
      <c r="B239" s="1222" t="s">
        <v>314</v>
      </c>
      <c r="C239" s="1223"/>
      <c r="D239" s="1224"/>
      <c r="E239" s="1147"/>
      <c r="F239" s="1225"/>
      <c r="G239" s="379">
        <f>ROUND(D239*E239,2)</f>
        <v>0</v>
      </c>
      <c r="H239" s="1362"/>
      <c r="I239" s="1275"/>
      <c r="J239" s="1275"/>
      <c r="K239" s="1363"/>
      <c r="L239" s="1444">
        <f>SUM(G239:G241)</f>
        <v>4546</v>
      </c>
      <c r="M239" s="1150">
        <v>4546</v>
      </c>
      <c r="N239" s="421"/>
      <c r="O239" s="77"/>
      <c r="P239" s="77"/>
      <c r="Q239" s="384"/>
      <c r="R239" s="422"/>
      <c r="S239" s="399"/>
      <c r="T239" s="399"/>
    </row>
    <row r="240" spans="1:20" s="81" customFormat="1" ht="15.75" customHeight="1">
      <c r="A240" s="450"/>
      <c r="B240" s="1151" t="s">
        <v>221</v>
      </c>
      <c r="C240" s="1160" t="s">
        <v>263</v>
      </c>
      <c r="D240" s="1229">
        <v>1.47</v>
      </c>
      <c r="E240" s="1155">
        <v>7.4103000000000003</v>
      </c>
      <c r="F240" s="1230"/>
      <c r="G240" s="1231">
        <f>ROUND(D240*E240,2)+0.01</f>
        <v>10.9</v>
      </c>
      <c r="H240" s="1364"/>
      <c r="I240" s="1354"/>
      <c r="J240" s="1354"/>
      <c r="K240" s="1365"/>
      <c r="L240" s="1430"/>
      <c r="M240" s="1236"/>
      <c r="N240" s="423"/>
      <c r="O240" s="406"/>
      <c r="P240" s="406"/>
      <c r="Q240" s="407"/>
      <c r="R240" s="422"/>
      <c r="S240" s="399"/>
      <c r="T240" s="399"/>
    </row>
    <row r="241" spans="1:21" s="81" customFormat="1" ht="15.75" customHeight="1" thickBot="1">
      <c r="A241" s="451"/>
      <c r="B241" s="1237"/>
      <c r="C241" s="1174" t="s">
        <v>29</v>
      </c>
      <c r="D241" s="1238">
        <v>612</v>
      </c>
      <c r="E241" s="1165">
        <v>7.4103000000000003</v>
      </c>
      <c r="F241" s="1239"/>
      <c r="G241" s="1240">
        <f t="shared" ref="G241" si="49">ROUND(D241*E241,2)</f>
        <v>4535.1000000000004</v>
      </c>
      <c r="H241" s="1330"/>
      <c r="I241" s="1331"/>
      <c r="J241" s="1331"/>
      <c r="K241" s="1332"/>
      <c r="L241" s="1424"/>
      <c r="M241" s="1221"/>
      <c r="N241" s="426"/>
      <c r="O241" s="416"/>
      <c r="P241" s="416"/>
      <c r="Q241" s="417"/>
      <c r="R241" s="422"/>
      <c r="S241" s="399"/>
      <c r="T241" s="399"/>
    </row>
    <row r="242" spans="1:21" s="81" customFormat="1" ht="15.75" customHeight="1">
      <c r="A242" s="902">
        <v>218</v>
      </c>
      <c r="B242" s="903" t="s">
        <v>329</v>
      </c>
      <c r="C242" s="439" t="s">
        <v>260</v>
      </c>
      <c r="D242" s="904">
        <f>май.19!D243+май.19!D244</f>
        <v>164.39</v>
      </c>
      <c r="E242" s="23">
        <f>7.4594-7.6099</f>
        <v>-0.15050000000000008</v>
      </c>
      <c r="F242" s="905"/>
      <c r="G242" s="22">
        <f>ROUND(D242*E242,2)</f>
        <v>-24.74</v>
      </c>
      <c r="H242" s="1305"/>
      <c r="I242" s="1285"/>
      <c r="J242" s="1285"/>
      <c r="K242" s="1356"/>
      <c r="L242" s="19">
        <f>SUM(G242:G244)</f>
        <v>1246.4199999999998</v>
      </c>
      <c r="M242" s="26">
        <v>1246.42</v>
      </c>
      <c r="N242" s="421"/>
      <c r="O242" s="77"/>
      <c r="P242" s="77"/>
      <c r="Q242" s="384"/>
      <c r="R242" s="422"/>
      <c r="S242" s="399"/>
      <c r="T242" s="399"/>
    </row>
    <row r="243" spans="1:21" s="81" customFormat="1" ht="15.75" customHeight="1">
      <c r="A243" s="468"/>
      <c r="B243" s="469"/>
      <c r="C243" s="48" t="s">
        <v>263</v>
      </c>
      <c r="D243" s="471">
        <v>0.41</v>
      </c>
      <c r="E243" s="41">
        <v>7.4593999999999996</v>
      </c>
      <c r="F243" s="473"/>
      <c r="G243" s="449">
        <f>ROUND(D243*E243,2)</f>
        <v>3.06</v>
      </c>
      <c r="H243" s="1333"/>
      <c r="I243" s="1290"/>
      <c r="J243" s="1290"/>
      <c r="K243" s="1334"/>
      <c r="L243" s="1426"/>
      <c r="M243" s="90"/>
      <c r="N243" s="423"/>
      <c r="O243" s="406"/>
      <c r="P243" s="406"/>
      <c r="Q243" s="407"/>
      <c r="R243" s="422"/>
      <c r="S243" s="399"/>
      <c r="T243" s="399"/>
    </row>
    <row r="244" spans="1:21" s="81" customFormat="1" ht="15.75" customHeight="1" thickBot="1">
      <c r="A244" s="858"/>
      <c r="B244" s="859"/>
      <c r="C244" s="54" t="s">
        <v>29</v>
      </c>
      <c r="D244" s="860">
        <v>170</v>
      </c>
      <c r="E244" s="56">
        <v>7.4593999999999996</v>
      </c>
      <c r="F244" s="861"/>
      <c r="G244" s="414">
        <f t="shared" ref="G244" si="50">ROUND(D244*E244,2)</f>
        <v>1268.0999999999999</v>
      </c>
      <c r="H244" s="1324"/>
      <c r="I244" s="1311"/>
      <c r="J244" s="1311"/>
      <c r="K244" s="1325"/>
      <c r="L244" s="1421"/>
      <c r="M244" s="371"/>
      <c r="N244" s="426"/>
      <c r="O244" s="416"/>
      <c r="P244" s="416"/>
      <c r="Q244" s="417"/>
      <c r="R244" s="422"/>
      <c r="S244" s="399"/>
      <c r="T244" s="399"/>
    </row>
    <row r="245" spans="1:21" s="81" customFormat="1" ht="15" customHeight="1">
      <c r="A245" s="376">
        <v>301</v>
      </c>
      <c r="B245" s="70" t="s">
        <v>67</v>
      </c>
      <c r="C245" s="377" t="s">
        <v>243</v>
      </c>
      <c r="D245" s="378">
        <v>685</v>
      </c>
      <c r="E245" s="21">
        <v>41.244</v>
      </c>
      <c r="F245" s="21">
        <v>48.335999999999999</v>
      </c>
      <c r="G245" s="379">
        <f>ROUND(D245*(E245+F245),2)</f>
        <v>61362.3</v>
      </c>
      <c r="H245" s="1326"/>
      <c r="I245" s="1275"/>
      <c r="J245" s="1275"/>
      <c r="K245" s="1352"/>
      <c r="L245" s="439">
        <f>+SUM(G245:G254,J245:J253)</f>
        <v>156825.71000000002</v>
      </c>
      <c r="M245" s="26">
        <v>156825.71</v>
      </c>
      <c r="N245" s="383"/>
      <c r="O245" s="77"/>
      <c r="P245" s="77" t="s">
        <v>68</v>
      </c>
      <c r="Q245" s="384" t="e">
        <f t="shared" si="33"/>
        <v>#VALUE!</v>
      </c>
      <c r="R245" s="385" t="s">
        <v>69</v>
      </c>
      <c r="S245" s="386"/>
      <c r="T245" s="387"/>
      <c r="U245" s="388"/>
    </row>
    <row r="246" spans="1:21" s="81" customFormat="1" ht="12.75">
      <c r="A246" s="389"/>
      <c r="B246" s="83"/>
      <c r="C246" s="390" t="s">
        <v>26</v>
      </c>
      <c r="D246" s="37"/>
      <c r="E246" s="38"/>
      <c r="F246" s="38"/>
      <c r="G246" s="39">
        <f>ROUND(D246*(E246+F246),2)</f>
        <v>0</v>
      </c>
      <c r="H246" s="1327"/>
      <c r="I246" s="1354"/>
      <c r="J246" s="1278"/>
      <c r="K246" s="1355"/>
      <c r="L246" s="700"/>
      <c r="M246" s="90"/>
      <c r="N246" s="395"/>
      <c r="O246" s="94"/>
      <c r="P246" s="94"/>
      <c r="Q246" s="396"/>
      <c r="R246" s="397"/>
      <c r="S246" s="398"/>
      <c r="T246" s="399"/>
    </row>
    <row r="247" spans="1:21" s="81" customFormat="1" ht="12.75">
      <c r="A247" s="389"/>
      <c r="B247" s="98" t="s">
        <v>32</v>
      </c>
      <c r="C247" s="99" t="s">
        <v>33</v>
      </c>
      <c r="D247" s="37">
        <v>41</v>
      </c>
      <c r="E247" s="101">
        <v>276.93</v>
      </c>
      <c r="F247" s="38">
        <f>F245</f>
        <v>48.335999999999999</v>
      </c>
      <c r="G247" s="400">
        <f>ROUND(D247*(E247+F247),2)</f>
        <v>13335.91</v>
      </c>
      <c r="H247" s="1344"/>
      <c r="I247" s="1278"/>
      <c r="J247" s="1278"/>
      <c r="K247" s="1366"/>
      <c r="L247" s="600"/>
      <c r="M247" s="102"/>
      <c r="N247" s="405"/>
      <c r="O247" s="406"/>
      <c r="P247" s="406" t="s">
        <v>68</v>
      </c>
      <c r="Q247" s="407">
        <f>+G247+J247-M247-N247-O247</f>
        <v>13335.91</v>
      </c>
      <c r="R247" s="397" t="s">
        <v>69</v>
      </c>
      <c r="S247" s="398"/>
      <c r="T247" s="399"/>
    </row>
    <row r="248" spans="1:21" s="81" customFormat="1" ht="15" customHeight="1">
      <c r="A248" s="389"/>
      <c r="B248" s="98"/>
      <c r="C248" s="84" t="s">
        <v>26</v>
      </c>
      <c r="D248" s="37">
        <f>май.19!D247</f>
        <v>91</v>
      </c>
      <c r="E248" s="41"/>
      <c r="F248" s="38">
        <f>F246</f>
        <v>0</v>
      </c>
      <c r="G248" s="400">
        <f>+D248*(E248+F248)</f>
        <v>0</v>
      </c>
      <c r="H248" s="1344"/>
      <c r="I248" s="1278"/>
      <c r="J248" s="1278"/>
      <c r="K248" s="1367"/>
      <c r="L248" s="600"/>
      <c r="M248" s="102"/>
      <c r="N248" s="405"/>
      <c r="O248" s="406"/>
      <c r="P248" s="406"/>
      <c r="Q248" s="407"/>
      <c r="R248" s="397"/>
      <c r="S248" s="398"/>
      <c r="T248" s="399"/>
    </row>
    <row r="249" spans="1:21" s="81" customFormat="1" ht="15" customHeight="1">
      <c r="A249" s="389"/>
      <c r="B249" s="83"/>
      <c r="C249" s="84"/>
      <c r="D249" s="37"/>
      <c r="E249" s="41"/>
      <c r="F249" s="38"/>
      <c r="G249" s="400"/>
      <c r="H249" s="1344"/>
      <c r="I249" s="1278"/>
      <c r="J249" s="1278"/>
      <c r="K249" s="1367"/>
      <c r="L249" s="600"/>
      <c r="M249" s="102"/>
      <c r="N249" s="405"/>
      <c r="O249" s="406"/>
      <c r="P249" s="406"/>
      <c r="Q249" s="407"/>
      <c r="R249" s="397"/>
      <c r="S249" s="398"/>
      <c r="T249" s="399"/>
    </row>
    <row r="250" spans="1:21" s="81" customFormat="1" ht="15" customHeight="1">
      <c r="A250" s="389"/>
      <c r="B250" s="83" t="s">
        <v>70</v>
      </c>
      <c r="C250" s="84"/>
      <c r="D250" s="37"/>
      <c r="E250" s="41"/>
      <c r="F250" s="38"/>
      <c r="G250" s="400"/>
      <c r="H250" s="1344"/>
      <c r="I250" s="1278"/>
      <c r="J250" s="1278"/>
      <c r="K250" s="1367"/>
      <c r="L250" s="600"/>
      <c r="M250" s="102"/>
      <c r="N250" s="405"/>
      <c r="O250" s="406"/>
      <c r="P250" s="406"/>
      <c r="Q250" s="407"/>
      <c r="R250" s="397"/>
      <c r="S250" s="398"/>
      <c r="T250" s="399"/>
    </row>
    <row r="251" spans="1:21" s="81" customFormat="1" ht="15" customHeight="1">
      <c r="A251" s="389"/>
      <c r="B251" s="83"/>
      <c r="C251" s="48"/>
      <c r="D251" s="37"/>
      <c r="E251" s="41"/>
      <c r="F251" s="38"/>
      <c r="G251" s="39">
        <f>ROUND(D251*(E251+F251),2)</f>
        <v>0</v>
      </c>
      <c r="H251" s="1335"/>
      <c r="I251" s="1287"/>
      <c r="J251" s="1287"/>
      <c r="K251" s="1367"/>
      <c r="L251" s="600"/>
      <c r="M251" s="102"/>
      <c r="N251" s="405"/>
      <c r="O251" s="406"/>
      <c r="P251" s="406"/>
      <c r="Q251" s="407"/>
      <c r="R251" s="397"/>
      <c r="S251" s="398"/>
      <c r="T251" s="399"/>
    </row>
    <row r="252" spans="1:21" s="81" customFormat="1" ht="15" customHeight="1">
      <c r="A252" s="389"/>
      <c r="B252" s="83"/>
      <c r="C252" s="48" t="s">
        <v>260</v>
      </c>
      <c r="D252" s="37">
        <f>май.19!D253+май.19!D254</f>
        <v>10752.75</v>
      </c>
      <c r="E252" s="41">
        <f>7.4594-7.6099</f>
        <v>-0.15050000000000008</v>
      </c>
      <c r="F252" s="38">
        <f>+E252</f>
        <v>-0.15050000000000008</v>
      </c>
      <c r="G252" s="39">
        <f>ROUND(D252*E252,2)</f>
        <v>-1618.29</v>
      </c>
      <c r="H252" s="1335"/>
      <c r="I252" s="1287"/>
      <c r="J252" s="1287"/>
      <c r="K252" s="1367"/>
      <c r="L252" s="600"/>
      <c r="M252" s="102"/>
      <c r="N252" s="405"/>
      <c r="O252" s="406"/>
      <c r="P252" s="406"/>
      <c r="Q252" s="407"/>
      <c r="R252" s="397"/>
      <c r="S252" s="398"/>
      <c r="T252" s="399"/>
    </row>
    <row r="253" spans="1:21" s="81" customFormat="1" ht="15" customHeight="1">
      <c r="A253" s="389"/>
      <c r="B253" s="83"/>
      <c r="C253" s="48" t="s">
        <v>263</v>
      </c>
      <c r="D253" s="37">
        <v>26.88</v>
      </c>
      <c r="E253" s="41">
        <v>7.4593999999999996</v>
      </c>
      <c r="F253" s="41">
        <f>+E253</f>
        <v>7.4593999999999996</v>
      </c>
      <c r="G253" s="39">
        <f>ROUND(D253*E253,2)</f>
        <v>200.51</v>
      </c>
      <c r="H253" s="1335"/>
      <c r="I253" s="1287"/>
      <c r="J253" s="1287"/>
      <c r="K253" s="1368"/>
      <c r="L253" s="600"/>
      <c r="M253" s="102"/>
      <c r="N253" s="405"/>
      <c r="O253" s="406"/>
      <c r="P253" s="406"/>
      <c r="Q253" s="407"/>
      <c r="R253" s="397"/>
      <c r="S253" s="398"/>
      <c r="T253" s="399"/>
    </row>
    <row r="254" spans="1:21" s="81" customFormat="1" ht="15.75" customHeight="1" thickBot="1">
      <c r="A254" s="411"/>
      <c r="B254" s="412"/>
      <c r="C254" s="99" t="s">
        <v>29</v>
      </c>
      <c r="D254" s="413">
        <v>11200</v>
      </c>
      <c r="E254" s="56">
        <v>7.4593999999999996</v>
      </c>
      <c r="F254" s="41">
        <f>+E254</f>
        <v>7.4593999999999996</v>
      </c>
      <c r="G254" s="414">
        <f>ROUND(D254*E254,2)</f>
        <v>83545.279999999999</v>
      </c>
      <c r="H254" s="1337"/>
      <c r="I254" s="1318"/>
      <c r="J254" s="1318"/>
      <c r="K254" s="1317"/>
      <c r="L254" s="1421"/>
      <c r="M254" s="371"/>
      <c r="N254" s="415"/>
      <c r="O254" s="416"/>
      <c r="P254" s="416" t="s">
        <v>68</v>
      </c>
      <c r="Q254" s="417">
        <f>+G254+J254-M254-N254-O254</f>
        <v>83545.279999999999</v>
      </c>
      <c r="R254" s="418" t="s">
        <v>69</v>
      </c>
      <c r="S254" s="419">
        <f>SUM(O245:O254)</f>
        <v>0</v>
      </c>
      <c r="T254" s="419" t="e">
        <f>SUM(Q245:Q254)</f>
        <v>#VALUE!</v>
      </c>
    </row>
    <row r="255" spans="1:21" s="81" customFormat="1" ht="15.75" hidden="1" customHeight="1">
      <c r="A255" s="902">
        <v>303</v>
      </c>
      <c r="B255" s="903" t="s">
        <v>227</v>
      </c>
      <c r="C255" s="439" t="s">
        <v>260</v>
      </c>
      <c r="D255" s="904"/>
      <c r="E255" s="23">
        <f>7.3681-6.9835</f>
        <v>0.38459999999999983</v>
      </c>
      <c r="F255" s="905"/>
      <c r="G255" s="22">
        <f>ROUND(D255*E255,2)</f>
        <v>0</v>
      </c>
      <c r="H255" s="1305"/>
      <c r="I255" s="1285"/>
      <c r="J255" s="1285"/>
      <c r="K255" s="1356"/>
      <c r="L255" s="19">
        <f>SUM(G255:G257)</f>
        <v>0</v>
      </c>
      <c r="M255" s="26"/>
      <c r="N255" s="421"/>
      <c r="O255" s="77"/>
      <c r="P255" s="77"/>
      <c r="Q255" s="384"/>
      <c r="R255" s="422"/>
      <c r="S255" s="399"/>
      <c r="T255" s="399"/>
    </row>
    <row r="256" spans="1:21" s="81" customFormat="1" ht="15.75" hidden="1" customHeight="1">
      <c r="A256" s="468"/>
      <c r="B256" s="469" t="s">
        <v>291</v>
      </c>
      <c r="C256" s="48" t="s">
        <v>263</v>
      </c>
      <c r="D256" s="471"/>
      <c r="E256" s="41">
        <v>7.3681000000000001</v>
      </c>
      <c r="F256" s="473"/>
      <c r="G256" s="449">
        <f>ROUND(D256*E256,2)</f>
        <v>0</v>
      </c>
      <c r="H256" s="1333"/>
      <c r="I256" s="1290"/>
      <c r="J256" s="1290"/>
      <c r="K256" s="1334"/>
      <c r="L256" s="1426"/>
      <c r="M256" s="90"/>
      <c r="N256" s="423"/>
      <c r="O256" s="406"/>
      <c r="P256" s="406"/>
      <c r="Q256" s="407"/>
      <c r="R256" s="422"/>
      <c r="S256" s="399"/>
      <c r="T256" s="399"/>
    </row>
    <row r="257" spans="1:20" s="81" customFormat="1" ht="15.75" hidden="1" customHeight="1" thickBot="1">
      <c r="A257" s="858"/>
      <c r="B257" s="859"/>
      <c r="C257" s="54" t="s">
        <v>29</v>
      </c>
      <c r="D257" s="860"/>
      <c r="E257" s="56">
        <v>7.3681000000000001</v>
      </c>
      <c r="F257" s="861"/>
      <c r="G257" s="414">
        <f t="shared" ref="G257" si="51">ROUND(D257*E257,2)</f>
        <v>0</v>
      </c>
      <c r="H257" s="1324"/>
      <c r="I257" s="1311"/>
      <c r="J257" s="1311"/>
      <c r="K257" s="1325"/>
      <c r="L257" s="1421"/>
      <c r="M257" s="371"/>
      <c r="N257" s="426"/>
      <c r="O257" s="416"/>
      <c r="P257" s="416"/>
      <c r="Q257" s="417"/>
      <c r="R257" s="422"/>
      <c r="S257" s="399"/>
      <c r="T257" s="399"/>
    </row>
    <row r="258" spans="1:20" s="81" customFormat="1" ht="15.75" customHeight="1">
      <c r="A258" s="447">
        <v>302</v>
      </c>
      <c r="B258" s="438" t="s">
        <v>298</v>
      </c>
      <c r="C258" s="439" t="s">
        <v>260</v>
      </c>
      <c r="D258" s="900">
        <f>май.19!D259+май.19!D260</f>
        <v>157.38</v>
      </c>
      <c r="E258" s="23">
        <f>7.4594-7.6099</f>
        <v>-0.15050000000000008</v>
      </c>
      <c r="F258" s="23"/>
      <c r="G258" s="22">
        <f>ROUND(D258*E258,2)</f>
        <v>-23.69</v>
      </c>
      <c r="H258" s="1305"/>
      <c r="I258" s="1285"/>
      <c r="J258" s="1285"/>
      <c r="K258" s="1356"/>
      <c r="L258" s="19">
        <f>SUM(G258:G260)</f>
        <v>6556.3200000000006</v>
      </c>
      <c r="M258" s="26">
        <v>6556.32</v>
      </c>
      <c r="N258" s="421"/>
      <c r="O258" s="77"/>
      <c r="P258" s="77"/>
      <c r="Q258" s="384"/>
      <c r="R258" s="422"/>
      <c r="S258" s="399"/>
      <c r="T258" s="399"/>
    </row>
    <row r="259" spans="1:20" s="81" customFormat="1" ht="15.75" customHeight="1">
      <c r="A259" s="450"/>
      <c r="B259" s="1264"/>
      <c r="C259" s="48" t="s">
        <v>263</v>
      </c>
      <c r="D259" s="448">
        <v>2.11</v>
      </c>
      <c r="E259" s="41">
        <v>7.4593999999999996</v>
      </c>
      <c r="F259" s="261"/>
      <c r="G259" s="449">
        <f t="shared" ref="G259:G260" si="52">ROUND(D259*E259,2)</f>
        <v>15.74</v>
      </c>
      <c r="H259" s="1333"/>
      <c r="I259" s="1290"/>
      <c r="J259" s="1290"/>
      <c r="K259" s="1334"/>
      <c r="L259" s="1426"/>
      <c r="M259" s="90"/>
      <c r="N259" s="423"/>
      <c r="O259" s="406"/>
      <c r="P259" s="406"/>
      <c r="Q259" s="407"/>
      <c r="R259" s="422"/>
      <c r="S259" s="399"/>
      <c r="T259" s="399"/>
    </row>
    <row r="260" spans="1:20" s="81" customFormat="1" ht="15.75" customHeight="1" thickBot="1">
      <c r="A260" s="451"/>
      <c r="B260" s="446"/>
      <c r="C260" s="54" t="s">
        <v>29</v>
      </c>
      <c r="D260" s="901">
        <v>880</v>
      </c>
      <c r="E260" s="56">
        <v>7.4593999999999996</v>
      </c>
      <c r="F260" s="281"/>
      <c r="G260" s="414">
        <f t="shared" si="52"/>
        <v>6564.27</v>
      </c>
      <c r="H260" s="1324"/>
      <c r="I260" s="1311"/>
      <c r="J260" s="1311"/>
      <c r="K260" s="1325"/>
      <c r="L260" s="1421"/>
      <c r="M260" s="371"/>
      <c r="N260" s="426"/>
      <c r="O260" s="416"/>
      <c r="P260" s="416"/>
      <c r="Q260" s="417"/>
      <c r="R260" s="422"/>
      <c r="S260" s="399"/>
      <c r="T260" s="399"/>
    </row>
    <row r="261" spans="1:20" s="81" customFormat="1" ht="15.75" hidden="1" customHeight="1">
      <c r="A261" s="447">
        <v>303</v>
      </c>
      <c r="B261" s="438" t="s">
        <v>324</v>
      </c>
      <c r="C261" s="439" t="s">
        <v>260</v>
      </c>
      <c r="D261" s="900"/>
      <c r="E261" s="23">
        <f>7.6099-7.3771</f>
        <v>0.23279999999999923</v>
      </c>
      <c r="F261" s="23"/>
      <c r="G261" s="22">
        <f>ROUND(D261*E261,2)+0.01</f>
        <v>0.01</v>
      </c>
      <c r="H261" s="1305"/>
      <c r="I261" s="1285"/>
      <c r="J261" s="1285"/>
      <c r="K261" s="1356"/>
      <c r="L261" s="19">
        <f>SUM(G261:G263)</f>
        <v>0.01</v>
      </c>
      <c r="M261" s="26"/>
      <c r="N261" s="421"/>
      <c r="O261" s="77"/>
      <c r="P261" s="77"/>
      <c r="Q261" s="384"/>
      <c r="R261" s="422"/>
      <c r="S261" s="399"/>
      <c r="T261" s="399"/>
    </row>
    <row r="262" spans="1:20" s="81" customFormat="1" ht="15.75" hidden="1" customHeight="1">
      <c r="A262" s="450"/>
      <c r="B262" s="1264" t="s">
        <v>335</v>
      </c>
      <c r="C262" s="48" t="s">
        <v>263</v>
      </c>
      <c r="D262" s="448"/>
      <c r="E262" s="41">
        <v>7.6098999999999997</v>
      </c>
      <c r="F262" s="261"/>
      <c r="G262" s="449">
        <f t="shared" ref="G262:G263" si="53">ROUND(D262*E262,2)</f>
        <v>0</v>
      </c>
      <c r="H262" s="1333"/>
      <c r="I262" s="1290"/>
      <c r="J262" s="1290"/>
      <c r="K262" s="1334"/>
      <c r="L262" s="1426"/>
      <c r="M262" s="90"/>
      <c r="N262" s="423"/>
      <c r="O262" s="406"/>
      <c r="P262" s="406"/>
      <c r="Q262" s="407"/>
      <c r="R262" s="422"/>
      <c r="S262" s="399"/>
      <c r="T262" s="399"/>
    </row>
    <row r="263" spans="1:20" s="81" customFormat="1" ht="15.75" hidden="1" customHeight="1" thickBot="1">
      <c r="A263" s="451"/>
      <c r="B263" s="446"/>
      <c r="C263" s="54" t="s">
        <v>29</v>
      </c>
      <c r="D263" s="901"/>
      <c r="E263" s="56">
        <v>7.6098999999999997</v>
      </c>
      <c r="F263" s="281"/>
      <c r="G263" s="414">
        <f t="shared" si="53"/>
        <v>0</v>
      </c>
      <c r="H263" s="1324"/>
      <c r="I263" s="1311"/>
      <c r="J263" s="1311"/>
      <c r="K263" s="1325"/>
      <c r="L263" s="1421"/>
      <c r="M263" s="371"/>
      <c r="N263" s="426"/>
      <c r="O263" s="416"/>
      <c r="P263" s="416"/>
      <c r="Q263" s="417"/>
      <c r="R263" s="422"/>
      <c r="S263" s="399"/>
      <c r="T263" s="399"/>
    </row>
    <row r="264" spans="1:20" s="81" customFormat="1" ht="15" customHeight="1">
      <c r="A264" s="437">
        <v>304</v>
      </c>
      <c r="B264" s="438" t="s">
        <v>83</v>
      </c>
      <c r="C264" s="377" t="s">
        <v>73</v>
      </c>
      <c r="D264" s="378">
        <v>1</v>
      </c>
      <c r="E264" s="21">
        <v>41.244</v>
      </c>
      <c r="F264" s="21">
        <v>48.335999999999999</v>
      </c>
      <c r="G264" s="22">
        <f>+D264*(E264+F264)</f>
        <v>89.58</v>
      </c>
      <c r="H264" s="1305"/>
      <c r="I264" s="1275"/>
      <c r="J264" s="1275"/>
      <c r="K264" s="1352"/>
      <c r="L264" s="19">
        <f>SUM(G264:G268,J264:J268)</f>
        <v>454.24</v>
      </c>
      <c r="M264" s="26">
        <v>454.24</v>
      </c>
      <c r="N264" s="421"/>
      <c r="O264" s="77"/>
      <c r="P264" s="77"/>
      <c r="Q264" s="384"/>
      <c r="R264" s="899"/>
      <c r="S264" s="399"/>
      <c r="T264" s="399"/>
    </row>
    <row r="265" spans="1:20" s="81" customFormat="1" ht="15" customHeight="1">
      <c r="A265" s="441"/>
      <c r="B265" s="442"/>
      <c r="C265" s="36" t="s">
        <v>26</v>
      </c>
      <c r="D265" s="37"/>
      <c r="E265" s="38"/>
      <c r="F265" s="38"/>
      <c r="G265" s="39">
        <f>ROUND(D265*(E265+F265),2)</f>
        <v>0</v>
      </c>
      <c r="H265" s="1353"/>
      <c r="I265" s="1354"/>
      <c r="J265" s="1278"/>
      <c r="K265" s="1355"/>
      <c r="L265" s="1428"/>
      <c r="M265" s="44"/>
      <c r="N265" s="430"/>
      <c r="O265" s="435"/>
      <c r="P265" s="435"/>
      <c r="Q265" s="425"/>
      <c r="R265" s="422"/>
      <c r="S265" s="399"/>
      <c r="T265" s="399"/>
    </row>
    <row r="266" spans="1:20" s="81" customFormat="1" ht="15" customHeight="1">
      <c r="A266" s="441"/>
      <c r="B266" s="442"/>
      <c r="C266" s="48" t="s">
        <v>260</v>
      </c>
      <c r="D266" s="37">
        <f>май.19!D267+май.19!D268</f>
        <v>61.15</v>
      </c>
      <c r="E266" s="41">
        <f>7.4594-7.6099</f>
        <v>-0.15050000000000008</v>
      </c>
      <c r="F266" s="38"/>
      <c r="G266" s="39">
        <f>ROUND(D266*(E266),2)-0.01</f>
        <v>-9.2099999999999991</v>
      </c>
      <c r="H266" s="1289"/>
      <c r="I266" s="1287"/>
      <c r="J266" s="1287"/>
      <c r="K266" s="1323"/>
      <c r="L266" s="1420"/>
      <c r="M266" s="102"/>
      <c r="N266" s="430"/>
      <c r="O266" s="435"/>
      <c r="P266" s="435"/>
      <c r="Q266" s="425"/>
      <c r="R266" s="422"/>
      <c r="S266" s="399"/>
      <c r="T266" s="399"/>
    </row>
    <row r="267" spans="1:20" s="81" customFormat="1" ht="15" customHeight="1">
      <c r="A267" s="441"/>
      <c r="B267" s="442"/>
      <c r="C267" s="48" t="s">
        <v>263</v>
      </c>
      <c r="D267" s="37">
        <v>0.12</v>
      </c>
      <c r="E267" s="41">
        <v>7.4593999999999996</v>
      </c>
      <c r="F267" s="38"/>
      <c r="G267" s="39">
        <f>ROUND(D267*(E267),2)</f>
        <v>0.9</v>
      </c>
      <c r="H267" s="1289"/>
      <c r="I267" s="1287"/>
      <c r="J267" s="1287"/>
      <c r="K267" s="1323"/>
      <c r="L267" s="1420"/>
      <c r="M267" s="102"/>
      <c r="N267" s="434"/>
      <c r="O267" s="435"/>
      <c r="P267" s="435"/>
      <c r="Q267" s="425"/>
      <c r="R267" s="422"/>
      <c r="S267" s="399"/>
      <c r="T267" s="399"/>
    </row>
    <row r="268" spans="1:20" s="81" customFormat="1" ht="15.75" customHeight="1" thickBot="1">
      <c r="A268" s="445"/>
      <c r="B268" s="446"/>
      <c r="C268" s="54" t="s">
        <v>29</v>
      </c>
      <c r="D268" s="413">
        <v>50</v>
      </c>
      <c r="E268" s="56">
        <v>7.4593999999999996</v>
      </c>
      <c r="F268" s="281"/>
      <c r="G268" s="414">
        <f>ROUND(D268*(E268),2)</f>
        <v>372.97</v>
      </c>
      <c r="H268" s="1324"/>
      <c r="I268" s="1311"/>
      <c r="J268" s="1311"/>
      <c r="K268" s="1325"/>
      <c r="L268" s="1421"/>
      <c r="M268" s="371"/>
      <c r="N268" s="426"/>
      <c r="O268" s="416"/>
      <c r="P268" s="416"/>
      <c r="Q268" s="417"/>
      <c r="R268" s="422"/>
      <c r="S268" s="399"/>
      <c r="T268" s="399"/>
    </row>
    <row r="269" spans="1:20" s="81" customFormat="1" ht="15" customHeight="1">
      <c r="A269" s="437">
        <v>305</v>
      </c>
      <c r="B269" s="438" t="s">
        <v>298</v>
      </c>
      <c r="C269" s="377" t="s">
        <v>73</v>
      </c>
      <c r="D269" s="378">
        <v>35</v>
      </c>
      <c r="E269" s="21">
        <v>41.244</v>
      </c>
      <c r="F269" s="21">
        <v>48.335999999999999</v>
      </c>
      <c r="G269" s="22">
        <f>+D269*(E269+F269)</f>
        <v>3135.2999999999997</v>
      </c>
      <c r="H269" s="1305"/>
      <c r="I269" s="1275"/>
      <c r="J269" s="1275"/>
      <c r="K269" s="1352"/>
      <c r="L269" s="19">
        <f>SUM(G269:G273,J269:J273)</f>
        <v>18385.46</v>
      </c>
      <c r="M269" s="26">
        <v>18385.46</v>
      </c>
      <c r="N269" s="421"/>
      <c r="O269" s="77"/>
      <c r="P269" s="77"/>
      <c r="Q269" s="384"/>
      <c r="R269" s="899"/>
      <c r="S269" s="399"/>
      <c r="T269" s="399"/>
    </row>
    <row r="270" spans="1:20" s="81" customFormat="1" ht="15" customHeight="1">
      <c r="A270" s="441"/>
      <c r="B270" s="442"/>
      <c r="C270" s="36" t="s">
        <v>26</v>
      </c>
      <c r="D270" s="37"/>
      <c r="E270" s="38"/>
      <c r="F270" s="38"/>
      <c r="G270" s="39">
        <f>ROUND(D270*(E270+F270),2)</f>
        <v>0</v>
      </c>
      <c r="H270" s="1353"/>
      <c r="I270" s="1354"/>
      <c r="J270" s="1278"/>
      <c r="K270" s="1355"/>
      <c r="L270" s="1428"/>
      <c r="M270" s="44"/>
      <c r="N270" s="430"/>
      <c r="O270" s="435"/>
      <c r="P270" s="435"/>
      <c r="Q270" s="425"/>
      <c r="R270" s="422"/>
      <c r="S270" s="399"/>
      <c r="T270" s="399"/>
    </row>
    <row r="271" spans="1:20" s="81" customFormat="1" ht="15" customHeight="1">
      <c r="A271" s="441"/>
      <c r="B271" s="442"/>
      <c r="C271" s="48" t="s">
        <v>260</v>
      </c>
      <c r="D271" s="37">
        <f>май.19!D272+май.19!D273</f>
        <v>2409.77</v>
      </c>
      <c r="E271" s="41">
        <f>7.4594-7.6099</f>
        <v>-0.15050000000000008</v>
      </c>
      <c r="F271" s="38"/>
      <c r="G271" s="39">
        <f>ROUND(D271*(E271),2)</f>
        <v>-362.67</v>
      </c>
      <c r="H271" s="1289"/>
      <c r="I271" s="1287"/>
      <c r="J271" s="1287"/>
      <c r="K271" s="1323"/>
      <c r="L271" s="1420"/>
      <c r="M271" s="102"/>
      <c r="N271" s="430"/>
      <c r="O271" s="435"/>
      <c r="P271" s="435"/>
      <c r="Q271" s="425"/>
      <c r="R271" s="422"/>
      <c r="S271" s="399"/>
      <c r="T271" s="399"/>
    </row>
    <row r="272" spans="1:20" s="81" customFormat="1" ht="15" customHeight="1">
      <c r="A272" s="441"/>
      <c r="B272" s="442"/>
      <c r="C272" s="48" t="s">
        <v>263</v>
      </c>
      <c r="D272" s="37">
        <f>3.75+1.09+0.2</f>
        <v>5.04</v>
      </c>
      <c r="E272" s="41">
        <v>7.4593999999999996</v>
      </c>
      <c r="F272" s="38"/>
      <c r="G272" s="39">
        <f>ROUND(D272*(E272),2)</f>
        <v>37.6</v>
      </c>
      <c r="H272" s="1289"/>
      <c r="I272" s="1287"/>
      <c r="J272" s="1287"/>
      <c r="K272" s="1323"/>
      <c r="L272" s="1420"/>
      <c r="M272" s="102"/>
      <c r="N272" s="434"/>
      <c r="O272" s="435"/>
      <c r="P272" s="435"/>
      <c r="Q272" s="425"/>
      <c r="R272" s="422"/>
      <c r="S272" s="399"/>
      <c r="T272" s="399"/>
    </row>
    <row r="273" spans="1:20" s="81" customFormat="1" ht="15.75" customHeight="1" thickBot="1">
      <c r="A273" s="445"/>
      <c r="B273" s="446"/>
      <c r="C273" s="54" t="s">
        <v>29</v>
      </c>
      <c r="D273" s="413">
        <f>1562+453+73</f>
        <v>2088</v>
      </c>
      <c r="E273" s="56">
        <v>7.4593999999999996</v>
      </c>
      <c r="F273" s="281"/>
      <c r="G273" s="414">
        <f>ROUND(D273*(E273),2)</f>
        <v>15575.23</v>
      </c>
      <c r="H273" s="1324"/>
      <c r="I273" s="1311"/>
      <c r="J273" s="1311"/>
      <c r="K273" s="1325"/>
      <c r="L273" s="1421"/>
      <c r="M273" s="371"/>
      <c r="N273" s="426"/>
      <c r="O273" s="416"/>
      <c r="P273" s="416"/>
      <c r="Q273" s="417"/>
      <c r="R273" s="422"/>
      <c r="S273" s="399"/>
      <c r="T273" s="399"/>
    </row>
    <row r="274" spans="1:20" s="81" customFormat="1" ht="15" customHeight="1">
      <c r="A274" s="447">
        <v>400</v>
      </c>
      <c r="B274" s="903" t="s">
        <v>238</v>
      </c>
      <c r="C274" s="377" t="s">
        <v>73</v>
      </c>
      <c r="D274" s="378">
        <v>50</v>
      </c>
      <c r="E274" s="21">
        <v>41.244</v>
      </c>
      <c r="F274" s="21">
        <v>48.335999999999999</v>
      </c>
      <c r="G274" s="22">
        <f>+D274*(E274+F274)</f>
        <v>4479</v>
      </c>
      <c r="H274" s="1305"/>
      <c r="I274" s="1275"/>
      <c r="J274" s="1275"/>
      <c r="K274" s="1352"/>
      <c r="L274" s="19">
        <f>SUM(G274:G278,J274:J278)</f>
        <v>89747.36</v>
      </c>
      <c r="M274" s="26">
        <v>89747.36</v>
      </c>
      <c r="N274" s="421"/>
      <c r="O274" s="77"/>
      <c r="P274" s="77"/>
      <c r="Q274" s="384"/>
      <c r="R274" s="899"/>
      <c r="S274" s="399"/>
      <c r="T274" s="399"/>
    </row>
    <row r="275" spans="1:20" s="81" customFormat="1" ht="15" customHeight="1" thickBot="1">
      <c r="A275" s="450"/>
      <c r="B275" s="469"/>
      <c r="C275" s="36" t="s">
        <v>26</v>
      </c>
      <c r="D275" s="37"/>
      <c r="E275" s="38"/>
      <c r="F275" s="38"/>
      <c r="G275" s="39">
        <f>ROUND(D275*(E275+F275),2)</f>
        <v>0</v>
      </c>
      <c r="H275" s="1353"/>
      <c r="I275" s="1354"/>
      <c r="J275" s="1278"/>
      <c r="K275" s="1355"/>
      <c r="L275" s="1428"/>
      <c r="M275" s="44"/>
      <c r="N275" s="430"/>
      <c r="O275" s="435"/>
      <c r="P275" s="435"/>
      <c r="Q275" s="425"/>
      <c r="R275" s="422"/>
      <c r="S275" s="399"/>
      <c r="T275" s="399"/>
    </row>
    <row r="276" spans="1:20" s="81" customFormat="1" ht="15.75" customHeight="1">
      <c r="A276" s="984"/>
      <c r="C276" s="439" t="s">
        <v>260</v>
      </c>
      <c r="D276" s="904">
        <f>май.19!D277+май.19!D278</f>
        <v>8961.4599999999991</v>
      </c>
      <c r="E276" s="23">
        <f>7.4594-7.6099</f>
        <v>-0.15050000000000008</v>
      </c>
      <c r="F276" s="905"/>
      <c r="G276" s="22">
        <f>ROUND(D276*E276,2)</f>
        <v>-1348.7</v>
      </c>
      <c r="H276" s="1305"/>
      <c r="I276" s="1285"/>
      <c r="J276" s="1285"/>
      <c r="K276" s="1356"/>
      <c r="L276" s="19"/>
      <c r="M276" s="26"/>
      <c r="N276" s="421"/>
      <c r="O276" s="77"/>
      <c r="P276" s="77"/>
      <c r="Q276" s="384"/>
      <c r="R276" s="422"/>
      <c r="S276" s="399"/>
      <c r="T276" s="399"/>
    </row>
    <row r="277" spans="1:20" s="81" customFormat="1" ht="15.75" customHeight="1">
      <c r="A277" s="450"/>
      <c r="B277" s="469"/>
      <c r="C277" s="48" t="s">
        <v>263</v>
      </c>
      <c r="D277" s="471">
        <f>15.63+0.84+11.33</f>
        <v>27.800000000000004</v>
      </c>
      <c r="E277" s="41">
        <v>7.4593999999999996</v>
      </c>
      <c r="F277" s="473"/>
      <c r="G277" s="449">
        <f>ROUND(D277*E277,2)</f>
        <v>207.37</v>
      </c>
      <c r="H277" s="1333"/>
      <c r="I277" s="1290"/>
      <c r="J277" s="1290"/>
      <c r="K277" s="1334"/>
      <c r="L277" s="1426"/>
      <c r="M277" s="90"/>
      <c r="N277" s="423"/>
      <c r="O277" s="406"/>
      <c r="P277" s="406"/>
      <c r="Q277" s="407"/>
      <c r="R277" s="422"/>
      <c r="S277" s="399"/>
      <c r="T277" s="399"/>
    </row>
    <row r="278" spans="1:20" s="81" customFormat="1" ht="15.75" customHeight="1" thickBot="1">
      <c r="A278" s="451"/>
      <c r="B278" s="859"/>
      <c r="C278" s="54" t="s">
        <v>29</v>
      </c>
      <c r="D278" s="860">
        <f>6514+351+4719</f>
        <v>11584</v>
      </c>
      <c r="E278" s="56">
        <v>7.4593999999999996</v>
      </c>
      <c r="F278" s="861"/>
      <c r="G278" s="414">
        <f t="shared" ref="G278" si="54">ROUND(D278*E278,2)</f>
        <v>86409.69</v>
      </c>
      <c r="H278" s="1324"/>
      <c r="I278" s="1311"/>
      <c r="J278" s="1311"/>
      <c r="K278" s="1325"/>
      <c r="L278" s="1421"/>
      <c r="M278" s="371"/>
      <c r="N278" s="426"/>
      <c r="O278" s="416"/>
      <c r="P278" s="416"/>
      <c r="Q278" s="417"/>
      <c r="R278" s="422"/>
      <c r="S278" s="399"/>
      <c r="T278" s="399"/>
    </row>
    <row r="279" spans="1:20" s="81" customFormat="1" ht="15" customHeight="1">
      <c r="A279" s="437">
        <v>402</v>
      </c>
      <c r="B279" s="438" t="s">
        <v>122</v>
      </c>
      <c r="C279" s="439"/>
      <c r="D279" s="378"/>
      <c r="E279" s="23"/>
      <c r="F279" s="23"/>
      <c r="G279" s="22"/>
      <c r="H279" s="1305"/>
      <c r="I279" s="1285"/>
      <c r="J279" s="1285"/>
      <c r="K279" s="1356"/>
      <c r="L279" s="439">
        <f>+SUM(G279:G282,J279:J282)</f>
        <v>1682.3500000000001</v>
      </c>
      <c r="M279" s="26">
        <v>1682.35</v>
      </c>
      <c r="N279" s="421"/>
      <c r="O279" s="77"/>
      <c r="P279" s="77"/>
      <c r="Q279" s="384"/>
      <c r="R279" s="899"/>
      <c r="S279" s="399"/>
      <c r="T279" s="399"/>
    </row>
    <row r="280" spans="1:20" s="81" customFormat="1" ht="15" customHeight="1" thickBot="1">
      <c r="A280" s="441"/>
      <c r="B280" s="442"/>
      <c r="C280" s="48" t="s">
        <v>260</v>
      </c>
      <c r="D280" s="37">
        <f>май.19!D281+май.19!D282</f>
        <v>248.6</v>
      </c>
      <c r="E280" s="41">
        <f>7.4594-7.6099</f>
        <v>-0.15050000000000008</v>
      </c>
      <c r="F280" s="41"/>
      <c r="G280" s="414">
        <f>ROUND(D280*E280,2)</f>
        <v>-37.409999999999997</v>
      </c>
      <c r="H280" s="1333"/>
      <c r="I280" s="1290"/>
      <c r="J280" s="1290"/>
      <c r="K280" s="1334"/>
      <c r="L280" s="700"/>
      <c r="M280" s="90"/>
      <c r="N280" s="443"/>
      <c r="O280" s="94"/>
      <c r="P280" s="94"/>
      <c r="Q280" s="396"/>
      <c r="R280" s="899"/>
      <c r="S280" s="399"/>
      <c r="T280" s="399"/>
    </row>
    <row r="281" spans="1:20" s="81" customFormat="1" ht="15" customHeight="1" thickBot="1">
      <c r="A281" s="441"/>
      <c r="B281" s="444"/>
      <c r="C281" s="48" t="s">
        <v>263</v>
      </c>
      <c r="D281" s="37">
        <v>0.55000000000000004</v>
      </c>
      <c r="E281" s="41">
        <v>7.4593999999999996</v>
      </c>
      <c r="F281" s="41"/>
      <c r="G281" s="414">
        <f>ROUND(D281*E281,2)</f>
        <v>4.0999999999999996</v>
      </c>
      <c r="H281" s="1357"/>
      <c r="I281" s="1291"/>
      <c r="J281" s="1291"/>
      <c r="K281" s="1358"/>
      <c r="L281" s="1429"/>
      <c r="M281" s="63"/>
      <c r="N281" s="423"/>
      <c r="O281" s="406"/>
      <c r="P281" s="406"/>
      <c r="Q281" s="407"/>
      <c r="R281" s="899"/>
      <c r="S281" s="399"/>
      <c r="T281" s="399"/>
    </row>
    <row r="282" spans="1:20" s="81" customFormat="1" ht="15" customHeight="1" thickBot="1">
      <c r="A282" s="445"/>
      <c r="B282" s="446"/>
      <c r="C282" s="99" t="s">
        <v>29</v>
      </c>
      <c r="D282" s="413">
        <v>230</v>
      </c>
      <c r="E282" s="56">
        <v>7.4593999999999996</v>
      </c>
      <c r="F282" s="281"/>
      <c r="G282" s="414">
        <f>ROUND(D282*E282,2)</f>
        <v>1715.66</v>
      </c>
      <c r="H282" s="1324"/>
      <c r="I282" s="1311"/>
      <c r="J282" s="1311"/>
      <c r="K282" s="1325"/>
      <c r="L282" s="1421"/>
      <c r="M282" s="371"/>
      <c r="N282" s="434"/>
      <c r="O282" s="435"/>
      <c r="P282" s="435"/>
      <c r="Q282" s="425"/>
      <c r="R282" s="899"/>
      <c r="S282" s="399"/>
      <c r="T282" s="399"/>
    </row>
    <row r="283" spans="1:20" s="81" customFormat="1" ht="15.75" customHeight="1">
      <c r="A283" s="447">
        <v>403</v>
      </c>
      <c r="B283" s="438" t="s">
        <v>126</v>
      </c>
      <c r="C283" s="439" t="s">
        <v>260</v>
      </c>
      <c r="D283" s="900">
        <f>май.19!D284+май.19!D285</f>
        <v>90.22</v>
      </c>
      <c r="E283" s="23">
        <f>7.4594-7.6099</f>
        <v>-0.15050000000000008</v>
      </c>
      <c r="F283" s="23"/>
      <c r="G283" s="22">
        <f>ROUND(D283*E283,2)</f>
        <v>-13.58</v>
      </c>
      <c r="H283" s="1305"/>
      <c r="I283" s="1285"/>
      <c r="J283" s="1285"/>
      <c r="K283" s="1356"/>
      <c r="L283" s="19">
        <f>SUM(G283:G285)</f>
        <v>659.41</v>
      </c>
      <c r="M283" s="26">
        <f>ROUND(L283/28*P283,2)</f>
        <v>447.46</v>
      </c>
      <c r="N283" s="421"/>
      <c r="O283" s="77" t="s">
        <v>83</v>
      </c>
      <c r="P283" s="1267">
        <v>19</v>
      </c>
      <c r="Q283" s="384"/>
      <c r="R283" s="422"/>
      <c r="S283" s="399"/>
      <c r="T283" s="399"/>
    </row>
    <row r="284" spans="1:20" s="81" customFormat="1" ht="15.75" customHeight="1">
      <c r="A284" s="450"/>
      <c r="B284" s="868" t="s">
        <v>342</v>
      </c>
      <c r="C284" s="48" t="s">
        <v>263</v>
      </c>
      <c r="D284" s="448">
        <v>0.22</v>
      </c>
      <c r="E284" s="41">
        <v>7.4593999999999996</v>
      </c>
      <c r="F284" s="261"/>
      <c r="G284" s="449">
        <f t="shared" ref="G284:G285" si="55">ROUND(D284*E284,2)</f>
        <v>1.64</v>
      </c>
      <c r="H284" s="1333"/>
      <c r="I284" s="1290"/>
      <c r="J284" s="1290"/>
      <c r="K284" s="1334"/>
      <c r="L284" s="1426"/>
      <c r="M284" s="90">
        <f>L283-M283</f>
        <v>211.95</v>
      </c>
      <c r="N284" s="423"/>
      <c r="O284" s="406" t="s">
        <v>341</v>
      </c>
      <c r="P284" s="1268">
        <v>9</v>
      </c>
      <c r="Q284" s="407"/>
      <c r="R284" s="422"/>
      <c r="S284" s="399"/>
      <c r="T284" s="399"/>
    </row>
    <row r="285" spans="1:20" s="81" customFormat="1" ht="15.75" customHeight="1" thickBot="1">
      <c r="A285" s="451"/>
      <c r="B285" s="1266" t="s">
        <v>343</v>
      </c>
      <c r="C285" s="54" t="s">
        <v>29</v>
      </c>
      <c r="D285" s="901">
        <v>90</v>
      </c>
      <c r="E285" s="56">
        <v>7.4593999999999996</v>
      </c>
      <c r="F285" s="281"/>
      <c r="G285" s="414">
        <f t="shared" si="55"/>
        <v>671.35</v>
      </c>
      <c r="H285" s="1324"/>
      <c r="I285" s="1311"/>
      <c r="J285" s="1311"/>
      <c r="K285" s="1325"/>
      <c r="L285" s="1421"/>
      <c r="M285" s="371"/>
      <c r="N285" s="426"/>
      <c r="O285" s="416"/>
      <c r="P285" s="416"/>
      <c r="Q285" s="417"/>
      <c r="R285" s="422"/>
      <c r="S285" s="399"/>
      <c r="T285" s="399"/>
    </row>
    <row r="286" spans="1:20" s="81" customFormat="1" ht="15.75" customHeight="1">
      <c r="A286" s="906">
        <v>404</v>
      </c>
      <c r="B286" s="903" t="s">
        <v>191</v>
      </c>
      <c r="C286" s="48" t="s">
        <v>260</v>
      </c>
      <c r="D286" s="471">
        <f>май.19!D287+май.19!D288</f>
        <v>147.35</v>
      </c>
      <c r="E286" s="41">
        <f>7.4594-7.6099</f>
        <v>-0.15050000000000008</v>
      </c>
      <c r="F286" s="473"/>
      <c r="G286" s="862">
        <f>ROUND(D286*E286,2)</f>
        <v>-22.18</v>
      </c>
      <c r="H286" s="1289"/>
      <c r="I286" s="1287"/>
      <c r="J286" s="1287"/>
      <c r="K286" s="1323"/>
      <c r="L286" s="19">
        <f>SUM(G286:G288)</f>
        <v>1211.5999999999999</v>
      </c>
      <c r="M286" s="878">
        <v>1211.5999999999999</v>
      </c>
      <c r="N286" s="421"/>
      <c r="O286" s="406"/>
      <c r="P286" s="406"/>
      <c r="Q286" s="407"/>
      <c r="R286" s="422"/>
      <c r="S286" s="399"/>
      <c r="T286" s="399"/>
    </row>
    <row r="287" spans="1:20" s="81" customFormat="1" ht="15.75" customHeight="1">
      <c r="A287" s="468"/>
      <c r="B287" s="469"/>
      <c r="C287" s="48" t="s">
        <v>263</v>
      </c>
      <c r="D287" s="471">
        <v>0.4</v>
      </c>
      <c r="E287" s="41">
        <v>7.4593999999999996</v>
      </c>
      <c r="F287" s="473"/>
      <c r="G287" s="862">
        <f>ROUND(D287*E287,2)</f>
        <v>2.98</v>
      </c>
      <c r="H287" s="1289"/>
      <c r="I287" s="1287"/>
      <c r="J287" s="1287"/>
      <c r="K287" s="1323"/>
      <c r="L287" s="1420"/>
      <c r="M287" s="878"/>
      <c r="N287" s="423"/>
      <c r="O287" s="406"/>
      <c r="P287" s="406"/>
      <c r="Q287" s="407"/>
      <c r="R287" s="422"/>
      <c r="S287" s="399"/>
      <c r="T287" s="399"/>
    </row>
    <row r="288" spans="1:20" s="81" customFormat="1" ht="15.75" customHeight="1" thickBot="1">
      <c r="A288" s="858"/>
      <c r="B288" s="859"/>
      <c r="C288" s="54" t="s">
        <v>29</v>
      </c>
      <c r="D288" s="860">
        <v>165</v>
      </c>
      <c r="E288" s="56">
        <v>7.4593999999999996</v>
      </c>
      <c r="F288" s="861"/>
      <c r="G288" s="866">
        <f t="shared" ref="G288" si="56">ROUND(D288*E288,2)</f>
        <v>1230.8</v>
      </c>
      <c r="H288" s="1324"/>
      <c r="I288" s="1311"/>
      <c r="J288" s="1311"/>
      <c r="K288" s="1325"/>
      <c r="L288" s="1421"/>
      <c r="M288" s="880"/>
      <c r="N288" s="426"/>
      <c r="O288" s="416"/>
      <c r="P288" s="416"/>
      <c r="Q288" s="417"/>
      <c r="R288" s="422"/>
      <c r="S288" s="399"/>
      <c r="T288" s="399"/>
    </row>
    <row r="289" spans="1:20" s="81" customFormat="1" ht="15.75" customHeight="1">
      <c r="A289" s="902">
        <v>405</v>
      </c>
      <c r="B289" s="903" t="s">
        <v>147</v>
      </c>
      <c r="C289" s="439" t="s">
        <v>260</v>
      </c>
      <c r="D289" s="904">
        <f>май.19!D290+май.19!D291</f>
        <v>183.44</v>
      </c>
      <c r="E289" s="23">
        <f>7.4594-7.6099</f>
        <v>-0.15050000000000008</v>
      </c>
      <c r="F289" s="905"/>
      <c r="G289" s="22">
        <f>ROUND(D289*E289,2)</f>
        <v>-27.61</v>
      </c>
      <c r="H289" s="1305"/>
      <c r="I289" s="1290"/>
      <c r="J289" s="1290"/>
      <c r="K289" s="1334"/>
      <c r="L289" s="1426">
        <f>SUM(G289:G291)</f>
        <v>1280.92</v>
      </c>
      <c r="M289" s="90">
        <v>1280.92</v>
      </c>
      <c r="N289" s="421"/>
      <c r="O289" s="77"/>
      <c r="P289" s="77"/>
      <c r="Q289" s="384"/>
      <c r="R289" s="422"/>
      <c r="S289" s="399"/>
      <c r="T289" s="399"/>
    </row>
    <row r="290" spans="1:20" s="81" customFormat="1" ht="15.75" customHeight="1">
      <c r="A290" s="468"/>
      <c r="B290" s="469"/>
      <c r="C290" s="48" t="s">
        <v>263</v>
      </c>
      <c r="D290" s="471">
        <v>0.42</v>
      </c>
      <c r="E290" s="41">
        <v>7.4593999999999996</v>
      </c>
      <c r="F290" s="473"/>
      <c r="G290" s="449">
        <f>ROUND(D290*E290,2)</f>
        <v>3.13</v>
      </c>
      <c r="H290" s="1333"/>
      <c r="I290" s="1290"/>
      <c r="J290" s="1290"/>
      <c r="K290" s="1334"/>
      <c r="L290" s="1426"/>
      <c r="M290" s="90"/>
      <c r="N290" s="423"/>
      <c r="O290" s="406"/>
      <c r="P290" s="406"/>
      <c r="Q290" s="407"/>
      <c r="R290" s="422"/>
      <c r="S290" s="399"/>
      <c r="T290" s="399"/>
    </row>
    <row r="291" spans="1:20" s="81" customFormat="1" ht="15.75" customHeight="1" thickBot="1">
      <c r="A291" s="701"/>
      <c r="B291" s="702"/>
      <c r="C291" s="99" t="s">
        <v>29</v>
      </c>
      <c r="D291" s="703">
        <v>175</v>
      </c>
      <c r="E291" s="56">
        <v>7.4593999999999996</v>
      </c>
      <c r="F291" s="704"/>
      <c r="G291" s="39">
        <f t="shared" ref="G291" si="57">ROUND(D291*E291,2)</f>
        <v>1305.4000000000001</v>
      </c>
      <c r="H291" s="1324"/>
      <c r="I291" s="1311"/>
      <c r="J291" s="1311"/>
      <c r="K291" s="1325"/>
      <c r="L291" s="1421"/>
      <c r="M291" s="371"/>
      <c r="N291" s="426"/>
      <c r="O291" s="416"/>
      <c r="P291" s="416"/>
      <c r="Q291" s="417"/>
      <c r="R291" s="422"/>
      <c r="S291" s="399"/>
      <c r="T291" s="399"/>
    </row>
    <row r="292" spans="1:20" s="81" customFormat="1" ht="15.75" hidden="1" customHeight="1" outlineLevel="1" thickBot="1">
      <c r="A292" s="910"/>
      <c r="B292" s="911" t="s">
        <v>155</v>
      </c>
      <c r="C292" s="573" t="s">
        <v>115</v>
      </c>
      <c r="D292" s="912"/>
      <c r="E292" s="579">
        <f>7.0379-7.0426</f>
        <v>-4.7000000000005926E-3</v>
      </c>
      <c r="F292" s="580"/>
      <c r="G292" s="913">
        <f>ROUND(D292*E292,2)</f>
        <v>0</v>
      </c>
      <c r="H292" s="1369"/>
      <c r="I292" s="1285"/>
      <c r="J292" s="1285"/>
      <c r="K292" s="1356"/>
      <c r="L292" s="19">
        <f>SUM(G292:G294)</f>
        <v>0</v>
      </c>
      <c r="M292" s="26"/>
      <c r="N292" s="421"/>
      <c r="O292" s="77"/>
      <c r="P292" s="77"/>
      <c r="Q292" s="384"/>
      <c r="R292" s="422"/>
      <c r="S292" s="399"/>
      <c r="T292" s="399"/>
    </row>
    <row r="293" spans="1:20" s="81" customFormat="1" ht="15.75" hidden="1" customHeight="1" outlineLevel="1" thickBot="1">
      <c r="A293" s="910"/>
      <c r="B293" s="915"/>
      <c r="C293" s="573" t="s">
        <v>114</v>
      </c>
      <c r="D293" s="912"/>
      <c r="E293" s="579">
        <v>7.0378999999999996</v>
      </c>
      <c r="F293" s="580"/>
      <c r="G293" s="913">
        <f>ROUND(D293*E293,2)</f>
        <v>0</v>
      </c>
      <c r="H293" s="1369"/>
      <c r="I293" s="1290"/>
      <c r="J293" s="1290"/>
      <c r="K293" s="1334"/>
      <c r="L293" s="1426"/>
      <c r="M293" s="90"/>
      <c r="N293" s="423"/>
      <c r="O293" s="406"/>
      <c r="P293" s="406"/>
      <c r="Q293" s="407"/>
      <c r="R293" s="422"/>
      <c r="S293" s="399"/>
      <c r="T293" s="399"/>
    </row>
    <row r="294" spans="1:20" s="81" customFormat="1" ht="15.75" hidden="1" customHeight="1" outlineLevel="1" thickBot="1">
      <c r="A294" s="910"/>
      <c r="B294" s="915"/>
      <c r="C294" s="916" t="s">
        <v>29</v>
      </c>
      <c r="D294" s="912"/>
      <c r="E294" s="917">
        <v>7.0378999999999996</v>
      </c>
      <c r="F294" s="580"/>
      <c r="G294" s="913">
        <f t="shared" ref="G294" si="58">ROUND(D294*E294,2)</f>
        <v>0</v>
      </c>
      <c r="H294" s="1369"/>
      <c r="I294" s="1311"/>
      <c r="J294" s="1311"/>
      <c r="K294" s="1325"/>
      <c r="L294" s="1421"/>
      <c r="M294" s="371"/>
      <c r="N294" s="426"/>
      <c r="O294" s="416"/>
      <c r="P294" s="416"/>
      <c r="Q294" s="417"/>
      <c r="R294" s="422"/>
      <c r="S294" s="399"/>
      <c r="T294" s="399"/>
    </row>
    <row r="295" spans="1:20" s="81" customFormat="1" ht="15.75" customHeight="1" collapsed="1">
      <c r="A295" s="902">
        <v>406</v>
      </c>
      <c r="B295" s="903" t="s">
        <v>317</v>
      </c>
      <c r="C295" s="439" t="s">
        <v>260</v>
      </c>
      <c r="D295" s="904">
        <f>май.19!D296+май.19!D297</f>
        <v>37.090000000000003</v>
      </c>
      <c r="E295" s="23">
        <f>7.4594-7.6099</f>
        <v>-0.15050000000000008</v>
      </c>
      <c r="F295" s="905"/>
      <c r="G295" s="22">
        <f>ROUND(D295*E295,2)+0.01</f>
        <v>-5.57</v>
      </c>
      <c r="H295" s="1305"/>
      <c r="I295" s="1290"/>
      <c r="J295" s="1290"/>
      <c r="K295" s="1334"/>
      <c r="L295" s="1426">
        <f>SUM(G295:G297)</f>
        <v>435.57000000000005</v>
      </c>
      <c r="M295" s="90">
        <v>435.57</v>
      </c>
      <c r="N295" s="421"/>
      <c r="O295" s="77"/>
      <c r="P295" s="77"/>
      <c r="Q295" s="384"/>
      <c r="R295" s="422"/>
      <c r="S295" s="399"/>
      <c r="T295" s="399"/>
    </row>
    <row r="296" spans="1:20" s="81" customFormat="1" ht="15.75" customHeight="1">
      <c r="A296" s="468"/>
      <c r="B296" s="469"/>
      <c r="C296" s="48" t="s">
        <v>263</v>
      </c>
      <c r="D296" s="471">
        <v>0.14000000000000001</v>
      </c>
      <c r="E296" s="41">
        <v>7.4593999999999996</v>
      </c>
      <c r="F296" s="473"/>
      <c r="G296" s="449">
        <f>ROUND(D296*E296,2)</f>
        <v>1.04</v>
      </c>
      <c r="H296" s="1333"/>
      <c r="I296" s="1290"/>
      <c r="J296" s="1290"/>
      <c r="K296" s="1334"/>
      <c r="L296" s="1426"/>
      <c r="M296" s="90"/>
      <c r="N296" s="423"/>
      <c r="O296" s="406"/>
      <c r="P296" s="406"/>
      <c r="Q296" s="407"/>
      <c r="R296" s="422"/>
      <c r="S296" s="399"/>
      <c r="T296" s="399"/>
    </row>
    <row r="297" spans="1:20" s="81" customFormat="1" ht="15.75" customHeight="1" thickBot="1">
      <c r="A297" s="701"/>
      <c r="B297" s="702"/>
      <c r="C297" s="99" t="s">
        <v>29</v>
      </c>
      <c r="D297" s="703">
        <v>59</v>
      </c>
      <c r="E297" s="56">
        <v>7.4593999999999996</v>
      </c>
      <c r="F297" s="704"/>
      <c r="G297" s="39">
        <f t="shared" ref="G297" si="59">ROUND(D297*E297,2)</f>
        <v>440.1</v>
      </c>
      <c r="H297" s="1324"/>
      <c r="I297" s="1311"/>
      <c r="J297" s="1311"/>
      <c r="K297" s="1325"/>
      <c r="L297" s="1421"/>
      <c r="M297" s="371"/>
      <c r="N297" s="426"/>
      <c r="O297" s="416"/>
      <c r="P297" s="416"/>
      <c r="Q297" s="417"/>
      <c r="R297" s="422"/>
      <c r="S297" s="399"/>
      <c r="T297" s="399"/>
    </row>
    <row r="298" spans="1:20" s="81" customFormat="1" ht="15.75" customHeight="1" collapsed="1">
      <c r="A298" s="902">
        <v>407</v>
      </c>
      <c r="B298" s="903" t="s">
        <v>160</v>
      </c>
      <c r="C298" s="439" t="s">
        <v>260</v>
      </c>
      <c r="D298" s="904">
        <f>май.19!D299+май.19!D300</f>
        <v>17.04</v>
      </c>
      <c r="E298" s="23">
        <f>7.4594-7.6099</f>
        <v>-0.15050000000000008</v>
      </c>
      <c r="F298" s="905"/>
      <c r="G298" s="22">
        <f>ROUND(D298*E298,2)-0.01</f>
        <v>-2.57</v>
      </c>
      <c r="H298" s="1305"/>
      <c r="I298" s="1285"/>
      <c r="J298" s="1285"/>
      <c r="K298" s="1356"/>
      <c r="L298" s="19">
        <f>SUM(G298:G300)</f>
        <v>169.45</v>
      </c>
      <c r="M298" s="26">
        <v>169.45</v>
      </c>
      <c r="N298" s="421"/>
      <c r="O298" s="77"/>
      <c r="P298" s="77"/>
      <c r="Q298" s="384"/>
      <c r="R298" s="422"/>
      <c r="S298" s="399"/>
      <c r="T298" s="399"/>
    </row>
    <row r="299" spans="1:20" s="81" customFormat="1" ht="15.75" customHeight="1">
      <c r="A299" s="468"/>
      <c r="B299" s="469"/>
      <c r="C299" s="48" t="s">
        <v>263</v>
      </c>
      <c r="D299" s="471">
        <v>0.06</v>
      </c>
      <c r="E299" s="41">
        <v>7.4593999999999996</v>
      </c>
      <c r="F299" s="473"/>
      <c r="G299" s="449">
        <f>ROUND(D299*E299,2)</f>
        <v>0.45</v>
      </c>
      <c r="H299" s="1333"/>
      <c r="I299" s="1290"/>
      <c r="J299" s="1290"/>
      <c r="K299" s="1334"/>
      <c r="L299" s="1426"/>
      <c r="M299" s="90"/>
      <c r="N299" s="423"/>
      <c r="O299" s="406"/>
      <c r="P299" s="406"/>
      <c r="Q299" s="407"/>
      <c r="R299" s="422"/>
      <c r="S299" s="399"/>
      <c r="T299" s="399"/>
    </row>
    <row r="300" spans="1:20" s="81" customFormat="1" ht="15.75" customHeight="1" thickBot="1">
      <c r="A300" s="858"/>
      <c r="B300" s="859"/>
      <c r="C300" s="54" t="s">
        <v>29</v>
      </c>
      <c r="D300" s="860">
        <v>23</v>
      </c>
      <c r="E300" s="56">
        <v>7.4593999999999996</v>
      </c>
      <c r="F300" s="861"/>
      <c r="G300" s="414">
        <f t="shared" ref="G300" si="60">ROUND(D300*E300,2)</f>
        <v>171.57</v>
      </c>
      <c r="H300" s="1324"/>
      <c r="I300" s="1311"/>
      <c r="J300" s="1311"/>
      <c r="K300" s="1325"/>
      <c r="L300" s="1421"/>
      <c r="M300" s="371"/>
      <c r="N300" s="426"/>
      <c r="O300" s="416"/>
      <c r="P300" s="416"/>
      <c r="Q300" s="417"/>
      <c r="R300" s="422"/>
      <c r="S300" s="399"/>
      <c r="T300" s="399"/>
    </row>
    <row r="301" spans="1:20" s="81" customFormat="1" ht="15.75" customHeight="1">
      <c r="A301" s="906">
        <v>408</v>
      </c>
      <c r="B301" s="903" t="s">
        <v>253</v>
      </c>
      <c r="C301" s="382" t="s">
        <v>73</v>
      </c>
      <c r="D301" s="904">
        <v>52</v>
      </c>
      <c r="E301" s="907">
        <v>41.244</v>
      </c>
      <c r="F301" s="905">
        <v>48.335999999999999</v>
      </c>
      <c r="G301" s="908">
        <f>ROUND(D301*E301+D301*F301,2)</f>
        <v>4658.16</v>
      </c>
      <c r="H301" s="1305"/>
      <c r="I301" s="1285"/>
      <c r="J301" s="1285"/>
      <c r="K301" s="1356"/>
      <c r="L301" s="19">
        <f>SUM(G301:G305)</f>
        <v>17215.36</v>
      </c>
      <c r="M301" s="877">
        <v>17215.36</v>
      </c>
      <c r="N301" s="430"/>
      <c r="O301" s="77"/>
      <c r="P301" s="77"/>
      <c r="Q301" s="384"/>
      <c r="R301" s="422"/>
      <c r="S301" s="399"/>
      <c r="T301" s="399"/>
    </row>
    <row r="302" spans="1:20" s="81" customFormat="1" ht="15.75" customHeight="1" thickBot="1">
      <c r="A302" s="909"/>
      <c r="B302" s="469"/>
      <c r="C302" s="429" t="s">
        <v>26</v>
      </c>
      <c r="D302" s="471"/>
      <c r="E302" s="876"/>
      <c r="F302" s="473"/>
      <c r="G302" s="862">
        <f>ROUND(D302*E302+D302*F302,2)</f>
        <v>0</v>
      </c>
      <c r="H302" s="1289"/>
      <c r="I302" s="1287"/>
      <c r="J302" s="1287"/>
      <c r="K302" s="1323"/>
      <c r="L302" s="1420"/>
      <c r="M302" s="878"/>
      <c r="N302" s="430"/>
      <c r="O302" s="406"/>
      <c r="P302" s="406"/>
      <c r="Q302" s="407"/>
      <c r="R302" s="422"/>
      <c r="S302" s="399"/>
      <c r="T302" s="399"/>
    </row>
    <row r="303" spans="1:20" s="81" customFormat="1" ht="15.75" customHeight="1">
      <c r="A303" s="468"/>
      <c r="B303" s="699"/>
      <c r="C303" s="48" t="s">
        <v>260</v>
      </c>
      <c r="D303" s="471">
        <f>май.19!D304+май.19!D305</f>
        <v>1273.04</v>
      </c>
      <c r="E303" s="41">
        <f>7.4594-7.6099</f>
        <v>-0.15050000000000008</v>
      </c>
      <c r="F303" s="473"/>
      <c r="G303" s="862">
        <f>ROUND(D303*E303,2)</f>
        <v>-191.59</v>
      </c>
      <c r="H303" s="1289"/>
      <c r="I303" s="1287"/>
      <c r="J303" s="1287"/>
      <c r="K303" s="1323"/>
      <c r="L303" s="1420"/>
      <c r="M303" s="878"/>
      <c r="N303" s="421"/>
      <c r="O303" s="406"/>
      <c r="P303" s="406"/>
      <c r="Q303" s="407"/>
      <c r="R303" s="422"/>
      <c r="S303" s="399"/>
      <c r="T303" s="399"/>
    </row>
    <row r="304" spans="1:20" s="81" customFormat="1" ht="15.75" customHeight="1">
      <c r="A304" s="468"/>
      <c r="B304" s="469"/>
      <c r="C304" s="48" t="s">
        <v>263</v>
      </c>
      <c r="D304" s="471">
        <f>3.9+0.19</f>
        <v>4.09</v>
      </c>
      <c r="E304" s="41">
        <v>7.4593999999999996</v>
      </c>
      <c r="F304" s="473"/>
      <c r="G304" s="862">
        <f>ROUND(D304*E304,2)</f>
        <v>30.51</v>
      </c>
      <c r="H304" s="1289"/>
      <c r="I304" s="1287"/>
      <c r="J304" s="1287"/>
      <c r="K304" s="1323"/>
      <c r="L304" s="1420"/>
      <c r="M304" s="878"/>
      <c r="N304" s="423"/>
      <c r="O304" s="406"/>
      <c r="P304" s="406"/>
      <c r="Q304" s="407"/>
      <c r="R304" s="422"/>
      <c r="S304" s="399"/>
      <c r="T304" s="399"/>
    </row>
    <row r="305" spans="1:20" s="81" customFormat="1" ht="15.75" customHeight="1" thickBot="1">
      <c r="A305" s="858"/>
      <c r="B305" s="859"/>
      <c r="C305" s="54" t="s">
        <v>29</v>
      </c>
      <c r="D305" s="860">
        <f>1625+80</f>
        <v>1705</v>
      </c>
      <c r="E305" s="56">
        <v>7.4593999999999996</v>
      </c>
      <c r="F305" s="861"/>
      <c r="G305" s="866">
        <f t="shared" ref="G305" si="61">ROUND(D305*E305,2)</f>
        <v>12718.28</v>
      </c>
      <c r="H305" s="1324"/>
      <c r="I305" s="1311"/>
      <c r="J305" s="1311"/>
      <c r="K305" s="1325"/>
      <c r="L305" s="1421"/>
      <c r="M305" s="880"/>
      <c r="N305" s="426"/>
      <c r="O305" s="416"/>
      <c r="P305" s="416"/>
      <c r="Q305" s="417"/>
      <c r="R305" s="422"/>
      <c r="S305" s="399"/>
      <c r="T305" s="399"/>
    </row>
    <row r="306" spans="1:20" s="81" customFormat="1" ht="15" hidden="1" customHeight="1">
      <c r="A306" s="437">
        <v>129</v>
      </c>
      <c r="B306" s="438" t="s">
        <v>38</v>
      </c>
      <c r="C306" s="439"/>
      <c r="D306" s="378"/>
      <c r="E306" s="23"/>
      <c r="F306" s="23"/>
      <c r="G306" s="22"/>
      <c r="H306" s="1305"/>
      <c r="I306" s="1285"/>
      <c r="J306" s="1285"/>
      <c r="K306" s="1356"/>
      <c r="L306" s="439">
        <f>+SUM(G306:G309,J306:J309)</f>
        <v>0</v>
      </c>
      <c r="M306" s="26"/>
      <c r="N306" s="421"/>
      <c r="O306" s="77"/>
      <c r="P306" s="77"/>
      <c r="Q306" s="384">
        <f>+L306-M306</f>
        <v>0</v>
      </c>
      <c r="R306" s="899"/>
      <c r="S306" s="399"/>
      <c r="T306" s="399"/>
    </row>
    <row r="307" spans="1:20" s="81" customFormat="1" ht="15" hidden="1" customHeight="1">
      <c r="A307" s="441"/>
      <c r="B307" s="442" t="s">
        <v>198</v>
      </c>
      <c r="C307" s="48" t="s">
        <v>118</v>
      </c>
      <c r="D307" s="37"/>
      <c r="E307" s="41">
        <f>6.8416-6.7432</f>
        <v>9.8399999999999821E-2</v>
      </c>
      <c r="F307" s="41"/>
      <c r="G307" s="39">
        <f>ROUND(D307*E307,2)</f>
        <v>0</v>
      </c>
      <c r="H307" s="1333"/>
      <c r="I307" s="1290"/>
      <c r="J307" s="1290"/>
      <c r="K307" s="1334"/>
      <c r="L307" s="700"/>
      <c r="M307" s="90"/>
      <c r="N307" s="443"/>
      <c r="O307" s="94"/>
      <c r="P307" s="94"/>
      <c r="Q307" s="396"/>
      <c r="R307" s="899"/>
      <c r="S307" s="399"/>
      <c r="T307" s="399"/>
    </row>
    <row r="308" spans="1:20" s="81" customFormat="1" ht="15.75" hidden="1" thickBot="1">
      <c r="A308" s="441"/>
      <c r="B308" s="444"/>
      <c r="C308" s="48" t="s">
        <v>119</v>
      </c>
      <c r="D308" s="37"/>
      <c r="E308" s="41">
        <v>6.8415999999999997</v>
      </c>
      <c r="F308" s="41"/>
      <c r="G308" s="39">
        <f t="shared" ref="G308:G309" si="62">ROUND(D308*E308,2)</f>
        <v>0</v>
      </c>
      <c r="H308" s="1357"/>
      <c r="I308" s="1291"/>
      <c r="J308" s="1291"/>
      <c r="K308" s="1358"/>
      <c r="L308" s="1429"/>
      <c r="M308" s="63"/>
      <c r="N308" s="423"/>
      <c r="O308" s="406"/>
      <c r="P308" s="406"/>
      <c r="Q308" s="407"/>
      <c r="R308" s="899"/>
      <c r="S308" s="399"/>
      <c r="T308" s="399"/>
    </row>
    <row r="309" spans="1:20" s="81" customFormat="1" ht="15" hidden="1" customHeight="1" thickBot="1">
      <c r="A309" s="445"/>
      <c r="B309" s="446"/>
      <c r="C309" s="99" t="s">
        <v>29</v>
      </c>
      <c r="D309" s="413"/>
      <c r="E309" s="56">
        <v>6.8415999999999997</v>
      </c>
      <c r="F309" s="281"/>
      <c r="G309" s="414">
        <f t="shared" si="62"/>
        <v>0</v>
      </c>
      <c r="H309" s="1324"/>
      <c r="I309" s="1311"/>
      <c r="J309" s="1311"/>
      <c r="K309" s="1325"/>
      <c r="L309" s="1421"/>
      <c r="M309" s="371"/>
      <c r="N309" s="434"/>
      <c r="O309" s="435"/>
      <c r="P309" s="435"/>
      <c r="Q309" s="425"/>
      <c r="R309" s="899"/>
      <c r="S309" s="399"/>
      <c r="T309" s="399"/>
    </row>
    <row r="310" spans="1:20" s="81" customFormat="1" ht="15.75" hidden="1" customHeight="1">
      <c r="A310" s="902">
        <v>118</v>
      </c>
      <c r="B310" s="924" t="s">
        <v>200</v>
      </c>
      <c r="C310" s="390" t="s">
        <v>73</v>
      </c>
      <c r="D310" s="869"/>
      <c r="E310" s="86">
        <v>36.214199999999998</v>
      </c>
      <c r="F310" s="86">
        <v>42.4328</v>
      </c>
      <c r="G310" s="449">
        <f>+D310*(E310+F310)</f>
        <v>0</v>
      </c>
      <c r="H310" s="1333"/>
      <c r="I310" s="1354"/>
      <c r="J310" s="1287"/>
      <c r="K310" s="1322"/>
      <c r="L310" s="1426">
        <f>SUM(G310:G314,J310:J314)</f>
        <v>0</v>
      </c>
      <c r="M310" s="90"/>
      <c r="N310" s="443"/>
      <c r="O310" s="94"/>
      <c r="P310" s="94"/>
      <c r="Q310" s="396"/>
      <c r="R310" s="422"/>
      <c r="S310" s="399"/>
      <c r="T310" s="399"/>
    </row>
    <row r="311" spans="1:20" s="81" customFormat="1" ht="15.75" hidden="1" customHeight="1">
      <c r="A311" s="468"/>
      <c r="B311" s="920"/>
      <c r="C311" s="36" t="s">
        <v>26</v>
      </c>
      <c r="D311" s="37"/>
      <c r="E311" s="38"/>
      <c r="F311" s="38"/>
      <c r="G311" s="39">
        <f>ROUND(D311*(E311+F311),2)</f>
        <v>0</v>
      </c>
      <c r="H311" s="1353"/>
      <c r="I311" s="1354"/>
      <c r="J311" s="1287"/>
      <c r="K311" s="1355"/>
      <c r="L311" s="1428"/>
      <c r="M311" s="44"/>
      <c r="N311" s="430"/>
      <c r="O311" s="406"/>
      <c r="P311" s="406"/>
      <c r="Q311" s="407"/>
      <c r="R311" s="422"/>
      <c r="S311" s="399"/>
      <c r="T311" s="399"/>
    </row>
    <row r="312" spans="1:20" s="81" customFormat="1" ht="15.75" hidden="1" customHeight="1">
      <c r="A312" s="468"/>
      <c r="B312" s="920"/>
      <c r="C312" s="48" t="s">
        <v>124</v>
      </c>
      <c r="D312" s="37"/>
      <c r="E312" s="41"/>
      <c r="F312" s="38"/>
      <c r="G312" s="39">
        <f>ROUND(D312*(E312),2)</f>
        <v>0</v>
      </c>
      <c r="H312" s="1289"/>
      <c r="I312" s="1287"/>
      <c r="J312" s="1287"/>
      <c r="K312" s="1323"/>
      <c r="L312" s="1420"/>
      <c r="M312" s="102"/>
      <c r="N312" s="430"/>
      <c r="O312" s="406"/>
      <c r="P312" s="406"/>
      <c r="Q312" s="407"/>
      <c r="R312" s="422"/>
      <c r="S312" s="399"/>
      <c r="T312" s="399"/>
    </row>
    <row r="313" spans="1:20" s="81" customFormat="1" ht="15.75" hidden="1" customHeight="1">
      <c r="A313" s="468"/>
      <c r="B313" s="920"/>
      <c r="C313" s="48" t="s">
        <v>125</v>
      </c>
      <c r="D313" s="37"/>
      <c r="E313" s="41">
        <v>6.7431999999999999</v>
      </c>
      <c r="F313" s="38"/>
      <c r="G313" s="39">
        <f>ROUND(D313*(E313),2)</f>
        <v>0</v>
      </c>
      <c r="H313" s="1289"/>
      <c r="I313" s="1287"/>
      <c r="J313" s="1287"/>
      <c r="K313" s="1323"/>
      <c r="L313" s="1420"/>
      <c r="M313" s="102"/>
      <c r="N313" s="434"/>
      <c r="O313" s="435"/>
      <c r="P313" s="435"/>
      <c r="Q313" s="425"/>
      <c r="R313" s="422"/>
      <c r="S313" s="399"/>
      <c r="T313" s="399"/>
    </row>
    <row r="314" spans="1:20" s="81" customFormat="1" ht="15.75" hidden="1" customHeight="1" thickBot="1">
      <c r="A314" s="858"/>
      <c r="B314" s="921"/>
      <c r="C314" s="54" t="s">
        <v>29</v>
      </c>
      <c r="D314" s="413"/>
      <c r="E314" s="56">
        <v>6.7431999999999999</v>
      </c>
      <c r="F314" s="281"/>
      <c r="G314" s="414">
        <f>ROUND(D314*(E314),2)</f>
        <v>0</v>
      </c>
      <c r="H314" s="1324"/>
      <c r="I314" s="1311"/>
      <c r="J314" s="1311"/>
      <c r="K314" s="1325"/>
      <c r="L314" s="1421"/>
      <c r="M314" s="371"/>
      <c r="N314" s="426"/>
      <c r="O314" s="416"/>
      <c r="P314" s="416"/>
      <c r="Q314" s="417"/>
      <c r="R314" s="422"/>
      <c r="S314" s="399"/>
      <c r="T314" s="399"/>
    </row>
    <row r="315" spans="1:20" s="81" customFormat="1" ht="15.75" customHeight="1">
      <c r="A315" s="902" t="s">
        <v>258</v>
      </c>
      <c r="B315" s="903" t="s">
        <v>265</v>
      </c>
      <c r="C315" s="439" t="s">
        <v>260</v>
      </c>
      <c r="D315" s="904">
        <f>май.19!D316+май.19!D317</f>
        <v>365.88</v>
      </c>
      <c r="E315" s="23">
        <f>7.4594-7.6099</f>
        <v>-0.15050000000000008</v>
      </c>
      <c r="F315" s="905"/>
      <c r="G315" s="22">
        <f>ROUND(D315*E315,2)</f>
        <v>-55.06</v>
      </c>
      <c r="H315" s="1305"/>
      <c r="I315" s="1285"/>
      <c r="J315" s="1285"/>
      <c r="K315" s="1356"/>
      <c r="L315" s="19">
        <f>SUM(G315:G317)</f>
        <v>984.25999999999988</v>
      </c>
      <c r="M315" s="26">
        <v>984.26</v>
      </c>
      <c r="N315" s="421"/>
      <c r="O315" s="77"/>
      <c r="P315" s="77"/>
      <c r="Q315" s="384"/>
      <c r="R315" s="422"/>
      <c r="S315" s="399"/>
      <c r="T315" s="399"/>
    </row>
    <row r="316" spans="1:20" s="81" customFormat="1" ht="15.75" customHeight="1">
      <c r="A316" s="468"/>
      <c r="B316" s="469"/>
      <c r="C316" s="48" t="s">
        <v>263</v>
      </c>
      <c r="D316" s="471">
        <v>0.33</v>
      </c>
      <c r="E316" s="41">
        <v>7.4593999999999996</v>
      </c>
      <c r="F316" s="473"/>
      <c r="G316" s="449">
        <f>ROUND(D316*E316,2)</f>
        <v>2.46</v>
      </c>
      <c r="H316" s="1333"/>
      <c r="I316" s="1290"/>
      <c r="J316" s="1290"/>
      <c r="K316" s="1334"/>
      <c r="L316" s="1426"/>
      <c r="M316" s="90"/>
      <c r="N316" s="423"/>
      <c r="O316" s="406"/>
      <c r="P316" s="406"/>
      <c r="Q316" s="407"/>
      <c r="R316" s="422"/>
      <c r="S316" s="399"/>
      <c r="T316" s="399"/>
    </row>
    <row r="317" spans="1:20" s="81" customFormat="1" ht="15.75" customHeight="1" thickBot="1">
      <c r="A317" s="858"/>
      <c r="B317" s="859"/>
      <c r="C317" s="54" t="s">
        <v>29</v>
      </c>
      <c r="D317" s="860">
        <v>139</v>
      </c>
      <c r="E317" s="56">
        <v>7.4593999999999996</v>
      </c>
      <c r="F317" s="861"/>
      <c r="G317" s="414">
        <f t="shared" ref="G317" si="63">ROUND(D317*E317,2)</f>
        <v>1036.8599999999999</v>
      </c>
      <c r="H317" s="1324"/>
      <c r="I317" s="1311"/>
      <c r="J317" s="1311"/>
      <c r="K317" s="1325"/>
      <c r="L317" s="1421"/>
      <c r="M317" s="371"/>
      <c r="N317" s="426"/>
      <c r="O317" s="416"/>
      <c r="P317" s="416"/>
      <c r="Q317" s="417"/>
      <c r="R317" s="422"/>
      <c r="S317" s="399"/>
      <c r="T317" s="399"/>
    </row>
    <row r="318" spans="1:20" s="81" customFormat="1" ht="15.75" customHeight="1">
      <c r="A318" s="902" t="s">
        <v>258</v>
      </c>
      <c r="B318" s="903" t="s">
        <v>267</v>
      </c>
      <c r="C318" s="439" t="s">
        <v>260</v>
      </c>
      <c r="D318" s="904">
        <f>май.19!D319+май.19!D320</f>
        <v>130.31</v>
      </c>
      <c r="E318" s="23">
        <f>7.4594-7.6099</f>
        <v>-0.15050000000000008</v>
      </c>
      <c r="F318" s="905"/>
      <c r="G318" s="22">
        <f>ROUND(D318*E318,2)-0.01</f>
        <v>-19.62</v>
      </c>
      <c r="H318" s="1305"/>
      <c r="I318" s="1285"/>
      <c r="J318" s="1285"/>
      <c r="K318" s="1356"/>
      <c r="L318" s="19">
        <f>SUM(G318:G320)</f>
        <v>182.23000000000002</v>
      </c>
      <c r="M318" s="26">
        <v>182.23</v>
      </c>
      <c r="N318" s="421"/>
      <c r="O318" s="1561"/>
      <c r="P318" s="1562"/>
      <c r="Q318" s="1563"/>
      <c r="R318" s="422"/>
      <c r="S318" s="399"/>
      <c r="T318" s="399"/>
    </row>
    <row r="319" spans="1:20" s="81" customFormat="1" ht="15.75" customHeight="1">
      <c r="A319" s="468"/>
      <c r="B319" s="469"/>
      <c r="C319" s="48" t="s">
        <v>263</v>
      </c>
      <c r="D319" s="471">
        <v>0.06</v>
      </c>
      <c r="E319" s="41">
        <v>7.4593999999999996</v>
      </c>
      <c r="F319" s="473"/>
      <c r="G319" s="449">
        <f>ROUND(D319*E319,2)</f>
        <v>0.45</v>
      </c>
      <c r="H319" s="1333"/>
      <c r="I319" s="1290"/>
      <c r="J319" s="1290"/>
      <c r="K319" s="1334"/>
      <c r="L319" s="1426"/>
      <c r="M319" s="90"/>
      <c r="N319" s="423"/>
      <c r="O319" s="406"/>
      <c r="P319" s="406"/>
      <c r="Q319" s="407"/>
      <c r="R319" s="422"/>
      <c r="S319" s="399"/>
      <c r="T319" s="399"/>
    </row>
    <row r="320" spans="1:20" s="81" customFormat="1" ht="15.75" customHeight="1" thickBot="1">
      <c r="A320" s="858"/>
      <c r="B320" s="859"/>
      <c r="C320" s="54" t="s">
        <v>29</v>
      </c>
      <c r="D320" s="860">
        <v>27</v>
      </c>
      <c r="E320" s="56">
        <v>7.4593999999999996</v>
      </c>
      <c r="F320" s="861"/>
      <c r="G320" s="414">
        <f t="shared" ref="G320" si="64">ROUND(D320*E320,2)</f>
        <v>201.4</v>
      </c>
      <c r="H320" s="1324"/>
      <c r="I320" s="1311"/>
      <c r="J320" s="1311"/>
      <c r="K320" s="1325"/>
      <c r="L320" s="1421"/>
      <c r="M320" s="371"/>
      <c r="N320" s="426"/>
      <c r="O320" s="416"/>
      <c r="P320" s="416"/>
      <c r="Q320" s="417"/>
      <c r="R320" s="422"/>
      <c r="S320" s="399"/>
      <c r="T320" s="399"/>
    </row>
    <row r="321" spans="1:21" s="81" customFormat="1" ht="15.75" customHeight="1">
      <c r="A321" s="926"/>
      <c r="B321" s="927"/>
      <c r="C321" s="928"/>
      <c r="D321" s="904"/>
      <c r="E321" s="929"/>
      <c r="F321" s="905"/>
      <c r="G321" s="930"/>
      <c r="H321" s="1370"/>
      <c r="I321" s="1370"/>
      <c r="J321" s="1370"/>
      <c r="K321" s="1370"/>
      <c r="L321" s="1370"/>
      <c r="M321" s="931"/>
      <c r="N321" s="387"/>
      <c r="O321" s="387"/>
      <c r="P321" s="387"/>
      <c r="Q321" s="387"/>
      <c r="R321" s="422"/>
      <c r="S321" s="399"/>
      <c r="T321" s="399"/>
    </row>
    <row r="322" spans="1:21" s="81" customFormat="1" ht="15" customHeight="1">
      <c r="A322" s="686"/>
      <c r="B322" s="469"/>
      <c r="C322" s="932"/>
      <c r="D322" s="471"/>
      <c r="E322" s="473"/>
      <c r="F322" s="473"/>
      <c r="G322" s="474"/>
      <c r="H322" s="1371"/>
      <c r="I322" s="1371"/>
      <c r="J322" s="1371"/>
      <c r="K322" s="1371"/>
      <c r="L322" s="1371"/>
      <c r="M322" s="470"/>
      <c r="N322" s="399"/>
      <c r="O322" s="399"/>
      <c r="P322" s="399"/>
      <c r="Q322" s="399"/>
      <c r="R322" s="422"/>
      <c r="S322" s="399"/>
      <c r="T322" s="399"/>
    </row>
    <row r="323" spans="1:21" ht="21.75" thickBot="1">
      <c r="A323" s="171" t="s">
        <v>84</v>
      </c>
      <c r="B323" s="2"/>
      <c r="C323" s="2"/>
      <c r="D323" s="2"/>
      <c r="E323" s="2"/>
      <c r="F323" s="2"/>
      <c r="G323" s="2"/>
      <c r="H323" s="1269"/>
      <c r="I323" s="1269"/>
      <c r="J323" s="1269"/>
      <c r="K323" s="1269"/>
      <c r="L323" s="1269"/>
      <c r="M323" s="3"/>
      <c r="N323" s="2"/>
      <c r="O323" s="2"/>
      <c r="P323" s="2"/>
      <c r="Q323" s="2"/>
      <c r="R323" s="2"/>
      <c r="S323" s="2"/>
      <c r="T323" s="2"/>
    </row>
    <row r="324" spans="1:21" ht="15.75" customHeight="1" thickTop="1" thickBot="1">
      <c r="A324" s="1540" t="s">
        <v>1</v>
      </c>
      <c r="B324" s="1542" t="s">
        <v>2</v>
      </c>
      <c r="C324" s="1544" t="s">
        <v>3</v>
      </c>
      <c r="D324" s="1546" t="s">
        <v>4</v>
      </c>
      <c r="E324" s="1546"/>
      <c r="F324" s="1546"/>
      <c r="G324" s="1546"/>
      <c r="H324" s="1565" t="s">
        <v>5</v>
      </c>
      <c r="I324" s="1566"/>
      <c r="J324" s="1566"/>
      <c r="K324" s="1567"/>
      <c r="L324" s="1568" t="s">
        <v>6</v>
      </c>
      <c r="M324" s="1511" t="s">
        <v>7</v>
      </c>
      <c r="N324" s="1551" t="s">
        <v>8</v>
      </c>
      <c r="O324" s="1551"/>
      <c r="P324" s="1551"/>
      <c r="Q324" s="1552" t="s">
        <v>18</v>
      </c>
      <c r="R324" s="481" t="s">
        <v>85</v>
      </c>
      <c r="S324" s="482" t="s">
        <v>20</v>
      </c>
      <c r="T324" s="482" t="s">
        <v>21</v>
      </c>
    </row>
    <row r="325" spans="1:21" ht="40.5" customHeight="1" thickTop="1" thickBot="1">
      <c r="A325" s="1541"/>
      <c r="B325" s="1543"/>
      <c r="C325" s="1545" t="s">
        <v>10</v>
      </c>
      <c r="D325" s="483" t="s">
        <v>11</v>
      </c>
      <c r="E325" s="484" t="s">
        <v>12</v>
      </c>
      <c r="F325" s="484" t="s">
        <v>13</v>
      </c>
      <c r="G325" s="485" t="s">
        <v>14</v>
      </c>
      <c r="H325" s="1372" t="s">
        <v>11</v>
      </c>
      <c r="I325" s="1373" t="s">
        <v>15</v>
      </c>
      <c r="J325" s="1373"/>
      <c r="K325" s="1374" t="s">
        <v>16</v>
      </c>
      <c r="L325" s="1569"/>
      <c r="M325" s="1550"/>
      <c r="N325" s="488" t="s">
        <v>14</v>
      </c>
      <c r="O325" s="485"/>
      <c r="P325" s="489" t="s">
        <v>18</v>
      </c>
      <c r="Q325" s="490" t="s">
        <v>19</v>
      </c>
      <c r="R325" s="491"/>
      <c r="S325" s="492"/>
      <c r="T325" s="492"/>
    </row>
    <row r="326" spans="1:21">
      <c r="A326" s="961" t="s">
        <v>228</v>
      </c>
      <c r="B326" s="602" t="s">
        <v>186</v>
      </c>
      <c r="C326" s="439" t="s">
        <v>260</v>
      </c>
      <c r="D326" s="184">
        <f>май.19!D327+май.19!D328</f>
        <v>148.29</v>
      </c>
      <c r="E326" s="41">
        <f>7.1389-7.4271</f>
        <v>-0.28820000000000068</v>
      </c>
      <c r="F326" s="23"/>
      <c r="G326" s="185">
        <f>ROUND(D326*(E326),2)+0.01</f>
        <v>-42.730000000000004</v>
      </c>
      <c r="H326" s="1375"/>
      <c r="I326" s="1375"/>
      <c r="J326" s="1375"/>
      <c r="K326" s="601"/>
      <c r="L326" s="498">
        <f>SUM(G326:G328)</f>
        <v>1217.21</v>
      </c>
      <c r="M326" s="187">
        <v>1217.21</v>
      </c>
      <c r="N326" s="615"/>
      <c r="O326" s="615"/>
      <c r="P326" s="615"/>
      <c r="Q326" s="615"/>
    </row>
    <row r="327" spans="1:21">
      <c r="A327" s="934"/>
      <c r="B327" s="506"/>
      <c r="C327" s="48" t="s">
        <v>263</v>
      </c>
      <c r="D327" s="49">
        <v>7.49</v>
      </c>
      <c r="E327" s="41">
        <v>7.1388999999999996</v>
      </c>
      <c r="F327" s="41">
        <f>+E327</f>
        <v>7.1388999999999996</v>
      </c>
      <c r="G327" s="50">
        <f>ROUND(D327*(E327),2)</f>
        <v>53.47</v>
      </c>
      <c r="H327" s="1376"/>
      <c r="I327" s="1377"/>
      <c r="J327" s="1377"/>
      <c r="K327" s="1378"/>
      <c r="L327" s="1416"/>
      <c r="M327" s="935"/>
      <c r="N327" s="615"/>
      <c r="O327" s="615"/>
      <c r="P327" s="615"/>
      <c r="Q327" s="615"/>
    </row>
    <row r="328" spans="1:21" ht="15.75" thickBot="1">
      <c r="A328" s="934"/>
      <c r="B328" s="506"/>
      <c r="C328" s="54" t="s">
        <v>29</v>
      </c>
      <c r="D328" s="296">
        <v>169</v>
      </c>
      <c r="E328" s="56">
        <v>7.1388999999999996</v>
      </c>
      <c r="F328" s="41">
        <f>+E328</f>
        <v>7.1388999999999996</v>
      </c>
      <c r="G328" s="50">
        <f t="shared" ref="G328" si="65">ROUND(D328*(E328),2)</f>
        <v>1206.47</v>
      </c>
      <c r="H328" s="1376"/>
      <c r="I328" s="1377"/>
      <c r="J328" s="1377"/>
      <c r="K328" s="1378"/>
      <c r="L328" s="1417"/>
      <c r="M328" s="935"/>
      <c r="N328" s="615"/>
      <c r="O328" s="615"/>
      <c r="P328" s="615"/>
      <c r="Q328" s="615"/>
    </row>
    <row r="329" spans="1:21">
      <c r="A329" s="961" t="s">
        <v>207</v>
      </c>
      <c r="B329" s="602" t="s">
        <v>184</v>
      </c>
      <c r="C329" s="439" t="s">
        <v>260</v>
      </c>
      <c r="D329" s="184">
        <v>0</v>
      </c>
      <c r="E329" s="41">
        <f>7.1389-7.4271</f>
        <v>-0.28820000000000068</v>
      </c>
      <c r="F329" s="23">
        <f>+E329</f>
        <v>-0.28820000000000068</v>
      </c>
      <c r="G329" s="185">
        <f>ROUND(D329*(E329),2)</f>
        <v>0</v>
      </c>
      <c r="H329" s="1375"/>
      <c r="I329" s="1375"/>
      <c r="J329" s="1375"/>
      <c r="K329" s="601"/>
      <c r="L329" s="498">
        <f>SUM(G329:G331)</f>
        <v>67.11</v>
      </c>
      <c r="M329" s="187"/>
      <c r="N329" s="615"/>
      <c r="O329" s="962" t="s">
        <v>344</v>
      </c>
      <c r="P329" s="615"/>
      <c r="Q329" s="615"/>
    </row>
    <row r="330" spans="1:21">
      <c r="A330" s="934"/>
      <c r="B330" s="506"/>
      <c r="C330" s="48" t="s">
        <v>263</v>
      </c>
      <c r="D330" s="49">
        <v>0.4</v>
      </c>
      <c r="E330" s="41">
        <v>7.1388999999999996</v>
      </c>
      <c r="F330" s="41">
        <f>+E330</f>
        <v>7.1388999999999996</v>
      </c>
      <c r="G330" s="50">
        <f>ROUND(D330*(E330),2)</f>
        <v>2.86</v>
      </c>
      <c r="H330" s="1376"/>
      <c r="I330" s="1377"/>
      <c r="J330" s="1377"/>
      <c r="K330" s="1378"/>
      <c r="L330" s="1416"/>
      <c r="M330" s="935"/>
      <c r="N330" s="615"/>
      <c r="O330" s="615"/>
      <c r="P330" s="615"/>
      <c r="Q330" s="615"/>
    </row>
    <row r="331" spans="1:21" ht="15.75" thickBot="1">
      <c r="A331" s="934"/>
      <c r="B331" s="506"/>
      <c r="C331" s="54" t="s">
        <v>29</v>
      </c>
      <c r="D331" s="296">
        <v>9</v>
      </c>
      <c r="E331" s="56">
        <v>7.1388999999999996</v>
      </c>
      <c r="F331" s="41">
        <f>+E331</f>
        <v>7.1388999999999996</v>
      </c>
      <c r="G331" s="50">
        <f t="shared" ref="G331" si="66">ROUND(D331*(E331),2)</f>
        <v>64.25</v>
      </c>
      <c r="H331" s="1376"/>
      <c r="I331" s="1377"/>
      <c r="J331" s="1377"/>
      <c r="K331" s="1378"/>
      <c r="L331" s="1417"/>
      <c r="M331" s="935"/>
      <c r="N331" s="615"/>
      <c r="O331" s="615"/>
      <c r="P331" s="615"/>
      <c r="Q331" s="615"/>
    </row>
    <row r="332" spans="1:21" ht="16.5" hidden="1" thickTop="1" thickBot="1">
      <c r="A332" s="376">
        <v>100</v>
      </c>
      <c r="B332" s="494" t="s">
        <v>193</v>
      </c>
      <c r="C332" s="71" t="s">
        <v>243</v>
      </c>
      <c r="D332" s="495"/>
      <c r="E332" s="21">
        <v>40.556600000000003</v>
      </c>
      <c r="F332" s="21">
        <v>47.5304</v>
      </c>
      <c r="G332" s="185">
        <f>ROUND(D332*(E332+F332),2)</f>
        <v>0</v>
      </c>
      <c r="H332" s="1379"/>
      <c r="I332" s="1285"/>
      <c r="J332" s="1285"/>
      <c r="K332" s="601"/>
      <c r="L332" s="498">
        <f>SUM(G332:G339)+SUM(J332:J338)</f>
        <v>0</v>
      </c>
      <c r="M332" s="26"/>
      <c r="N332" s="499"/>
      <c r="O332" s="500"/>
      <c r="P332" s="501" t="s">
        <v>87</v>
      </c>
      <c r="Q332" s="595" t="e">
        <f t="shared" ref="Q332" si="67">C332+G332+J332-M332-N332-O332</f>
        <v>#VALUE!</v>
      </c>
    </row>
    <row r="333" spans="1:21" ht="15.75" hidden="1" thickBot="1">
      <c r="A333" s="389"/>
      <c r="B333" s="999" t="s">
        <v>302</v>
      </c>
      <c r="C333" s="507" t="s">
        <v>96</v>
      </c>
      <c r="D333" s="234"/>
      <c r="E333" s="38"/>
      <c r="F333" s="38"/>
      <c r="G333" s="235">
        <f>ROUND(D333*(E333+F333),2)</f>
        <v>0</v>
      </c>
      <c r="H333" s="1380"/>
      <c r="I333" s="1290"/>
      <c r="J333" s="1315"/>
      <c r="K333" s="517"/>
      <c r="L333" s="511"/>
      <c r="M333" s="512"/>
      <c r="N333" s="513"/>
      <c r="O333" s="514"/>
      <c r="P333" s="515"/>
      <c r="Q333" s="262"/>
      <c r="U333" s="33"/>
    </row>
    <row r="334" spans="1:21" ht="15.75" hidden="1" thickBot="1">
      <c r="A334" s="389"/>
      <c r="B334" s="516" t="s">
        <v>89</v>
      </c>
      <c r="C334" s="512" t="s">
        <v>90</v>
      </c>
      <c r="D334" s="508"/>
      <c r="E334" s="101"/>
      <c r="F334" s="38">
        <v>47.5304</v>
      </c>
      <c r="G334" s="50">
        <f>ROUND(D334*(E334+F334),2)</f>
        <v>0</v>
      </c>
      <c r="H334" s="1289"/>
      <c r="I334" s="1287"/>
      <c r="J334" s="1291"/>
      <c r="K334" s="517"/>
      <c r="L334" s="517"/>
      <c r="M334" s="99"/>
      <c r="N334" s="518"/>
      <c r="O334" s="519"/>
      <c r="P334" s="515" t="s">
        <v>87</v>
      </c>
      <c r="Q334" s="271">
        <f>+G334+J334-M334-N334-O334</f>
        <v>0</v>
      </c>
    </row>
    <row r="335" spans="1:21" ht="15.75" hidden="1" thickBot="1">
      <c r="A335" s="389"/>
      <c r="B335" s="541"/>
      <c r="C335" s="84" t="s">
        <v>97</v>
      </c>
      <c r="D335" s="508"/>
      <c r="E335" s="41"/>
      <c r="F335" s="38"/>
      <c r="G335" s="50">
        <f>ROUND(D335*(E335+F335),2)</f>
        <v>0</v>
      </c>
      <c r="H335" s="1357"/>
      <c r="I335" s="1358"/>
      <c r="J335" s="1291"/>
      <c r="K335" s="517"/>
      <c r="L335" s="517"/>
      <c r="M335" s="520"/>
      <c r="N335" s="521"/>
      <c r="O335" s="522"/>
      <c r="P335" s="523"/>
      <c r="Q335" s="362"/>
    </row>
    <row r="336" spans="1:21" ht="15.75" hidden="1" thickBot="1">
      <c r="A336" s="389"/>
      <c r="B336" s="1033" t="s">
        <v>194</v>
      </c>
      <c r="C336" s="84"/>
      <c r="D336" s="508"/>
      <c r="E336" s="41"/>
      <c r="F336" s="41"/>
      <c r="G336" s="50"/>
      <c r="H336" s="1357"/>
      <c r="I336" s="1358"/>
      <c r="J336" s="1291"/>
      <c r="K336" s="517"/>
      <c r="L336" s="517"/>
      <c r="M336" s="520"/>
      <c r="N336" s="521"/>
      <c r="O336" s="522"/>
      <c r="P336" s="523"/>
      <c r="Q336" s="362"/>
    </row>
    <row r="337" spans="1:21" ht="15.75" hidden="1" thickBot="1">
      <c r="A337" s="389"/>
      <c r="B337" s="506"/>
      <c r="C337" s="48" t="s">
        <v>260</v>
      </c>
      <c r="D337" s="37"/>
      <c r="E337" s="41"/>
      <c r="F337" s="41">
        <f>+E337</f>
        <v>0</v>
      </c>
      <c r="G337" s="39">
        <f>ROUND(D337*E337,2)</f>
        <v>0</v>
      </c>
      <c r="H337" s="1357"/>
      <c r="I337" s="1358"/>
      <c r="J337" s="1291"/>
      <c r="K337" s="517"/>
      <c r="L337" s="517"/>
      <c r="M337" s="520"/>
      <c r="N337" s="521"/>
      <c r="O337" s="522"/>
      <c r="P337" s="523"/>
      <c r="Q337" s="362"/>
    </row>
    <row r="338" spans="1:21" ht="15.75" hidden="1" thickBot="1">
      <c r="A338" s="389"/>
      <c r="B338" s="506"/>
      <c r="C338" s="48" t="s">
        <v>263</v>
      </c>
      <c r="D338" s="37"/>
      <c r="E338" s="41">
        <v>6.7838000000000003</v>
      </c>
      <c r="F338" s="41">
        <f>+E338</f>
        <v>6.7838000000000003</v>
      </c>
      <c r="G338" s="39">
        <f>ROUND(D338*E338,2)</f>
        <v>0</v>
      </c>
      <c r="H338" s="1357"/>
      <c r="I338" s="1358"/>
      <c r="J338" s="1291"/>
      <c r="K338" s="517"/>
      <c r="L338" s="517"/>
      <c r="M338" s="520"/>
      <c r="N338" s="521"/>
      <c r="O338" s="522"/>
      <c r="P338" s="523"/>
      <c r="Q338" s="362"/>
      <c r="U338" s="33"/>
    </row>
    <row r="339" spans="1:21" ht="15.75" hidden="1" thickBot="1">
      <c r="A339" s="411"/>
      <c r="B339" s="526"/>
      <c r="C339" s="99" t="s">
        <v>29</v>
      </c>
      <c r="D339" s="55"/>
      <c r="E339" s="1012">
        <v>6.7838000000000003</v>
      </c>
      <c r="F339" s="281">
        <f>+E339</f>
        <v>6.7838000000000003</v>
      </c>
      <c r="G339" s="58">
        <f>ROUND(D339*E339,2)</f>
        <v>0</v>
      </c>
      <c r="H339" s="1337"/>
      <c r="I339" s="1317"/>
      <c r="J339" s="1318"/>
      <c r="K339" s="1319"/>
      <c r="L339" s="1419"/>
      <c r="M339" s="54"/>
      <c r="N339" s="521"/>
      <c r="O339" s="528"/>
      <c r="P339" s="529" t="s">
        <v>87</v>
      </c>
      <c r="Q339" s="362">
        <f>+G339+J339-M339-N339-O339</f>
        <v>0</v>
      </c>
    </row>
    <row r="340" spans="1:21" ht="15.75" collapsed="1" thickTop="1">
      <c r="A340" s="389">
        <v>100</v>
      </c>
      <c r="B340" s="494" t="s">
        <v>303</v>
      </c>
      <c r="C340" s="71" t="s">
        <v>73</v>
      </c>
      <c r="D340" s="495">
        <v>1</v>
      </c>
      <c r="E340" s="21">
        <v>41.244</v>
      </c>
      <c r="F340" s="21">
        <v>48.335999999999999</v>
      </c>
      <c r="G340" s="185">
        <f>ROUND(D340*(E340+F340),2)</f>
        <v>89.58</v>
      </c>
      <c r="H340" s="1379"/>
      <c r="I340" s="1285"/>
      <c r="J340" s="1285"/>
      <c r="K340" s="497"/>
      <c r="L340" s="498">
        <f>SUM(G340:G346)+SUM(J340:J345)</f>
        <v>2368.0099999999998</v>
      </c>
      <c r="M340" s="26">
        <v>2368.0100000000002</v>
      </c>
      <c r="N340" s="594"/>
      <c r="O340" s="535"/>
      <c r="P340" s="536" t="s">
        <v>87</v>
      </c>
      <c r="Q340" s="595" t="e">
        <f>C340+G340+J340-M340-N340-O340</f>
        <v>#VALUE!</v>
      </c>
      <c r="R340" s="502" t="s">
        <v>88</v>
      </c>
      <c r="S340" s="503"/>
      <c r="T340" s="504"/>
      <c r="U340" s="33">
        <f>+M340-L340</f>
        <v>0</v>
      </c>
    </row>
    <row r="341" spans="1:21">
      <c r="A341" s="389"/>
      <c r="B341" s="999"/>
      <c r="C341" s="542" t="s">
        <v>264</v>
      </c>
      <c r="D341" s="508"/>
      <c r="E341" s="38"/>
      <c r="F341" s="38"/>
      <c r="G341" s="50">
        <f>ROUND(D341*(E341+F341),2)</f>
        <v>0</v>
      </c>
      <c r="H341" s="1381"/>
      <c r="I341" s="1287"/>
      <c r="J341" s="1290"/>
      <c r="K341" s="543"/>
      <c r="L341" s="511"/>
      <c r="M341" s="99"/>
      <c r="N341" s="513"/>
      <c r="O341" s="514"/>
      <c r="P341" s="515"/>
      <c r="Q341" s="262"/>
      <c r="R341" s="502"/>
      <c r="S341" s="503"/>
      <c r="T341" s="504"/>
    </row>
    <row r="342" spans="1:21">
      <c r="A342" s="389"/>
      <c r="B342" s="516" t="s">
        <v>103</v>
      </c>
      <c r="C342" s="99" t="s">
        <v>90</v>
      </c>
      <c r="D342" s="508">
        <v>1</v>
      </c>
      <c r="E342" s="101">
        <v>276.93</v>
      </c>
      <c r="F342" s="38">
        <f>F340</f>
        <v>48.335999999999999</v>
      </c>
      <c r="G342" s="50">
        <f>ROUND(D342*(E342+F342),2)</f>
        <v>325.27</v>
      </c>
      <c r="H342" s="1289"/>
      <c r="I342" s="1287"/>
      <c r="J342" s="1287"/>
      <c r="K342" s="510"/>
      <c r="L342" s="597"/>
      <c r="M342" s="99"/>
      <c r="N342" s="518"/>
      <c r="O342" s="519"/>
      <c r="P342" s="515" t="s">
        <v>87</v>
      </c>
      <c r="Q342" s="271">
        <f>+G342+J342-M342-N342-O342</f>
        <v>325.27</v>
      </c>
      <c r="R342" s="502" t="s">
        <v>88</v>
      </c>
      <c r="S342" s="503"/>
      <c r="T342" s="504"/>
    </row>
    <row r="343" spans="1:21">
      <c r="A343" s="389"/>
      <c r="B343" s="506"/>
      <c r="C343" s="390" t="s">
        <v>97</v>
      </c>
      <c r="D343" s="508">
        <f>май.19!D342</f>
        <v>0</v>
      </c>
      <c r="E343" s="41"/>
      <c r="F343" s="38">
        <f>F341</f>
        <v>0</v>
      </c>
      <c r="G343" s="50">
        <f>D343*(E343+F343)</f>
        <v>0</v>
      </c>
      <c r="H343" s="1357"/>
      <c r="I343" s="1358"/>
      <c r="J343" s="1287"/>
      <c r="K343" s="510"/>
      <c r="L343" s="597"/>
      <c r="M343" s="99"/>
      <c r="N343" s="521"/>
      <c r="O343" s="522"/>
      <c r="P343" s="523"/>
      <c r="Q343" s="362"/>
      <c r="R343" s="502"/>
      <c r="S343" s="503"/>
      <c r="T343" s="504"/>
    </row>
    <row r="344" spans="1:21">
      <c r="A344" s="389"/>
      <c r="B344" s="506"/>
      <c r="C344" s="48" t="s">
        <v>260</v>
      </c>
      <c r="D344" s="37">
        <f>май.19!D345+май.19!D346</f>
        <v>258.99</v>
      </c>
      <c r="E344" s="41">
        <f>7.1389-7.4271</f>
        <v>-0.28820000000000068</v>
      </c>
      <c r="F344" s="297">
        <f t="shared" ref="F344:F346" si="68">+E344</f>
        <v>-0.28820000000000068</v>
      </c>
      <c r="G344" s="39">
        <f>ROUND(D344*(E344+F344)/2,2)</f>
        <v>-74.64</v>
      </c>
      <c r="H344" s="1357"/>
      <c r="I344" s="1358"/>
      <c r="J344" s="1287"/>
      <c r="K344" s="510"/>
      <c r="L344" s="597"/>
      <c r="M344" s="99"/>
      <c r="N344" s="521"/>
      <c r="O344" s="522"/>
      <c r="P344" s="523"/>
      <c r="Q344" s="362"/>
      <c r="R344" s="502"/>
      <c r="S344" s="503"/>
      <c r="T344" s="504"/>
    </row>
    <row r="345" spans="1:21">
      <c r="A345" s="389"/>
      <c r="B345" s="506"/>
      <c r="C345" s="48" t="s">
        <v>263</v>
      </c>
      <c r="D345" s="37">
        <v>12.05</v>
      </c>
      <c r="E345" s="41">
        <v>7.1388999999999996</v>
      </c>
      <c r="F345" s="298">
        <f t="shared" si="68"/>
        <v>7.1388999999999996</v>
      </c>
      <c r="G345" s="39">
        <f>ROUND(D345*E345,2)</f>
        <v>86.02</v>
      </c>
      <c r="H345" s="1357"/>
      <c r="I345" s="1358"/>
      <c r="J345" s="1287"/>
      <c r="K345" s="510"/>
      <c r="L345" s="597"/>
      <c r="M345" s="99"/>
      <c r="N345" s="521"/>
      <c r="O345" s="522"/>
      <c r="P345" s="523"/>
      <c r="Q345" s="362"/>
      <c r="R345" s="502"/>
      <c r="S345" s="503"/>
      <c r="T345" s="504"/>
    </row>
    <row r="346" spans="1:21" ht="15.75" thickBot="1">
      <c r="A346" s="369"/>
      <c r="B346" s="526"/>
      <c r="C346" s="99" t="s">
        <v>29</v>
      </c>
      <c r="D346" s="55">
        <v>272</v>
      </c>
      <c r="E346" s="56">
        <v>7.1388999999999996</v>
      </c>
      <c r="F346" s="57">
        <f t="shared" si="68"/>
        <v>7.1388999999999996</v>
      </c>
      <c r="G346" s="414">
        <f>ROUND(D346*E346,2)</f>
        <v>1941.78</v>
      </c>
      <c r="H346" s="1337"/>
      <c r="I346" s="1317"/>
      <c r="J346" s="1318"/>
      <c r="K346" s="1319"/>
      <c r="L346" s="1419"/>
      <c r="M346" s="54"/>
      <c r="N346" s="527"/>
      <c r="O346" s="528"/>
      <c r="P346" s="529" t="s">
        <v>87</v>
      </c>
      <c r="Q346" s="58">
        <f>+G346+J346-M346-N346-O346</f>
        <v>1941.78</v>
      </c>
      <c r="R346" s="502" t="s">
        <v>88</v>
      </c>
      <c r="S346" s="598">
        <f>SUM(N340:N346)+O340:O346</f>
        <v>0</v>
      </c>
      <c r="T346" s="598" t="e">
        <f>SUM(Q340:Q346)</f>
        <v>#VALUE!</v>
      </c>
    </row>
    <row r="347" spans="1:21" ht="15.75" collapsed="1" thickTop="1">
      <c r="A347" s="389">
        <v>113</v>
      </c>
      <c r="B347" s="494" t="s">
        <v>250</v>
      </c>
      <c r="C347" s="71" t="s">
        <v>73</v>
      </c>
      <c r="D347" s="495">
        <v>23</v>
      </c>
      <c r="E347" s="21">
        <v>41.244</v>
      </c>
      <c r="F347" s="21">
        <v>48.335999999999999</v>
      </c>
      <c r="G347" s="185">
        <f>ROUND(D347*(E347+F347),2)</f>
        <v>2060.34</v>
      </c>
      <c r="H347" s="1379"/>
      <c r="I347" s="1285"/>
      <c r="J347" s="1285"/>
      <c r="K347" s="497"/>
      <c r="L347" s="498">
        <f>SUM(G347:G353)+SUM(J347:J352)</f>
        <v>26255.51</v>
      </c>
      <c r="M347" s="26">
        <v>26255.51</v>
      </c>
      <c r="N347" s="594"/>
      <c r="O347" s="535"/>
      <c r="P347" s="536" t="s">
        <v>87</v>
      </c>
      <c r="Q347" s="595" t="e">
        <f>C347+G347+J347-M347-N347-O347</f>
        <v>#VALUE!</v>
      </c>
      <c r="R347" s="502" t="s">
        <v>88</v>
      </c>
      <c r="S347" s="503"/>
      <c r="T347" s="504"/>
      <c r="U347" s="33">
        <f>+M347-L347</f>
        <v>0</v>
      </c>
    </row>
    <row r="348" spans="1:21">
      <c r="A348" s="389"/>
      <c r="B348" s="506"/>
      <c r="C348" s="542" t="s">
        <v>264</v>
      </c>
      <c r="D348" s="508"/>
      <c r="E348" s="38"/>
      <c r="F348" s="38"/>
      <c r="G348" s="50">
        <f>ROUND(D348*(E348+F348),2)</f>
        <v>0</v>
      </c>
      <c r="H348" s="1381"/>
      <c r="I348" s="1287"/>
      <c r="J348" s="1290"/>
      <c r="K348" s="543"/>
      <c r="L348" s="511"/>
      <c r="M348" s="99"/>
      <c r="N348" s="513"/>
      <c r="O348" s="514"/>
      <c r="P348" s="515"/>
      <c r="Q348" s="262"/>
      <c r="R348" s="502"/>
      <c r="S348" s="503"/>
      <c r="T348" s="504"/>
    </row>
    <row r="349" spans="1:21">
      <c r="A349" s="389"/>
      <c r="B349" s="516" t="s">
        <v>103</v>
      </c>
      <c r="C349" s="99" t="s">
        <v>90</v>
      </c>
      <c r="D349" s="508">
        <v>4</v>
      </c>
      <c r="E349" s="101">
        <v>276.93</v>
      </c>
      <c r="F349" s="38">
        <f>F347</f>
        <v>48.335999999999999</v>
      </c>
      <c r="G349" s="50">
        <f>ROUND(D349*(E349+F349),2)</f>
        <v>1301.06</v>
      </c>
      <c r="H349" s="1289"/>
      <c r="I349" s="1287"/>
      <c r="J349" s="1287"/>
      <c r="K349" s="510"/>
      <c r="L349" s="597"/>
      <c r="M349" s="99"/>
      <c r="N349" s="518"/>
      <c r="O349" s="519"/>
      <c r="P349" s="515" t="s">
        <v>87</v>
      </c>
      <c r="Q349" s="271">
        <f>+G349+J349-M349-N349-O349</f>
        <v>1301.06</v>
      </c>
      <c r="R349" s="502" t="s">
        <v>88</v>
      </c>
      <c r="S349" s="503"/>
      <c r="T349" s="504"/>
    </row>
    <row r="350" spans="1:21">
      <c r="A350" s="389"/>
      <c r="B350" s="506"/>
      <c r="C350" s="390" t="s">
        <v>97</v>
      </c>
      <c r="D350" s="508">
        <f>май.19!D349</f>
        <v>33</v>
      </c>
      <c r="E350" s="41"/>
      <c r="F350" s="38">
        <f>F348</f>
        <v>0</v>
      </c>
      <c r="G350" s="50">
        <f>D350*(E350+F350)</f>
        <v>0</v>
      </c>
      <c r="H350" s="1357"/>
      <c r="I350" s="1358"/>
      <c r="J350" s="1287"/>
      <c r="K350" s="510"/>
      <c r="L350" s="597"/>
      <c r="M350" s="99"/>
      <c r="N350" s="521"/>
      <c r="O350" s="522"/>
      <c r="P350" s="523"/>
      <c r="Q350" s="362"/>
      <c r="R350" s="502"/>
      <c r="S350" s="503"/>
      <c r="T350" s="504"/>
    </row>
    <row r="351" spans="1:21">
      <c r="A351" s="389"/>
      <c r="B351" s="506"/>
      <c r="C351" s="48" t="s">
        <v>260</v>
      </c>
      <c r="D351" s="37">
        <f>май.19!D352+май.19!D353</f>
        <v>2408.16</v>
      </c>
      <c r="E351" s="41">
        <f>7.1389-7.4271</f>
        <v>-0.28820000000000068</v>
      </c>
      <c r="F351" s="297">
        <f t="shared" ref="F351:F359" si="69">+E351</f>
        <v>-0.28820000000000068</v>
      </c>
      <c r="G351" s="39">
        <f>ROUND(D351*(E351+F351)/2,2)</f>
        <v>-694.03</v>
      </c>
      <c r="H351" s="1357"/>
      <c r="I351" s="1358"/>
      <c r="J351" s="1287"/>
      <c r="K351" s="510"/>
      <c r="L351" s="597"/>
      <c r="M351" s="99"/>
      <c r="N351" s="521"/>
      <c r="O351" s="522"/>
      <c r="P351" s="523"/>
      <c r="Q351" s="362"/>
      <c r="R351" s="502"/>
      <c r="S351" s="503"/>
      <c r="T351" s="504"/>
    </row>
    <row r="352" spans="1:21">
      <c r="A352" s="389"/>
      <c r="B352" s="506"/>
      <c r="C352" s="48" t="s">
        <v>263</v>
      </c>
      <c r="D352" s="37">
        <f>41.38+98.79</f>
        <v>140.17000000000002</v>
      </c>
      <c r="E352" s="41">
        <v>7.1388999999999996</v>
      </c>
      <c r="F352" s="298">
        <f t="shared" si="69"/>
        <v>7.1388999999999996</v>
      </c>
      <c r="G352" s="39">
        <f>ROUND(D352*E352,2)</f>
        <v>1000.66</v>
      </c>
      <c r="H352" s="1357"/>
      <c r="I352" s="1358"/>
      <c r="J352" s="1287"/>
      <c r="K352" s="510"/>
      <c r="L352" s="597"/>
      <c r="M352" s="99"/>
      <c r="N352" s="521"/>
      <c r="O352" s="522"/>
      <c r="P352" s="523"/>
      <c r="Q352" s="362"/>
      <c r="R352" s="502"/>
      <c r="S352" s="503"/>
      <c r="T352" s="504"/>
    </row>
    <row r="353" spans="1:20" ht="15.75" thickBot="1">
      <c r="A353" s="369"/>
      <c r="B353" s="526"/>
      <c r="C353" s="99" t="s">
        <v>29</v>
      </c>
      <c r="D353" s="55">
        <f>934+2230</f>
        <v>3164</v>
      </c>
      <c r="E353" s="56">
        <v>7.1388999999999996</v>
      </c>
      <c r="F353" s="57">
        <f t="shared" si="69"/>
        <v>7.1388999999999996</v>
      </c>
      <c r="G353" s="414">
        <f>ROUND(D353*E353,2)</f>
        <v>22587.48</v>
      </c>
      <c r="H353" s="1337"/>
      <c r="I353" s="1317"/>
      <c r="J353" s="1318"/>
      <c r="K353" s="1319"/>
      <c r="L353" s="1419"/>
      <c r="M353" s="54"/>
      <c r="N353" s="527"/>
      <c r="O353" s="528"/>
      <c r="P353" s="529" t="s">
        <v>87</v>
      </c>
      <c r="Q353" s="58">
        <f>+G353+J353-M353-N353-O353</f>
        <v>22587.48</v>
      </c>
      <c r="R353" s="502" t="s">
        <v>88</v>
      </c>
      <c r="S353" s="598">
        <f>SUM(N347:N353)+O347:O353</f>
        <v>0</v>
      </c>
      <c r="T353" s="598" t="e">
        <f>SUM(Q347:Q353)</f>
        <v>#VALUE!</v>
      </c>
    </row>
    <row r="354" spans="1:20">
      <c r="A354" s="376">
        <v>200</v>
      </c>
      <c r="B354" s="602" t="s">
        <v>106</v>
      </c>
      <c r="C354" s="700" t="s">
        <v>260</v>
      </c>
      <c r="D354" s="1248">
        <f>май.19!D355+май.19!D356</f>
        <v>718.48</v>
      </c>
      <c r="E354" s="261">
        <f>7.1389-7.4271</f>
        <v>-0.28820000000000068</v>
      </c>
      <c r="F354" s="261">
        <f t="shared" si="69"/>
        <v>-0.28820000000000068</v>
      </c>
      <c r="G354" s="1243">
        <f>ROUND(D354*(E354),2)</f>
        <v>-207.07</v>
      </c>
      <c r="H354" s="1290"/>
      <c r="I354" s="1290"/>
      <c r="J354" s="1290"/>
      <c r="K354" s="1290"/>
      <c r="L354" s="1431">
        <f>SUM(G354:G356)</f>
        <v>8232.18</v>
      </c>
      <c r="M354" s="227">
        <v>8232.18</v>
      </c>
      <c r="N354" s="604"/>
      <c r="O354" s="500"/>
      <c r="P354" s="501"/>
      <c r="Q354" s="605"/>
    </row>
    <row r="355" spans="1:20">
      <c r="A355" s="389"/>
      <c r="B355" s="506"/>
      <c r="C355" s="48" t="s">
        <v>263</v>
      </c>
      <c r="D355" s="49">
        <v>50.15</v>
      </c>
      <c r="E355" s="41">
        <v>7.1388999999999996</v>
      </c>
      <c r="F355" s="41">
        <f t="shared" si="69"/>
        <v>7.1388999999999996</v>
      </c>
      <c r="G355" s="50">
        <f>ROUND(D355*(E355),2)</f>
        <v>358.02</v>
      </c>
      <c r="H355" s="1287"/>
      <c r="I355" s="1287"/>
      <c r="J355" s="1287"/>
      <c r="K355" s="1287"/>
      <c r="L355" s="1416"/>
      <c r="M355" s="935"/>
      <c r="N355" s="607"/>
      <c r="O355" s="608"/>
      <c r="P355" s="609"/>
      <c r="Q355" s="610"/>
    </row>
    <row r="356" spans="1:20" ht="15.75" thickBot="1">
      <c r="A356" s="936"/>
      <c r="B356" s="612"/>
      <c r="C356" s="99" t="s">
        <v>29</v>
      </c>
      <c r="D356" s="613">
        <v>1132</v>
      </c>
      <c r="E356" s="56">
        <v>7.1388999999999996</v>
      </c>
      <c r="F356" s="281">
        <f t="shared" si="69"/>
        <v>7.1388999999999996</v>
      </c>
      <c r="G356" s="58">
        <f>ROUND(D356*(E356),2)</f>
        <v>8081.23</v>
      </c>
      <c r="H356" s="1307"/>
      <c r="I356" s="1307"/>
      <c r="J356" s="1307"/>
      <c r="K356" s="1307"/>
      <c r="L356" s="1417"/>
      <c r="M356" s="935"/>
      <c r="N356" s="615"/>
      <c r="O356" s="615"/>
      <c r="P356" s="615"/>
      <c r="Q356" s="616"/>
    </row>
    <row r="357" spans="1:20">
      <c r="A357" s="376" t="s">
        <v>208</v>
      </c>
      <c r="B357" s="602" t="s">
        <v>213</v>
      </c>
      <c r="C357" s="439" t="s">
        <v>260</v>
      </c>
      <c r="D357" s="184">
        <f>май.19!D358+май.19!D359</f>
        <v>131.58000000000001</v>
      </c>
      <c r="E357" s="41">
        <f>7.1389-7.4271</f>
        <v>-0.28820000000000068</v>
      </c>
      <c r="F357" s="23">
        <f t="shared" si="69"/>
        <v>-0.28820000000000068</v>
      </c>
      <c r="G357" s="185">
        <f>ROUND(D357*(E357),2)-0.01</f>
        <v>-37.93</v>
      </c>
      <c r="H357" s="1375"/>
      <c r="I357" s="1375"/>
      <c r="J357" s="1375"/>
      <c r="K357" s="1382"/>
      <c r="L357" s="1415">
        <f>SUM(G357:G359)</f>
        <v>1192.18</v>
      </c>
      <c r="M357" s="187">
        <v>1192.18</v>
      </c>
      <c r="N357" s="615"/>
      <c r="O357" s="615"/>
      <c r="P357" s="615"/>
      <c r="Q357" s="615"/>
    </row>
    <row r="358" spans="1:20">
      <c r="A358" s="934"/>
      <c r="B358" s="506"/>
      <c r="C358" s="48" t="s">
        <v>263</v>
      </c>
      <c r="D358" s="49">
        <v>7.31</v>
      </c>
      <c r="E358" s="41">
        <v>7.1388999999999996</v>
      </c>
      <c r="F358" s="41">
        <f t="shared" si="69"/>
        <v>7.1388999999999996</v>
      </c>
      <c r="G358" s="50">
        <f>ROUND(D358*(E358),2)</f>
        <v>52.19</v>
      </c>
      <c r="H358" s="1376"/>
      <c r="I358" s="1377"/>
      <c r="J358" s="1377"/>
      <c r="K358" s="1378"/>
      <c r="L358" s="1416"/>
      <c r="M358" s="935"/>
      <c r="N358" s="615"/>
      <c r="O358" s="615"/>
      <c r="P358" s="615"/>
      <c r="Q358" s="615"/>
    </row>
    <row r="359" spans="1:20" ht="15.75" thickBot="1">
      <c r="A359" s="934"/>
      <c r="B359" s="506"/>
      <c r="C359" s="54" t="s">
        <v>29</v>
      </c>
      <c r="D359" s="296">
        <v>165</v>
      </c>
      <c r="E359" s="56">
        <v>7.1388999999999996</v>
      </c>
      <c r="F359" s="41">
        <f t="shared" si="69"/>
        <v>7.1388999999999996</v>
      </c>
      <c r="G359" s="50">
        <f t="shared" ref="G359" si="70">ROUND(D359*(E359),2)</f>
        <v>1177.92</v>
      </c>
      <c r="H359" s="1376"/>
      <c r="I359" s="1377"/>
      <c r="J359" s="1377"/>
      <c r="K359" s="1378"/>
      <c r="L359" s="1417"/>
      <c r="M359" s="935"/>
      <c r="N359" s="615"/>
      <c r="O359" s="615"/>
      <c r="P359" s="615"/>
      <c r="Q359" s="615"/>
    </row>
    <row r="360" spans="1:20" ht="15.75" hidden="1" thickBot="1">
      <c r="A360" s="376">
        <v>201</v>
      </c>
      <c r="B360" s="602" t="s">
        <v>107</v>
      </c>
      <c r="C360" s="618" t="s">
        <v>73</v>
      </c>
      <c r="D360" s="619"/>
      <c r="E360" s="21">
        <v>40.556600000000003</v>
      </c>
      <c r="F360" s="21">
        <v>47.5304</v>
      </c>
      <c r="G360" s="185">
        <f>ROUND(D360*(E360+F360),2)</f>
        <v>0</v>
      </c>
      <c r="H360" s="1375"/>
      <c r="I360" s="1375"/>
      <c r="J360" s="1375"/>
      <c r="K360" s="1375"/>
      <c r="L360" s="1415">
        <f>SUM(G360:G364,J360:J364)</f>
        <v>0.01</v>
      </c>
      <c r="M360" s="187"/>
      <c r="N360" s="621"/>
      <c r="O360" s="621"/>
      <c r="P360" s="621"/>
      <c r="Q360" s="622"/>
    </row>
    <row r="361" spans="1:20" ht="15.75" hidden="1" thickBot="1">
      <c r="A361" s="936"/>
      <c r="B361" s="612"/>
      <c r="C361" s="542" t="s">
        <v>96</v>
      </c>
      <c r="D361" s="234"/>
      <c r="E361" s="38"/>
      <c r="F361" s="38"/>
      <c r="G361" s="235">
        <f>ROUND(D361*(E361+F361),2)</f>
        <v>0</v>
      </c>
      <c r="H361" s="1377"/>
      <c r="I361" s="1377"/>
      <c r="J361" s="1377"/>
      <c r="K361" s="1377"/>
      <c r="L361" s="1416"/>
      <c r="M361" s="935"/>
      <c r="N361" s="615"/>
      <c r="O361" s="615"/>
      <c r="P361" s="615"/>
      <c r="Q361" s="616"/>
    </row>
    <row r="362" spans="1:20" ht="15.75" hidden="1" thickBot="1">
      <c r="A362" s="936"/>
      <c r="B362" s="612"/>
      <c r="C362" s="48" t="s">
        <v>260</v>
      </c>
      <c r="D362" s="623"/>
      <c r="E362" s="41">
        <f>7.332-6.6439</f>
        <v>0.68809999999999949</v>
      </c>
      <c r="F362" s="41">
        <f t="shared" ref="F362:F381" si="71">+E362</f>
        <v>0.68809999999999949</v>
      </c>
      <c r="G362" s="50">
        <f>ROUND(D362*(E362),2)+0.01</f>
        <v>0.01</v>
      </c>
      <c r="H362" s="1377"/>
      <c r="I362" s="1377"/>
      <c r="J362" s="1377"/>
      <c r="K362" s="1377"/>
      <c r="L362" s="1417"/>
      <c r="M362" s="935"/>
      <c r="N362" s="615"/>
      <c r="O362" s="615"/>
      <c r="P362" s="615"/>
      <c r="Q362" s="616"/>
    </row>
    <row r="363" spans="1:20" ht="15.75" hidden="1" thickBot="1">
      <c r="A363" s="936"/>
      <c r="B363" s="612"/>
      <c r="C363" s="48" t="s">
        <v>263</v>
      </c>
      <c r="D363" s="623"/>
      <c r="E363" s="41">
        <v>7.3319999999999999</v>
      </c>
      <c r="F363" s="41">
        <f t="shared" si="71"/>
        <v>7.3319999999999999</v>
      </c>
      <c r="G363" s="39">
        <f t="shared" ref="G363:G384" si="72">ROUND(D363*(E363),2)</f>
        <v>0</v>
      </c>
      <c r="H363" s="1377"/>
      <c r="I363" s="1377"/>
      <c r="J363" s="1377"/>
      <c r="K363" s="1377"/>
      <c r="L363" s="1417"/>
      <c r="M363" s="273"/>
      <c r="N363" s="615"/>
      <c r="O363" s="615"/>
      <c r="P363" s="615"/>
      <c r="Q363" s="616"/>
    </row>
    <row r="364" spans="1:20" ht="15.75" hidden="1" thickBot="1">
      <c r="A364" s="937"/>
      <c r="B364" s="526"/>
      <c r="C364" s="99" t="s">
        <v>29</v>
      </c>
      <c r="D364" s="625"/>
      <c r="E364" s="56">
        <v>7.3319999999999999</v>
      </c>
      <c r="F364" s="281">
        <f t="shared" si="71"/>
        <v>7.3319999999999999</v>
      </c>
      <c r="G364" s="414">
        <f t="shared" si="72"/>
        <v>0</v>
      </c>
      <c r="H364" s="1287"/>
      <c r="I364" s="1287"/>
      <c r="J364" s="1311"/>
      <c r="K364" s="1311"/>
      <c r="L364" s="1432"/>
      <c r="M364" s="938"/>
      <c r="N364" s="626"/>
      <c r="O364" s="626"/>
      <c r="P364" s="626"/>
      <c r="Q364" s="627"/>
    </row>
    <row r="365" spans="1:20" ht="15.75" hidden="1" thickBot="1">
      <c r="A365" s="376">
        <v>203</v>
      </c>
      <c r="B365" s="602" t="s">
        <v>301</v>
      </c>
      <c r="C365" s="439" t="s">
        <v>260</v>
      </c>
      <c r="D365" s="184"/>
      <c r="E365" s="41">
        <f>7.1994-7.4969</f>
        <v>-0.29750000000000032</v>
      </c>
      <c r="F365" s="23">
        <f t="shared" si="71"/>
        <v>-0.29750000000000032</v>
      </c>
      <c r="G365" s="185">
        <f>ROUND(D365*(E365),2)+0.01</f>
        <v>0.01</v>
      </c>
      <c r="H365" s="1375"/>
      <c r="I365" s="1375"/>
      <c r="J365" s="1375"/>
      <c r="K365" s="1382"/>
      <c r="L365" s="1415">
        <f>SUM(G365:G367)</f>
        <v>0.01</v>
      </c>
      <c r="M365" s="187"/>
      <c r="N365" s="615"/>
      <c r="O365" s="615"/>
      <c r="P365" s="615"/>
      <c r="Q365" s="615"/>
    </row>
    <row r="366" spans="1:20" ht="15.75" hidden="1" thickBot="1">
      <c r="A366" s="934"/>
      <c r="B366" s="506"/>
      <c r="C366" s="48" t="s">
        <v>263</v>
      </c>
      <c r="D366" s="49"/>
      <c r="E366" s="41">
        <v>7.1993999999999998</v>
      </c>
      <c r="F366" s="41">
        <f t="shared" si="71"/>
        <v>7.1993999999999998</v>
      </c>
      <c r="G366" s="50">
        <f>ROUND(D366*(E366),2)</f>
        <v>0</v>
      </c>
      <c r="H366" s="1376"/>
      <c r="I366" s="1377"/>
      <c r="J366" s="1377"/>
      <c r="K366" s="1378"/>
      <c r="L366" s="1416"/>
      <c r="M366" s="935"/>
      <c r="N366" s="615"/>
      <c r="O366" s="615"/>
      <c r="P366" s="615"/>
      <c r="Q366" s="615"/>
    </row>
    <row r="367" spans="1:20" ht="15.75" hidden="1" thickBot="1">
      <c r="A367" s="934"/>
      <c r="B367" s="506"/>
      <c r="C367" s="520" t="s">
        <v>29</v>
      </c>
      <c r="D367" s="1245"/>
      <c r="E367" s="876">
        <v>7.1993999999999998</v>
      </c>
      <c r="F367" s="207">
        <f t="shared" si="71"/>
        <v>7.1993999999999998</v>
      </c>
      <c r="G367" s="1246">
        <f t="shared" ref="G367" si="73">ROUND(D367*(E367),2)</f>
        <v>0</v>
      </c>
      <c r="H367" s="1383"/>
      <c r="I367" s="1384"/>
      <c r="J367" s="1384"/>
      <c r="K367" s="1385"/>
      <c r="L367" s="1433"/>
      <c r="M367" s="974"/>
      <c r="N367" s="615"/>
      <c r="O367" s="615"/>
      <c r="P367" s="615"/>
      <c r="Q367" s="615"/>
    </row>
    <row r="368" spans="1:20">
      <c r="A368" s="376">
        <v>207</v>
      </c>
      <c r="B368" s="602" t="s">
        <v>345</v>
      </c>
      <c r="C368" s="439" t="s">
        <v>260</v>
      </c>
      <c r="D368" s="184"/>
      <c r="E368" s="23">
        <f>7.1389-7.4271</f>
        <v>-0.28820000000000068</v>
      </c>
      <c r="F368" s="23">
        <f t="shared" ref="F368:F373" si="74">+E368</f>
        <v>-0.28820000000000068</v>
      </c>
      <c r="G368" s="185">
        <f>ROUND(D368*(E368),2)</f>
        <v>0</v>
      </c>
      <c r="H368" s="1375"/>
      <c r="I368" s="1375"/>
      <c r="J368" s="1375"/>
      <c r="K368" s="1382"/>
      <c r="L368" s="1415">
        <f>SUM(G368:G370)</f>
        <v>268.35000000000002</v>
      </c>
      <c r="M368" s="187">
        <v>268.35000000000002</v>
      </c>
      <c r="N368" s="604"/>
      <c r="O368" s="635"/>
      <c r="P368" s="636"/>
      <c r="Q368" s="605"/>
    </row>
    <row r="369" spans="1:21">
      <c r="A369" s="934"/>
      <c r="B369" s="506"/>
      <c r="C369" s="48" t="s">
        <v>263</v>
      </c>
      <c r="D369" s="49">
        <v>1.59</v>
      </c>
      <c r="E369" s="41">
        <v>7.1388999999999996</v>
      </c>
      <c r="F369" s="41">
        <f t="shared" si="74"/>
        <v>7.1388999999999996</v>
      </c>
      <c r="G369" s="50">
        <f t="shared" ref="G369:G370" si="75">ROUND(D369*(E369),2)</f>
        <v>11.35</v>
      </c>
      <c r="H369" s="1376"/>
      <c r="I369" s="1377"/>
      <c r="J369" s="1377"/>
      <c r="K369" s="1378"/>
      <c r="L369" s="1416"/>
      <c r="M369" s="935"/>
      <c r="N369" s="607"/>
      <c r="O369" s="608"/>
      <c r="P369" s="609"/>
      <c r="Q369" s="610"/>
    </row>
    <row r="370" spans="1:21" ht="15.75" thickBot="1">
      <c r="A370" s="934"/>
      <c r="B370" s="506"/>
      <c r="C370" s="99" t="s">
        <v>29</v>
      </c>
      <c r="D370" s="296">
        <v>36</v>
      </c>
      <c r="E370" s="101">
        <v>7.1388999999999996</v>
      </c>
      <c r="F370" s="41">
        <f t="shared" si="74"/>
        <v>7.1388999999999996</v>
      </c>
      <c r="G370" s="50">
        <f t="shared" si="75"/>
        <v>257</v>
      </c>
      <c r="H370" s="1376"/>
      <c r="I370" s="1377"/>
      <c r="J370" s="1377"/>
      <c r="K370" s="1378"/>
      <c r="L370" s="1417"/>
      <c r="M370" s="935"/>
      <c r="N370" s="615"/>
      <c r="O370" s="615"/>
      <c r="P370" s="615"/>
      <c r="Q370" s="616"/>
    </row>
    <row r="371" spans="1:21">
      <c r="A371" s="376">
        <v>212</v>
      </c>
      <c r="B371" s="602" t="s">
        <v>112</v>
      </c>
      <c r="C371" s="439" t="s">
        <v>260</v>
      </c>
      <c r="D371" s="184">
        <f>май.19!D369+май.19!D370</f>
        <v>260.02999999999997</v>
      </c>
      <c r="E371" s="23">
        <f>7.1389-7.4271</f>
        <v>-0.28820000000000068</v>
      </c>
      <c r="F371" s="23">
        <f t="shared" si="74"/>
        <v>-0.28820000000000068</v>
      </c>
      <c r="G371" s="185">
        <f>ROUND(D371*(E371),2)</f>
        <v>-74.94</v>
      </c>
      <c r="H371" s="1375"/>
      <c r="I371" s="1375"/>
      <c r="J371" s="1375"/>
      <c r="K371" s="1382"/>
      <c r="L371" s="1415">
        <f>SUM(G371:G374)</f>
        <v>2594.0100000000002</v>
      </c>
      <c r="M371" s="187">
        <v>2594.0100000000002</v>
      </c>
      <c r="N371" s="604"/>
      <c r="O371" s="635"/>
      <c r="P371" s="636"/>
      <c r="Q371" s="605"/>
    </row>
    <row r="372" spans="1:21">
      <c r="A372" s="934"/>
      <c r="B372" s="506"/>
      <c r="C372" s="48" t="s">
        <v>263</v>
      </c>
      <c r="D372" s="49">
        <v>15.86</v>
      </c>
      <c r="E372" s="41">
        <v>7.1388999999999996</v>
      </c>
      <c r="F372" s="41">
        <f t="shared" si="74"/>
        <v>7.1388999999999996</v>
      </c>
      <c r="G372" s="50">
        <f t="shared" ref="G372:G373" si="76">ROUND(D372*(E372),2)</f>
        <v>113.22</v>
      </c>
      <c r="H372" s="1376"/>
      <c r="I372" s="1377"/>
      <c r="J372" s="1377"/>
      <c r="K372" s="1378"/>
      <c r="L372" s="1416"/>
      <c r="M372" s="935"/>
      <c r="N372" s="607"/>
      <c r="O372" s="608"/>
      <c r="P372" s="609"/>
      <c r="Q372" s="610"/>
    </row>
    <row r="373" spans="1:21">
      <c r="A373" s="934"/>
      <c r="B373" s="506"/>
      <c r="C373" s="99" t="s">
        <v>29</v>
      </c>
      <c r="D373" s="296">
        <v>358</v>
      </c>
      <c r="E373" s="101">
        <v>7.1388999999999996</v>
      </c>
      <c r="F373" s="41">
        <f t="shared" si="74"/>
        <v>7.1388999999999996</v>
      </c>
      <c r="G373" s="50">
        <f t="shared" si="76"/>
        <v>2555.73</v>
      </c>
      <c r="H373" s="1376"/>
      <c r="I373" s="1377"/>
      <c r="J373" s="1377"/>
      <c r="K373" s="1378"/>
      <c r="L373" s="1417"/>
      <c r="M373" s="935"/>
      <c r="N373" s="615"/>
      <c r="O373" s="615"/>
      <c r="P373" s="615"/>
      <c r="Q373" s="616"/>
    </row>
    <row r="374" spans="1:21" ht="15.75" thickBot="1">
      <c r="A374" s="942"/>
      <c r="B374" s="278"/>
      <c r="C374" s="54"/>
      <c r="D374" s="941"/>
      <c r="E374" s="281"/>
      <c r="F374" s="57"/>
      <c r="G374" s="58"/>
      <c r="H374" s="1306"/>
      <c r="I374" s="1307"/>
      <c r="J374" s="1307"/>
      <c r="K374" s="1386"/>
      <c r="L374" s="1432"/>
      <c r="M374" s="938"/>
      <c r="N374" s="615"/>
      <c r="O374" s="615"/>
      <c r="P374" s="615"/>
      <c r="Q374" s="615"/>
    </row>
    <row r="375" spans="1:21" ht="15.75" collapsed="1" thickTop="1">
      <c r="A375" s="447">
        <v>300</v>
      </c>
      <c r="B375" s="183" t="s">
        <v>326</v>
      </c>
      <c r="C375" s="1253" t="s">
        <v>73</v>
      </c>
      <c r="D375" s="1254">
        <v>27</v>
      </c>
      <c r="E375" s="21">
        <v>41.244</v>
      </c>
      <c r="F375" s="21">
        <v>48.335999999999999</v>
      </c>
      <c r="G375" s="23">
        <f>ROUND(D375*(E375+F375),2)</f>
        <v>2418.66</v>
      </c>
      <c r="H375" s="1379"/>
      <c r="I375" s="1285"/>
      <c r="J375" s="1285"/>
      <c r="K375" s="1352"/>
      <c r="L375" s="439">
        <f>SUM(G375:G381)+SUM(J375:J380)</f>
        <v>16079.5</v>
      </c>
      <c r="M375" s="26">
        <v>16079.5</v>
      </c>
      <c r="N375" s="594"/>
      <c r="O375" s="535"/>
      <c r="P375" s="536"/>
      <c r="Q375" s="595"/>
      <c r="R375" s="502"/>
      <c r="S375" s="503"/>
      <c r="T375" s="504"/>
      <c r="U375" s="33">
        <f>+M375-L375</f>
        <v>0</v>
      </c>
    </row>
    <row r="376" spans="1:21">
      <c r="A376" s="450"/>
      <c r="B376" s="192"/>
      <c r="C376" s="1255" t="s">
        <v>264</v>
      </c>
      <c r="D376" s="1250"/>
      <c r="E376" s="38"/>
      <c r="F376" s="38"/>
      <c r="G376" s="41">
        <f>ROUND(D376*(E376+F376),2)</f>
        <v>0</v>
      </c>
      <c r="H376" s="1387"/>
      <c r="I376" s="1287"/>
      <c r="J376" s="1287"/>
      <c r="K376" s="1367"/>
      <c r="L376" s="48"/>
      <c r="M376" s="99"/>
      <c r="N376" s="513"/>
      <c r="O376" s="514"/>
      <c r="P376" s="515"/>
      <c r="Q376" s="262"/>
      <c r="R376" s="502"/>
      <c r="S376" s="503"/>
      <c r="T376" s="504"/>
    </row>
    <row r="377" spans="1:21">
      <c r="A377" s="450"/>
      <c r="B377" s="991"/>
      <c r="C377" s="1256" t="s">
        <v>90</v>
      </c>
      <c r="D377" s="1250">
        <v>8</v>
      </c>
      <c r="E377" s="101">
        <v>276.93</v>
      </c>
      <c r="F377" s="38">
        <f>F375</f>
        <v>48.335999999999999</v>
      </c>
      <c r="G377" s="41">
        <f>ROUND(D377*(E377+F377),2)</f>
        <v>2602.13</v>
      </c>
      <c r="H377" s="1287"/>
      <c r="I377" s="1287"/>
      <c r="J377" s="1287"/>
      <c r="K377" s="1367"/>
      <c r="L377" s="600"/>
      <c r="M377" s="99"/>
      <c r="N377" s="518"/>
      <c r="O377" s="519"/>
      <c r="P377" s="515"/>
      <c r="Q377" s="271"/>
      <c r="R377" s="502"/>
      <c r="S377" s="503"/>
      <c r="T377" s="504"/>
    </row>
    <row r="378" spans="1:21" ht="15.75" thickBot="1">
      <c r="A378" s="450"/>
      <c r="B378" s="192"/>
      <c r="C378" s="1257" t="s">
        <v>97</v>
      </c>
      <c r="D378" s="1250">
        <f>май.19!D374</f>
        <v>7</v>
      </c>
      <c r="E378" s="41"/>
      <c r="F378" s="38">
        <f>F376</f>
        <v>0</v>
      </c>
      <c r="G378" s="41">
        <f>D378*(E378+F378)</f>
        <v>0</v>
      </c>
      <c r="H378" s="1287"/>
      <c r="I378" s="1287"/>
      <c r="J378" s="1287"/>
      <c r="K378" s="1367"/>
      <c r="L378" s="600"/>
      <c r="M378" s="99"/>
      <c r="N378" s="521"/>
      <c r="O378" s="522"/>
      <c r="P378" s="523"/>
      <c r="Q378" s="362"/>
      <c r="R378" s="502"/>
      <c r="S378" s="503"/>
      <c r="T378" s="504"/>
    </row>
    <row r="379" spans="1:21">
      <c r="A379" s="450"/>
      <c r="B379" s="1244"/>
      <c r="C379" s="1258" t="s">
        <v>260</v>
      </c>
      <c r="D379" s="1252">
        <f>май.19!D377+май.19!D378</f>
        <v>896.01</v>
      </c>
      <c r="E379" s="41">
        <f>7.1389-7.4271</f>
        <v>-0.28820000000000068</v>
      </c>
      <c r="F379" s="41">
        <f t="shared" si="71"/>
        <v>-0.28820000000000068</v>
      </c>
      <c r="G379" s="41">
        <f>ROUND(D379*(E379),2)-0.01</f>
        <v>-258.24</v>
      </c>
      <c r="H379" s="1287"/>
      <c r="I379" s="1287"/>
      <c r="J379" s="1287"/>
      <c r="K379" s="1323"/>
      <c r="L379" s="1417"/>
      <c r="M379" s="273"/>
      <c r="N379" s="604"/>
      <c r="O379" s="500"/>
      <c r="P379" s="501"/>
      <c r="Q379" s="605"/>
    </row>
    <row r="380" spans="1:21">
      <c r="A380" s="450"/>
      <c r="B380" s="192"/>
      <c r="C380" s="1258" t="s">
        <v>263</v>
      </c>
      <c r="D380" s="1252">
        <f>66.36+0.89</f>
        <v>67.25</v>
      </c>
      <c r="E380" s="41">
        <v>7.1388999999999996</v>
      </c>
      <c r="F380" s="41">
        <f t="shared" si="71"/>
        <v>7.1388999999999996</v>
      </c>
      <c r="G380" s="41">
        <f>ROUND(D380*(E380),2)+0.01</f>
        <v>480.09999999999997</v>
      </c>
      <c r="H380" s="1287"/>
      <c r="I380" s="1287"/>
      <c r="J380" s="1287"/>
      <c r="K380" s="1323"/>
      <c r="L380" s="1416"/>
      <c r="M380" s="935"/>
      <c r="N380" s="607"/>
      <c r="O380" s="608"/>
      <c r="P380" s="609"/>
      <c r="Q380" s="610"/>
    </row>
    <row r="381" spans="1:21" ht="15.75" thickBot="1">
      <c r="A381" s="969"/>
      <c r="B381" s="615"/>
      <c r="C381" s="1259" t="s">
        <v>29</v>
      </c>
      <c r="D381" s="57">
        <f>1498+20</f>
        <v>1518</v>
      </c>
      <c r="E381" s="56">
        <v>7.1388999999999996</v>
      </c>
      <c r="F381" s="281">
        <f t="shared" si="71"/>
        <v>7.1388999999999996</v>
      </c>
      <c r="G381" s="281">
        <f t="shared" ref="G381" si="77">ROUND(D381*(E381),2)</f>
        <v>10836.85</v>
      </c>
      <c r="H381" s="1307"/>
      <c r="I381" s="1307"/>
      <c r="J381" s="1307"/>
      <c r="K381" s="1386"/>
      <c r="L381" s="1434"/>
      <c r="M381" s="938"/>
      <c r="N381" s="615"/>
      <c r="O381" s="615"/>
      <c r="P381" s="615"/>
      <c r="Q381" s="616"/>
    </row>
    <row r="382" spans="1:21" ht="15.75" hidden="1" thickBot="1">
      <c r="A382" s="447" t="s">
        <v>205</v>
      </c>
      <c r="B382" s="602" t="s">
        <v>183</v>
      </c>
      <c r="C382" s="439" t="s">
        <v>260</v>
      </c>
      <c r="D382" s="184"/>
      <c r="E382" s="41">
        <f>7.332-6.6439</f>
        <v>0.68809999999999949</v>
      </c>
      <c r="F382" s="23">
        <f>+E382</f>
        <v>0.68809999999999949</v>
      </c>
      <c r="G382" s="185">
        <f>ROUND(D382*(E382),2)-0.01</f>
        <v>-0.01</v>
      </c>
      <c r="H382" s="1375"/>
      <c r="I382" s="1375"/>
      <c r="J382" s="1375"/>
      <c r="K382" s="1382"/>
      <c r="L382" s="1415">
        <f>SUM(G382:G384)</f>
        <v>-0.01</v>
      </c>
      <c r="M382" s="187"/>
      <c r="N382" s="604"/>
      <c r="O382" s="635"/>
      <c r="P382" s="636"/>
      <c r="Q382" s="605"/>
    </row>
    <row r="383" spans="1:21" ht="15.75" hidden="1" thickBot="1">
      <c r="A383" s="450" t="s">
        <v>206</v>
      </c>
      <c r="B383" s="506"/>
      <c r="C383" s="48" t="s">
        <v>263</v>
      </c>
      <c r="D383" s="49"/>
      <c r="E383" s="41">
        <v>7.3319999999999999</v>
      </c>
      <c r="F383" s="41">
        <f>+E383</f>
        <v>7.3319999999999999</v>
      </c>
      <c r="G383" s="50">
        <f t="shared" si="72"/>
        <v>0</v>
      </c>
      <c r="H383" s="1376"/>
      <c r="I383" s="1377"/>
      <c r="J383" s="1377"/>
      <c r="K383" s="1378"/>
      <c r="L383" s="1416"/>
      <c r="M383" s="935"/>
      <c r="N383" s="607"/>
      <c r="O383" s="608"/>
      <c r="P383" s="609"/>
      <c r="Q383" s="610"/>
    </row>
    <row r="384" spans="1:21" ht="15.75" hidden="1" thickBot="1">
      <c r="A384" s="451">
        <v>305</v>
      </c>
      <c r="B384" s="506"/>
      <c r="C384" s="54" t="s">
        <v>29</v>
      </c>
      <c r="D384" s="296"/>
      <c r="E384" s="56">
        <v>7.3319999999999999</v>
      </c>
      <c r="F384" s="41">
        <f t="shared" ref="F384:F388" si="78">+E384</f>
        <v>7.3319999999999999</v>
      </c>
      <c r="G384" s="50">
        <f t="shared" si="72"/>
        <v>0</v>
      </c>
      <c r="H384" s="1376"/>
      <c r="I384" s="1377"/>
      <c r="J384" s="1377"/>
      <c r="K384" s="1378"/>
      <c r="L384" s="1417"/>
      <c r="M384" s="935"/>
      <c r="N384" s="615"/>
      <c r="O384" s="615"/>
      <c r="P384" s="615"/>
      <c r="Q384" s="616"/>
    </row>
    <row r="385" spans="1:17" hidden="1">
      <c r="A385" s="376">
        <v>304</v>
      </c>
      <c r="B385" s="602" t="s">
        <v>299</v>
      </c>
      <c r="C385" s="48" t="s">
        <v>260</v>
      </c>
      <c r="D385" s="184"/>
      <c r="E385" s="41">
        <f>7.4271-7.1994</f>
        <v>0.22770000000000046</v>
      </c>
      <c r="F385" s="23">
        <f t="shared" si="78"/>
        <v>0.22770000000000046</v>
      </c>
      <c r="G385" s="185">
        <f>ROUND(D385*(E385),2)</f>
        <v>0</v>
      </c>
      <c r="H385" s="1285"/>
      <c r="I385" s="1285"/>
      <c r="J385" s="1285"/>
      <c r="K385" s="1285"/>
      <c r="L385" s="1415">
        <f>SUM(G385:G387)</f>
        <v>0</v>
      </c>
      <c r="M385" s="187"/>
      <c r="N385" s="604"/>
      <c r="O385" s="500"/>
      <c r="P385" s="501"/>
      <c r="Q385" s="605"/>
    </row>
    <row r="386" spans="1:17" hidden="1">
      <c r="A386" s="389"/>
      <c r="B386" s="506"/>
      <c r="C386" s="48" t="s">
        <v>263</v>
      </c>
      <c r="D386" s="49"/>
      <c r="E386" s="41">
        <v>7.4271000000000003</v>
      </c>
      <c r="F386" s="41">
        <f t="shared" si="78"/>
        <v>7.4271000000000003</v>
      </c>
      <c r="G386" s="50">
        <f t="shared" ref="G386:G387" si="79">ROUND(D386*(E386),2)</f>
        <v>0</v>
      </c>
      <c r="H386" s="1287"/>
      <c r="I386" s="1287"/>
      <c r="J386" s="1287"/>
      <c r="K386" s="1287"/>
      <c r="L386" s="1416"/>
      <c r="M386" s="935"/>
      <c r="N386" s="607"/>
      <c r="O386" s="608"/>
      <c r="P386" s="609"/>
      <c r="Q386" s="610"/>
    </row>
    <row r="387" spans="1:17" ht="15.75" hidden="1" thickBot="1">
      <c r="A387" s="936"/>
      <c r="B387" s="612"/>
      <c r="C387" s="99" t="s">
        <v>29</v>
      </c>
      <c r="D387" s="613"/>
      <c r="E387" s="56">
        <v>7.4271000000000003</v>
      </c>
      <c r="F387" s="281">
        <f t="shared" si="78"/>
        <v>7.4271000000000003</v>
      </c>
      <c r="G387" s="58">
        <f t="shared" si="79"/>
        <v>0</v>
      </c>
      <c r="H387" s="1307"/>
      <c r="I387" s="1307"/>
      <c r="J387" s="1307"/>
      <c r="K387" s="1307"/>
      <c r="L387" s="1417"/>
      <c r="M387" s="935"/>
      <c r="N387" s="615"/>
      <c r="O387" s="615"/>
      <c r="P387" s="615"/>
      <c r="Q387" s="616"/>
    </row>
    <row r="388" spans="1:17" collapsed="1">
      <c r="A388" s="376">
        <v>307</v>
      </c>
      <c r="B388" s="602" t="s">
        <v>251</v>
      </c>
      <c r="C388" s="439" t="s">
        <v>260</v>
      </c>
      <c r="D388" s="184">
        <f>май.19!D386+май.19!D387</f>
        <v>314.33</v>
      </c>
      <c r="E388" s="23">
        <f>7.1389-7.4271</f>
        <v>-0.28820000000000068</v>
      </c>
      <c r="F388" s="23">
        <f t="shared" si="78"/>
        <v>-0.28820000000000068</v>
      </c>
      <c r="G388" s="185">
        <f>ROUND(D388*(E388),2)</f>
        <v>-90.59</v>
      </c>
      <c r="H388" s="1388"/>
      <c r="I388" s="1375"/>
      <c r="J388" s="1375"/>
      <c r="K388" s="1382"/>
      <c r="L388" s="1415">
        <f>SUM(G388:G390)</f>
        <v>2421.7999999999997</v>
      </c>
      <c r="M388" s="187">
        <v>2421.8000000000002</v>
      </c>
      <c r="N388" s="604"/>
      <c r="O388" s="635"/>
      <c r="P388" s="636"/>
      <c r="Q388" s="605"/>
    </row>
    <row r="389" spans="1:17">
      <c r="A389" s="934"/>
      <c r="B389" s="506"/>
      <c r="C389" s="48" t="s">
        <v>263</v>
      </c>
      <c r="D389" s="49">
        <v>14.93</v>
      </c>
      <c r="E389" s="41">
        <v>7.1388999999999996</v>
      </c>
      <c r="F389" s="41">
        <f>+E389</f>
        <v>7.1388999999999996</v>
      </c>
      <c r="G389" s="50">
        <f>ROUND(D389*(E389),2)</f>
        <v>106.58</v>
      </c>
      <c r="H389" s="1376"/>
      <c r="I389" s="1377"/>
      <c r="J389" s="1377"/>
      <c r="K389" s="1378"/>
      <c r="L389" s="1416"/>
      <c r="M389" s="935"/>
      <c r="N389" s="607"/>
      <c r="O389" s="608"/>
      <c r="P389" s="609"/>
      <c r="Q389" s="610"/>
    </row>
    <row r="390" spans="1:17" ht="15.75" thickBot="1">
      <c r="A390" s="960"/>
      <c r="B390" s="506"/>
      <c r="C390" s="54" t="s">
        <v>29</v>
      </c>
      <c r="D390" s="296">
        <v>337</v>
      </c>
      <c r="E390" s="56">
        <v>7.1388999999999996</v>
      </c>
      <c r="F390" s="41">
        <f t="shared" ref="F390:F394" si="80">+E390</f>
        <v>7.1388999999999996</v>
      </c>
      <c r="G390" s="50">
        <f t="shared" ref="G390" si="81">ROUND(D390*(E390),2)</f>
        <v>2405.81</v>
      </c>
      <c r="H390" s="1376"/>
      <c r="I390" s="1377"/>
      <c r="J390" s="1377"/>
      <c r="K390" s="1378"/>
      <c r="L390" s="1417"/>
      <c r="M390" s="935"/>
      <c r="N390" s="615"/>
      <c r="O390" s="615"/>
      <c r="P390" s="615"/>
      <c r="Q390" s="616"/>
    </row>
    <row r="391" spans="1:17" collapsed="1">
      <c r="A391" s="376">
        <v>308</v>
      </c>
      <c r="B391" s="602" t="s">
        <v>247</v>
      </c>
      <c r="C391" s="439" t="s">
        <v>260</v>
      </c>
      <c r="D391" s="184">
        <f>май.19!D389+май.19!D390</f>
        <v>242.28</v>
      </c>
      <c r="E391" s="23">
        <f>7.1389-7.4271</f>
        <v>-0.28820000000000068</v>
      </c>
      <c r="F391" s="23">
        <f t="shared" si="80"/>
        <v>-0.28820000000000068</v>
      </c>
      <c r="G391" s="185">
        <f>ROUND(D391*(E391),2)+0.01</f>
        <v>-69.819999999999993</v>
      </c>
      <c r="H391" s="1388"/>
      <c r="I391" s="1375"/>
      <c r="J391" s="1375"/>
      <c r="K391" s="1382"/>
      <c r="L391" s="1415">
        <f>SUM(G391:G393)</f>
        <v>2233.83</v>
      </c>
      <c r="M391" s="187">
        <v>2233.83</v>
      </c>
      <c r="N391" s="604"/>
      <c r="O391" s="635"/>
      <c r="P391" s="636"/>
      <c r="Q391" s="605"/>
    </row>
    <row r="392" spans="1:17">
      <c r="A392" s="934"/>
      <c r="B392" s="506"/>
      <c r="C392" s="48" t="s">
        <v>263</v>
      </c>
      <c r="D392" s="49">
        <v>13.69</v>
      </c>
      <c r="E392" s="41">
        <v>7.1388999999999996</v>
      </c>
      <c r="F392" s="41">
        <f>+E392</f>
        <v>7.1388999999999996</v>
      </c>
      <c r="G392" s="50">
        <f>ROUND(D392*(E392),2)</f>
        <v>97.73</v>
      </c>
      <c r="H392" s="1376"/>
      <c r="I392" s="1377"/>
      <c r="J392" s="1377"/>
      <c r="K392" s="1378"/>
      <c r="L392" s="1416"/>
      <c r="M392" s="935"/>
      <c r="N392" s="607"/>
      <c r="O392" s="608"/>
      <c r="P392" s="609"/>
      <c r="Q392" s="610"/>
    </row>
    <row r="393" spans="1:17" ht="15.75" thickBot="1">
      <c r="A393" s="960"/>
      <c r="B393" s="506"/>
      <c r="C393" s="54" t="s">
        <v>29</v>
      </c>
      <c r="D393" s="296">
        <v>309</v>
      </c>
      <c r="E393" s="56">
        <v>7.1388999999999996</v>
      </c>
      <c r="F393" s="41">
        <f t="shared" ref="F393" si="82">+E393</f>
        <v>7.1388999999999996</v>
      </c>
      <c r="G393" s="50">
        <f t="shared" ref="G393" si="83">ROUND(D393*(E393),2)</f>
        <v>2205.92</v>
      </c>
      <c r="H393" s="1376"/>
      <c r="I393" s="1377"/>
      <c r="J393" s="1377"/>
      <c r="K393" s="1378"/>
      <c r="L393" s="1417"/>
      <c r="M393" s="935"/>
      <c r="N393" s="615"/>
      <c r="O393" s="615"/>
      <c r="P393" s="615"/>
      <c r="Q393" s="616"/>
    </row>
    <row r="394" spans="1:17" ht="15.75" hidden="1" collapsed="1" thickBot="1">
      <c r="A394" s="376" t="s">
        <v>254</v>
      </c>
      <c r="B394" s="602" t="s">
        <v>235</v>
      </c>
      <c r="C394" s="439" t="s">
        <v>260</v>
      </c>
      <c r="D394" s="184"/>
      <c r="E394" s="41">
        <f>7.0643-7.1352</f>
        <v>-7.0899999999999963E-2</v>
      </c>
      <c r="F394" s="23">
        <f t="shared" si="80"/>
        <v>-7.0899999999999963E-2</v>
      </c>
      <c r="G394" s="185">
        <f>ROUND(D394*(E394),2)-0.01</f>
        <v>-0.01</v>
      </c>
      <c r="H394" s="1375"/>
      <c r="I394" s="1375"/>
      <c r="J394" s="1375"/>
      <c r="K394" s="1382"/>
      <c r="L394" s="1415">
        <f>SUM(G394:G396)</f>
        <v>-0.01</v>
      </c>
      <c r="M394" s="187"/>
      <c r="N394" s="615"/>
      <c r="O394" s="615"/>
      <c r="P394" s="615"/>
      <c r="Q394" s="615"/>
    </row>
    <row r="395" spans="1:17" ht="15.75" hidden="1" thickBot="1">
      <c r="A395" s="934">
        <v>314</v>
      </c>
      <c r="B395" s="506"/>
      <c r="C395" s="48" t="s">
        <v>263</v>
      </c>
      <c r="D395" s="49"/>
      <c r="E395" s="41">
        <v>7.0643000000000002</v>
      </c>
      <c r="F395" s="41">
        <f>+E395</f>
        <v>7.0643000000000002</v>
      </c>
      <c r="G395" s="50">
        <f>ROUND(D395*(E395),2)</f>
        <v>0</v>
      </c>
      <c r="H395" s="1376"/>
      <c r="I395" s="1377"/>
      <c r="J395" s="1377"/>
      <c r="K395" s="1378"/>
      <c r="L395" s="1416"/>
      <c r="M395" s="935"/>
      <c r="N395" s="615"/>
      <c r="O395" s="615"/>
      <c r="P395" s="615"/>
      <c r="Q395" s="615"/>
    </row>
    <row r="396" spans="1:17" ht="15.75" hidden="1" thickBot="1">
      <c r="A396" s="934"/>
      <c r="B396" s="506"/>
      <c r="C396" s="54" t="s">
        <v>29</v>
      </c>
      <c r="D396" s="296"/>
      <c r="E396" s="56">
        <v>7.0643000000000002</v>
      </c>
      <c r="F396" s="41">
        <f t="shared" ref="F396:F399" si="84">+E396</f>
        <v>7.0643000000000002</v>
      </c>
      <c r="G396" s="50">
        <f t="shared" ref="G396" si="85">ROUND(D396*(E396),2)</f>
        <v>0</v>
      </c>
      <c r="H396" s="1376"/>
      <c r="I396" s="1377"/>
      <c r="J396" s="1377"/>
      <c r="K396" s="1378"/>
      <c r="L396" s="1417"/>
      <c r="M396" s="935"/>
      <c r="N396" s="615"/>
      <c r="O396" s="615"/>
      <c r="P396" s="615"/>
      <c r="Q396" s="615"/>
    </row>
    <row r="397" spans="1:17" ht="15.75" hidden="1" thickBot="1">
      <c r="A397" s="376">
        <v>311</v>
      </c>
      <c r="B397" s="602" t="s">
        <v>204</v>
      </c>
      <c r="C397" s="439" t="s">
        <v>260</v>
      </c>
      <c r="D397" s="184"/>
      <c r="E397" s="41">
        <f>6.7023-6.509</f>
        <v>0.19329999999999981</v>
      </c>
      <c r="F397" s="23">
        <f t="shared" si="84"/>
        <v>0.19329999999999981</v>
      </c>
      <c r="G397" s="185">
        <f>ROUND(D397*(E397),2)-0.01</f>
        <v>-0.01</v>
      </c>
      <c r="H397" s="1375"/>
      <c r="I397" s="1375"/>
      <c r="J397" s="1375"/>
      <c r="K397" s="1382"/>
      <c r="L397" s="1415">
        <f>SUM(G397:G400)</f>
        <v>-0.01</v>
      </c>
      <c r="M397" s="187"/>
      <c r="N397" s="604"/>
      <c r="O397" s="635" t="s">
        <v>274</v>
      </c>
      <c r="P397" s="636"/>
      <c r="Q397" s="605"/>
    </row>
    <row r="398" spans="1:17" ht="15.75" hidden="1" thickBot="1">
      <c r="A398" s="389"/>
      <c r="B398" s="939" t="s">
        <v>273</v>
      </c>
      <c r="C398" s="48" t="s">
        <v>263</v>
      </c>
      <c r="D398" s="49"/>
      <c r="E398" s="41">
        <v>6.7023000000000001</v>
      </c>
      <c r="F398" s="41">
        <f t="shared" si="84"/>
        <v>6.7023000000000001</v>
      </c>
      <c r="G398" s="50">
        <f>ROUND(D398*(E398),2)</f>
        <v>0</v>
      </c>
      <c r="H398" s="1376"/>
      <c r="I398" s="1377"/>
      <c r="J398" s="1377"/>
      <c r="K398" s="1378"/>
      <c r="L398" s="1416"/>
      <c r="M398" s="935"/>
      <c r="N398" s="607"/>
      <c r="O398" s="608"/>
      <c r="P398" s="609"/>
      <c r="Q398" s="610"/>
    </row>
    <row r="399" spans="1:17" ht="15.75" hidden="1" thickBot="1">
      <c r="A399" s="936"/>
      <c r="B399" s="506"/>
      <c r="C399" s="99" t="s">
        <v>29</v>
      </c>
      <c r="D399" s="296"/>
      <c r="E399" s="101">
        <v>6.7023000000000001</v>
      </c>
      <c r="F399" s="41">
        <f t="shared" si="84"/>
        <v>6.7023000000000001</v>
      </c>
      <c r="G399" s="50">
        <f>ROUND(D399*(E399),2)</f>
        <v>0</v>
      </c>
      <c r="H399" s="1376"/>
      <c r="I399" s="1377"/>
      <c r="J399" s="1377"/>
      <c r="K399" s="1389"/>
      <c r="L399" s="1417"/>
      <c r="M399" s="935"/>
      <c r="N399" s="615"/>
      <c r="O399" s="615"/>
      <c r="P399" s="615"/>
      <c r="Q399" s="616"/>
    </row>
    <row r="400" spans="1:17" ht="15.75" hidden="1" thickBot="1">
      <c r="A400" s="937"/>
      <c r="B400" s="278"/>
      <c r="C400" s="784"/>
      <c r="D400" s="941"/>
      <c r="E400" s="281"/>
      <c r="F400" s="57"/>
      <c r="G400" s="58">
        <f>ROUND(D400*(E400),2)</f>
        <v>0</v>
      </c>
      <c r="H400" s="1306"/>
      <c r="I400" s="1307"/>
      <c r="J400" s="1307"/>
      <c r="K400" s="1390"/>
      <c r="L400" s="1432"/>
      <c r="M400" s="938"/>
      <c r="N400" s="626"/>
      <c r="O400" s="626"/>
      <c r="P400" s="626"/>
      <c r="Q400" s="626"/>
    </row>
    <row r="401" spans="1:20" ht="15.75" hidden="1" collapsed="1" thickBot="1">
      <c r="A401" s="376">
        <v>311</v>
      </c>
      <c r="B401" s="602" t="s">
        <v>278</v>
      </c>
      <c r="C401" s="439" t="s">
        <v>260</v>
      </c>
      <c r="D401" s="184"/>
      <c r="E401" s="41">
        <f>7.2025-6.7838</f>
        <v>0.41869999999999941</v>
      </c>
      <c r="F401" s="23">
        <f t="shared" ref="F401" si="86">+E401</f>
        <v>0.41869999999999941</v>
      </c>
      <c r="G401" s="185">
        <f>ROUND(D401*(E401),2)</f>
        <v>0</v>
      </c>
      <c r="H401" s="1375"/>
      <c r="I401" s="1375"/>
      <c r="J401" s="1375"/>
      <c r="K401" s="1382"/>
      <c r="L401" s="1415">
        <f>SUM(G401:G403)</f>
        <v>0</v>
      </c>
      <c r="M401" s="187"/>
      <c r="N401" s="615"/>
      <c r="O401" s="615"/>
      <c r="P401" s="615"/>
      <c r="Q401" s="615"/>
    </row>
    <row r="402" spans="1:20" ht="15.75" hidden="1" thickBot="1">
      <c r="A402" s="934"/>
      <c r="B402" s="506"/>
      <c r="C402" s="48" t="s">
        <v>263</v>
      </c>
      <c r="D402" s="49"/>
      <c r="E402" s="41">
        <v>7.2024999999999997</v>
      </c>
      <c r="F402" s="41">
        <f>+E402</f>
        <v>7.2024999999999997</v>
      </c>
      <c r="G402" s="50">
        <f>ROUND(D402*(E402),2)</f>
        <v>0</v>
      </c>
      <c r="H402" s="1376"/>
      <c r="I402" s="1377"/>
      <c r="J402" s="1377"/>
      <c r="K402" s="1378"/>
      <c r="L402" s="1416"/>
      <c r="M402" s="935"/>
      <c r="N402" s="615"/>
      <c r="O402" s="615"/>
      <c r="P402" s="615"/>
      <c r="Q402" s="615"/>
    </row>
    <row r="403" spans="1:20" ht="15.75" hidden="1" thickBot="1">
      <c r="A403" s="934"/>
      <c r="B403" s="506"/>
      <c r="C403" s="54" t="s">
        <v>29</v>
      </c>
      <c r="D403" s="296"/>
      <c r="E403" s="56">
        <v>7.2024999999999997</v>
      </c>
      <c r="F403" s="41">
        <f t="shared" ref="F403:F404" si="87">+E403</f>
        <v>7.2024999999999997</v>
      </c>
      <c r="G403" s="50">
        <f t="shared" ref="G403" si="88">ROUND(D403*(E403),2)</f>
        <v>0</v>
      </c>
      <c r="H403" s="1376"/>
      <c r="I403" s="1377"/>
      <c r="J403" s="1377"/>
      <c r="K403" s="1378"/>
      <c r="L403" s="1417"/>
      <c r="M403" s="935"/>
      <c r="N403" s="615"/>
      <c r="O403" s="615"/>
      <c r="P403" s="615"/>
      <c r="Q403" s="615"/>
    </row>
    <row r="404" spans="1:20" ht="15.75" hidden="1" collapsed="1" thickBot="1">
      <c r="A404" s="376">
        <v>314</v>
      </c>
      <c r="B404" s="602" t="s">
        <v>235</v>
      </c>
      <c r="C404" s="439" t="s">
        <v>149</v>
      </c>
      <c r="D404" s="184"/>
      <c r="E404" s="41">
        <f>6.509-6.4709</f>
        <v>3.8100000000000023E-2</v>
      </c>
      <c r="F404" s="23">
        <f t="shared" si="87"/>
        <v>3.8100000000000023E-2</v>
      </c>
      <c r="G404" s="185">
        <f>ROUND(D404*(E404),2)</f>
        <v>0</v>
      </c>
      <c r="H404" s="1375"/>
      <c r="I404" s="1375"/>
      <c r="J404" s="1375"/>
      <c r="K404" s="1382"/>
      <c r="L404" s="1415">
        <f>SUM(G404:G406)</f>
        <v>0</v>
      </c>
      <c r="M404" s="187"/>
      <c r="N404" s="615"/>
      <c r="O404" s="967" t="s">
        <v>249</v>
      </c>
      <c r="P404" s="615"/>
      <c r="Q404" s="615"/>
    </row>
    <row r="405" spans="1:20" ht="15.75" hidden="1" thickBot="1">
      <c r="A405" s="934"/>
      <c r="B405" s="516" t="s">
        <v>246</v>
      </c>
      <c r="C405" s="48" t="s">
        <v>150</v>
      </c>
      <c r="D405" s="49"/>
      <c r="E405" s="41">
        <v>6.5090000000000003</v>
      </c>
      <c r="F405" s="41">
        <f>+E405</f>
        <v>6.5090000000000003</v>
      </c>
      <c r="G405" s="50">
        <f>ROUND(D405*(E405),2)</f>
        <v>0</v>
      </c>
      <c r="H405" s="1376"/>
      <c r="I405" s="1377"/>
      <c r="J405" s="1377"/>
      <c r="K405" s="1378"/>
      <c r="L405" s="1416"/>
      <c r="M405" s="935"/>
      <c r="N405" s="615"/>
      <c r="O405" s="615"/>
      <c r="P405" s="615"/>
      <c r="Q405" s="615"/>
    </row>
    <row r="406" spans="1:20" ht="15.75" hidden="1" thickBot="1">
      <c r="A406" s="942"/>
      <c r="B406" s="982"/>
      <c r="C406" s="54" t="s">
        <v>29</v>
      </c>
      <c r="D406" s="613"/>
      <c r="E406" s="56">
        <v>6.5090000000000003</v>
      </c>
      <c r="F406" s="281">
        <f t="shared" ref="F406:F407" si="89">+E406</f>
        <v>6.5090000000000003</v>
      </c>
      <c r="G406" s="58">
        <f t="shared" ref="G406" si="90">ROUND(D406*(E406),2)</f>
        <v>0</v>
      </c>
      <c r="H406" s="1306"/>
      <c r="I406" s="1307"/>
      <c r="J406" s="1307"/>
      <c r="K406" s="1386"/>
      <c r="L406" s="1434"/>
      <c r="M406" s="938"/>
      <c r="N406" s="615"/>
      <c r="O406" s="615"/>
      <c r="P406" s="615"/>
      <c r="Q406" s="615"/>
    </row>
    <row r="407" spans="1:20" collapsed="1">
      <c r="A407" s="376">
        <v>316</v>
      </c>
      <c r="B407" s="602" t="s">
        <v>288</v>
      </c>
      <c r="C407" s="439" t="s">
        <v>260</v>
      </c>
      <c r="D407" s="184">
        <f>май.19!D405+май.19!D406</f>
        <v>89.81</v>
      </c>
      <c r="E407" s="41">
        <f>7.1389-7.4271</f>
        <v>-0.28820000000000068</v>
      </c>
      <c r="F407" s="23">
        <f t="shared" si="89"/>
        <v>-0.28820000000000068</v>
      </c>
      <c r="G407" s="185">
        <f>ROUND(D407*(E407),2)-0.01</f>
        <v>-25.89</v>
      </c>
      <c r="H407" s="1375"/>
      <c r="I407" s="1375"/>
      <c r="J407" s="1375"/>
      <c r="K407" s="1382"/>
      <c r="L407" s="1415">
        <f>SUM(G407:G409)</f>
        <v>525.80999999999995</v>
      </c>
      <c r="M407" s="187">
        <v>525.80999999999995</v>
      </c>
      <c r="N407" s="615"/>
      <c r="O407" s="615"/>
      <c r="P407" s="615"/>
      <c r="Q407" s="615"/>
    </row>
    <row r="408" spans="1:20">
      <c r="A408" s="934"/>
      <c r="B408" s="506"/>
      <c r="C408" s="48" t="s">
        <v>263</v>
      </c>
      <c r="D408" s="49">
        <v>3.28</v>
      </c>
      <c r="E408" s="41">
        <v>7.1388999999999996</v>
      </c>
      <c r="F408" s="41">
        <f>+E408</f>
        <v>7.1388999999999996</v>
      </c>
      <c r="G408" s="50">
        <f>ROUND(D408*(E408),2)</f>
        <v>23.42</v>
      </c>
      <c r="H408" s="1376"/>
      <c r="I408" s="1377"/>
      <c r="J408" s="1377"/>
      <c r="K408" s="1378"/>
      <c r="L408" s="1416"/>
      <c r="M408" s="935"/>
      <c r="N408" s="615"/>
      <c r="O408" s="615"/>
      <c r="P408" s="615"/>
      <c r="Q408" s="615"/>
    </row>
    <row r="409" spans="1:20" ht="15.75" thickBot="1">
      <c r="A409" s="934"/>
      <c r="B409" s="506"/>
      <c r="C409" s="54" t="s">
        <v>29</v>
      </c>
      <c r="D409" s="296">
        <v>74</v>
      </c>
      <c r="E409" s="56">
        <v>7.1388999999999996</v>
      </c>
      <c r="F409" s="41">
        <f t="shared" ref="F409" si="91">+E409</f>
        <v>7.1388999999999996</v>
      </c>
      <c r="G409" s="50">
        <f t="shared" ref="G409" si="92">ROUND(D409*(E409),2)</f>
        <v>528.28</v>
      </c>
      <c r="H409" s="1376"/>
      <c r="I409" s="1377"/>
      <c r="J409" s="1377"/>
      <c r="K409" s="1378"/>
      <c r="L409" s="1417"/>
      <c r="M409" s="935"/>
      <c r="N409" s="615"/>
      <c r="O409" s="615"/>
      <c r="P409" s="615"/>
      <c r="Q409" s="615"/>
    </row>
    <row r="410" spans="1:20">
      <c r="A410" s="376">
        <v>403</v>
      </c>
      <c r="B410" s="602" t="s">
        <v>279</v>
      </c>
      <c r="C410" s="618" t="s">
        <v>73</v>
      </c>
      <c r="D410" s="619">
        <v>2</v>
      </c>
      <c r="E410" s="21">
        <v>41.244</v>
      </c>
      <c r="F410" s="21">
        <v>48.335999999999999</v>
      </c>
      <c r="G410" s="185">
        <f>ROUND(D410*(E410+F410),2)</f>
        <v>179.16</v>
      </c>
      <c r="H410" s="1375"/>
      <c r="I410" s="1375"/>
      <c r="J410" s="1375"/>
      <c r="K410" s="1375"/>
      <c r="L410" s="1415">
        <f>SUM(G410:G416,J410:J416)</f>
        <v>2056.7800000000002</v>
      </c>
      <c r="M410" s="187">
        <v>2056.7800000000002</v>
      </c>
      <c r="N410" s="621"/>
      <c r="O410" s="621"/>
      <c r="P410" s="621"/>
      <c r="Q410" s="622"/>
    </row>
    <row r="411" spans="1:20">
      <c r="A411" s="936"/>
      <c r="B411" s="612"/>
      <c r="C411" s="542" t="s">
        <v>96</v>
      </c>
      <c r="D411" s="234"/>
      <c r="E411" s="38"/>
      <c r="F411" s="38"/>
      <c r="G411" s="235">
        <f>ROUND(D411*(E411+F411),2)</f>
        <v>0</v>
      </c>
      <c r="H411" s="1377"/>
      <c r="I411" s="1377"/>
      <c r="J411" s="1377"/>
      <c r="K411" s="1377"/>
      <c r="L411" s="1416"/>
      <c r="M411" s="935"/>
      <c r="N411" s="615"/>
      <c r="O411" s="615"/>
      <c r="P411" s="615"/>
      <c r="Q411" s="616"/>
    </row>
    <row r="412" spans="1:20">
      <c r="A412" s="389"/>
      <c r="B412" s="516"/>
      <c r="C412" s="99" t="s">
        <v>90</v>
      </c>
      <c r="D412" s="508">
        <v>3</v>
      </c>
      <c r="E412" s="101">
        <v>276.93</v>
      </c>
      <c r="F412" s="38">
        <f>F410</f>
        <v>48.335999999999999</v>
      </c>
      <c r="G412" s="50">
        <f>ROUND(D412*(E412+F412),2)</f>
        <v>975.8</v>
      </c>
      <c r="H412" s="1289"/>
      <c r="I412" s="1287"/>
      <c r="J412" s="1287"/>
      <c r="K412" s="510"/>
      <c r="L412" s="597"/>
      <c r="M412" s="99"/>
      <c r="N412" s="518"/>
      <c r="O412" s="519"/>
      <c r="P412" s="515"/>
      <c r="Q412" s="271"/>
      <c r="R412" s="502"/>
      <c r="S412" s="503"/>
      <c r="T412" s="504"/>
    </row>
    <row r="413" spans="1:20">
      <c r="A413" s="389"/>
      <c r="B413" s="506"/>
      <c r="C413" s="390" t="s">
        <v>97</v>
      </c>
      <c r="D413" s="508">
        <f>май.19!D409</f>
        <v>2</v>
      </c>
      <c r="E413" s="41"/>
      <c r="F413" s="38">
        <f>F411</f>
        <v>0</v>
      </c>
      <c r="G413" s="50">
        <f>D413*(E413+F413)</f>
        <v>0</v>
      </c>
      <c r="H413" s="1357"/>
      <c r="I413" s="1358"/>
      <c r="J413" s="1287"/>
      <c r="K413" s="510"/>
      <c r="L413" s="597"/>
      <c r="M413" s="99"/>
      <c r="N413" s="521"/>
      <c r="O413" s="522"/>
      <c r="P413" s="523"/>
      <c r="Q413" s="362"/>
      <c r="R413" s="502"/>
      <c r="S413" s="503"/>
      <c r="T413" s="504"/>
    </row>
    <row r="414" spans="1:20">
      <c r="A414" s="936"/>
      <c r="B414" s="612"/>
      <c r="C414" s="48" t="s">
        <v>260</v>
      </c>
      <c r="D414" s="623">
        <f>май.19!D412+май.19!D413</f>
        <v>104.43</v>
      </c>
      <c r="E414" s="41">
        <f>7.1389-7.4271</f>
        <v>-0.28820000000000068</v>
      </c>
      <c r="F414" s="41">
        <f t="shared" ref="F414:F416" si="93">+E414</f>
        <v>-0.28820000000000068</v>
      </c>
      <c r="G414" s="50">
        <f>ROUND(D414*(E414),2)+0.01</f>
        <v>-30.09</v>
      </c>
      <c r="H414" s="1377"/>
      <c r="I414" s="1377"/>
      <c r="J414" s="1377"/>
      <c r="K414" s="1377"/>
      <c r="L414" s="1417"/>
      <c r="M414" s="935"/>
      <c r="N414" s="615"/>
      <c r="O414" s="615"/>
      <c r="P414" s="615"/>
      <c r="Q414" s="616"/>
    </row>
    <row r="415" spans="1:20">
      <c r="A415" s="936"/>
      <c r="B415" s="612"/>
      <c r="C415" s="48" t="s">
        <v>263</v>
      </c>
      <c r="D415" s="623">
        <v>5.54</v>
      </c>
      <c r="E415" s="41">
        <v>7.1388999999999996</v>
      </c>
      <c r="F415" s="41">
        <f t="shared" si="93"/>
        <v>7.1388999999999996</v>
      </c>
      <c r="G415" s="39">
        <f>ROUND(D415*(E415),2)</f>
        <v>39.549999999999997</v>
      </c>
      <c r="H415" s="1377"/>
      <c r="I415" s="1377"/>
      <c r="J415" s="1377"/>
      <c r="K415" s="1377"/>
      <c r="L415" s="1417"/>
      <c r="M415" s="273"/>
      <c r="N415" s="615"/>
      <c r="O415" s="615"/>
      <c r="P415" s="615"/>
      <c r="Q415" s="616"/>
    </row>
    <row r="416" spans="1:20" ht="15.75" thickBot="1">
      <c r="A416" s="937"/>
      <c r="B416" s="526"/>
      <c r="C416" s="99" t="s">
        <v>29</v>
      </c>
      <c r="D416" s="995">
        <v>125</v>
      </c>
      <c r="E416" s="56">
        <v>7.1388999999999996</v>
      </c>
      <c r="F416" s="281">
        <f t="shared" si="93"/>
        <v>7.1388999999999996</v>
      </c>
      <c r="G416" s="414">
        <f>ROUND(D416*(E416),2)</f>
        <v>892.36</v>
      </c>
      <c r="H416" s="1287"/>
      <c r="I416" s="1287"/>
      <c r="J416" s="1311"/>
      <c r="K416" s="1311"/>
      <c r="L416" s="1432"/>
      <c r="M416" s="938"/>
      <c r="N416" s="626"/>
      <c r="O416" s="626"/>
      <c r="P416" s="626"/>
      <c r="Q416" s="627"/>
    </row>
    <row r="417" spans="1:21" collapsed="1">
      <c r="A417" s="353" t="s">
        <v>203</v>
      </c>
      <c r="B417" s="494" t="s">
        <v>104</v>
      </c>
      <c r="C417" s="71" t="s">
        <v>243</v>
      </c>
      <c r="D417" s="495">
        <v>22</v>
      </c>
      <c r="E417" s="21">
        <v>41.244</v>
      </c>
      <c r="F417" s="21">
        <v>48.335999999999999</v>
      </c>
      <c r="G417" s="185">
        <f>ROUND(D417*(E417+F417),2)</f>
        <v>1970.76</v>
      </c>
      <c r="H417" s="1379"/>
      <c r="I417" s="1285"/>
      <c r="J417" s="1285"/>
      <c r="K417" s="497"/>
      <c r="L417" s="439">
        <f>SUM(G417:G424)+SUM(J417:J423)</f>
        <v>17747.12</v>
      </c>
      <c r="M417" s="26">
        <v>17747.12</v>
      </c>
      <c r="N417" s="499"/>
      <c r="O417" s="500"/>
      <c r="P417" s="501" t="s">
        <v>87</v>
      </c>
      <c r="Q417" s="185" t="e">
        <f t="shared" ref="Q417" si="94">C417+G417+J417-M417-N417-O417</f>
        <v>#VALUE!</v>
      </c>
      <c r="R417" s="502" t="s">
        <v>88</v>
      </c>
      <c r="S417" s="503"/>
      <c r="T417" s="504"/>
    </row>
    <row r="418" spans="1:21">
      <c r="A418" s="934">
        <v>417</v>
      </c>
      <c r="B418" s="506"/>
      <c r="C418" s="599" t="s">
        <v>96</v>
      </c>
      <c r="D418" s="234"/>
      <c r="E418" s="38"/>
      <c r="F418" s="38"/>
      <c r="G418" s="235">
        <f>ROUND(D418*(E418+F418),2)</f>
        <v>0</v>
      </c>
      <c r="H418" s="1380"/>
      <c r="I418" s="1290"/>
      <c r="J418" s="1287"/>
      <c r="K418" s="510"/>
      <c r="L418" s="48"/>
      <c r="M418" s="512"/>
      <c r="N418" s="513"/>
      <c r="O418" s="514"/>
      <c r="P418" s="515"/>
      <c r="Q418" s="262"/>
      <c r="R418" s="502"/>
      <c r="S418" s="503"/>
      <c r="T418" s="504"/>
    </row>
    <row r="419" spans="1:21">
      <c r="A419" s="934"/>
      <c r="B419" s="516" t="s">
        <v>89</v>
      </c>
      <c r="C419" s="512" t="s">
        <v>90</v>
      </c>
      <c r="D419" s="508">
        <v>1</v>
      </c>
      <c r="E419" s="101">
        <v>276.93</v>
      </c>
      <c r="F419" s="38">
        <f>F33</f>
        <v>48.335999999999999</v>
      </c>
      <c r="G419" s="50">
        <f>ROUND(D419*(E419+F419),2)</f>
        <v>325.27</v>
      </c>
      <c r="H419" s="1289"/>
      <c r="I419" s="1287"/>
      <c r="J419" s="1287"/>
      <c r="K419" s="510"/>
      <c r="L419" s="600"/>
      <c r="M419" s="99"/>
      <c r="N419" s="518"/>
      <c r="O419" s="519"/>
      <c r="P419" s="515" t="s">
        <v>87</v>
      </c>
      <c r="Q419" s="271">
        <f>+G419+J419-M419-N419-O419</f>
        <v>325.27</v>
      </c>
      <c r="R419" s="502" t="s">
        <v>88</v>
      </c>
      <c r="S419" s="503"/>
      <c r="T419" s="504"/>
    </row>
    <row r="420" spans="1:21">
      <c r="A420" s="934"/>
      <c r="B420" s="541"/>
      <c r="C420" s="84" t="s">
        <v>97</v>
      </c>
      <c r="D420" s="508">
        <f>май.19!D416</f>
        <v>0</v>
      </c>
      <c r="E420" s="41"/>
      <c r="F420" s="38">
        <f>F418</f>
        <v>0</v>
      </c>
      <c r="G420" s="50">
        <f>ROUND(D420*(E420+F420),2)</f>
        <v>0</v>
      </c>
      <c r="H420" s="1357"/>
      <c r="I420" s="1358"/>
      <c r="J420" s="1287"/>
      <c r="K420" s="510"/>
      <c r="L420" s="600"/>
      <c r="M420" s="520"/>
      <c r="N420" s="521"/>
      <c r="O420" s="522"/>
      <c r="P420" s="523"/>
      <c r="Q420" s="362"/>
      <c r="R420" s="502"/>
      <c r="S420" s="503"/>
      <c r="T420" s="504"/>
    </row>
    <row r="421" spans="1:21">
      <c r="A421" s="934"/>
      <c r="B421" s="541"/>
      <c r="C421" s="84" t="s">
        <v>97</v>
      </c>
      <c r="D421" s="508"/>
      <c r="E421" s="41"/>
      <c r="F421" s="41"/>
      <c r="G421" s="50">
        <f>D421*(E421+F421)</f>
        <v>0</v>
      </c>
      <c r="H421" s="1357"/>
      <c r="I421" s="1358"/>
      <c r="J421" s="1287"/>
      <c r="K421" s="510"/>
      <c r="L421" s="600"/>
      <c r="M421" s="520"/>
      <c r="N421" s="521"/>
      <c r="O421" s="522"/>
      <c r="P421" s="523"/>
      <c r="Q421" s="362"/>
      <c r="R421" s="502"/>
      <c r="S421" s="503"/>
      <c r="T421" s="504"/>
    </row>
    <row r="422" spans="1:21">
      <c r="A422" s="934"/>
      <c r="B422" s="506"/>
      <c r="C422" s="48" t="s">
        <v>260</v>
      </c>
      <c r="D422" s="37">
        <f>май.19!D420+май.19!D421</f>
        <v>1745.03</v>
      </c>
      <c r="E422" s="41">
        <f>7.1389-7.4271</f>
        <v>-0.28820000000000068</v>
      </c>
      <c r="F422" s="297">
        <f t="shared" ref="F422:F424" si="95">+E422</f>
        <v>-0.28820000000000068</v>
      </c>
      <c r="G422" s="39">
        <f>ROUND(D422*(E422),2)-0.01</f>
        <v>-502.93</v>
      </c>
      <c r="H422" s="1357"/>
      <c r="I422" s="1358"/>
      <c r="J422" s="1287"/>
      <c r="K422" s="510"/>
      <c r="L422" s="600"/>
      <c r="M422" s="520"/>
      <c r="N422" s="521"/>
      <c r="O422" s="522"/>
      <c r="P422" s="523"/>
      <c r="Q422" s="362"/>
      <c r="R422" s="502"/>
      <c r="S422" s="503"/>
      <c r="T422" s="504"/>
    </row>
    <row r="423" spans="1:21">
      <c r="A423" s="934"/>
      <c r="B423" s="506"/>
      <c r="C423" s="48" t="s">
        <v>263</v>
      </c>
      <c r="D423" s="37">
        <v>94.8</v>
      </c>
      <c r="E423" s="41">
        <v>7.1388999999999996</v>
      </c>
      <c r="F423" s="298">
        <f t="shared" si="95"/>
        <v>7.1388999999999996</v>
      </c>
      <c r="G423" s="39">
        <f>ROUND(D423*(E423),2)</f>
        <v>676.77</v>
      </c>
      <c r="H423" s="1357"/>
      <c r="I423" s="1358"/>
      <c r="J423" s="1287"/>
      <c r="K423" s="510"/>
      <c r="L423" s="600"/>
      <c r="M423" s="520"/>
      <c r="N423" s="521"/>
      <c r="O423" s="522"/>
      <c r="P423" s="523"/>
      <c r="Q423" s="362"/>
      <c r="R423" s="502"/>
      <c r="S423" s="503"/>
      <c r="T423" s="504"/>
      <c r="U423" s="33"/>
    </row>
    <row r="424" spans="1:21" ht="15.75" thickBot="1">
      <c r="A424" s="934"/>
      <c r="B424" s="526"/>
      <c r="C424" s="99" t="s">
        <v>29</v>
      </c>
      <c r="D424" s="55">
        <v>2140</v>
      </c>
      <c r="E424" s="56">
        <v>7.1388999999999996</v>
      </c>
      <c r="F424" s="57">
        <f t="shared" si="95"/>
        <v>7.1388999999999996</v>
      </c>
      <c r="G424" s="414">
        <f>ROUND(D424*(E424),2)</f>
        <v>15277.25</v>
      </c>
      <c r="H424" s="1337"/>
      <c r="I424" s="1317"/>
      <c r="J424" s="1318"/>
      <c r="K424" s="1319"/>
      <c r="L424" s="1421"/>
      <c r="M424" s="54"/>
      <c r="N424" s="527"/>
      <c r="O424" s="528"/>
      <c r="P424" s="529" t="s">
        <v>87</v>
      </c>
      <c r="Q424" s="362">
        <f>+G424+J424-M424-N424-O424</f>
        <v>15277.25</v>
      </c>
      <c r="R424" s="502" t="s">
        <v>88</v>
      </c>
      <c r="S424" s="598">
        <f>SUM(N417:N424)+O417:O424</f>
        <v>0</v>
      </c>
      <c r="T424" s="598" t="e">
        <f>SUM(Q417:Q424)</f>
        <v>#VALUE!</v>
      </c>
    </row>
    <row r="425" spans="1:21">
      <c r="A425" s="376">
        <v>407</v>
      </c>
      <c r="B425" s="494" t="s">
        <v>108</v>
      </c>
      <c r="C425" s="71" t="s">
        <v>73</v>
      </c>
      <c r="D425" s="495">
        <v>3</v>
      </c>
      <c r="E425" s="21">
        <v>41.244</v>
      </c>
      <c r="F425" s="21">
        <v>48.335999999999999</v>
      </c>
      <c r="G425" s="185">
        <f>ROUND(D425*(E425+F425),2)</f>
        <v>268.74</v>
      </c>
      <c r="H425" s="1379"/>
      <c r="I425" s="1285"/>
      <c r="J425" s="1285"/>
      <c r="K425" s="497"/>
      <c r="L425" s="498">
        <f>SUM(G425:G431)+SUM(J425:J430)</f>
        <v>2760.2</v>
      </c>
      <c r="M425" s="26">
        <v>2760.2</v>
      </c>
      <c r="N425" s="499"/>
      <c r="O425" s="500"/>
      <c r="P425" s="501" t="s">
        <v>87</v>
      </c>
      <c r="Q425" s="304" t="e">
        <f t="shared" ref="Q425:Q427" si="96">C425+G425+J425-M425-N425-O425</f>
        <v>#VALUE!</v>
      </c>
    </row>
    <row r="426" spans="1:21">
      <c r="A426" s="389"/>
      <c r="B426" s="506"/>
      <c r="C426" s="542" t="s">
        <v>96</v>
      </c>
      <c r="D426" s="234"/>
      <c r="E426" s="38"/>
      <c r="F426" s="38"/>
      <c r="G426" s="235">
        <f>ROUND(D426*(E426+F426),2)</f>
        <v>0</v>
      </c>
      <c r="H426" s="1380"/>
      <c r="I426" s="1290"/>
      <c r="J426" s="1287"/>
      <c r="K426" s="510"/>
      <c r="L426" s="632"/>
      <c r="M426" s="512"/>
      <c r="N426" s="513"/>
      <c r="O426" s="514"/>
      <c r="P426" s="515"/>
      <c r="Q426" s="262"/>
    </row>
    <row r="427" spans="1:21">
      <c r="A427" s="389"/>
      <c r="B427" s="516" t="s">
        <v>109</v>
      </c>
      <c r="C427" s="633"/>
      <c r="D427" s="508">
        <v>0</v>
      </c>
      <c r="E427" s="101">
        <v>276.93</v>
      </c>
      <c r="F427" s="38">
        <f>F425</f>
        <v>48.335999999999999</v>
      </c>
      <c r="G427" s="50">
        <f>D427*(E427+F427)</f>
        <v>0</v>
      </c>
      <c r="H427" s="1289"/>
      <c r="I427" s="1287"/>
      <c r="J427" s="1287"/>
      <c r="K427" s="510"/>
      <c r="L427" s="597"/>
      <c r="M427" s="99"/>
      <c r="N427" s="518"/>
      <c r="O427" s="519"/>
      <c r="P427" s="515" t="s">
        <v>87</v>
      </c>
      <c r="Q427" s="271">
        <f t="shared" si="96"/>
        <v>0</v>
      </c>
    </row>
    <row r="428" spans="1:21">
      <c r="A428" s="389"/>
      <c r="B428" s="541"/>
      <c r="C428" s="84" t="s">
        <v>97</v>
      </c>
      <c r="D428" s="508">
        <f>май.19!D424</f>
        <v>0</v>
      </c>
      <c r="E428" s="41"/>
      <c r="F428" s="41">
        <f>F426</f>
        <v>0</v>
      </c>
      <c r="G428" s="50">
        <f>D428*(E428+F428)</f>
        <v>0</v>
      </c>
      <c r="H428" s="1357"/>
      <c r="I428" s="1358"/>
      <c r="J428" s="1291"/>
      <c r="K428" s="510"/>
      <c r="L428" s="597"/>
      <c r="M428" s="520"/>
      <c r="N428" s="521"/>
      <c r="O428" s="522"/>
      <c r="P428" s="523"/>
      <c r="Q428" s="362"/>
    </row>
    <row r="429" spans="1:21">
      <c r="A429" s="389"/>
      <c r="B429" s="506"/>
      <c r="C429" s="48" t="s">
        <v>260</v>
      </c>
      <c r="D429" s="37">
        <f>май.19!D427+май.19!D428</f>
        <v>460.54</v>
      </c>
      <c r="E429" s="41">
        <f>7.1389-7.4271</f>
        <v>-0.28820000000000068</v>
      </c>
      <c r="F429" s="41">
        <f>+E429</f>
        <v>-0.28820000000000068</v>
      </c>
      <c r="G429" s="39">
        <f>ROUND(D429*(E429),2)</f>
        <v>-132.72999999999999</v>
      </c>
      <c r="H429" s="1357"/>
      <c r="I429" s="1358"/>
      <c r="J429" s="1291"/>
      <c r="K429" s="510"/>
      <c r="L429" s="597"/>
      <c r="M429" s="520"/>
      <c r="N429" s="521"/>
      <c r="O429" s="522"/>
      <c r="P429" s="523"/>
      <c r="Q429" s="362"/>
    </row>
    <row r="430" spans="1:21">
      <c r="A430" s="389"/>
      <c r="B430" s="506"/>
      <c r="C430" s="48" t="s">
        <v>263</v>
      </c>
      <c r="D430" s="37">
        <v>15.59</v>
      </c>
      <c r="E430" s="41">
        <v>7.1388999999999996</v>
      </c>
      <c r="F430" s="41">
        <f>+E430</f>
        <v>7.1388999999999996</v>
      </c>
      <c r="G430" s="39">
        <f t="shared" ref="G430:G431" si="97">ROUND(D430*(E430),2)</f>
        <v>111.3</v>
      </c>
      <c r="H430" s="1357"/>
      <c r="I430" s="1358"/>
      <c r="J430" s="1291"/>
      <c r="K430" s="510"/>
      <c r="L430" s="597"/>
      <c r="M430" s="520"/>
      <c r="N430" s="521"/>
      <c r="O430" s="522"/>
      <c r="P430" s="523"/>
      <c r="Q430" s="362"/>
    </row>
    <row r="431" spans="1:21" ht="15.75" thickBot="1">
      <c r="A431" s="411"/>
      <c r="B431" s="526"/>
      <c r="C431" s="54" t="s">
        <v>29</v>
      </c>
      <c r="D431" s="55">
        <v>352</v>
      </c>
      <c r="E431" s="56">
        <v>7.1388999999999996</v>
      </c>
      <c r="F431" s="281">
        <f>+E431</f>
        <v>7.1388999999999996</v>
      </c>
      <c r="G431" s="414">
        <f t="shared" si="97"/>
        <v>2512.89</v>
      </c>
      <c r="H431" s="1337"/>
      <c r="I431" s="1317"/>
      <c r="J431" s="1318"/>
      <c r="K431" s="1319"/>
      <c r="L431" s="1419"/>
      <c r="M431" s="54"/>
      <c r="N431" s="527"/>
      <c r="O431" s="528"/>
      <c r="P431" s="529" t="s">
        <v>87</v>
      </c>
      <c r="Q431" s="282">
        <f>+G431+J431-M431-N431-O431</f>
        <v>2512.89</v>
      </c>
    </row>
    <row r="432" spans="1:21" collapsed="1">
      <c r="A432" s="376">
        <v>411</v>
      </c>
      <c r="B432" s="602" t="s">
        <v>127</v>
      </c>
      <c r="C432" s="439" t="s">
        <v>260</v>
      </c>
      <c r="D432" s="184">
        <f>май.19!D430+май.19!D431</f>
        <v>357.15</v>
      </c>
      <c r="E432" s="23">
        <f>7.1389-7.4271</f>
        <v>-0.28820000000000068</v>
      </c>
      <c r="F432" s="23">
        <f t="shared" ref="F432" si="98">+E432</f>
        <v>-0.28820000000000068</v>
      </c>
      <c r="G432" s="185">
        <f>ROUND(D432*(E432),2)</f>
        <v>-102.93</v>
      </c>
      <c r="H432" s="1388"/>
      <c r="I432" s="1375"/>
      <c r="J432" s="1375"/>
      <c r="K432" s="1382"/>
      <c r="L432" s="1415">
        <f>SUM(G432:G435)</f>
        <v>3945.1800000000003</v>
      </c>
      <c r="M432" s="187">
        <v>3945.18</v>
      </c>
      <c r="N432" s="604"/>
      <c r="O432" s="635"/>
      <c r="P432" s="636"/>
      <c r="Q432" s="605"/>
    </row>
    <row r="433" spans="1:21">
      <c r="A433" s="934"/>
      <c r="B433" s="506"/>
      <c r="C433" s="48" t="s">
        <v>263</v>
      </c>
      <c r="D433" s="49">
        <v>24.05</v>
      </c>
      <c r="E433" s="41">
        <v>7.1388999999999996</v>
      </c>
      <c r="F433" s="41">
        <f>+E433</f>
        <v>7.1388999999999996</v>
      </c>
      <c r="G433" s="50">
        <f>ROUND(D433*(E433),2)</f>
        <v>171.69</v>
      </c>
      <c r="H433" s="1376"/>
      <c r="I433" s="1377"/>
      <c r="J433" s="1377"/>
      <c r="K433" s="1378"/>
      <c r="L433" s="1416"/>
      <c r="M433" s="935"/>
      <c r="N433" s="607"/>
      <c r="O433" s="608"/>
      <c r="P433" s="609"/>
      <c r="Q433" s="610"/>
    </row>
    <row r="434" spans="1:21">
      <c r="A434" s="934"/>
      <c r="B434" s="506"/>
      <c r="C434" s="99" t="s">
        <v>29</v>
      </c>
      <c r="D434" s="296">
        <v>543</v>
      </c>
      <c r="E434" s="101">
        <v>7.1388999999999996</v>
      </c>
      <c r="F434" s="41">
        <f t="shared" ref="F434" si="99">+E434</f>
        <v>7.1388999999999996</v>
      </c>
      <c r="G434" s="50">
        <f t="shared" ref="G434" si="100">ROUND(D434*(E434),2)</f>
        <v>3876.42</v>
      </c>
      <c r="H434" s="1376"/>
      <c r="I434" s="1377"/>
      <c r="J434" s="1377"/>
      <c r="K434" s="1378"/>
      <c r="L434" s="1416"/>
      <c r="M434" s="935"/>
      <c r="N434" s="615"/>
      <c r="O434" s="615"/>
      <c r="P434" s="615"/>
      <c r="Q434" s="616"/>
    </row>
    <row r="435" spans="1:21" ht="15.75" thickBot="1">
      <c r="A435" s="942"/>
      <c r="B435" s="278"/>
      <c r="C435" s="784"/>
      <c r="D435" s="941"/>
      <c r="E435" s="281"/>
      <c r="F435" s="57"/>
      <c r="G435" s="58"/>
      <c r="H435" s="1306"/>
      <c r="I435" s="1307"/>
      <c r="J435" s="1307"/>
      <c r="K435" s="1378"/>
      <c r="L435" s="1416"/>
      <c r="M435" s="935"/>
      <c r="N435" s="615"/>
      <c r="O435" s="615"/>
      <c r="P435" s="615"/>
      <c r="Q435" s="615"/>
    </row>
    <row r="436" spans="1:21" ht="15.75" hidden="1" thickBot="1">
      <c r="A436" s="376">
        <v>501</v>
      </c>
      <c r="B436" s="494" t="s">
        <v>202</v>
      </c>
      <c r="C436" s="71"/>
      <c r="D436" s="495"/>
      <c r="E436" s="21">
        <v>41.244</v>
      </c>
      <c r="F436" s="21">
        <v>48.335999999999999</v>
      </c>
      <c r="G436" s="185">
        <f>ROUND(D436*(E436+F436),2)</f>
        <v>0</v>
      </c>
      <c r="H436" s="1379"/>
      <c r="I436" s="1285"/>
      <c r="J436" s="1285"/>
      <c r="K436" s="497"/>
      <c r="L436" s="498">
        <f>+SUM(G436:G443,C443)+SUM(J436:J443)</f>
        <v>0</v>
      </c>
      <c r="M436" s="26"/>
      <c r="N436" s="499"/>
      <c r="O436" s="500"/>
      <c r="P436" s="501" t="s">
        <v>87</v>
      </c>
      <c r="Q436" s="304">
        <f t="shared" ref="Q436:Q460" si="101">C436+G436+J436-M436-N436-O436</f>
        <v>0</v>
      </c>
      <c r="R436" s="502" t="s">
        <v>88</v>
      </c>
      <c r="S436" s="503"/>
      <c r="T436" s="504"/>
      <c r="U436" s="33"/>
    </row>
    <row r="437" spans="1:21" ht="15.75" hidden="1" thickBot="1">
      <c r="A437" s="389"/>
      <c r="B437" s="939" t="s">
        <v>328</v>
      </c>
      <c r="C437" s="507" t="s">
        <v>264</v>
      </c>
      <c r="D437" s="508"/>
      <c r="E437" s="38"/>
      <c r="F437" s="38"/>
      <c r="G437" s="50">
        <f>ROUND(D437*(E437+F437),2)</f>
        <v>0</v>
      </c>
      <c r="H437" s="1380"/>
      <c r="I437" s="1290"/>
      <c r="J437" s="1287"/>
      <c r="K437" s="510"/>
      <c r="L437" s="511"/>
      <c r="M437" s="512"/>
      <c r="N437" s="513"/>
      <c r="O437" s="514"/>
      <c r="P437" s="515"/>
      <c r="Q437" s="262"/>
      <c r="R437" s="502"/>
      <c r="S437" s="503"/>
      <c r="T437" s="504"/>
      <c r="U437" s="33"/>
    </row>
    <row r="438" spans="1:21" ht="15.75" hidden="1" thickBot="1">
      <c r="A438" s="389"/>
      <c r="B438" s="516" t="s">
        <v>89</v>
      </c>
      <c r="C438" s="512" t="s">
        <v>90</v>
      </c>
      <c r="D438" s="508"/>
      <c r="E438" s="101">
        <v>330.21</v>
      </c>
      <c r="F438" s="38">
        <f>F436</f>
        <v>48.335999999999999</v>
      </c>
      <c r="G438" s="50">
        <f>D438*(E438+F438)</f>
        <v>0</v>
      </c>
      <c r="H438" s="1289"/>
      <c r="I438" s="1287"/>
      <c r="J438" s="1287"/>
      <c r="K438" s="510"/>
      <c r="L438" s="517"/>
      <c r="M438" s="99"/>
      <c r="N438" s="518"/>
      <c r="O438" s="519"/>
      <c r="P438" s="515" t="s">
        <v>87</v>
      </c>
      <c r="Q438" s="271">
        <f>+G438+J438-M438-N438-O438</f>
        <v>0</v>
      </c>
      <c r="R438" s="502" t="s">
        <v>88</v>
      </c>
      <c r="S438" s="503"/>
      <c r="T438" s="504"/>
    </row>
    <row r="439" spans="1:21" ht="15.75" hidden="1" thickBot="1">
      <c r="A439" s="389"/>
      <c r="B439" s="506" t="s">
        <v>91</v>
      </c>
      <c r="C439" s="507"/>
      <c r="D439" s="508"/>
      <c r="E439" s="41"/>
      <c r="F439" s="38">
        <f>F437</f>
        <v>0</v>
      </c>
      <c r="G439" s="50">
        <f>ROUND(D439*(E439+F439),2)</f>
        <v>0</v>
      </c>
      <c r="H439" s="1357"/>
      <c r="I439" s="1358"/>
      <c r="J439" s="1287"/>
      <c r="K439" s="510"/>
      <c r="L439" s="517"/>
      <c r="M439" s="520"/>
      <c r="N439" s="521"/>
      <c r="O439" s="522"/>
      <c r="P439" s="523"/>
      <c r="Q439" s="362"/>
      <c r="R439" s="502"/>
      <c r="S439" s="503"/>
      <c r="T439" s="504"/>
    </row>
    <row r="440" spans="1:21" ht="15.75" hidden="1" thickBot="1">
      <c r="A440" s="389"/>
      <c r="B440" s="506" t="s">
        <v>91</v>
      </c>
      <c r="C440" s="507"/>
      <c r="D440" s="508"/>
      <c r="E440" s="38"/>
      <c r="F440" s="41"/>
      <c r="G440" s="50">
        <f>D440*(E440+F440)</f>
        <v>0</v>
      </c>
      <c r="H440" s="1357"/>
      <c r="I440" s="1358"/>
      <c r="J440" s="1287"/>
      <c r="K440" s="510"/>
      <c r="L440" s="517"/>
      <c r="M440" s="520"/>
      <c r="N440" s="521"/>
      <c r="O440" s="522"/>
      <c r="P440" s="523"/>
      <c r="Q440" s="362"/>
      <c r="R440" s="502"/>
      <c r="S440" s="503"/>
      <c r="T440" s="504"/>
    </row>
    <row r="441" spans="1:21" ht="15.75" hidden="1" thickBot="1">
      <c r="A441" s="389"/>
      <c r="B441" s="506" t="s">
        <v>92</v>
      </c>
      <c r="C441" s="48" t="s">
        <v>260</v>
      </c>
      <c r="D441" s="508"/>
      <c r="E441" s="41"/>
      <c r="F441" s="41">
        <f>+E441</f>
        <v>0</v>
      </c>
      <c r="G441" s="39">
        <f>ROUNDDOWN(D441*E441,2)</f>
        <v>0</v>
      </c>
      <c r="H441" s="1357"/>
      <c r="I441" s="1358"/>
      <c r="J441" s="1287"/>
      <c r="K441" s="510"/>
      <c r="L441" s="517"/>
      <c r="M441" s="520"/>
      <c r="N441" s="521"/>
      <c r="O441" s="522"/>
      <c r="P441" s="523"/>
      <c r="Q441" s="362"/>
      <c r="R441" s="502"/>
      <c r="S441" s="503"/>
      <c r="T441" s="504"/>
    </row>
    <row r="442" spans="1:21" ht="15.75" hidden="1" thickBot="1">
      <c r="A442" s="389"/>
      <c r="B442" s="506"/>
      <c r="C442" s="48" t="s">
        <v>263</v>
      </c>
      <c r="D442" s="508"/>
      <c r="E442" s="41">
        <v>7.4969000000000001</v>
      </c>
      <c r="F442" s="41">
        <f>+E442</f>
        <v>7.4969000000000001</v>
      </c>
      <c r="G442" s="39">
        <f>ROUND(D442*E442,2)</f>
        <v>0</v>
      </c>
      <c r="H442" s="1357"/>
      <c r="I442" s="1358"/>
      <c r="J442" s="1291"/>
      <c r="K442" s="524"/>
      <c r="L442" s="517"/>
      <c r="M442" s="520"/>
      <c r="N442" s="521"/>
      <c r="O442" s="522"/>
      <c r="P442" s="523"/>
      <c r="Q442" s="362"/>
      <c r="R442" s="502"/>
      <c r="S442" s="503"/>
      <c r="T442" s="504"/>
    </row>
    <row r="443" spans="1:21" ht="15.75" hidden="1" thickBot="1">
      <c r="A443" s="411"/>
      <c r="B443" s="526"/>
      <c r="C443" s="99" t="s">
        <v>29</v>
      </c>
      <c r="D443" s="55"/>
      <c r="E443" s="56">
        <v>7.4969000000000001</v>
      </c>
      <c r="F443" s="57">
        <f>+E443</f>
        <v>7.4969000000000001</v>
      </c>
      <c r="G443" s="58">
        <f>ROUND(D443*E443,2)</f>
        <v>0</v>
      </c>
      <c r="H443" s="1337"/>
      <c r="I443" s="1317"/>
      <c r="J443" s="1318"/>
      <c r="K443" s="1319"/>
      <c r="L443" s="1419"/>
      <c r="M443" s="54"/>
      <c r="N443" s="527"/>
      <c r="O443" s="528"/>
      <c r="P443" s="529" t="s">
        <v>87</v>
      </c>
      <c r="Q443" s="282">
        <f>+G443+J443-M443-N443-O443</f>
        <v>0</v>
      </c>
      <c r="R443" s="530" t="s">
        <v>88</v>
      </c>
      <c r="S443" s="531">
        <f>SUM(N436:N443)+O436:O443</f>
        <v>0</v>
      </c>
      <c r="T443" s="531">
        <f>SUM(Q436:Q443)</f>
        <v>0</v>
      </c>
      <c r="U443" s="33"/>
    </row>
    <row r="444" spans="1:21" ht="15.75" thickTop="1">
      <c r="A444" s="339">
        <v>500</v>
      </c>
      <c r="B444" s="1263" t="s">
        <v>334</v>
      </c>
      <c r="C444" s="71" t="s">
        <v>73</v>
      </c>
      <c r="D444" s="213">
        <v>2</v>
      </c>
      <c r="E444" s="21">
        <v>41.244</v>
      </c>
      <c r="F444" s="21">
        <v>48.335999999999999</v>
      </c>
      <c r="G444" s="214">
        <f>ROUND(D444*(E444+F444),2)</f>
        <v>179.16</v>
      </c>
      <c r="H444" s="1379"/>
      <c r="I444" s="1285"/>
      <c r="J444" s="1285"/>
      <c r="K444" s="497"/>
      <c r="L444" s="1425">
        <f>+SUM(G444:G450,)+SUM(J444:J450)</f>
        <v>3164.92</v>
      </c>
      <c r="M444" s="26">
        <v>3164.92</v>
      </c>
      <c r="N444" s="534"/>
      <c r="O444" s="535"/>
      <c r="P444" s="536"/>
      <c r="Q444" s="537"/>
      <c r="R444" s="538"/>
      <c r="S444" s="539"/>
      <c r="T444" s="540"/>
      <c r="U444" s="33"/>
    </row>
    <row r="445" spans="1:21">
      <c r="A445" s="353"/>
      <c r="B445" s="541"/>
      <c r="C445" s="542" t="s">
        <v>96</v>
      </c>
      <c r="D445" s="234"/>
      <c r="E445" s="38"/>
      <c r="F445" s="38"/>
      <c r="G445" s="235">
        <f>ROUND(D445*(E445+F445),2)</f>
        <v>0</v>
      </c>
      <c r="H445" s="1380"/>
      <c r="I445" s="1290"/>
      <c r="J445" s="1290"/>
      <c r="K445" s="543"/>
      <c r="L445" s="1418"/>
      <c r="M445" s="545"/>
      <c r="N445" s="546"/>
      <c r="O445" s="547"/>
      <c r="P445" s="548"/>
      <c r="Q445" s="549"/>
      <c r="R445" s="550"/>
      <c r="S445" s="551"/>
      <c r="T445" s="552"/>
      <c r="U445" s="33"/>
    </row>
    <row r="446" spans="1:21">
      <c r="A446" s="353"/>
      <c r="B446" s="516"/>
      <c r="C446" s="99" t="s">
        <v>90</v>
      </c>
      <c r="D446" s="234">
        <v>0</v>
      </c>
      <c r="E446" s="101">
        <v>276.93</v>
      </c>
      <c r="F446" s="38">
        <f>F444</f>
        <v>48.335999999999999</v>
      </c>
      <c r="G446" s="235">
        <f>ROUND(D446*(E446+F446),2)</f>
        <v>0</v>
      </c>
      <c r="H446" s="1289"/>
      <c r="I446" s="1287"/>
      <c r="J446" s="1287"/>
      <c r="K446" s="510"/>
      <c r="L446" s="1435"/>
      <c r="M446" s="554"/>
      <c r="N446" s="555"/>
      <c r="O446" s="556"/>
      <c r="P446" s="557"/>
      <c r="Q446" s="558"/>
      <c r="R446" s="550"/>
      <c r="S446" s="551"/>
      <c r="T446" s="552"/>
    </row>
    <row r="447" spans="1:21">
      <c r="A447" s="353"/>
      <c r="B447" s="541"/>
      <c r="C447" s="84" t="s">
        <v>97</v>
      </c>
      <c r="D447" s="234">
        <f>май.19!D443</f>
        <v>0</v>
      </c>
      <c r="E447" s="41"/>
      <c r="F447" s="38"/>
      <c r="G447" s="50">
        <f>ROUND(D447*(E447+F447),2)</f>
        <v>0</v>
      </c>
      <c r="H447" s="1357"/>
      <c r="I447" s="1358"/>
      <c r="J447" s="1287"/>
      <c r="K447" s="510"/>
      <c r="L447" s="1436"/>
      <c r="M447" s="560"/>
      <c r="N447" s="561"/>
      <c r="O447" s="562"/>
      <c r="P447" s="563"/>
      <c r="Q447" s="564"/>
      <c r="R447" s="550"/>
      <c r="S447" s="551"/>
      <c r="T447" s="552"/>
    </row>
    <row r="448" spans="1:21">
      <c r="A448" s="353"/>
      <c r="B448" s="541"/>
      <c r="C448" s="48" t="s">
        <v>260</v>
      </c>
      <c r="D448" s="37">
        <f>май.19!D446+май.19!D447</f>
        <v>866.77</v>
      </c>
      <c r="E448" s="41">
        <f>7.1389-7.4271</f>
        <v>-0.28820000000000068</v>
      </c>
      <c r="F448" s="41">
        <f>+E448</f>
        <v>-0.28820000000000068</v>
      </c>
      <c r="G448" s="235">
        <f>ROUND(D448*E448,2)</f>
        <v>-249.8</v>
      </c>
      <c r="H448" s="1357"/>
      <c r="I448" s="1358"/>
      <c r="J448" s="1387"/>
      <c r="K448" s="1391"/>
      <c r="L448" s="1436"/>
      <c r="M448" s="560"/>
      <c r="N448" s="561"/>
      <c r="O448" s="562"/>
      <c r="P448" s="563"/>
      <c r="Q448" s="564"/>
      <c r="R448" s="550"/>
      <c r="S448" s="551"/>
      <c r="T448" s="552"/>
      <c r="U448" s="352"/>
    </row>
    <row r="449" spans="1:21">
      <c r="A449" s="353"/>
      <c r="B449" s="541"/>
      <c r="C449" s="48" t="s">
        <v>263</v>
      </c>
      <c r="D449" s="37">
        <v>19.23</v>
      </c>
      <c r="E449" s="41">
        <v>7.1388999999999996</v>
      </c>
      <c r="F449" s="41">
        <f>+E449</f>
        <v>7.1388999999999996</v>
      </c>
      <c r="G449" s="235">
        <f>ROUND(D449*E449,2)</f>
        <v>137.28</v>
      </c>
      <c r="H449" s="1357"/>
      <c r="I449" s="1358"/>
      <c r="J449" s="1387"/>
      <c r="K449" s="1391"/>
      <c r="L449" s="1436"/>
      <c r="M449" s="560"/>
      <c r="N449" s="561"/>
      <c r="O449" s="562"/>
      <c r="P449" s="563"/>
      <c r="Q449" s="564"/>
      <c r="R449" s="550"/>
      <c r="S449" s="551"/>
      <c r="T449" s="552"/>
      <c r="U449" s="33"/>
    </row>
    <row r="450" spans="1:21" ht="15.75" thickBot="1">
      <c r="A450" s="369"/>
      <c r="B450" s="568"/>
      <c r="C450" s="99" t="s">
        <v>29</v>
      </c>
      <c r="D450" s="246">
        <v>434</v>
      </c>
      <c r="E450" s="56">
        <v>7.1388999999999996</v>
      </c>
      <c r="F450" s="57">
        <f>+E450</f>
        <v>7.1388999999999996</v>
      </c>
      <c r="G450" s="247">
        <f>ROUND(D450*E450,2)</f>
        <v>3098.28</v>
      </c>
      <c r="H450" s="1337"/>
      <c r="I450" s="1317"/>
      <c r="J450" s="1318"/>
      <c r="K450" s="1319"/>
      <c r="L450" s="1421"/>
      <c r="M450" s="560"/>
      <c r="N450" s="561"/>
      <c r="O450" s="528"/>
      <c r="P450" s="529"/>
      <c r="Q450" s="564"/>
      <c r="R450" s="550"/>
      <c r="S450" s="569"/>
      <c r="T450" s="570"/>
    </row>
    <row r="451" spans="1:21" ht="15.75" thickTop="1">
      <c r="A451" s="339">
        <v>502</v>
      </c>
      <c r="B451" s="532" t="s">
        <v>192</v>
      </c>
      <c r="C451" s="71">
        <f>+[1]дек!U51</f>
        <v>-6.0000000303261913E-4</v>
      </c>
      <c r="D451" s="213">
        <v>43</v>
      </c>
      <c r="E451" s="21">
        <v>41.244</v>
      </c>
      <c r="F451" s="21">
        <v>48.335999999999999</v>
      </c>
      <c r="G451" s="214">
        <f>ROUND(D451*(E451+F451),2)</f>
        <v>3851.94</v>
      </c>
      <c r="H451" s="1379"/>
      <c r="I451" s="1285"/>
      <c r="J451" s="1285"/>
      <c r="K451" s="497"/>
      <c r="L451" s="1425">
        <f>+SUM(G451:G458,)+SUM(J451:J458)</f>
        <v>47196.72</v>
      </c>
      <c r="M451" s="26">
        <v>47196.72</v>
      </c>
      <c r="N451" s="534"/>
      <c r="O451" s="535"/>
      <c r="P451" s="536" t="s">
        <v>87</v>
      </c>
      <c r="Q451" s="537">
        <f t="shared" si="101"/>
        <v>-43344.780600000006</v>
      </c>
      <c r="R451" s="538" t="s">
        <v>95</v>
      </c>
      <c r="S451" s="539"/>
      <c r="T451" s="540"/>
      <c r="U451" s="33"/>
    </row>
    <row r="452" spans="1:21">
      <c r="A452" s="353"/>
      <c r="B452" s="541"/>
      <c r="C452" s="542" t="s">
        <v>96</v>
      </c>
      <c r="D452" s="234"/>
      <c r="E452" s="38"/>
      <c r="F452" s="38"/>
      <c r="G452" s="235">
        <f>ROUND(D452*(E452+F452),2)</f>
        <v>0</v>
      </c>
      <c r="H452" s="1380"/>
      <c r="I452" s="1290"/>
      <c r="J452" s="1290"/>
      <c r="K452" s="543"/>
      <c r="L452" s="1418"/>
      <c r="M452" s="545"/>
      <c r="N452" s="546"/>
      <c r="O452" s="547"/>
      <c r="P452" s="548"/>
      <c r="Q452" s="549"/>
      <c r="R452" s="550"/>
      <c r="S452" s="551"/>
      <c r="T452" s="552"/>
      <c r="U452" s="33"/>
    </row>
    <row r="453" spans="1:21">
      <c r="A453" s="353"/>
      <c r="B453" s="516" t="s">
        <v>32</v>
      </c>
      <c r="C453" s="99" t="s">
        <v>90</v>
      </c>
      <c r="D453" s="234">
        <v>20</v>
      </c>
      <c r="E453" s="101">
        <v>276.93</v>
      </c>
      <c r="F453" s="38">
        <f>F451</f>
        <v>48.335999999999999</v>
      </c>
      <c r="G453" s="235">
        <f>ROUND(D453*(E453+F453),2)</f>
        <v>6505.32</v>
      </c>
      <c r="H453" s="1289"/>
      <c r="I453" s="1287"/>
      <c r="J453" s="1287"/>
      <c r="K453" s="510"/>
      <c r="L453" s="1435"/>
      <c r="M453" s="554"/>
      <c r="N453" s="555"/>
      <c r="O453" s="556"/>
      <c r="P453" s="557" t="s">
        <v>87</v>
      </c>
      <c r="Q453" s="558">
        <f>+G453+J453-M453-N453-O453</f>
        <v>6505.32</v>
      </c>
      <c r="R453" s="550" t="s">
        <v>95</v>
      </c>
      <c r="S453" s="551"/>
      <c r="T453" s="552"/>
    </row>
    <row r="454" spans="1:21">
      <c r="A454" s="353"/>
      <c r="B454" s="541"/>
      <c r="C454" s="84" t="s">
        <v>97</v>
      </c>
      <c r="D454" s="234">
        <f>май.19!D450</f>
        <v>20</v>
      </c>
      <c r="E454" s="41"/>
      <c r="F454" s="38">
        <f>F452</f>
        <v>0</v>
      </c>
      <c r="G454" s="50">
        <f>ROUND(D454*(E454+F454),2)</f>
        <v>0</v>
      </c>
      <c r="H454" s="1357"/>
      <c r="I454" s="1358"/>
      <c r="J454" s="1287"/>
      <c r="K454" s="510"/>
      <c r="L454" s="1436"/>
      <c r="M454" s="560"/>
      <c r="N454" s="561"/>
      <c r="O454" s="562"/>
      <c r="P454" s="563"/>
      <c r="Q454" s="564"/>
      <c r="R454" s="550"/>
      <c r="S454" s="551"/>
      <c r="T454" s="552"/>
    </row>
    <row r="455" spans="1:21">
      <c r="A455" s="353"/>
      <c r="B455" s="541"/>
      <c r="C455" s="84" t="s">
        <v>97</v>
      </c>
      <c r="D455" s="234"/>
      <c r="E455" s="38"/>
      <c r="F455" s="240"/>
      <c r="G455" s="50">
        <f>D455*(E455+F455)</f>
        <v>0</v>
      </c>
      <c r="H455" s="1357"/>
      <c r="I455" s="1358"/>
      <c r="J455" s="1287"/>
      <c r="K455" s="510"/>
      <c r="L455" s="1436"/>
      <c r="M455" s="560"/>
      <c r="N455" s="561"/>
      <c r="O455" s="562"/>
      <c r="P455" s="563"/>
      <c r="Q455" s="564"/>
      <c r="R455" s="550"/>
      <c r="S455" s="551"/>
      <c r="T455" s="552"/>
    </row>
    <row r="456" spans="1:21">
      <c r="A456" s="353"/>
      <c r="B456" s="541"/>
      <c r="C456" s="48" t="s">
        <v>260</v>
      </c>
      <c r="D456" s="37">
        <f>май.19!D454+май.19!D455</f>
        <v>4178.24</v>
      </c>
      <c r="E456" s="41">
        <f>7.1389-7.4271</f>
        <v>-0.28820000000000068</v>
      </c>
      <c r="F456" s="41">
        <f>+E456</f>
        <v>-0.28820000000000068</v>
      </c>
      <c r="G456" s="235">
        <f>ROUND(D456*E456,2)</f>
        <v>-1204.17</v>
      </c>
      <c r="H456" s="1357"/>
      <c r="I456" s="1358"/>
      <c r="J456" s="1387"/>
      <c r="K456" s="1391"/>
      <c r="L456" s="1436"/>
      <c r="M456" s="560"/>
      <c r="N456" s="561"/>
      <c r="O456" s="562"/>
      <c r="P456" s="563"/>
      <c r="Q456" s="564"/>
      <c r="R456" s="550"/>
      <c r="S456" s="551"/>
      <c r="T456" s="552"/>
      <c r="U456" s="352"/>
    </row>
    <row r="457" spans="1:21">
      <c r="A457" s="353"/>
      <c r="B457" s="541"/>
      <c r="C457" s="48" t="s">
        <v>263</v>
      </c>
      <c r="D457" s="37">
        <v>226.06</v>
      </c>
      <c r="E457" s="41">
        <v>7.1388999999999996</v>
      </c>
      <c r="F457" s="41">
        <f>+E457</f>
        <v>7.1388999999999996</v>
      </c>
      <c r="G457" s="235">
        <f>ROUND(D457*E457,2)</f>
        <v>1613.82</v>
      </c>
      <c r="H457" s="1357"/>
      <c r="I457" s="1358"/>
      <c r="J457" s="1387"/>
      <c r="K457" s="1391"/>
      <c r="L457" s="1436"/>
      <c r="M457" s="560"/>
      <c r="N457" s="561"/>
      <c r="O457" s="562"/>
      <c r="P457" s="563"/>
      <c r="Q457" s="564"/>
      <c r="R457" s="550"/>
      <c r="S457" s="551"/>
      <c r="T457" s="552"/>
      <c r="U457" s="33"/>
    </row>
    <row r="458" spans="1:21" ht="15.75" thickBot="1">
      <c r="A458" s="369"/>
      <c r="B458" s="568"/>
      <c r="C458" s="99" t="s">
        <v>29</v>
      </c>
      <c r="D458" s="246">
        <v>5103</v>
      </c>
      <c r="E458" s="56">
        <v>7.1388999999999996</v>
      </c>
      <c r="F458" s="57">
        <f>+E458</f>
        <v>7.1388999999999996</v>
      </c>
      <c r="G458" s="247">
        <f>ROUND(D458*E458,2)</f>
        <v>36429.81</v>
      </c>
      <c r="H458" s="1337"/>
      <c r="I458" s="1317"/>
      <c r="J458" s="1318"/>
      <c r="K458" s="1319"/>
      <c r="L458" s="1421"/>
      <c r="M458" s="560"/>
      <c r="N458" s="561"/>
      <c r="O458" s="528"/>
      <c r="P458" s="529" t="s">
        <v>87</v>
      </c>
      <c r="Q458" s="564">
        <f>+G458+J458-M458-N458-O458</f>
        <v>36429.81</v>
      </c>
      <c r="R458" s="550" t="s">
        <v>95</v>
      </c>
      <c r="S458" s="569">
        <f>SUM(N451:N458)+O451:O458</f>
        <v>0</v>
      </c>
      <c r="T458" s="570">
        <f>SUM(Q453:Q458)</f>
        <v>42935.13</v>
      </c>
    </row>
    <row r="459" spans="1:21" ht="15.75" hidden="1" outlineLevel="1" thickBot="1">
      <c r="A459" s="571"/>
      <c r="B459" s="572" t="s">
        <v>98</v>
      </c>
      <c r="C459" s="573" t="s">
        <v>99</v>
      </c>
      <c r="D459" s="574"/>
      <c r="E459" s="575">
        <f>3.193-2.9732</f>
        <v>0.21980000000000022</v>
      </c>
      <c r="F459" s="575">
        <f>3.193-2.9732</f>
        <v>0.21980000000000022</v>
      </c>
      <c r="G459" s="576">
        <f>D459*E459*70%+D459*F459*30%</f>
        <v>0</v>
      </c>
      <c r="H459" s="1392"/>
      <c r="I459" s="1393"/>
      <c r="J459" s="1394"/>
      <c r="K459" s="1394"/>
      <c r="L459" s="1437"/>
      <c r="M459" s="581"/>
      <c r="N459" s="582"/>
      <c r="O459" s="535"/>
      <c r="P459" s="536"/>
      <c r="Q459" s="583"/>
      <c r="R459" s="584"/>
      <c r="S459" s="569"/>
      <c r="T459" s="585"/>
    </row>
    <row r="460" spans="1:21" s="81" customFormat="1" ht="16.5" hidden="1" customHeight="1" outlineLevel="1" thickBot="1">
      <c r="A460" s="933" t="s">
        <v>100</v>
      </c>
      <c r="B460" s="587" t="s">
        <v>98</v>
      </c>
      <c r="C460" s="588">
        <f>+[1]авг!C52</f>
        <v>0</v>
      </c>
      <c r="D460" s="589"/>
      <c r="E460" s="575">
        <v>3.1930000000000001</v>
      </c>
      <c r="F460" s="575">
        <f>+E460</f>
        <v>3.1930000000000001</v>
      </c>
      <c r="G460" s="576">
        <f>D460*E460*70%+D460*F460*30%</f>
        <v>0</v>
      </c>
      <c r="H460" s="1394"/>
      <c r="I460" s="1394"/>
      <c r="J460" s="1394"/>
      <c r="K460" s="1394"/>
      <c r="L460" s="1394">
        <f>+C460+G460+G459</f>
        <v>0</v>
      </c>
      <c r="M460" s="590"/>
      <c r="N460" s="500"/>
      <c r="O460" s="528"/>
      <c r="P460" s="529" t="s">
        <v>87</v>
      </c>
      <c r="Q460" s="591">
        <f t="shared" si="101"/>
        <v>0</v>
      </c>
      <c r="R460" s="592" t="s">
        <v>101</v>
      </c>
      <c r="S460" s="77">
        <f>SUM(N460:N460)+SUM(O460:O460)</f>
        <v>0</v>
      </c>
      <c r="T460" s="593">
        <f>SUM(Q460:Q460)</f>
        <v>0</v>
      </c>
    </row>
    <row r="461" spans="1:21" ht="15.75" hidden="1" outlineLevel="1" thickBot="1">
      <c r="A461" s="944"/>
      <c r="B461" s="945" t="s">
        <v>128</v>
      </c>
      <c r="C461" s="573" t="s">
        <v>115</v>
      </c>
      <c r="D461" s="946"/>
      <c r="E461" s="579">
        <f>6.8021-6.8946</f>
        <v>-9.2499999999999361E-2</v>
      </c>
      <c r="F461" s="579">
        <f t="shared" ref="F461" si="102">+E461</f>
        <v>-9.2499999999999361E-2</v>
      </c>
      <c r="G461" s="947">
        <f>ROUND(D461*(E461),2)</f>
        <v>0</v>
      </c>
      <c r="H461" s="1395"/>
      <c r="I461" s="1396"/>
      <c r="J461" s="1396"/>
      <c r="K461" s="1397"/>
      <c r="L461" s="1438"/>
      <c r="M461" s="952"/>
      <c r="N461" s="604"/>
      <c r="O461" s="635"/>
      <c r="P461" s="636"/>
      <c r="Q461" s="605"/>
    </row>
    <row r="462" spans="1:21" ht="15.75" hidden="1" outlineLevel="1" thickBot="1">
      <c r="A462" s="953"/>
      <c r="B462" s="954"/>
      <c r="C462" s="573" t="s">
        <v>114</v>
      </c>
      <c r="D462" s="946"/>
      <c r="E462" s="579">
        <v>6.8021000000000003</v>
      </c>
      <c r="F462" s="579">
        <f>+E462</f>
        <v>6.8021000000000003</v>
      </c>
      <c r="G462" s="947">
        <f>ROUND(D462*(E462),2)</f>
        <v>0</v>
      </c>
      <c r="H462" s="1395"/>
      <c r="I462" s="1396"/>
      <c r="J462" s="1396"/>
      <c r="K462" s="1397"/>
      <c r="L462" s="1439"/>
      <c r="M462" s="956"/>
      <c r="N462" s="607"/>
      <c r="O462" s="608"/>
      <c r="P462" s="609"/>
      <c r="Q462" s="610"/>
    </row>
    <row r="463" spans="1:21" ht="15.75" hidden="1" outlineLevel="1" thickBot="1">
      <c r="A463" s="944"/>
      <c r="B463" s="954"/>
      <c r="C463" s="916" t="s">
        <v>29</v>
      </c>
      <c r="D463" s="948"/>
      <c r="E463" s="917">
        <v>6.8021000000000003</v>
      </c>
      <c r="F463" s="579">
        <f t="shared" ref="F463" si="103">+E463</f>
        <v>6.8021000000000003</v>
      </c>
      <c r="G463" s="947">
        <f t="shared" ref="G463" si="104">ROUND(D463*(E463),2)</f>
        <v>0</v>
      </c>
      <c r="H463" s="1395"/>
      <c r="I463" s="1396"/>
      <c r="J463" s="1396"/>
      <c r="K463" s="1397"/>
      <c r="L463" s="1438"/>
      <c r="M463" s="956"/>
      <c r="N463" s="615"/>
      <c r="O463" s="615"/>
      <c r="P463" s="615"/>
      <c r="Q463" s="616"/>
    </row>
    <row r="464" spans="1:21" ht="15.75" hidden="1" outlineLevel="1" thickBot="1">
      <c r="A464" s="953"/>
      <c r="B464" s="955"/>
      <c r="C464" s="575"/>
      <c r="D464" s="957"/>
      <c r="E464" s="580"/>
      <c r="F464" s="575"/>
      <c r="G464" s="958"/>
      <c r="H464" s="1398"/>
      <c r="I464" s="1399"/>
      <c r="J464" s="1399"/>
      <c r="K464" s="1399"/>
      <c r="L464" s="1439"/>
      <c r="M464" s="956"/>
      <c r="N464" s="615"/>
      <c r="O464" s="615"/>
      <c r="P464" s="615"/>
      <c r="Q464" s="615"/>
    </row>
    <row r="465" spans="1:20" collapsed="1">
      <c r="A465" s="963"/>
      <c r="B465" s="621"/>
      <c r="C465" s="621"/>
      <c r="D465" s="964"/>
      <c r="E465" s="905"/>
      <c r="F465" s="621"/>
      <c r="G465" s="905"/>
      <c r="H465" s="1400"/>
      <c r="I465" s="1400"/>
      <c r="J465" s="1400"/>
      <c r="K465" s="1400"/>
      <c r="L465" s="1400"/>
      <c r="M465" s="965"/>
      <c r="N465" s="615"/>
      <c r="O465" s="615"/>
      <c r="P465" s="615"/>
      <c r="Q465" s="615"/>
    </row>
    <row r="466" spans="1:20" ht="15.75" thickBot="1">
      <c r="A466" s="966"/>
      <c r="B466" s="615"/>
      <c r="C466" s="615"/>
      <c r="D466" s="696"/>
      <c r="E466" s="473"/>
      <c r="F466" s="615"/>
      <c r="G466" s="473"/>
      <c r="H466" s="1401"/>
      <c r="I466" s="1401"/>
      <c r="J466" s="1401"/>
      <c r="K466" s="1401"/>
      <c r="L466" s="1401"/>
      <c r="M466" s="967"/>
      <c r="N466" s="615"/>
      <c r="O466" s="615"/>
      <c r="P466" s="615"/>
      <c r="Q466" s="615"/>
    </row>
    <row r="467" spans="1:20" s="81" customFormat="1" ht="15" customHeight="1" thickTop="1">
      <c r="A467" s="476"/>
      <c r="B467" s="158"/>
      <c r="C467" s="322"/>
      <c r="D467" s="477"/>
      <c r="E467" s="163"/>
      <c r="F467" s="163"/>
      <c r="G467" s="478"/>
      <c r="H467" s="1339"/>
      <c r="I467" s="1339"/>
      <c r="J467" s="1339"/>
      <c r="K467" s="1339"/>
      <c r="L467" s="1339"/>
      <c r="M467" s="164"/>
      <c r="N467" s="479"/>
      <c r="O467" s="479"/>
      <c r="P467" s="479"/>
      <c r="Q467" s="479"/>
      <c r="R467" s="422"/>
      <c r="S467"/>
      <c r="T467" s="399"/>
    </row>
    <row r="468" spans="1:20" ht="15.75" thickBot="1">
      <c r="A468" s="968" t="s">
        <v>113</v>
      </c>
      <c r="B468" s="2"/>
      <c r="C468" s="2"/>
      <c r="D468" s="2"/>
      <c r="E468" s="2"/>
      <c r="F468" s="2"/>
      <c r="G468" s="2"/>
      <c r="H468" s="1269"/>
      <c r="I468" s="1269"/>
      <c r="J468" s="1269"/>
      <c r="K468" s="1269"/>
      <c r="L468" s="1269"/>
      <c r="M468" s="3"/>
      <c r="N468" s="2"/>
      <c r="O468" s="2"/>
      <c r="P468" s="2"/>
      <c r="Q468" s="2"/>
    </row>
    <row r="469" spans="1:20" ht="15.75" customHeight="1" thickTop="1" thickBot="1">
      <c r="A469" s="1559" t="s">
        <v>1</v>
      </c>
      <c r="B469" s="1543" t="s">
        <v>2</v>
      </c>
      <c r="C469" s="1545" t="s">
        <v>3</v>
      </c>
      <c r="D469" s="1546" t="s">
        <v>4</v>
      </c>
      <c r="E469" s="1546"/>
      <c r="F469" s="1546"/>
      <c r="G469" s="1546"/>
      <c r="H469" s="1565"/>
      <c r="I469" s="1566"/>
      <c r="J469" s="1566"/>
      <c r="K469" s="1567"/>
      <c r="L469" s="1568" t="s">
        <v>6</v>
      </c>
      <c r="M469" s="1511" t="s">
        <v>7</v>
      </c>
      <c r="N469" s="1551" t="s">
        <v>8</v>
      </c>
      <c r="O469" s="1551"/>
      <c r="P469" s="1551"/>
      <c r="Q469" s="1552"/>
      <c r="R469" s="481"/>
      <c r="S469" s="482" t="s">
        <v>20</v>
      </c>
      <c r="T469" s="482" t="s">
        <v>21</v>
      </c>
    </row>
    <row r="470" spans="1:20" ht="26.25" thickBot="1">
      <c r="A470" s="1560"/>
      <c r="B470" s="1557"/>
      <c r="C470" s="1558" t="s">
        <v>10</v>
      </c>
      <c r="D470" s="483" t="s">
        <v>11</v>
      </c>
      <c r="E470" s="649" t="s">
        <v>12</v>
      </c>
      <c r="F470" s="649" t="s">
        <v>13</v>
      </c>
      <c r="G470" s="650" t="s">
        <v>14</v>
      </c>
      <c r="H470" s="1372" t="s">
        <v>11</v>
      </c>
      <c r="I470" s="1373" t="s">
        <v>15</v>
      </c>
      <c r="J470" s="1373"/>
      <c r="K470" s="1402" t="s">
        <v>16</v>
      </c>
      <c r="L470" s="1569"/>
      <c r="M470" s="1554"/>
      <c r="N470" s="655"/>
      <c r="O470" s="653"/>
      <c r="P470" s="656" t="s">
        <v>18</v>
      </c>
      <c r="Q470" s="657" t="s">
        <v>19</v>
      </c>
      <c r="R470" s="491"/>
      <c r="S470" s="492"/>
      <c r="T470" s="492"/>
    </row>
    <row r="471" spans="1:20" ht="15.75" thickBot="1">
      <c r="A471" s="961" t="s">
        <v>212</v>
      </c>
      <c r="B471" s="659" t="s">
        <v>116</v>
      </c>
      <c r="C471" s="668" t="s">
        <v>73</v>
      </c>
      <c r="D471" s="669">
        <v>7.6539999999999999</v>
      </c>
      <c r="E471" s="21">
        <v>41.244</v>
      </c>
      <c r="F471" s="21">
        <v>48.335999999999999</v>
      </c>
      <c r="G471" s="214">
        <f>+D471*(E471+F471)</f>
        <v>685.64531999999997</v>
      </c>
      <c r="H471" s="1305">
        <f>мар19!D439</f>
        <v>7</v>
      </c>
      <c r="I471" s="1285">
        <v>8.6999999999999993</v>
      </c>
      <c r="J471" s="1375">
        <f>ROUND(H471*I471,2)</f>
        <v>60.9</v>
      </c>
      <c r="K471" s="1403">
        <v>43525</v>
      </c>
      <c r="L471" s="1415">
        <f>SUM(G471:G477)+SUM(J471:J475)</f>
        <v>12383.055319999999</v>
      </c>
      <c r="M471" s="187">
        <v>12383.06</v>
      </c>
      <c r="N471" s="670"/>
      <c r="O471" s="670"/>
      <c r="P471" s="670"/>
      <c r="Q471" s="670"/>
    </row>
    <row r="472" spans="1:20">
      <c r="A472" s="970"/>
      <c r="B472" s="672"/>
      <c r="C472" s="48" t="s">
        <v>264</v>
      </c>
      <c r="D472" s="673"/>
      <c r="E472" s="41"/>
      <c r="F472" s="298"/>
      <c r="G472" s="235">
        <f>+D472*(E472+F472)</f>
        <v>0</v>
      </c>
      <c r="H472" s="1289">
        <f>апр.19!D451</f>
        <v>9</v>
      </c>
      <c r="I472" s="1287">
        <v>7.8719999999999999</v>
      </c>
      <c r="J472" s="1375">
        <f>ROUND(H472*I472,2)</f>
        <v>70.849999999999994</v>
      </c>
      <c r="K472" s="1404">
        <v>43556</v>
      </c>
      <c r="L472" s="1416"/>
      <c r="M472" s="935"/>
      <c r="N472" s="298"/>
      <c r="O472" s="298"/>
      <c r="P472" s="298"/>
      <c r="Q472" s="298"/>
    </row>
    <row r="473" spans="1:20">
      <c r="A473" s="970"/>
      <c r="B473" s="442"/>
      <c r="C473" s="48"/>
      <c r="D473" s="673"/>
      <c r="E473" s="41"/>
      <c r="F473" s="298"/>
      <c r="G473" s="235">
        <f t="shared" ref="G473:G489" si="105">ROUND(D473*E473,2)</f>
        <v>0</v>
      </c>
      <c r="H473" s="1289"/>
      <c r="I473" s="1287"/>
      <c r="J473" s="1405"/>
      <c r="K473" s="1404"/>
      <c r="L473" s="1417"/>
      <c r="M473" s="935"/>
      <c r="N473" s="298"/>
      <c r="O473" s="298"/>
      <c r="P473" s="298"/>
      <c r="Q473" s="298"/>
    </row>
    <row r="474" spans="1:20">
      <c r="A474" s="970"/>
      <c r="B474" s="35"/>
      <c r="C474" s="606"/>
      <c r="D474" s="673"/>
      <c r="E474" s="41"/>
      <c r="F474" s="298"/>
      <c r="G474" s="235">
        <f t="shared" si="105"/>
        <v>0</v>
      </c>
      <c r="H474" s="1289"/>
      <c r="I474" s="1287"/>
      <c r="J474" s="1405"/>
      <c r="K474" s="1404"/>
      <c r="L474" s="1417"/>
      <c r="M474" s="273"/>
      <c r="N474" s="298"/>
      <c r="O474" s="298"/>
      <c r="P474" s="298"/>
      <c r="Q474" s="298"/>
    </row>
    <row r="475" spans="1:20" ht="15.75">
      <c r="A475" s="971"/>
      <c r="B475" s="672"/>
      <c r="C475" s="48" t="s">
        <v>260</v>
      </c>
      <c r="D475" s="269">
        <f>май.19!D473+май.19!D474</f>
        <v>1634.8700000000001</v>
      </c>
      <c r="E475" s="41">
        <f>7.1389-7.4271</f>
        <v>-0.28820000000000068</v>
      </c>
      <c r="F475" s="298">
        <f t="shared" ref="F475:F476" si="106">+E475</f>
        <v>-0.28820000000000068</v>
      </c>
      <c r="G475" s="235">
        <f>ROUND(D475*E475,2)</f>
        <v>-471.17</v>
      </c>
      <c r="H475" s="1289"/>
      <c r="I475" s="1287"/>
      <c r="J475" s="1405"/>
      <c r="K475" s="1404"/>
      <c r="L475" s="1416"/>
      <c r="M475" s="935"/>
      <c r="N475" s="663"/>
      <c r="O475" s="237"/>
      <c r="P475" s="275"/>
      <c r="Q475" s="237"/>
    </row>
    <row r="476" spans="1:20" ht="15.75">
      <c r="A476" s="972"/>
      <c r="B476" s="35"/>
      <c r="C476" s="48" t="s">
        <v>263</v>
      </c>
      <c r="D476" s="269">
        <v>56.39</v>
      </c>
      <c r="E476" s="41">
        <v>7.1388999999999996</v>
      </c>
      <c r="F476" s="298">
        <f t="shared" si="106"/>
        <v>7.1388999999999996</v>
      </c>
      <c r="G476" s="235">
        <f t="shared" si="105"/>
        <v>402.56</v>
      </c>
      <c r="H476" s="1289"/>
      <c r="I476" s="1287"/>
      <c r="J476" s="1287"/>
      <c r="K476" s="1287"/>
      <c r="L476" s="1417"/>
      <c r="M476" s="935"/>
      <c r="N476" s="663"/>
      <c r="O476" s="237"/>
      <c r="P476" s="275"/>
      <c r="Q476" s="237"/>
    </row>
    <row r="477" spans="1:20" ht="15.75" thickBot="1">
      <c r="A477" s="973"/>
      <c r="B477" s="665"/>
      <c r="C477" s="54" t="s">
        <v>29</v>
      </c>
      <c r="D477" s="613">
        <v>1629.7</v>
      </c>
      <c r="E477" s="56">
        <v>7.1388999999999996</v>
      </c>
      <c r="F477" s="57"/>
      <c r="G477" s="247">
        <f t="shared" si="105"/>
        <v>11634.27</v>
      </c>
      <c r="H477" s="1306"/>
      <c r="I477" s="1307"/>
      <c r="J477" s="1307"/>
      <c r="K477" s="1307"/>
      <c r="L477" s="1434"/>
      <c r="M477" s="250"/>
      <c r="N477" s="57"/>
      <c r="O477" s="57"/>
      <c r="P477" s="57"/>
      <c r="Q477" s="57"/>
      <c r="R477" s="615"/>
    </row>
    <row r="478" spans="1:20" ht="15.75">
      <c r="A478" s="658">
        <v>212</v>
      </c>
      <c r="B478" s="659" t="s">
        <v>148</v>
      </c>
      <c r="C478" s="786" t="s">
        <v>260</v>
      </c>
      <c r="D478" s="259">
        <f>май.19!D476+май.19!D477</f>
        <v>212.29999999999998</v>
      </c>
      <c r="E478" s="41">
        <f>7.1389-7.4271</f>
        <v>-0.28820000000000068</v>
      </c>
      <c r="F478" s="691">
        <f>+E478</f>
        <v>-0.28820000000000068</v>
      </c>
      <c r="G478" s="214">
        <f>ROUND(D478*E478,2)-0.01</f>
        <v>-61.19</v>
      </c>
      <c r="H478" s="1305"/>
      <c r="I478" s="1285"/>
      <c r="J478" s="1285"/>
      <c r="K478" s="1285"/>
      <c r="L478" s="1415">
        <f>SUM(G478:G480)</f>
        <v>1525.29</v>
      </c>
      <c r="M478" s="187">
        <v>1525.29</v>
      </c>
      <c r="N478" s="660"/>
      <c r="O478" s="217"/>
      <c r="P478" s="661"/>
      <c r="Q478" s="219"/>
    </row>
    <row r="479" spans="1:20" ht="15.75">
      <c r="A479" s="662"/>
      <c r="B479" s="35"/>
      <c r="C479" s="48" t="s">
        <v>263</v>
      </c>
      <c r="D479" s="269">
        <v>7.43</v>
      </c>
      <c r="E479" s="41">
        <v>7.1388999999999996</v>
      </c>
      <c r="F479" s="298">
        <f t="shared" ref="F479" si="107">+E479</f>
        <v>7.1388999999999996</v>
      </c>
      <c r="G479" s="235">
        <f t="shared" si="105"/>
        <v>53.04</v>
      </c>
      <c r="H479" s="1289"/>
      <c r="I479" s="1287"/>
      <c r="J479" s="1287"/>
      <c r="K479" s="1287"/>
      <c r="L479" s="1416"/>
      <c r="M479" s="935"/>
      <c r="N479" s="663"/>
      <c r="O479" s="237"/>
      <c r="P479" s="275"/>
      <c r="Q479" s="238"/>
    </row>
    <row r="480" spans="1:20" ht="15.75" thickBot="1">
      <c r="A480" s="975"/>
      <c r="B480" s="665"/>
      <c r="C480" s="99" t="s">
        <v>29</v>
      </c>
      <c r="D480" s="613">
        <v>214.8</v>
      </c>
      <c r="E480" s="56">
        <v>7.1388999999999996</v>
      </c>
      <c r="F480" s="57"/>
      <c r="G480" s="247">
        <f t="shared" si="105"/>
        <v>1533.44</v>
      </c>
      <c r="H480" s="1306"/>
      <c r="I480" s="1307"/>
      <c r="J480" s="1307"/>
      <c r="K480" s="1307"/>
      <c r="L480" s="1417"/>
      <c r="M480" s="606"/>
      <c r="N480" s="57"/>
      <c r="O480" s="57"/>
      <c r="P480" s="57"/>
      <c r="Q480" s="666"/>
    </row>
    <row r="481" spans="1:18" ht="16.5" hidden="1" thickBot="1">
      <c r="A481" s="658">
        <v>215</v>
      </c>
      <c r="B481" s="659" t="s">
        <v>292</v>
      </c>
      <c r="C481" s="786" t="s">
        <v>260</v>
      </c>
      <c r="D481" s="259"/>
      <c r="E481" s="41">
        <f>7.2025-6.7838</f>
        <v>0.41869999999999941</v>
      </c>
      <c r="F481" s="691">
        <f>+E481</f>
        <v>0.41869999999999941</v>
      </c>
      <c r="G481" s="214">
        <f>ROUND(D481*E481,2)</f>
        <v>0</v>
      </c>
      <c r="H481" s="1305"/>
      <c r="I481" s="1285"/>
      <c r="J481" s="1285"/>
      <c r="K481" s="1285"/>
      <c r="L481" s="1415">
        <f>SUM(G481:G483)</f>
        <v>0</v>
      </c>
      <c r="M481" s="187"/>
      <c r="N481" s="660"/>
      <c r="O481" s="217"/>
      <c r="P481" s="661"/>
      <c r="Q481" s="219"/>
    </row>
    <row r="482" spans="1:18" ht="16.5" hidden="1" thickBot="1">
      <c r="A482" s="662"/>
      <c r="B482" s="35"/>
      <c r="C482" s="48" t="s">
        <v>263</v>
      </c>
      <c r="D482" s="269"/>
      <c r="E482" s="41">
        <v>7.2024999999999997</v>
      </c>
      <c r="F482" s="298">
        <f t="shared" ref="F482" si="108">+E482</f>
        <v>7.2024999999999997</v>
      </c>
      <c r="G482" s="235">
        <f>ROUND(D482*E482,2)</f>
        <v>0</v>
      </c>
      <c r="H482" s="1289"/>
      <c r="I482" s="1287"/>
      <c r="J482" s="1287"/>
      <c r="K482" s="1287"/>
      <c r="L482" s="1416"/>
      <c r="M482" s="935"/>
      <c r="N482" s="663"/>
      <c r="O482" s="237"/>
      <c r="P482" s="275"/>
      <c r="Q482" s="238"/>
    </row>
    <row r="483" spans="1:18" ht="15.75" hidden="1" thickBot="1">
      <c r="A483" s="975"/>
      <c r="B483" s="665"/>
      <c r="C483" s="99" t="s">
        <v>29</v>
      </c>
      <c r="D483" s="613"/>
      <c r="E483" s="56">
        <v>7.2024999999999997</v>
      </c>
      <c r="F483" s="57"/>
      <c r="G483" s="247">
        <f t="shared" ref="G483" si="109">ROUND(D483*E483,2)</f>
        <v>0</v>
      </c>
      <c r="H483" s="1306"/>
      <c r="I483" s="1307"/>
      <c r="J483" s="1307"/>
      <c r="K483" s="1307"/>
      <c r="L483" s="1417"/>
      <c r="M483" s="606"/>
      <c r="N483" s="57"/>
      <c r="O483" s="57"/>
      <c r="P483" s="57"/>
      <c r="Q483" s="666"/>
    </row>
    <row r="484" spans="1:18" ht="16.5" hidden="1" thickBot="1">
      <c r="A484" s="658">
        <v>216</v>
      </c>
      <c r="B484" s="659" t="s">
        <v>240</v>
      </c>
      <c r="C484" s="786" t="s">
        <v>260</v>
      </c>
      <c r="D484" s="259"/>
      <c r="E484" s="41">
        <f>7.2025-6.7838</f>
        <v>0.41869999999999941</v>
      </c>
      <c r="F484" s="691">
        <f>+E484</f>
        <v>0.41869999999999941</v>
      </c>
      <c r="G484" s="214">
        <f>ROUND(D484*E484,2)-0.01</f>
        <v>-0.01</v>
      </c>
      <c r="H484" s="1305"/>
      <c r="I484" s="1285"/>
      <c r="J484" s="1285"/>
      <c r="K484" s="1285"/>
      <c r="L484" s="1415">
        <f>SUM(G484:G486)</f>
        <v>-0.01</v>
      </c>
      <c r="M484" s="187"/>
      <c r="N484" s="660"/>
      <c r="O484" s="1036" t="s">
        <v>320</v>
      </c>
      <c r="P484" s="661"/>
      <c r="Q484" s="219"/>
    </row>
    <row r="485" spans="1:18" ht="16.5" hidden="1" thickBot="1">
      <c r="A485" s="662"/>
      <c r="B485" s="35"/>
      <c r="C485" s="48" t="s">
        <v>263</v>
      </c>
      <c r="D485" s="269"/>
      <c r="E485" s="41">
        <v>7.2024999999999997</v>
      </c>
      <c r="F485" s="298">
        <f t="shared" ref="F485" si="110">+E485</f>
        <v>7.2024999999999997</v>
      </c>
      <c r="G485" s="235">
        <f t="shared" ref="G485:G486" si="111">ROUND(D485*E485,2)</f>
        <v>0</v>
      </c>
      <c r="H485" s="1289"/>
      <c r="I485" s="1287"/>
      <c r="J485" s="1287"/>
      <c r="K485" s="1287"/>
      <c r="L485" s="1416"/>
      <c r="M485" s="935"/>
      <c r="N485" s="663"/>
      <c r="O485" s="237"/>
      <c r="P485" s="275"/>
      <c r="Q485" s="238"/>
    </row>
    <row r="486" spans="1:18" ht="15.75" hidden="1" thickBot="1">
      <c r="A486" s="975"/>
      <c r="B486" s="665"/>
      <c r="C486" s="99" t="s">
        <v>29</v>
      </c>
      <c r="D486" s="1035"/>
      <c r="E486" s="56">
        <v>7.2024999999999997</v>
      </c>
      <c r="F486" s="57"/>
      <c r="G486" s="247">
        <f t="shared" si="111"/>
        <v>0</v>
      </c>
      <c r="H486" s="1306"/>
      <c r="I486" s="1307"/>
      <c r="J486" s="1307"/>
      <c r="K486" s="1307"/>
      <c r="L486" s="1417"/>
      <c r="M486" s="606"/>
      <c r="N486" s="57"/>
      <c r="O486" s="57"/>
      <c r="P486" s="57"/>
      <c r="Q486" s="666"/>
    </row>
    <row r="487" spans="1:18" ht="15.75">
      <c r="A487" s="658">
        <v>218</v>
      </c>
      <c r="B487" s="659" t="s">
        <v>117</v>
      </c>
      <c r="C487" s="439" t="s">
        <v>260</v>
      </c>
      <c r="D487" s="259">
        <f>май.19!D485+май.19!D486</f>
        <v>399.36</v>
      </c>
      <c r="E487" s="23">
        <f>7.1389-7.4271</f>
        <v>-0.28820000000000068</v>
      </c>
      <c r="F487" s="691">
        <f>+E487</f>
        <v>-0.28820000000000068</v>
      </c>
      <c r="G487" s="214">
        <f>ROUND(D487*E487,2)+0.01</f>
        <v>-115.08999999999999</v>
      </c>
      <c r="H487" s="1305"/>
      <c r="I487" s="1285"/>
      <c r="J487" s="1285"/>
      <c r="K487" s="1285"/>
      <c r="L487" s="1415">
        <f>SUM(G487:G489)</f>
        <v>2806</v>
      </c>
      <c r="M487" s="187">
        <v>2806</v>
      </c>
      <c r="N487" s="660"/>
      <c r="O487" s="217"/>
      <c r="P487" s="661"/>
      <c r="Q487" s="219"/>
      <c r="R487" s="615"/>
    </row>
    <row r="488" spans="1:18" ht="15.75">
      <c r="A488" s="662"/>
      <c r="B488" s="506"/>
      <c r="C488" s="48" t="s">
        <v>263</v>
      </c>
      <c r="D488" s="773">
        <v>13.68</v>
      </c>
      <c r="E488" s="41">
        <v>7.1388999999999996</v>
      </c>
      <c r="F488" s="774">
        <f t="shared" ref="F488" si="112">+E488</f>
        <v>7.1388999999999996</v>
      </c>
      <c r="G488" s="775">
        <f t="shared" si="105"/>
        <v>97.66</v>
      </c>
      <c r="H488" s="1357"/>
      <c r="I488" s="1291"/>
      <c r="J488" s="1291"/>
      <c r="K488" s="1291"/>
      <c r="L488" s="1440"/>
      <c r="M488" s="974"/>
      <c r="N488" s="777"/>
      <c r="O488" s="778"/>
      <c r="P488" s="779"/>
      <c r="Q488" s="780"/>
    </row>
    <row r="489" spans="1:18" ht="15.75" thickBot="1">
      <c r="A489" s="975"/>
      <c r="B489" s="278"/>
      <c r="C489" s="54" t="s">
        <v>29</v>
      </c>
      <c r="D489" s="613">
        <v>395.5</v>
      </c>
      <c r="E489" s="56">
        <v>7.1388999999999996</v>
      </c>
      <c r="F489" s="57"/>
      <c r="G489" s="247">
        <f t="shared" si="105"/>
        <v>2823.43</v>
      </c>
      <c r="H489" s="1306"/>
      <c r="I489" s="1307"/>
      <c r="J489" s="1307"/>
      <c r="K489" s="1307"/>
      <c r="L489" s="1434"/>
      <c r="M489" s="938"/>
      <c r="N489" s="57"/>
      <c r="O489" s="57"/>
      <c r="P489" s="57"/>
      <c r="Q489" s="666"/>
    </row>
    <row r="490" spans="1:18" ht="15.75">
      <c r="A490" s="658">
        <v>221</v>
      </c>
      <c r="B490" s="659" t="s">
        <v>338</v>
      </c>
      <c r="C490" s="786" t="s">
        <v>260</v>
      </c>
      <c r="D490" s="259">
        <f>май.19!D488+май.19!D489</f>
        <v>51.73</v>
      </c>
      <c r="E490" s="41">
        <f>7.1389-7.4271</f>
        <v>-0.28820000000000068</v>
      </c>
      <c r="F490" s="691">
        <f>+E490</f>
        <v>-0.28820000000000068</v>
      </c>
      <c r="G490" s="214">
        <f>ROUND(D490*E490,2)+0.01</f>
        <v>-14.9</v>
      </c>
      <c r="H490" s="1305"/>
      <c r="I490" s="1285"/>
      <c r="J490" s="1285"/>
      <c r="K490" s="1285"/>
      <c r="L490" s="1415">
        <f>SUM(G490:G492)</f>
        <v>354.4</v>
      </c>
      <c r="M490" s="187">
        <v>354.4</v>
      </c>
      <c r="N490" s="660"/>
      <c r="O490" s="217"/>
      <c r="P490" s="661"/>
      <c r="Q490" s="219"/>
    </row>
    <row r="491" spans="1:18" ht="15.75">
      <c r="A491" s="662"/>
      <c r="B491" s="35"/>
      <c r="C491" s="48" t="s">
        <v>263</v>
      </c>
      <c r="D491" s="269">
        <v>1.73</v>
      </c>
      <c r="E491" s="41">
        <v>7.1388999999999996</v>
      </c>
      <c r="F491" s="298">
        <f t="shared" ref="F491" si="113">+E491</f>
        <v>7.1388999999999996</v>
      </c>
      <c r="G491" s="235">
        <f>ROUND(D491*E491,2)</f>
        <v>12.35</v>
      </c>
      <c r="H491" s="1289"/>
      <c r="I491" s="1287"/>
      <c r="J491" s="1287"/>
      <c r="K491" s="1287"/>
      <c r="L491" s="1416"/>
      <c r="M491" s="935"/>
      <c r="N491" s="663"/>
      <c r="O491" s="237"/>
      <c r="P491" s="275"/>
      <c r="Q491" s="238"/>
    </row>
    <row r="492" spans="1:18" ht="15.75" thickBot="1">
      <c r="A492" s="975"/>
      <c r="B492" s="665"/>
      <c r="C492" s="99" t="s">
        <v>29</v>
      </c>
      <c r="D492" s="613">
        <v>50</v>
      </c>
      <c r="E492" s="56">
        <v>7.1388999999999996</v>
      </c>
      <c r="F492" s="57"/>
      <c r="G492" s="247">
        <f t="shared" ref="G492" si="114">ROUND(D492*E492,2)</f>
        <v>356.95</v>
      </c>
      <c r="H492" s="1306"/>
      <c r="I492" s="1307"/>
      <c r="J492" s="1307"/>
      <c r="K492" s="1307"/>
      <c r="L492" s="1417"/>
      <c r="M492" s="606"/>
      <c r="N492" s="57"/>
      <c r="O492" s="57"/>
      <c r="P492" s="57"/>
      <c r="Q492" s="666"/>
    </row>
    <row r="493" spans="1:18" ht="16.5" hidden="1" thickBot="1">
      <c r="A493" s="658">
        <v>311</v>
      </c>
      <c r="B493" s="602" t="s">
        <v>142</v>
      </c>
      <c r="C493" s="786" t="s">
        <v>73</v>
      </c>
      <c r="D493" s="787"/>
      <c r="E493" s="21">
        <v>41.244</v>
      </c>
      <c r="F493" s="21">
        <v>48.335999999999999</v>
      </c>
      <c r="G493" s="214">
        <f>+D493*(E493+F493)</f>
        <v>0</v>
      </c>
      <c r="H493" s="1289"/>
      <c r="I493" s="1287"/>
      <c r="J493" s="1405"/>
      <c r="K493" s="1404"/>
      <c r="L493" s="1415">
        <f>SUM(G493:G497,J493:J497)</f>
        <v>0</v>
      </c>
      <c r="M493" s="187"/>
      <c r="N493" s="788"/>
      <c r="O493" s="789" t="s">
        <v>323</v>
      </c>
      <c r="P493" s="790"/>
      <c r="Q493" s="791"/>
    </row>
    <row r="494" spans="1:18" ht="16.5" hidden="1" thickBot="1">
      <c r="A494" s="658"/>
      <c r="B494" s="602"/>
      <c r="C494" s="786" t="s">
        <v>264</v>
      </c>
      <c r="D494" s="787"/>
      <c r="E494" s="21"/>
      <c r="F494" s="21"/>
      <c r="G494" s="214">
        <f>+D494*(E494+F494)</f>
        <v>0</v>
      </c>
      <c r="H494" s="1289"/>
      <c r="I494" s="1287"/>
      <c r="J494" s="1405"/>
      <c r="K494" s="1404"/>
      <c r="L494" s="1415"/>
      <c r="M494" s="187"/>
      <c r="N494" s="788"/>
      <c r="O494" s="789"/>
      <c r="P494" s="790"/>
      <c r="Q494" s="791"/>
    </row>
    <row r="495" spans="1:18" ht="16.5" hidden="1" thickBot="1">
      <c r="A495" s="662"/>
      <c r="B495" s="939"/>
      <c r="C495" s="48" t="s">
        <v>260</v>
      </c>
      <c r="D495" s="269"/>
      <c r="E495" s="41">
        <f>7.1994-7.4969</f>
        <v>-0.29750000000000032</v>
      </c>
      <c r="F495" s="297">
        <f>+E495</f>
        <v>-0.29750000000000032</v>
      </c>
      <c r="G495" s="235">
        <f>ROUND(D495*E495,2)</f>
        <v>0</v>
      </c>
      <c r="H495" s="1289"/>
      <c r="I495" s="1287"/>
      <c r="J495" s="1405"/>
      <c r="K495" s="1404"/>
      <c r="L495" s="1417"/>
      <c r="M495" s="273"/>
      <c r="N495" s="663"/>
      <c r="O495" s="237"/>
      <c r="P495" s="275"/>
      <c r="Q495" s="238"/>
    </row>
    <row r="496" spans="1:18" ht="16.5" hidden="1" thickBot="1">
      <c r="A496" s="662"/>
      <c r="B496" s="506"/>
      <c r="C496" s="48" t="s">
        <v>263</v>
      </c>
      <c r="D496" s="269"/>
      <c r="E496" s="41">
        <v>7.1993999999999998</v>
      </c>
      <c r="F496" s="298">
        <f t="shared" ref="F496" si="115">+E496</f>
        <v>7.1993999999999998</v>
      </c>
      <c r="G496" s="235">
        <f t="shared" ref="G496:G503" si="116">ROUND(D496*E496,2)</f>
        <v>0</v>
      </c>
      <c r="H496" s="1289"/>
      <c r="I496" s="1287"/>
      <c r="J496" s="1405"/>
      <c r="K496" s="1404"/>
      <c r="L496" s="1416"/>
      <c r="M496" s="935"/>
      <c r="N496" s="663"/>
      <c r="O496" s="237"/>
      <c r="P496" s="275"/>
      <c r="Q496" s="238"/>
    </row>
    <row r="497" spans="1:17" ht="15.75" hidden="1" thickBot="1">
      <c r="A497" s="975"/>
      <c r="B497" s="278"/>
      <c r="C497" s="54" t="s">
        <v>29</v>
      </c>
      <c r="D497" s="795"/>
      <c r="E497" s="56">
        <v>7.1993999999999998</v>
      </c>
      <c r="F497" s="797"/>
      <c r="G497" s="798">
        <f t="shared" si="116"/>
        <v>0</v>
      </c>
      <c r="H497" s="1406"/>
      <c r="I497" s="1407"/>
      <c r="J497" s="1407"/>
      <c r="K497" s="1407"/>
      <c r="L497" s="1431"/>
      <c r="M497" s="976"/>
      <c r="N497" s="797"/>
      <c r="O497" s="797"/>
      <c r="P497" s="797"/>
      <c r="Q497" s="800"/>
    </row>
    <row r="498" spans="1:17" ht="15.75">
      <c r="A498" s="658">
        <v>500</v>
      </c>
      <c r="B498" s="659" t="s">
        <v>55</v>
      </c>
      <c r="C498" s="48" t="s">
        <v>260</v>
      </c>
      <c r="D498" s="259">
        <f>май.19!D496+май.19!D497</f>
        <v>2634.3199999999997</v>
      </c>
      <c r="E498" s="41">
        <f>7.1389-7.4271</f>
        <v>-0.28820000000000068</v>
      </c>
      <c r="F498" s="691">
        <f>+E498</f>
        <v>-0.28820000000000068</v>
      </c>
      <c r="G498" s="214">
        <f>ROUND(D498*E498,2)</f>
        <v>-759.21</v>
      </c>
      <c r="H498" s="1305"/>
      <c r="I498" s="1285"/>
      <c r="J498" s="1285"/>
      <c r="K498" s="1285"/>
      <c r="L498" s="1415">
        <f>SUM(G498:G500)</f>
        <v>19798.68</v>
      </c>
      <c r="M498" s="187">
        <v>19798.68</v>
      </c>
      <c r="N498" s="660"/>
      <c r="O498" s="217"/>
      <c r="P498" s="661"/>
      <c r="Q498" s="219"/>
    </row>
    <row r="499" spans="1:17" ht="15.75">
      <c r="A499" s="662" t="s">
        <v>211</v>
      </c>
      <c r="B499" s="35"/>
      <c r="C499" s="48" t="s">
        <v>263</v>
      </c>
      <c r="D499" s="269">
        <v>96.31</v>
      </c>
      <c r="E499" s="41">
        <v>7.1388999999999996</v>
      </c>
      <c r="F499" s="298">
        <f t="shared" ref="F499" si="117">+E499</f>
        <v>7.1388999999999996</v>
      </c>
      <c r="G499" s="235">
        <f>ROUND(D499*E499,2)</f>
        <v>687.55</v>
      </c>
      <c r="H499" s="1289"/>
      <c r="I499" s="1287"/>
      <c r="J499" s="1287"/>
      <c r="K499" s="1287"/>
      <c r="L499" s="1416"/>
      <c r="M499" s="935"/>
      <c r="N499" s="663"/>
      <c r="O499" s="237"/>
      <c r="P499" s="275"/>
      <c r="Q499" s="238"/>
    </row>
    <row r="500" spans="1:17" ht="15.75" thickBot="1">
      <c r="A500" s="969"/>
      <c r="B500" s="665"/>
      <c r="C500" s="99" t="s">
        <v>29</v>
      </c>
      <c r="D500" s="613">
        <v>2783.39</v>
      </c>
      <c r="E500" s="56">
        <v>7.1388999999999996</v>
      </c>
      <c r="F500" s="57"/>
      <c r="G500" s="247">
        <f t="shared" si="116"/>
        <v>19870.34</v>
      </c>
      <c r="H500" s="1306"/>
      <c r="I500" s="1307"/>
      <c r="J500" s="1307"/>
      <c r="K500" s="1307"/>
      <c r="L500" s="1417"/>
      <c r="M500" s="935"/>
      <c r="N500" s="57"/>
      <c r="O500" s="57"/>
      <c r="P500" s="57"/>
      <c r="Q500" s="666"/>
    </row>
    <row r="501" spans="1:17" ht="15.75">
      <c r="A501" s="658">
        <v>501</v>
      </c>
      <c r="B501" s="659" t="s">
        <v>300</v>
      </c>
      <c r="C501" s="48" t="s">
        <v>260</v>
      </c>
      <c r="D501" s="259">
        <f>май.19!D499+май.19!D500</f>
        <v>2564.9500000000003</v>
      </c>
      <c r="E501" s="41">
        <f>7.1389-7.4271</f>
        <v>-0.28820000000000068</v>
      </c>
      <c r="F501" s="691">
        <f>+E501</f>
        <v>-0.28820000000000068</v>
      </c>
      <c r="G501" s="214">
        <f>ROUND(D501*E501,2)</f>
        <v>-739.22</v>
      </c>
      <c r="H501" s="1305"/>
      <c r="I501" s="1285"/>
      <c r="J501" s="1285"/>
      <c r="K501" s="1285"/>
      <c r="L501" s="1415">
        <f>SUM(G501:G503)</f>
        <v>19021.61</v>
      </c>
      <c r="M501" s="187">
        <v>19021.61</v>
      </c>
      <c r="N501" s="660"/>
      <c r="O501" s="217"/>
      <c r="P501" s="661"/>
      <c r="Q501" s="219"/>
    </row>
    <row r="502" spans="1:17" ht="15.75">
      <c r="A502" s="662"/>
      <c r="B502" s="35"/>
      <c r="C502" s="48" t="s">
        <v>263</v>
      </c>
      <c r="D502" s="269">
        <v>92.57</v>
      </c>
      <c r="E502" s="41">
        <v>7.1388999999999996</v>
      </c>
      <c r="F502" s="298"/>
      <c r="G502" s="235">
        <f t="shared" si="116"/>
        <v>660.85</v>
      </c>
      <c r="H502" s="1289"/>
      <c r="I502" s="1287"/>
      <c r="J502" s="1287"/>
      <c r="K502" s="1287"/>
      <c r="L502" s="1416"/>
      <c r="M502" s="935"/>
      <c r="N502" s="663"/>
      <c r="O502" s="237"/>
      <c r="P502" s="275"/>
      <c r="Q502" s="238"/>
    </row>
    <row r="503" spans="1:17" ht="15.75" thickBot="1">
      <c r="A503" s="969"/>
      <c r="B503" s="665"/>
      <c r="C503" s="99" t="s">
        <v>29</v>
      </c>
      <c r="D503" s="613">
        <v>2675.48</v>
      </c>
      <c r="E503" s="56">
        <v>7.1388999999999996</v>
      </c>
      <c r="F503" s="57"/>
      <c r="G503" s="247">
        <f t="shared" si="116"/>
        <v>19099.98</v>
      </c>
      <c r="H503" s="1306"/>
      <c r="I503" s="1307"/>
      <c r="J503" s="1307"/>
      <c r="K503" s="1307"/>
      <c r="L503" s="1417"/>
      <c r="M503" s="935"/>
      <c r="N503" s="57"/>
      <c r="O503" s="57"/>
      <c r="P503" s="57"/>
      <c r="Q503" s="666"/>
    </row>
    <row r="504" spans="1:17">
      <c r="A504" s="977"/>
    </row>
    <row r="505" spans="1:17">
      <c r="A505" s="977"/>
    </row>
    <row r="506" spans="1:17">
      <c r="A506" s="977"/>
    </row>
  </sheetData>
  <mergeCells count="41">
    <mergeCell ref="M2:M3"/>
    <mergeCell ref="N2:P2"/>
    <mergeCell ref="A31:A32"/>
    <mergeCell ref="B31:B32"/>
    <mergeCell ref="C31:C32"/>
    <mergeCell ref="D31:G31"/>
    <mergeCell ref="H31:K31"/>
    <mergeCell ref="L31:L32"/>
    <mergeCell ref="M31:M32"/>
    <mergeCell ref="N31:P31"/>
    <mergeCell ref="A2:A3"/>
    <mergeCell ref="B2:B3"/>
    <mergeCell ref="C2:C3"/>
    <mergeCell ref="D2:G2"/>
    <mergeCell ref="H2:K2"/>
    <mergeCell ref="L2:L3"/>
    <mergeCell ref="M158:M159"/>
    <mergeCell ref="N158:Q158"/>
    <mergeCell ref="O318:Q318"/>
    <mergeCell ref="A324:A325"/>
    <mergeCell ref="B324:B325"/>
    <mergeCell ref="C324:C325"/>
    <mergeCell ref="D324:G324"/>
    <mergeCell ref="H324:K324"/>
    <mergeCell ref="L324:L325"/>
    <mergeCell ref="M324:M325"/>
    <mergeCell ref="A158:A159"/>
    <mergeCell ref="B158:B159"/>
    <mergeCell ref="C158:C159"/>
    <mergeCell ref="D158:G158"/>
    <mergeCell ref="H158:K158"/>
    <mergeCell ref="L158:L159"/>
    <mergeCell ref="N324:Q324"/>
    <mergeCell ref="A469:A470"/>
    <mergeCell ref="B469:B470"/>
    <mergeCell ref="C469:C470"/>
    <mergeCell ref="D469:G469"/>
    <mergeCell ref="H469:K469"/>
    <mergeCell ref="L469:L470"/>
    <mergeCell ref="M469:M470"/>
    <mergeCell ref="N469:Q469"/>
  </mergeCells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281"/>
  <sheetViews>
    <sheetView tabSelected="1" workbookViewId="0">
      <selection activeCell="F218" sqref="F218:F222"/>
    </sheetView>
  </sheetViews>
  <sheetFormatPr defaultRowHeight="15"/>
  <cols>
    <col min="1" max="1" width="11.42578125" style="176" customWidth="1"/>
    <col min="2" max="2" width="26" customWidth="1"/>
    <col min="3" max="3" width="12.85546875" customWidth="1"/>
    <col min="4" max="4" width="8" customWidth="1"/>
    <col min="5" max="5" width="7.140625" customWidth="1"/>
    <col min="6" max="6" width="7.28515625" customWidth="1"/>
    <col min="7" max="7" width="8.28515625" style="1446" customWidth="1"/>
    <col min="8" max="8" width="10.140625" style="1446" customWidth="1"/>
    <col min="9" max="9" width="10.28515625" style="1447" customWidth="1"/>
    <col min="10" max="10" width="8.140625" style="1447" customWidth="1"/>
    <col min="11" max="11" width="11.42578125" style="1338" customWidth="1"/>
    <col min="12" max="12" width="10.85546875" style="1338" customWidth="1"/>
    <col min="13" max="13" width="11" style="1338" customWidth="1"/>
    <col min="14" max="14" width="11.28515625" style="1338" customWidth="1"/>
    <col min="15" max="15" width="12.85546875" style="1448" customWidth="1"/>
    <col min="16" max="16" width="13.5703125" style="1449" customWidth="1"/>
  </cols>
  <sheetData>
    <row r="1" spans="1:16">
      <c r="A1" s="1445" t="s">
        <v>346</v>
      </c>
      <c r="C1" t="s">
        <v>15</v>
      </c>
      <c r="D1" t="s">
        <v>347</v>
      </c>
      <c r="E1" t="s">
        <v>348</v>
      </c>
      <c r="F1" s="1508" t="s">
        <v>349</v>
      </c>
    </row>
    <row r="2" spans="1:16">
      <c r="C2" t="s">
        <v>243</v>
      </c>
      <c r="D2">
        <v>41.244</v>
      </c>
      <c r="E2">
        <v>41.244</v>
      </c>
      <c r="F2" s="1508">
        <v>42.768000000000001</v>
      </c>
    </row>
    <row r="3" spans="1:16">
      <c r="C3" t="s">
        <v>350</v>
      </c>
      <c r="D3">
        <v>48.335999999999999</v>
      </c>
      <c r="E3">
        <v>48.335999999999999</v>
      </c>
      <c r="F3" s="1508">
        <v>50.124000000000002</v>
      </c>
      <c r="H3" s="1507"/>
    </row>
    <row r="4" spans="1:16" ht="15.75" thickBot="1">
      <c r="C4" t="s">
        <v>351</v>
      </c>
      <c r="D4">
        <v>7.1388999999999996</v>
      </c>
      <c r="E4">
        <v>7.1779999999999999</v>
      </c>
      <c r="F4" s="1508">
        <v>7.5038999999999998</v>
      </c>
    </row>
    <row r="5" spans="1:16" ht="15" customHeight="1">
      <c r="A5" s="1577" t="s">
        <v>1</v>
      </c>
      <c r="B5" s="1579" t="s">
        <v>352</v>
      </c>
      <c r="C5" s="1581" t="s">
        <v>353</v>
      </c>
      <c r="D5" s="1581" t="s">
        <v>354</v>
      </c>
      <c r="E5" s="1579" t="s">
        <v>355</v>
      </c>
      <c r="F5" s="1579"/>
      <c r="G5" s="1579"/>
      <c r="H5" s="1496"/>
      <c r="I5" s="1583" t="s">
        <v>356</v>
      </c>
      <c r="J5" s="1585" t="s">
        <v>357</v>
      </c>
      <c r="K5" s="1587" t="s">
        <v>358</v>
      </c>
      <c r="L5" s="1587"/>
      <c r="M5" s="1587"/>
      <c r="N5" s="1587"/>
      <c r="O5" s="1588" t="s">
        <v>359</v>
      </c>
      <c r="P5" s="1590" t="s">
        <v>360</v>
      </c>
    </row>
    <row r="6" spans="1:16" ht="45" customHeight="1" thickBot="1">
      <c r="A6" s="1578"/>
      <c r="B6" s="1580"/>
      <c r="C6" s="1582"/>
      <c r="D6" s="1582"/>
      <c r="E6" s="1450" t="s">
        <v>361</v>
      </c>
      <c r="F6" s="1450" t="s">
        <v>362</v>
      </c>
      <c r="G6" s="1451" t="s">
        <v>11</v>
      </c>
      <c r="H6" s="1451" t="s">
        <v>466</v>
      </c>
      <c r="I6" s="1584"/>
      <c r="J6" s="1586"/>
      <c r="K6" s="1307" t="s">
        <v>11</v>
      </c>
      <c r="L6" s="1307" t="s">
        <v>15</v>
      </c>
      <c r="M6" s="1307" t="s">
        <v>14</v>
      </c>
      <c r="N6" s="1307" t="s">
        <v>363</v>
      </c>
      <c r="O6" s="1589"/>
      <c r="P6" s="1591"/>
    </row>
    <row r="7" spans="1:16">
      <c r="A7" s="1452" t="s">
        <v>212</v>
      </c>
      <c r="B7" s="620" t="s">
        <v>364</v>
      </c>
      <c r="C7" s="620" t="s">
        <v>243</v>
      </c>
      <c r="D7" s="620">
        <v>7.6539999999999999</v>
      </c>
      <c r="E7" s="1453">
        <v>233.042</v>
      </c>
      <c r="F7" s="1453">
        <v>238.73599999999999</v>
      </c>
      <c r="G7" s="1454">
        <f>F7-E7</f>
        <v>5.6939999999999884</v>
      </c>
      <c r="H7" s="1454">
        <f t="shared" ref="H7:H21" si="0">G7</f>
        <v>5.6939999999999884</v>
      </c>
      <c r="I7" s="1455">
        <f>ROUND(G7*($E$2+$E$3),2)</f>
        <v>510.07</v>
      </c>
      <c r="J7" s="1455">
        <f>ROUND(D7*(($E$2+$E$3)-($D$2+$D$3)),2)</f>
        <v>0</v>
      </c>
      <c r="K7" s="1375">
        <v>6</v>
      </c>
      <c r="L7" s="1375">
        <v>26.351600000000001</v>
      </c>
      <c r="M7" s="1375">
        <f>ROUND(K7*L7,2)</f>
        <v>158.11000000000001</v>
      </c>
      <c r="N7" s="1456">
        <v>43586</v>
      </c>
      <c r="O7" s="1457">
        <f>SUM(J7:J9)+SUM(I7:I9)+SUM(M7:M9)</f>
        <v>12181.07</v>
      </c>
      <c r="P7" s="1458">
        <v>12181.07</v>
      </c>
    </row>
    <row r="8" spans="1:16">
      <c r="A8" s="1459"/>
      <c r="B8" s="298"/>
      <c r="C8" s="298" t="s">
        <v>351</v>
      </c>
      <c r="D8" s="298">
        <v>1629.7</v>
      </c>
      <c r="E8" s="298">
        <v>56690.400000000001</v>
      </c>
      <c r="F8" s="298">
        <v>58231.8</v>
      </c>
      <c r="G8" s="1460">
        <f>F8-E8</f>
        <v>1541.4000000000015</v>
      </c>
      <c r="H8" s="1460">
        <f t="shared" si="0"/>
        <v>1541.4000000000015</v>
      </c>
      <c r="I8" s="1461">
        <f t="shared" ref="I8:I21" si="1">ROUND(G8*$E$4,2)</f>
        <v>11064.17</v>
      </c>
      <c r="J8" s="1461">
        <f t="shared" ref="J8:J21" si="2">ROUND(D8*($E$4-$D$4),2)</f>
        <v>63.72</v>
      </c>
      <c r="K8" s="1377"/>
      <c r="L8" s="1377"/>
      <c r="M8" s="1377"/>
      <c r="N8" s="1377"/>
      <c r="O8" s="1462"/>
      <c r="P8" s="1463"/>
    </row>
    <row r="9" spans="1:16" ht="15.75" thickBot="1">
      <c r="A9" s="1464"/>
      <c r="B9" s="57"/>
      <c r="C9" s="57" t="s">
        <v>263</v>
      </c>
      <c r="D9" s="57">
        <v>56.39</v>
      </c>
      <c r="E9" s="57"/>
      <c r="F9" s="57"/>
      <c r="G9" s="1465">
        <f>ROUND(G8*0.0346,2)</f>
        <v>53.33</v>
      </c>
      <c r="H9" s="1460">
        <f t="shared" si="0"/>
        <v>53.33</v>
      </c>
      <c r="I9" s="1466">
        <f t="shared" si="1"/>
        <v>382.8</v>
      </c>
      <c r="J9" s="1466">
        <f t="shared" si="2"/>
        <v>2.2000000000000002</v>
      </c>
      <c r="K9" s="1307"/>
      <c r="L9" s="1307"/>
      <c r="M9" s="1307"/>
      <c r="N9" s="1307"/>
      <c r="O9" s="1467"/>
      <c r="P9" s="1468"/>
    </row>
    <row r="10" spans="1:16">
      <c r="A10" s="1469">
        <v>212</v>
      </c>
      <c r="B10" s="620" t="s">
        <v>148</v>
      </c>
      <c r="C10" s="620" t="s">
        <v>351</v>
      </c>
      <c r="D10" s="620">
        <v>214.8</v>
      </c>
      <c r="E10" s="620">
        <v>4993.1000000000004</v>
      </c>
      <c r="F10" s="620">
        <v>5209</v>
      </c>
      <c r="G10" s="1454">
        <f>F10-E10</f>
        <v>215.89999999999964</v>
      </c>
      <c r="H10" s="1454">
        <f t="shared" si="0"/>
        <v>215.89999999999964</v>
      </c>
      <c r="I10" s="1455">
        <f t="shared" si="1"/>
        <v>1549.73</v>
      </c>
      <c r="J10" s="1455">
        <f t="shared" si="2"/>
        <v>8.4</v>
      </c>
      <c r="K10" s="1375"/>
      <c r="L10" s="1375"/>
      <c r="M10" s="1375"/>
      <c r="N10" s="1375"/>
      <c r="O10" s="1457">
        <f>SUM(J10:J11)+SUM(I10:I11)</f>
        <v>1612.04</v>
      </c>
      <c r="P10" s="1458">
        <v>1612.04</v>
      </c>
    </row>
    <row r="11" spans="1:16" ht="15.75" thickBot="1">
      <c r="A11" s="1464"/>
      <c r="B11" s="57"/>
      <c r="C11" s="57" t="s">
        <v>263</v>
      </c>
      <c r="D11" s="57">
        <v>7.43</v>
      </c>
      <c r="E11" s="57"/>
      <c r="F11" s="57"/>
      <c r="G11" s="1465">
        <f>ROUND(G10*0.0346,2)</f>
        <v>7.47</v>
      </c>
      <c r="H11" s="1465">
        <f t="shared" si="0"/>
        <v>7.47</v>
      </c>
      <c r="I11" s="1466">
        <f t="shared" si="1"/>
        <v>53.62</v>
      </c>
      <c r="J11" s="1466">
        <f t="shared" si="2"/>
        <v>0.28999999999999998</v>
      </c>
      <c r="K11" s="1307"/>
      <c r="L11" s="1307"/>
      <c r="M11" s="1307"/>
      <c r="N11" s="1307"/>
      <c r="O11" s="1467"/>
      <c r="P11" s="1468"/>
    </row>
    <row r="12" spans="1:16">
      <c r="A12" s="1469">
        <v>215</v>
      </c>
      <c r="B12" s="620" t="s">
        <v>461</v>
      </c>
      <c r="C12" s="620" t="s">
        <v>351</v>
      </c>
      <c r="D12" s="620"/>
      <c r="E12" s="620">
        <v>0</v>
      </c>
      <c r="F12" s="620">
        <v>50</v>
      </c>
      <c r="G12" s="1454">
        <f>F12-E12</f>
        <v>50</v>
      </c>
      <c r="H12" s="1454">
        <f t="shared" si="0"/>
        <v>50</v>
      </c>
      <c r="I12" s="1455">
        <f t="shared" ref="I12:I13" si="3">ROUND(G12*$E$4,2)</f>
        <v>358.9</v>
      </c>
      <c r="J12" s="1455">
        <f t="shared" ref="J12:J13" si="4">ROUND(D12*($E$4-$D$4),2)</f>
        <v>0</v>
      </c>
      <c r="K12" s="1375"/>
      <c r="L12" s="1375"/>
      <c r="M12" s="1375"/>
      <c r="N12" s="1375"/>
      <c r="O12" s="1457">
        <f>SUM(J12:J13)+SUM(I12:I13)</f>
        <v>371.32</v>
      </c>
      <c r="P12" s="1458">
        <v>371.32</v>
      </c>
    </row>
    <row r="13" spans="1:16" ht="15.75" thickBot="1">
      <c r="A13" s="1464"/>
      <c r="B13" s="57"/>
      <c r="C13" s="57" t="s">
        <v>263</v>
      </c>
      <c r="D13" s="57"/>
      <c r="E13" s="57"/>
      <c r="F13" s="57"/>
      <c r="G13" s="1465">
        <f>ROUND(G12*0.0346,2)</f>
        <v>1.73</v>
      </c>
      <c r="H13" s="1465">
        <f t="shared" si="0"/>
        <v>1.73</v>
      </c>
      <c r="I13" s="1466">
        <f t="shared" si="3"/>
        <v>12.42</v>
      </c>
      <c r="J13" s="1466">
        <f t="shared" si="4"/>
        <v>0</v>
      </c>
      <c r="K13" s="1307"/>
      <c r="L13" s="1307"/>
      <c r="M13" s="1307"/>
      <c r="N13" s="1307"/>
      <c r="O13" s="1467"/>
      <c r="P13" s="1468"/>
    </row>
    <row r="14" spans="1:16">
      <c r="A14" s="1469">
        <v>218</v>
      </c>
      <c r="B14" s="620" t="s">
        <v>365</v>
      </c>
      <c r="C14" s="620" t="s">
        <v>351</v>
      </c>
      <c r="D14" s="620">
        <v>395.5</v>
      </c>
      <c r="E14" s="620">
        <v>11479.4</v>
      </c>
      <c r="F14" s="620">
        <v>11852</v>
      </c>
      <c r="G14" s="1454">
        <f>F14-E14</f>
        <v>372.60000000000036</v>
      </c>
      <c r="H14" s="1454">
        <f t="shared" si="0"/>
        <v>372.60000000000036</v>
      </c>
      <c r="I14" s="1455">
        <f t="shared" si="1"/>
        <v>2674.52</v>
      </c>
      <c r="J14" s="1455">
        <f t="shared" si="2"/>
        <v>15.46</v>
      </c>
      <c r="K14" s="1375"/>
      <c r="L14" s="1375"/>
      <c r="M14" s="1375"/>
      <c r="N14" s="1375"/>
      <c r="O14" s="1457">
        <f>SUM(J14:J15)+SUM(I14:I15)</f>
        <v>2783.0299999999997</v>
      </c>
      <c r="P14" s="1458">
        <v>2783.03</v>
      </c>
    </row>
    <row r="15" spans="1:16" ht="15.75" thickBot="1">
      <c r="A15" s="1464"/>
      <c r="B15" s="57"/>
      <c r="C15" s="57" t="s">
        <v>263</v>
      </c>
      <c r="D15" s="57">
        <v>13.68</v>
      </c>
      <c r="E15" s="57"/>
      <c r="F15" s="57"/>
      <c r="G15" s="1465">
        <f>ROUND(G14*0.0346,2)</f>
        <v>12.89</v>
      </c>
      <c r="H15" s="1465">
        <f t="shared" si="0"/>
        <v>12.89</v>
      </c>
      <c r="I15" s="1466">
        <f t="shared" si="1"/>
        <v>92.52</v>
      </c>
      <c r="J15" s="1466">
        <f t="shared" si="2"/>
        <v>0.53</v>
      </c>
      <c r="K15" s="1307"/>
      <c r="L15" s="1307"/>
      <c r="M15" s="1307"/>
      <c r="N15" s="1307"/>
      <c r="O15" s="1467"/>
      <c r="P15" s="1468"/>
    </row>
    <row r="16" spans="1:16">
      <c r="A16" s="1469">
        <v>221</v>
      </c>
      <c r="B16" s="620" t="s">
        <v>366</v>
      </c>
      <c r="C16" s="620" t="s">
        <v>351</v>
      </c>
      <c r="D16" s="620">
        <v>50</v>
      </c>
      <c r="E16" s="620">
        <v>425</v>
      </c>
      <c r="F16" s="620">
        <v>475</v>
      </c>
      <c r="G16" s="1454">
        <f>F16-E16</f>
        <v>50</v>
      </c>
      <c r="H16" s="1454">
        <f t="shared" si="0"/>
        <v>50</v>
      </c>
      <c r="I16" s="1455">
        <f t="shared" si="1"/>
        <v>358.9</v>
      </c>
      <c r="J16" s="1455">
        <f t="shared" si="2"/>
        <v>1.96</v>
      </c>
      <c r="K16" s="1375"/>
      <c r="L16" s="1375"/>
      <c r="M16" s="1375"/>
      <c r="N16" s="1375"/>
      <c r="O16" s="1457">
        <f>SUM(J16:J17)+SUM(I16:I17)</f>
        <v>373.34999999999997</v>
      </c>
      <c r="P16" s="1458">
        <v>373.35</v>
      </c>
    </row>
    <row r="17" spans="1:16" ht="15.75" thickBot="1">
      <c r="A17" s="1464"/>
      <c r="B17" s="57"/>
      <c r="C17" s="57" t="s">
        <v>263</v>
      </c>
      <c r="D17" s="57">
        <v>1.73</v>
      </c>
      <c r="E17" s="57"/>
      <c r="F17" s="57"/>
      <c r="G17" s="1465">
        <f>ROUND(G16*0.0346,2)</f>
        <v>1.73</v>
      </c>
      <c r="H17" s="1465">
        <f t="shared" si="0"/>
        <v>1.73</v>
      </c>
      <c r="I17" s="1466">
        <f t="shared" si="1"/>
        <v>12.42</v>
      </c>
      <c r="J17" s="1466">
        <f t="shared" si="2"/>
        <v>7.0000000000000007E-2</v>
      </c>
      <c r="K17" s="1307"/>
      <c r="L17" s="1307"/>
      <c r="M17" s="1307"/>
      <c r="N17" s="1307"/>
      <c r="O17" s="1467"/>
      <c r="P17" s="1468"/>
    </row>
    <row r="18" spans="1:16">
      <c r="A18" s="1469">
        <v>500</v>
      </c>
      <c r="B18" s="620" t="s">
        <v>367</v>
      </c>
      <c r="C18" s="620" t="s">
        <v>351</v>
      </c>
      <c r="D18" s="620">
        <v>2783.39</v>
      </c>
      <c r="E18" s="620">
        <v>95868.74</v>
      </c>
      <c r="F18" s="620">
        <v>98462.53</v>
      </c>
      <c r="G18" s="1454">
        <f>F18-E18</f>
        <v>2593.7899999999936</v>
      </c>
      <c r="H18" s="1454">
        <f t="shared" si="0"/>
        <v>2593.7899999999936</v>
      </c>
      <c r="I18" s="1455">
        <f t="shared" si="1"/>
        <v>18618.22</v>
      </c>
      <c r="J18" s="1455">
        <f t="shared" si="2"/>
        <v>108.83</v>
      </c>
      <c r="K18" s="1375"/>
      <c r="L18" s="1375"/>
      <c r="M18" s="1375"/>
      <c r="N18" s="1375"/>
      <c r="O18" s="1457">
        <f>SUM(J18:J19)+SUM(I18:I19)</f>
        <v>19375.05</v>
      </c>
      <c r="P18" s="1458">
        <v>19375.05</v>
      </c>
    </row>
    <row r="19" spans="1:16" ht="15.75" thickBot="1">
      <c r="A19" s="1464"/>
      <c r="B19" s="57"/>
      <c r="C19" s="57" t="s">
        <v>263</v>
      </c>
      <c r="D19" s="57">
        <v>96.31</v>
      </c>
      <c r="E19" s="57"/>
      <c r="F19" s="57"/>
      <c r="G19" s="1465">
        <f>ROUND(G18*0.0346,2)</f>
        <v>89.75</v>
      </c>
      <c r="H19" s="1465">
        <f t="shared" si="0"/>
        <v>89.75</v>
      </c>
      <c r="I19" s="1466">
        <f t="shared" si="1"/>
        <v>644.23</v>
      </c>
      <c r="J19" s="1466">
        <f t="shared" si="2"/>
        <v>3.77</v>
      </c>
      <c r="K19" s="1307"/>
      <c r="L19" s="1307"/>
      <c r="M19" s="1307"/>
      <c r="N19" s="1307"/>
      <c r="O19" s="1467"/>
      <c r="P19" s="1468"/>
    </row>
    <row r="20" spans="1:16">
      <c r="A20" s="1469">
        <v>501</v>
      </c>
      <c r="B20" s="620" t="s">
        <v>300</v>
      </c>
      <c r="C20" s="620" t="s">
        <v>351</v>
      </c>
      <c r="D20" s="620">
        <v>2675.48</v>
      </c>
      <c r="E20" s="620">
        <v>49952.63</v>
      </c>
      <c r="F20" s="620">
        <v>52345.46</v>
      </c>
      <c r="G20" s="1454">
        <f>F20-E20</f>
        <v>2392.8300000000017</v>
      </c>
      <c r="H20" s="1454">
        <f t="shared" si="0"/>
        <v>2392.8300000000017</v>
      </c>
      <c r="I20" s="1455">
        <f t="shared" si="1"/>
        <v>17175.73</v>
      </c>
      <c r="J20" s="1455">
        <f t="shared" si="2"/>
        <v>104.61</v>
      </c>
      <c r="K20" s="1375"/>
      <c r="L20" s="1375"/>
      <c r="M20" s="1375"/>
      <c r="N20" s="1375"/>
      <c r="O20" s="1457">
        <f>SUM(J20:J21)+SUM(I20:I21)</f>
        <v>17878.23</v>
      </c>
      <c r="P20" s="1458">
        <v>17878.23</v>
      </c>
    </row>
    <row r="21" spans="1:16" ht="15.75" thickBot="1">
      <c r="A21" s="1464"/>
      <c r="B21" s="57"/>
      <c r="C21" s="57" t="s">
        <v>263</v>
      </c>
      <c r="D21" s="57">
        <v>92.57</v>
      </c>
      <c r="E21" s="57"/>
      <c r="F21" s="57"/>
      <c r="G21" s="1465">
        <f>ROUND(G20*0.0346,2)</f>
        <v>82.79</v>
      </c>
      <c r="H21" s="1465">
        <f t="shared" si="0"/>
        <v>82.79</v>
      </c>
      <c r="I21" s="1466">
        <f t="shared" si="1"/>
        <v>594.27</v>
      </c>
      <c r="J21" s="1466">
        <f t="shared" si="2"/>
        <v>3.62</v>
      </c>
      <c r="K21" s="1307"/>
      <c r="L21" s="1307"/>
      <c r="M21" s="1307"/>
      <c r="N21" s="1307"/>
      <c r="O21" s="1467"/>
      <c r="P21" s="1468"/>
    </row>
    <row r="23" spans="1:16">
      <c r="A23" s="1445" t="s">
        <v>368</v>
      </c>
      <c r="C23" t="s">
        <v>15</v>
      </c>
      <c r="D23" t="s">
        <v>347</v>
      </c>
      <c r="E23" t="s">
        <v>348</v>
      </c>
      <c r="F23" s="1509" t="s">
        <v>349</v>
      </c>
    </row>
    <row r="24" spans="1:16">
      <c r="C24" t="s">
        <v>243</v>
      </c>
      <c r="D24">
        <v>41.244</v>
      </c>
      <c r="E24">
        <v>41.244</v>
      </c>
      <c r="F24" s="1509">
        <v>42.768000000000001</v>
      </c>
    </row>
    <row r="25" spans="1:16">
      <c r="C25" t="s">
        <v>33</v>
      </c>
      <c r="D25">
        <v>106.5</v>
      </c>
      <c r="E25">
        <v>106.5</v>
      </c>
      <c r="F25" s="1509">
        <v>106.5</v>
      </c>
    </row>
    <row r="26" spans="1:16">
      <c r="C26" t="s">
        <v>350</v>
      </c>
      <c r="D26">
        <v>48.335999999999999</v>
      </c>
      <c r="E26">
        <v>48.335999999999999</v>
      </c>
      <c r="F26" s="1509">
        <v>50.124000000000002</v>
      </c>
    </row>
    <row r="27" spans="1:16" ht="15.75" thickBot="1">
      <c r="C27" t="s">
        <v>351</v>
      </c>
      <c r="D27">
        <v>7.1388999999999996</v>
      </c>
      <c r="E27">
        <v>7.1779999999999999</v>
      </c>
      <c r="F27" s="1509">
        <v>7.5038999999999998</v>
      </c>
    </row>
    <row r="28" spans="1:16" ht="15" customHeight="1">
      <c r="A28" s="1577" t="s">
        <v>1</v>
      </c>
      <c r="B28" s="1579" t="s">
        <v>352</v>
      </c>
      <c r="C28" s="1581" t="s">
        <v>353</v>
      </c>
      <c r="D28" s="1581" t="s">
        <v>354</v>
      </c>
      <c r="E28" s="1579" t="s">
        <v>355</v>
      </c>
      <c r="F28" s="1579"/>
      <c r="G28" s="1579"/>
      <c r="H28" s="1496"/>
      <c r="I28" s="1583" t="s">
        <v>356</v>
      </c>
      <c r="J28" s="1585" t="s">
        <v>357</v>
      </c>
      <c r="K28" s="1587" t="s">
        <v>358</v>
      </c>
      <c r="L28" s="1587"/>
      <c r="M28" s="1587"/>
      <c r="N28" s="1587"/>
      <c r="O28" s="1588" t="s">
        <v>359</v>
      </c>
      <c r="P28" s="1590" t="s">
        <v>360</v>
      </c>
    </row>
    <row r="29" spans="1:16" ht="45" customHeight="1" thickBot="1">
      <c r="A29" s="1578"/>
      <c r="B29" s="1580"/>
      <c r="C29" s="1582"/>
      <c r="D29" s="1582"/>
      <c r="E29" s="1450" t="s">
        <v>361</v>
      </c>
      <c r="F29" s="1450" t="s">
        <v>362</v>
      </c>
      <c r="G29" s="1451" t="s">
        <v>11</v>
      </c>
      <c r="H29" s="1451" t="s">
        <v>466</v>
      </c>
      <c r="I29" s="1584"/>
      <c r="J29" s="1586"/>
      <c r="K29" s="1307" t="s">
        <v>11</v>
      </c>
      <c r="L29" s="1307" t="s">
        <v>15</v>
      </c>
      <c r="M29" s="1307" t="s">
        <v>14</v>
      </c>
      <c r="N29" s="1307" t="s">
        <v>363</v>
      </c>
      <c r="O29" s="1589"/>
      <c r="P29" s="1591"/>
    </row>
    <row r="30" spans="1:16">
      <c r="A30" s="1452" t="s">
        <v>241</v>
      </c>
      <c r="B30" s="620" t="s">
        <v>242</v>
      </c>
      <c r="C30" s="620" t="s">
        <v>243</v>
      </c>
      <c r="D30" s="620">
        <v>1.3</v>
      </c>
      <c r="E30" s="1453">
        <v>68</v>
      </c>
      <c r="F30" s="1453">
        <v>69.3</v>
      </c>
      <c r="G30" s="1454">
        <f>F30-E30</f>
        <v>1.2999999999999972</v>
      </c>
      <c r="H30" s="1454">
        <f>G30</f>
        <v>1.2999999999999972</v>
      </c>
      <c r="I30" s="1470">
        <f>ROUND(G30*($E$24+$E$26),2)</f>
        <v>116.45</v>
      </c>
      <c r="J30" s="1470">
        <f>ROUND(D30*(($E$24+$E$26)-($D$24+$D$26)),2)</f>
        <v>0</v>
      </c>
      <c r="K30" s="1375"/>
      <c r="L30" s="1375"/>
      <c r="M30" s="1375"/>
      <c r="N30" s="1375"/>
      <c r="O30" s="1457">
        <f>SUM(J30:J32)+SUM(I30:I32)+SUM(M30:M32)</f>
        <v>9694.7400000000016</v>
      </c>
      <c r="P30" s="1458">
        <v>9694.74</v>
      </c>
    </row>
    <row r="31" spans="1:16">
      <c r="A31" s="1459"/>
      <c r="B31" s="298"/>
      <c r="C31" s="298" t="s">
        <v>351</v>
      </c>
      <c r="D31" s="298">
        <v>1463.2</v>
      </c>
      <c r="E31" s="298">
        <v>8872.2999999999993</v>
      </c>
      <c r="F31" s="298">
        <v>10184.6</v>
      </c>
      <c r="G31" s="1460">
        <f>F31-E31</f>
        <v>1312.3000000000011</v>
      </c>
      <c r="H31" s="1460">
        <f>G31</f>
        <v>1312.3000000000011</v>
      </c>
      <c r="I31" s="1471">
        <f>ROUND(G31*$E$27,2)</f>
        <v>9419.69</v>
      </c>
      <c r="J31" s="1471">
        <f>ROUND(D31*($E$27-$D$27),2)</f>
        <v>57.21</v>
      </c>
      <c r="K31" s="1377"/>
      <c r="L31" s="1377"/>
      <c r="M31" s="1377"/>
      <c r="N31" s="1377"/>
      <c r="O31" s="1462"/>
      <c r="P31" s="1463"/>
    </row>
    <row r="32" spans="1:16" ht="15.75" thickBot="1">
      <c r="A32" s="1472"/>
      <c r="B32" s="774"/>
      <c r="C32" s="774" t="s">
        <v>263</v>
      </c>
      <c r="D32" s="774">
        <v>15.66</v>
      </c>
      <c r="E32" s="774"/>
      <c r="F32" s="774"/>
      <c r="G32" s="1473">
        <f>ROUND(G31*0.0107,2)</f>
        <v>14.04</v>
      </c>
      <c r="H32" s="1473">
        <f>G32</f>
        <v>14.04</v>
      </c>
      <c r="I32" s="1474">
        <f>ROUND(G32*$E$27,2)</f>
        <v>100.78</v>
      </c>
      <c r="J32" s="1474">
        <f>ROUND(D32*($E$27-$D$27),2)</f>
        <v>0.61</v>
      </c>
      <c r="K32" s="1384"/>
      <c r="L32" s="1384"/>
      <c r="M32" s="1384"/>
      <c r="N32" s="1384"/>
      <c r="O32" s="1475"/>
      <c r="P32" s="1476"/>
    </row>
    <row r="33" spans="1:16">
      <c r="A33" s="1452" t="s">
        <v>309</v>
      </c>
      <c r="B33" s="620" t="s">
        <v>310</v>
      </c>
      <c r="C33" s="620" t="s">
        <v>369</v>
      </c>
      <c r="D33" s="620">
        <v>29.670999999999999</v>
      </c>
      <c r="E33" s="1453">
        <v>1455.4010000000001</v>
      </c>
      <c r="F33" s="1453">
        <v>1490.6420000000001</v>
      </c>
      <c r="G33" s="1454">
        <f>F33-E33</f>
        <v>35.240999999999985</v>
      </c>
      <c r="H33" s="1454">
        <f>G33+G34</f>
        <v>87.322000000000116</v>
      </c>
      <c r="I33" s="1470">
        <f>ROUND(G33*($E$24+$E$26),2)</f>
        <v>3156.89</v>
      </c>
      <c r="J33" s="1470">
        <f>ROUND(D33*(($E$24+$E$26)-($D$24+$D$26)),2)</f>
        <v>0</v>
      </c>
      <c r="K33" s="1375">
        <v>61.12</v>
      </c>
      <c r="L33" s="1375">
        <f>113.45/281.11</f>
        <v>0.40357867027142397</v>
      </c>
      <c r="M33" s="1375">
        <f>ROUND(K33*L33,2)</f>
        <v>24.67</v>
      </c>
      <c r="N33" s="1456">
        <v>43556</v>
      </c>
      <c r="O33" s="1457">
        <f>SUM(J33:J36)+SUM(I33:I36)+SUM(M33:M36)</f>
        <v>51540.51</v>
      </c>
      <c r="P33" s="1458">
        <v>51540.51</v>
      </c>
    </row>
    <row r="34" spans="1:16">
      <c r="A34" s="1477"/>
      <c r="B34" s="670"/>
      <c r="C34" s="670" t="s">
        <v>370</v>
      </c>
      <c r="D34" s="670">
        <v>45.029000000000003</v>
      </c>
      <c r="E34" s="1478">
        <v>6322.509</v>
      </c>
      <c r="F34" s="1478">
        <v>6374.59</v>
      </c>
      <c r="G34" s="1460">
        <f>F34-E34</f>
        <v>52.081000000000131</v>
      </c>
      <c r="H34" s="1460"/>
      <c r="I34" s="1471">
        <f>ROUND(G34*($E$24+$E$26),2)</f>
        <v>4665.42</v>
      </c>
      <c r="J34" s="1471">
        <f>ROUND(D34*(($E$24+$E$26)-($D$24+$D$26)),2)</f>
        <v>0</v>
      </c>
      <c r="K34" s="1405">
        <v>61.12</v>
      </c>
      <c r="L34" s="1405">
        <f>22071.5/281.11</f>
        <v>78.51552772935861</v>
      </c>
      <c r="M34" s="1377">
        <f t="shared" ref="M34:M35" si="5">ROUND(K34*L34,2)</f>
        <v>4798.87</v>
      </c>
      <c r="N34" s="1404">
        <v>43556</v>
      </c>
      <c r="O34" s="1479"/>
      <c r="P34" s="1480"/>
    </row>
    <row r="35" spans="1:16">
      <c r="A35" s="1459"/>
      <c r="B35" s="298"/>
      <c r="C35" s="298" t="s">
        <v>351</v>
      </c>
      <c r="D35" s="298">
        <v>6651</v>
      </c>
      <c r="E35" s="298">
        <v>342763</v>
      </c>
      <c r="F35" s="298">
        <v>347640</v>
      </c>
      <c r="G35" s="1460">
        <f>F35-E35</f>
        <v>4877</v>
      </c>
      <c r="H35" s="1460">
        <f>G35</f>
        <v>4877</v>
      </c>
      <c r="I35" s="1471">
        <f>ROUND(G35*$E$27,2)</f>
        <v>35007.11</v>
      </c>
      <c r="J35" s="1471">
        <f>ROUND(D35*($E$27-$D$27),2)</f>
        <v>260.05</v>
      </c>
      <c r="K35" s="1377">
        <v>67.5</v>
      </c>
      <c r="L35" s="1377">
        <f>18018/374.2</f>
        <v>48.150721539283808</v>
      </c>
      <c r="M35" s="1377">
        <f t="shared" si="5"/>
        <v>3250.17</v>
      </c>
      <c r="N35" s="1481">
        <v>43586</v>
      </c>
      <c r="O35" s="1462"/>
      <c r="P35" s="1463"/>
    </row>
    <row r="36" spans="1:16" ht="15.75" thickBot="1">
      <c r="A36" s="1464"/>
      <c r="B36" s="57"/>
      <c r="C36" s="57" t="s">
        <v>263</v>
      </c>
      <c r="D36" s="57">
        <v>71.17</v>
      </c>
      <c r="E36" s="57"/>
      <c r="F36" s="57"/>
      <c r="G36" s="1451">
        <f>ROUND(G35*0.0107,2)</f>
        <v>52.18</v>
      </c>
      <c r="H36" s="1451">
        <f>G36</f>
        <v>52.18</v>
      </c>
      <c r="I36" s="1482">
        <f>ROUND(G36*$E$27,2)</f>
        <v>374.55</v>
      </c>
      <c r="J36" s="1482">
        <f>ROUND(D36*($E$27-$D$27),2)</f>
        <v>2.78</v>
      </c>
      <c r="K36" s="1307"/>
      <c r="L36" s="1307"/>
      <c r="M36" s="1307"/>
      <c r="N36" s="1307"/>
      <c r="O36" s="1467"/>
      <c r="P36" s="1468"/>
    </row>
    <row r="37" spans="1:16">
      <c r="A37" s="1452" t="s">
        <v>371</v>
      </c>
      <c r="B37" s="1483" t="s">
        <v>312</v>
      </c>
      <c r="C37" s="620" t="s">
        <v>243</v>
      </c>
      <c r="D37" s="620">
        <v>16.376999999999999</v>
      </c>
      <c r="E37" s="1453">
        <v>53.564</v>
      </c>
      <c r="F37" s="1453">
        <v>65.132999999999996</v>
      </c>
      <c r="G37" s="1454">
        <f>F37-E37</f>
        <v>11.568999999999996</v>
      </c>
      <c r="H37" s="1454">
        <f>G37</f>
        <v>11.568999999999996</v>
      </c>
      <c r="I37" s="1470">
        <f>ROUND(G37*(F24+F26),2)</f>
        <v>1074.67</v>
      </c>
      <c r="J37" s="1470"/>
      <c r="K37" s="1375"/>
      <c r="L37" s="1375"/>
      <c r="M37" s="1375"/>
      <c r="N37" s="1456"/>
      <c r="O37" s="1498">
        <f>SUM(J37:J41)+SUM(I37:I41)+SUM(M37:M41)</f>
        <v>39847.240000000013</v>
      </c>
      <c r="P37" s="1458">
        <v>39847.24</v>
      </c>
    </row>
    <row r="38" spans="1:16">
      <c r="A38" s="1459"/>
      <c r="B38" s="298"/>
      <c r="C38" s="298" t="s">
        <v>372</v>
      </c>
      <c r="D38" s="298">
        <v>5600</v>
      </c>
      <c r="E38" s="298">
        <v>65665</v>
      </c>
      <c r="F38" s="298">
        <v>65788</v>
      </c>
      <c r="G38" s="1460">
        <f>(F38-E38)*40</f>
        <v>4920</v>
      </c>
      <c r="H38" s="1460">
        <f>G38+G39+G40</f>
        <v>5112.2999999999993</v>
      </c>
      <c r="I38" s="1471">
        <f>ROUND(G38*$F$27,2)-0.02</f>
        <v>36919.170000000006</v>
      </c>
      <c r="J38" s="1471"/>
      <c r="K38" s="1377"/>
      <c r="L38" s="1377"/>
      <c r="M38" s="1377"/>
      <c r="N38" s="1481"/>
      <c r="O38" s="1462"/>
      <c r="P38" s="1463"/>
    </row>
    <row r="39" spans="1:16">
      <c r="A39" s="1459"/>
      <c r="B39" s="298"/>
      <c r="C39" s="298" t="s">
        <v>373</v>
      </c>
      <c r="D39" s="298">
        <v>67.3</v>
      </c>
      <c r="E39" s="298">
        <v>200.7</v>
      </c>
      <c r="F39" s="298">
        <v>265.60000000000002</v>
      </c>
      <c r="G39" s="1460">
        <f>F39-E39</f>
        <v>64.900000000000034</v>
      </c>
      <c r="H39" s="1460"/>
      <c r="I39" s="1471">
        <f>ROUND(G39*$F$27,2)-0.02</f>
        <v>486.98</v>
      </c>
      <c r="J39" s="1471"/>
      <c r="K39" s="1377"/>
      <c r="L39" s="1377"/>
      <c r="M39" s="1377"/>
      <c r="N39" s="1481"/>
      <c r="O39" s="1462"/>
      <c r="P39" s="1463"/>
    </row>
    <row r="40" spans="1:16">
      <c r="A40" s="1459"/>
      <c r="B40" s="298"/>
      <c r="C40" s="298" t="s">
        <v>374</v>
      </c>
      <c r="D40" s="298">
        <v>132.19999999999999</v>
      </c>
      <c r="E40" s="298">
        <v>537.70000000000005</v>
      </c>
      <c r="F40" s="298">
        <v>665.1</v>
      </c>
      <c r="G40" s="1460">
        <f>F40-E40</f>
        <v>127.39999999999998</v>
      </c>
      <c r="H40" s="1460"/>
      <c r="I40" s="1471">
        <f>ROUND(G40*$F$27,2)-0.02</f>
        <v>955.98</v>
      </c>
      <c r="J40" s="1471"/>
      <c r="K40" s="1377"/>
      <c r="L40" s="1377"/>
      <c r="M40" s="1377"/>
      <c r="N40" s="1481"/>
      <c r="O40" s="1462"/>
      <c r="P40" s="1463"/>
    </row>
    <row r="41" spans="1:16" ht="15.75" thickBot="1">
      <c r="A41" s="1464"/>
      <c r="B41" s="57"/>
      <c r="C41" s="57" t="s">
        <v>263</v>
      </c>
      <c r="D41" s="57">
        <v>62.05</v>
      </c>
      <c r="E41" s="57"/>
      <c r="F41" s="57"/>
      <c r="G41" s="1451">
        <f>ROUND((G38+G39+G40)*0.0107,2)</f>
        <v>54.7</v>
      </c>
      <c r="H41" s="1451"/>
      <c r="I41" s="1482">
        <f>ROUND(G41*$F$27,2)-0.02</f>
        <v>410.44</v>
      </c>
      <c r="J41" s="1482"/>
      <c r="K41" s="1307"/>
      <c r="L41" s="1307"/>
      <c r="M41" s="1307"/>
      <c r="N41" s="1307"/>
      <c r="O41" s="1467"/>
      <c r="P41" s="1468"/>
    </row>
    <row r="42" spans="1:16">
      <c r="A42" s="1469">
        <v>111</v>
      </c>
      <c r="B42" s="620" t="s">
        <v>375</v>
      </c>
      <c r="C42" s="620" t="s">
        <v>351</v>
      </c>
      <c r="D42" s="620">
        <v>623</v>
      </c>
      <c r="E42" s="620">
        <v>30947.4</v>
      </c>
      <c r="F42" s="620">
        <v>31504.9</v>
      </c>
      <c r="G42" s="1454">
        <f>F42-E42</f>
        <v>557.5</v>
      </c>
      <c r="H42" s="1454">
        <f t="shared" ref="H42:H73" si="6">G42</f>
        <v>557.5</v>
      </c>
      <c r="I42" s="1470">
        <f>ROUND(G42*$E$27,2)</f>
        <v>4001.74</v>
      </c>
      <c r="J42" s="1470">
        <f>ROUND(D42*($E$27-$D$27),2)</f>
        <v>24.36</v>
      </c>
      <c r="K42" s="1375"/>
      <c r="L42" s="1375"/>
      <c r="M42" s="1375"/>
      <c r="N42" s="1375"/>
      <c r="O42" s="1457">
        <f>SUM(J42:J43)+SUM(I42:I43)</f>
        <v>4069.2099999999996</v>
      </c>
      <c r="P42" s="1458">
        <v>4069.21</v>
      </c>
    </row>
    <row r="43" spans="1:16" ht="15.75" thickBot="1">
      <c r="A43" s="1464"/>
      <c r="B43" s="57"/>
      <c r="C43" s="57" t="s">
        <v>263</v>
      </c>
      <c r="D43" s="57">
        <v>6.67</v>
      </c>
      <c r="E43" s="57"/>
      <c r="F43" s="57"/>
      <c r="G43" s="1465">
        <f>ROUND(G42*0.0107,2)</f>
        <v>5.97</v>
      </c>
      <c r="H43" s="1465">
        <f t="shared" si="6"/>
        <v>5.97</v>
      </c>
      <c r="I43" s="1482">
        <f>ROUND(G43*$E$27,2)</f>
        <v>42.85</v>
      </c>
      <c r="J43" s="1482">
        <f>ROUND(D43*($E$27-$D$27),2)</f>
        <v>0.26</v>
      </c>
      <c r="K43" s="1307"/>
      <c r="L43" s="1307"/>
      <c r="M43" s="1307"/>
      <c r="N43" s="1307"/>
      <c r="O43" s="1467"/>
      <c r="P43" s="1468"/>
    </row>
    <row r="44" spans="1:16">
      <c r="A44" s="1452" t="s">
        <v>376</v>
      </c>
      <c r="B44" s="620" t="s">
        <v>377</v>
      </c>
      <c r="C44" s="620" t="s">
        <v>243</v>
      </c>
      <c r="D44" s="620">
        <v>0.3</v>
      </c>
      <c r="E44" s="1453">
        <v>1.8</v>
      </c>
      <c r="F44" s="1453">
        <v>2.1</v>
      </c>
      <c r="G44" s="1454">
        <f>F44-E44</f>
        <v>0.30000000000000004</v>
      </c>
      <c r="H44" s="1454">
        <f t="shared" si="6"/>
        <v>0.30000000000000004</v>
      </c>
      <c r="I44" s="1470">
        <f>ROUND(G44*($E$24+$E$26),2)</f>
        <v>26.87</v>
      </c>
      <c r="J44" s="1470">
        <f>ROUND(D44*(($E$24+$E$26)-($D$24+$D$26)),2)</f>
        <v>0</v>
      </c>
      <c r="K44" s="1375"/>
      <c r="L44" s="1375"/>
      <c r="M44" s="1375"/>
      <c r="N44" s="1375"/>
      <c r="O44" s="1457">
        <f>SUM(J44:J46)+SUM(I44:I46)+SUM(M44:M46)</f>
        <v>752.24</v>
      </c>
      <c r="P44" s="1458">
        <v>752.24</v>
      </c>
    </row>
    <row r="45" spans="1:16">
      <c r="A45" s="1459"/>
      <c r="B45" s="298"/>
      <c r="C45" s="298" t="s">
        <v>351</v>
      </c>
      <c r="D45" s="298">
        <v>126</v>
      </c>
      <c r="E45" s="298">
        <v>1203.8</v>
      </c>
      <c r="F45" s="298">
        <v>1303.0999999999999</v>
      </c>
      <c r="G45" s="1460">
        <f>F45-E45</f>
        <v>99.299999999999955</v>
      </c>
      <c r="H45" s="1460">
        <f t="shared" si="6"/>
        <v>99.299999999999955</v>
      </c>
      <c r="I45" s="1471">
        <f t="shared" ref="I45:I52" si="7">ROUND(G45*$E$27,2)</f>
        <v>712.78</v>
      </c>
      <c r="J45" s="1471">
        <f t="shared" ref="J45:J52" si="8">ROUND(D45*($E$27-$D$27),2)</f>
        <v>4.93</v>
      </c>
      <c r="K45" s="1377"/>
      <c r="L45" s="1377"/>
      <c r="M45" s="1377"/>
      <c r="N45" s="1377"/>
      <c r="O45" s="1462"/>
      <c r="P45" s="1463"/>
    </row>
    <row r="46" spans="1:16" ht="15.75" thickBot="1">
      <c r="A46" s="1472"/>
      <c r="B46" s="774"/>
      <c r="C46" s="774" t="s">
        <v>263</v>
      </c>
      <c r="D46" s="774">
        <v>1.35</v>
      </c>
      <c r="E46" s="774"/>
      <c r="F46" s="774"/>
      <c r="G46" s="1473">
        <f>ROUND(G45*0.0107,2)</f>
        <v>1.06</v>
      </c>
      <c r="H46" s="1473">
        <f t="shared" si="6"/>
        <v>1.06</v>
      </c>
      <c r="I46" s="1474">
        <f t="shared" si="7"/>
        <v>7.61</v>
      </c>
      <c r="J46" s="1474">
        <f t="shared" si="8"/>
        <v>0.05</v>
      </c>
      <c r="K46" s="1384"/>
      <c r="L46" s="1384"/>
      <c r="M46" s="1384"/>
      <c r="N46" s="1384"/>
      <c r="O46" s="1475"/>
      <c r="P46" s="1476"/>
    </row>
    <row r="47" spans="1:16">
      <c r="A47" s="1469">
        <v>202</v>
      </c>
      <c r="B47" s="620" t="s">
        <v>159</v>
      </c>
      <c r="C47" s="620" t="s">
        <v>351</v>
      </c>
      <c r="D47" s="620">
        <v>135.19999999999999</v>
      </c>
      <c r="E47" s="620">
        <v>2813.7</v>
      </c>
      <c r="F47" s="620">
        <v>2942.7</v>
      </c>
      <c r="G47" s="1454">
        <f>F47-E47</f>
        <v>129</v>
      </c>
      <c r="H47" s="1454">
        <f t="shared" si="6"/>
        <v>129</v>
      </c>
      <c r="I47" s="1470">
        <f t="shared" si="7"/>
        <v>925.96</v>
      </c>
      <c r="J47" s="1470">
        <f t="shared" si="8"/>
        <v>5.29</v>
      </c>
      <c r="K47" s="1375"/>
      <c r="L47" s="1375"/>
      <c r="M47" s="1375"/>
      <c r="N47" s="1375"/>
      <c r="O47" s="1457">
        <f>SUM(J47:J48)+SUM(I47:I48)</f>
        <v>941.22</v>
      </c>
      <c r="P47" s="1458">
        <v>941.22</v>
      </c>
    </row>
    <row r="48" spans="1:16" ht="15.75" thickBot="1">
      <c r="A48" s="1464"/>
      <c r="B48" s="57"/>
      <c r="C48" s="57" t="s">
        <v>263</v>
      </c>
      <c r="D48" s="57">
        <v>1.45</v>
      </c>
      <c r="E48" s="57"/>
      <c r="F48" s="57"/>
      <c r="G48" s="1465">
        <f>ROUND(G47*0.0107,2)</f>
        <v>1.38</v>
      </c>
      <c r="H48" s="1465">
        <f t="shared" si="6"/>
        <v>1.38</v>
      </c>
      <c r="I48" s="1482">
        <f t="shared" si="7"/>
        <v>9.91</v>
      </c>
      <c r="J48" s="1482">
        <f t="shared" si="8"/>
        <v>0.06</v>
      </c>
      <c r="K48" s="1307"/>
      <c r="L48" s="1307"/>
      <c r="M48" s="1307"/>
      <c r="N48" s="1307"/>
      <c r="O48" s="1467"/>
      <c r="P48" s="1468"/>
    </row>
    <row r="49" spans="1:16">
      <c r="A49" s="1469">
        <v>204</v>
      </c>
      <c r="B49" s="620" t="s">
        <v>289</v>
      </c>
      <c r="C49" s="620" t="s">
        <v>351</v>
      </c>
      <c r="D49" s="620">
        <v>121.2</v>
      </c>
      <c r="E49" s="620">
        <v>3287.6</v>
      </c>
      <c r="F49" s="620">
        <v>3405.2</v>
      </c>
      <c r="G49" s="1454">
        <f>F49-E49</f>
        <v>117.59999999999991</v>
      </c>
      <c r="H49" s="1454">
        <f t="shared" si="6"/>
        <v>117.59999999999991</v>
      </c>
      <c r="I49" s="1470">
        <f t="shared" si="7"/>
        <v>844.13</v>
      </c>
      <c r="J49" s="1470">
        <f t="shared" si="8"/>
        <v>4.74</v>
      </c>
      <c r="K49" s="1375"/>
      <c r="L49" s="1375"/>
      <c r="M49" s="1375"/>
      <c r="N49" s="1375"/>
      <c r="O49" s="1457">
        <f>SUM(J49:J50)+SUM(I49:I50)</f>
        <v>857.95999999999992</v>
      </c>
      <c r="P49" s="1458">
        <v>857.96</v>
      </c>
    </row>
    <row r="50" spans="1:16" ht="15.75" thickBot="1">
      <c r="A50" s="1464"/>
      <c r="B50" s="57"/>
      <c r="C50" s="57" t="s">
        <v>263</v>
      </c>
      <c r="D50" s="57">
        <v>1.3</v>
      </c>
      <c r="E50" s="57"/>
      <c r="F50" s="57"/>
      <c r="G50" s="1465">
        <f>ROUND(G49*0.0107,2)</f>
        <v>1.26</v>
      </c>
      <c r="H50" s="1465">
        <f t="shared" si="6"/>
        <v>1.26</v>
      </c>
      <c r="I50" s="1482">
        <f t="shared" si="7"/>
        <v>9.0399999999999991</v>
      </c>
      <c r="J50" s="1482">
        <f t="shared" si="8"/>
        <v>0.05</v>
      </c>
      <c r="K50" s="1307"/>
      <c r="L50" s="1307"/>
      <c r="M50" s="1307"/>
      <c r="N50" s="1307"/>
      <c r="O50" s="1467"/>
      <c r="P50" s="1468"/>
    </row>
    <row r="51" spans="1:16">
      <c r="A51" s="1469">
        <v>210</v>
      </c>
      <c r="B51" s="620" t="s">
        <v>245</v>
      </c>
      <c r="C51" s="620" t="s">
        <v>351</v>
      </c>
      <c r="D51" s="620">
        <v>270.60000000000002</v>
      </c>
      <c r="E51" s="620">
        <v>3269.8</v>
      </c>
      <c r="F51" s="620">
        <v>3528.1</v>
      </c>
      <c r="G51" s="1454">
        <f>F51-E51</f>
        <v>258.29999999999973</v>
      </c>
      <c r="H51" s="1454">
        <f t="shared" si="6"/>
        <v>258.29999999999973</v>
      </c>
      <c r="I51" s="1470">
        <f t="shared" si="7"/>
        <v>1854.08</v>
      </c>
      <c r="J51" s="1470">
        <f t="shared" si="8"/>
        <v>10.58</v>
      </c>
      <c r="K51" s="1375"/>
      <c r="L51" s="1375"/>
      <c r="M51" s="1375"/>
      <c r="N51" s="1375"/>
      <c r="O51" s="1457">
        <f>SUM(J51:J52)+SUM(I51:I52)</f>
        <v>1884.58</v>
      </c>
      <c r="P51" s="1458">
        <v>1884.58</v>
      </c>
    </row>
    <row r="52" spans="1:16" ht="15.75" thickBot="1">
      <c r="A52" s="1464"/>
      <c r="B52" s="57"/>
      <c r="C52" s="57" t="s">
        <v>263</v>
      </c>
      <c r="D52" s="57">
        <v>2.9</v>
      </c>
      <c r="E52" s="57"/>
      <c r="F52" s="57"/>
      <c r="G52" s="1465">
        <f>ROUND(G51*0.0107,2)</f>
        <v>2.76</v>
      </c>
      <c r="H52" s="1465">
        <f t="shared" si="6"/>
        <v>2.76</v>
      </c>
      <c r="I52" s="1482">
        <f t="shared" si="7"/>
        <v>19.809999999999999</v>
      </c>
      <c r="J52" s="1482">
        <f t="shared" si="8"/>
        <v>0.11</v>
      </c>
      <c r="K52" s="1307"/>
      <c r="L52" s="1307"/>
      <c r="M52" s="1307"/>
      <c r="N52" s="1307"/>
      <c r="O52" s="1467"/>
      <c r="P52" s="1468"/>
    </row>
    <row r="53" spans="1:16">
      <c r="A53" s="1452" t="s">
        <v>378</v>
      </c>
      <c r="B53" s="620" t="s">
        <v>189</v>
      </c>
      <c r="C53" s="620" t="s">
        <v>243</v>
      </c>
      <c r="D53" s="620">
        <v>4.21</v>
      </c>
      <c r="E53" s="1453">
        <v>46.237000000000002</v>
      </c>
      <c r="F53" s="1453">
        <v>49.911999999999999</v>
      </c>
      <c r="G53" s="1454">
        <f>F53-E53</f>
        <v>3.6749999999999972</v>
      </c>
      <c r="H53" s="1454">
        <f t="shared" si="6"/>
        <v>3.6749999999999972</v>
      </c>
      <c r="I53" s="1470">
        <f>ROUND(G53*($E$24+$E$26),2)</f>
        <v>329.21</v>
      </c>
      <c r="J53" s="1470">
        <f>ROUND(D53*(($E$24+$E$26)-($D$24+$D$26)),2)</f>
        <v>0</v>
      </c>
      <c r="K53" s="1375"/>
      <c r="L53" s="1375"/>
      <c r="M53" s="1375"/>
      <c r="N53" s="1456"/>
      <c r="O53" s="1457">
        <f>SUM(J53:J56)+SUM(I53:I56)+SUM(M53:M56)</f>
        <v>3169.41</v>
      </c>
      <c r="P53" s="1458">
        <v>3169.41</v>
      </c>
    </row>
    <row r="54" spans="1:16">
      <c r="A54" s="1477"/>
      <c r="B54" s="670"/>
      <c r="C54" s="1499" t="s">
        <v>33</v>
      </c>
      <c r="D54" s="1499">
        <v>0</v>
      </c>
      <c r="E54" s="1500">
        <v>19.100000000000001</v>
      </c>
      <c r="F54" s="1500">
        <v>19.100000000000001</v>
      </c>
      <c r="G54" s="1501">
        <f>F54-E54</f>
        <v>0</v>
      </c>
      <c r="H54" s="1501">
        <f t="shared" si="6"/>
        <v>0</v>
      </c>
      <c r="I54" s="1502">
        <f>ROUND(G54*($E$25+$E$26),2)</f>
        <v>0</v>
      </c>
      <c r="J54" s="1502">
        <f>ROUND(D54*(($E$25+$E$26)-($D$25+$D$26)),2)</f>
        <v>0</v>
      </c>
      <c r="K54" s="1405"/>
      <c r="L54" s="1405"/>
      <c r="M54" s="1377"/>
      <c r="N54" s="1404"/>
      <c r="O54" s="1479"/>
      <c r="P54" s="1480"/>
    </row>
    <row r="55" spans="1:16">
      <c r="A55" s="1459"/>
      <c r="B55" s="298"/>
      <c r="C55" s="298" t="s">
        <v>351</v>
      </c>
      <c r="D55" s="298">
        <v>91.1</v>
      </c>
      <c r="E55" s="298">
        <v>5974.2</v>
      </c>
      <c r="F55" s="298">
        <v>6365.2</v>
      </c>
      <c r="G55" s="1460">
        <f>F55-E55</f>
        <v>391</v>
      </c>
      <c r="H55" s="1460">
        <f t="shared" si="6"/>
        <v>391</v>
      </c>
      <c r="I55" s="1471">
        <f t="shared" ref="I55:I60" si="9">ROUND(G55*$E$27,2)</f>
        <v>2806.6</v>
      </c>
      <c r="J55" s="1471">
        <f t="shared" ref="J55:J60" si="10">ROUND(D55*($E$27-$D$27),2)</f>
        <v>3.56</v>
      </c>
      <c r="K55" s="1377"/>
      <c r="L55" s="1377"/>
      <c r="M55" s="1377"/>
      <c r="N55" s="1481"/>
      <c r="O55" s="1462"/>
      <c r="P55" s="1463"/>
    </row>
    <row r="56" spans="1:16" ht="15.75" thickBot="1">
      <c r="A56" s="1464"/>
      <c r="B56" s="57"/>
      <c r="C56" s="57" t="s">
        <v>263</v>
      </c>
      <c r="D56" s="57">
        <v>0.97</v>
      </c>
      <c r="E56" s="57"/>
      <c r="F56" s="57"/>
      <c r="G56" s="1451">
        <f>ROUND(G55*0.0107,2)</f>
        <v>4.18</v>
      </c>
      <c r="H56" s="1451">
        <f t="shared" si="6"/>
        <v>4.18</v>
      </c>
      <c r="I56" s="1482">
        <f t="shared" si="9"/>
        <v>30</v>
      </c>
      <c r="J56" s="1482">
        <f t="shared" si="10"/>
        <v>0.04</v>
      </c>
      <c r="K56" s="1307"/>
      <c r="L56" s="1307"/>
      <c r="M56" s="1307"/>
      <c r="N56" s="1307"/>
      <c r="O56" s="1467"/>
      <c r="P56" s="1468"/>
    </row>
    <row r="57" spans="1:16">
      <c r="A57" s="1469">
        <v>217</v>
      </c>
      <c r="B57" s="620" t="s">
        <v>379</v>
      </c>
      <c r="C57" s="620" t="s">
        <v>351</v>
      </c>
      <c r="D57" s="620">
        <v>44.7</v>
      </c>
      <c r="E57" s="620">
        <v>376.2</v>
      </c>
      <c r="F57" s="620">
        <v>409.1</v>
      </c>
      <c r="G57" s="1454">
        <f>F57-E57</f>
        <v>32.900000000000034</v>
      </c>
      <c r="H57" s="1454">
        <f t="shared" si="6"/>
        <v>32.900000000000034</v>
      </c>
      <c r="I57" s="1470">
        <f t="shared" si="9"/>
        <v>236.16</v>
      </c>
      <c r="J57" s="1470">
        <f t="shared" si="10"/>
        <v>1.75</v>
      </c>
      <c r="K57" s="1375"/>
      <c r="L57" s="1375"/>
      <c r="M57" s="1375"/>
      <c r="N57" s="1375"/>
      <c r="O57" s="1457">
        <f>SUM(J57:J58)+SUM(I57:I58)</f>
        <v>240.44</v>
      </c>
      <c r="P57" s="1458">
        <v>240.44</v>
      </c>
    </row>
    <row r="58" spans="1:16" ht="15.75" thickBot="1">
      <c r="A58" s="1464"/>
      <c r="B58" s="57"/>
      <c r="C58" s="57" t="s">
        <v>263</v>
      </c>
      <c r="D58" s="57">
        <v>0.48</v>
      </c>
      <c r="E58" s="57"/>
      <c r="F58" s="57"/>
      <c r="G58" s="1465">
        <f>ROUND(G57*0.0107,2)</f>
        <v>0.35</v>
      </c>
      <c r="H58" s="1465">
        <f t="shared" si="6"/>
        <v>0.35</v>
      </c>
      <c r="I58" s="1482">
        <f t="shared" si="9"/>
        <v>2.5099999999999998</v>
      </c>
      <c r="J58" s="1482">
        <f t="shared" si="10"/>
        <v>0.02</v>
      </c>
      <c r="K58" s="1307"/>
      <c r="L58" s="1307"/>
      <c r="M58" s="1307"/>
      <c r="N58" s="1307"/>
      <c r="O58" s="1467"/>
      <c r="P58" s="1468"/>
    </row>
    <row r="59" spans="1:16">
      <c r="A59" s="1469">
        <v>309</v>
      </c>
      <c r="B59" s="620" t="s">
        <v>251</v>
      </c>
      <c r="C59" s="620" t="s">
        <v>351</v>
      </c>
      <c r="D59" s="620">
        <v>346.1</v>
      </c>
      <c r="E59" s="620">
        <v>8068.7</v>
      </c>
      <c r="F59" s="620">
        <v>8397.7000000000007</v>
      </c>
      <c r="G59" s="1454">
        <f>F59-E59</f>
        <v>329.00000000000091</v>
      </c>
      <c r="H59" s="1454">
        <f t="shared" si="6"/>
        <v>329.00000000000091</v>
      </c>
      <c r="I59" s="1470">
        <f t="shared" si="9"/>
        <v>2361.56</v>
      </c>
      <c r="J59" s="1470">
        <f t="shared" si="10"/>
        <v>13.53</v>
      </c>
      <c r="K59" s="1375"/>
      <c r="L59" s="1375"/>
      <c r="M59" s="1375"/>
      <c r="N59" s="1375"/>
      <c r="O59" s="1457">
        <f>SUM(J59:J60)+SUM(I59:I60)</f>
        <v>2400.5</v>
      </c>
      <c r="P59" s="1458">
        <v>2400.5</v>
      </c>
    </row>
    <row r="60" spans="1:16" ht="15.75" thickBot="1">
      <c r="A60" s="1464"/>
      <c r="B60" s="57"/>
      <c r="C60" s="57" t="s">
        <v>263</v>
      </c>
      <c r="D60" s="57">
        <v>3.7</v>
      </c>
      <c r="E60" s="57"/>
      <c r="F60" s="57"/>
      <c r="G60" s="1465">
        <f>ROUND(G59*0.0107,2)</f>
        <v>3.52</v>
      </c>
      <c r="H60" s="1465">
        <f t="shared" si="6"/>
        <v>3.52</v>
      </c>
      <c r="I60" s="1482">
        <f t="shared" si="9"/>
        <v>25.27</v>
      </c>
      <c r="J60" s="1482">
        <f t="shared" si="10"/>
        <v>0.14000000000000001</v>
      </c>
      <c r="K60" s="1307"/>
      <c r="L60" s="1307"/>
      <c r="M60" s="1307"/>
      <c r="N60" s="1307"/>
      <c r="O60" s="1467"/>
      <c r="P60" s="1468"/>
    </row>
    <row r="61" spans="1:16">
      <c r="A61" s="1452" t="s">
        <v>380</v>
      </c>
      <c r="B61" s="620" t="s">
        <v>381</v>
      </c>
      <c r="C61" s="620" t="s">
        <v>243</v>
      </c>
      <c r="D61" s="620">
        <v>370.375</v>
      </c>
      <c r="E61" s="1453">
        <v>14215.787</v>
      </c>
      <c r="F61" s="1453">
        <v>14560.64</v>
      </c>
      <c r="G61" s="1454">
        <f>F61-E61</f>
        <v>344.85299999999916</v>
      </c>
      <c r="H61" s="1454">
        <f t="shared" si="6"/>
        <v>344.85299999999916</v>
      </c>
      <c r="I61" s="1470">
        <f>ROUND(G61*($E$24+$E$26),2)</f>
        <v>30891.93</v>
      </c>
      <c r="J61" s="1470">
        <f>ROUND(D61*(($E$24+$E$26)-($D$24+$D$26)),2)</f>
        <v>0</v>
      </c>
      <c r="K61" s="1375">
        <v>219.99</v>
      </c>
      <c r="L61" s="1375">
        <f>113.45/281.11</f>
        <v>0.40357867027142397</v>
      </c>
      <c r="M61" s="1375">
        <f>ROUND(K61*L61,2)</f>
        <v>88.78</v>
      </c>
      <c r="N61" s="1456">
        <v>43556</v>
      </c>
      <c r="O61" s="1457">
        <f>SUM(J61:J64)+SUM(I61:I64)+SUM(M61:M64)</f>
        <v>135952.40000000002</v>
      </c>
      <c r="P61" s="1458">
        <v>135952.4</v>
      </c>
    </row>
    <row r="62" spans="1:16">
      <c r="A62" s="1477"/>
      <c r="B62" s="670"/>
      <c r="C62" s="1499" t="s">
        <v>33</v>
      </c>
      <c r="D62" s="1499">
        <v>0</v>
      </c>
      <c r="E62" s="1500">
        <v>2080</v>
      </c>
      <c r="F62" s="1500">
        <v>2080</v>
      </c>
      <c r="G62" s="1501">
        <f>F62-E62</f>
        <v>0</v>
      </c>
      <c r="H62" s="1501">
        <f t="shared" si="6"/>
        <v>0</v>
      </c>
      <c r="I62" s="1502">
        <f>ROUND(G62*($E$25+$E$26),2)</f>
        <v>0</v>
      </c>
      <c r="J62" s="1502">
        <f>ROUND(D62*(($E$25+$E$26)-($D$25+$D$26)),2)</f>
        <v>0</v>
      </c>
      <c r="K62" s="1405">
        <v>219.99</v>
      </c>
      <c r="L62" s="1405">
        <f>22071.5/281.11</f>
        <v>78.51552772935861</v>
      </c>
      <c r="M62" s="1377">
        <f t="shared" ref="M62:M63" si="11">ROUND(K62*L62,2)</f>
        <v>17272.63</v>
      </c>
      <c r="N62" s="1404">
        <v>43556</v>
      </c>
      <c r="O62" s="1479"/>
      <c r="P62" s="1480"/>
    </row>
    <row r="63" spans="1:16">
      <c r="A63" s="1459"/>
      <c r="B63" s="298"/>
      <c r="C63" s="298" t="s">
        <v>351</v>
      </c>
      <c r="D63" s="298">
        <v>11847.6</v>
      </c>
      <c r="E63" s="298">
        <v>229355.8</v>
      </c>
      <c r="F63" s="298">
        <v>239344.1</v>
      </c>
      <c r="G63" s="1460">
        <f>F63-E63</f>
        <v>9988.3000000000175</v>
      </c>
      <c r="H63" s="1460">
        <f t="shared" si="6"/>
        <v>9988.3000000000175</v>
      </c>
      <c r="I63" s="1471">
        <f t="shared" ref="I63:I74" si="12">ROUND(G63*$E$27,2)</f>
        <v>71696.02</v>
      </c>
      <c r="J63" s="1471">
        <f t="shared" ref="J63:J74" si="13">ROUND(D63*($E$27-$D$27),2)</f>
        <v>463.24</v>
      </c>
      <c r="K63" s="1377">
        <v>306.69799999999998</v>
      </c>
      <c r="L63" s="1377">
        <f>18018/374.2</f>
        <v>48.150721539283808</v>
      </c>
      <c r="M63" s="1377">
        <f t="shared" si="11"/>
        <v>14767.73</v>
      </c>
      <c r="N63" s="1481">
        <v>43586</v>
      </c>
      <c r="O63" s="1462"/>
      <c r="P63" s="1463"/>
    </row>
    <row r="64" spans="1:16" ht="15.75" thickBot="1">
      <c r="A64" s="1464"/>
      <c r="B64" s="57"/>
      <c r="C64" s="57" t="s">
        <v>263</v>
      </c>
      <c r="D64" s="57">
        <v>126.77</v>
      </c>
      <c r="E64" s="57"/>
      <c r="F64" s="57"/>
      <c r="G64" s="1451">
        <f>ROUND(G63*0.0107,2)</f>
        <v>106.87</v>
      </c>
      <c r="H64" s="1451">
        <f t="shared" si="6"/>
        <v>106.87</v>
      </c>
      <c r="I64" s="1482">
        <f t="shared" si="12"/>
        <v>767.11</v>
      </c>
      <c r="J64" s="1482">
        <f t="shared" si="13"/>
        <v>4.96</v>
      </c>
      <c r="K64" s="1307"/>
      <c r="L64" s="1307"/>
      <c r="M64" s="1307"/>
      <c r="N64" s="1307"/>
      <c r="O64" s="1467"/>
      <c r="P64" s="1468"/>
    </row>
    <row r="65" spans="1:16">
      <c r="A65" s="1469">
        <v>315</v>
      </c>
      <c r="B65" s="620" t="s">
        <v>318</v>
      </c>
      <c r="C65" s="620" t="s">
        <v>351</v>
      </c>
      <c r="D65" s="620">
        <v>219.7</v>
      </c>
      <c r="E65" s="620">
        <v>2075</v>
      </c>
      <c r="F65" s="620">
        <v>2287.4</v>
      </c>
      <c r="G65" s="1454">
        <f>F65-E65</f>
        <v>212.40000000000009</v>
      </c>
      <c r="H65" s="1454">
        <f t="shared" si="6"/>
        <v>212.40000000000009</v>
      </c>
      <c r="I65" s="1470">
        <f t="shared" si="12"/>
        <v>1524.61</v>
      </c>
      <c r="J65" s="1470">
        <f t="shared" si="13"/>
        <v>8.59</v>
      </c>
      <c r="K65" s="1375"/>
      <c r="L65" s="1375"/>
      <c r="M65" s="1375"/>
      <c r="N65" s="1375"/>
      <c r="O65" s="1457">
        <f>SUM(J65:J66)+SUM(I65:I66)</f>
        <v>1549.58</v>
      </c>
      <c r="P65" s="1458">
        <v>1549.58</v>
      </c>
    </row>
    <row r="66" spans="1:16" ht="15.75" thickBot="1">
      <c r="A66" s="1464"/>
      <c r="B66" s="57"/>
      <c r="C66" s="57" t="s">
        <v>263</v>
      </c>
      <c r="D66" s="57">
        <v>2.35</v>
      </c>
      <c r="E66" s="57"/>
      <c r="F66" s="57"/>
      <c r="G66" s="1465">
        <f>ROUND(G65*0.0107,2)</f>
        <v>2.27</v>
      </c>
      <c r="H66" s="1465">
        <f t="shared" si="6"/>
        <v>2.27</v>
      </c>
      <c r="I66" s="1482">
        <f t="shared" si="12"/>
        <v>16.29</v>
      </c>
      <c r="J66" s="1482">
        <f t="shared" si="13"/>
        <v>0.09</v>
      </c>
      <c r="K66" s="1307"/>
      <c r="L66" s="1307"/>
      <c r="M66" s="1307"/>
      <c r="N66" s="1307"/>
      <c r="O66" s="1467"/>
      <c r="P66" s="1468"/>
    </row>
    <row r="67" spans="1:16">
      <c r="A67" s="1469">
        <v>402</v>
      </c>
      <c r="B67" s="620" t="s">
        <v>178</v>
      </c>
      <c r="C67" s="620" t="s">
        <v>351</v>
      </c>
      <c r="D67" s="620">
        <v>134.57</v>
      </c>
      <c r="E67" s="620">
        <v>4207.78</v>
      </c>
      <c r="F67" s="620">
        <v>4338.78</v>
      </c>
      <c r="G67" s="1454">
        <f>F67-E67</f>
        <v>131</v>
      </c>
      <c r="H67" s="1454">
        <f t="shared" si="6"/>
        <v>131</v>
      </c>
      <c r="I67" s="1470">
        <f t="shared" si="12"/>
        <v>940.32</v>
      </c>
      <c r="J67" s="1470">
        <f t="shared" si="13"/>
        <v>5.26</v>
      </c>
      <c r="K67" s="1375"/>
      <c r="L67" s="1375"/>
      <c r="M67" s="1375"/>
      <c r="N67" s="1375"/>
      <c r="O67" s="1457">
        <f>SUM(J67:J68)+SUM(I67:I68)</f>
        <v>955.69</v>
      </c>
      <c r="P67" s="1458">
        <v>955.69</v>
      </c>
    </row>
    <row r="68" spans="1:16" ht="15.75" thickBot="1">
      <c r="A68" s="1464"/>
      <c r="B68" s="57"/>
      <c r="C68" s="57" t="s">
        <v>263</v>
      </c>
      <c r="D68" s="57">
        <v>1.44</v>
      </c>
      <c r="E68" s="57"/>
      <c r="F68" s="57"/>
      <c r="G68" s="1465">
        <f>ROUND(G67*0.0107,2)</f>
        <v>1.4</v>
      </c>
      <c r="H68" s="1465">
        <f t="shared" si="6"/>
        <v>1.4</v>
      </c>
      <c r="I68" s="1482">
        <f t="shared" si="12"/>
        <v>10.050000000000001</v>
      </c>
      <c r="J68" s="1482">
        <f t="shared" si="13"/>
        <v>0.06</v>
      </c>
      <c r="K68" s="1307"/>
      <c r="L68" s="1307"/>
      <c r="M68" s="1307"/>
      <c r="N68" s="1307"/>
      <c r="O68" s="1467"/>
      <c r="P68" s="1468"/>
    </row>
    <row r="69" spans="1:16">
      <c r="A69" s="1469">
        <v>403</v>
      </c>
      <c r="B69" s="620" t="s">
        <v>382</v>
      </c>
      <c r="C69" s="620" t="s">
        <v>351</v>
      </c>
      <c r="D69" s="620">
        <v>112.8</v>
      </c>
      <c r="E69" s="620">
        <v>568.9</v>
      </c>
      <c r="F69" s="620">
        <v>672.2</v>
      </c>
      <c r="G69" s="1454">
        <f>F69-E69</f>
        <v>103.30000000000007</v>
      </c>
      <c r="H69" s="1454">
        <f t="shared" si="6"/>
        <v>103.30000000000007</v>
      </c>
      <c r="I69" s="1470">
        <f t="shared" si="12"/>
        <v>741.49</v>
      </c>
      <c r="J69" s="1470">
        <f t="shared" si="13"/>
        <v>4.41</v>
      </c>
      <c r="K69" s="1375"/>
      <c r="L69" s="1375"/>
      <c r="M69" s="1375"/>
      <c r="N69" s="1375"/>
      <c r="O69" s="1457">
        <f>SUM(J69:J70)+SUM(I69:I70)</f>
        <v>753.92000000000007</v>
      </c>
      <c r="P69" s="1458">
        <v>753.92</v>
      </c>
    </row>
    <row r="70" spans="1:16" ht="15.75" thickBot="1">
      <c r="A70" s="1464"/>
      <c r="B70" s="57"/>
      <c r="C70" s="57" t="s">
        <v>263</v>
      </c>
      <c r="D70" s="57">
        <v>1.21</v>
      </c>
      <c r="E70" s="57"/>
      <c r="F70" s="57"/>
      <c r="G70" s="1465">
        <f>ROUND(G69*0.0107,2)</f>
        <v>1.1100000000000001</v>
      </c>
      <c r="H70" s="1465">
        <f t="shared" si="6"/>
        <v>1.1100000000000001</v>
      </c>
      <c r="I70" s="1482">
        <f t="shared" si="12"/>
        <v>7.97</v>
      </c>
      <c r="J70" s="1482">
        <f t="shared" si="13"/>
        <v>0.05</v>
      </c>
      <c r="K70" s="1307"/>
      <c r="L70" s="1307"/>
      <c r="M70" s="1307"/>
      <c r="N70" s="1307"/>
      <c r="O70" s="1467"/>
      <c r="P70" s="1468"/>
    </row>
    <row r="71" spans="1:16">
      <c r="A71" s="1469">
        <v>409</v>
      </c>
      <c r="B71" s="620" t="s">
        <v>383</v>
      </c>
      <c r="C71" s="620" t="s">
        <v>351</v>
      </c>
      <c r="D71" s="620">
        <v>90.7</v>
      </c>
      <c r="E71" s="620">
        <v>22643.200000000001</v>
      </c>
      <c r="F71" s="620">
        <v>22736</v>
      </c>
      <c r="G71" s="1454">
        <f>F71-E71</f>
        <v>92.799999999999272</v>
      </c>
      <c r="H71" s="1454">
        <f t="shared" si="6"/>
        <v>92.799999999999272</v>
      </c>
      <c r="I71" s="1470">
        <f t="shared" si="12"/>
        <v>666.12</v>
      </c>
      <c r="J71" s="1470">
        <f t="shared" si="13"/>
        <v>3.55</v>
      </c>
      <c r="K71" s="1375"/>
      <c r="L71" s="1375"/>
      <c r="M71" s="1375"/>
      <c r="N71" s="1375"/>
      <c r="O71" s="1457">
        <f>SUM(J71:J72)+SUM(I71:I72)</f>
        <v>676.82</v>
      </c>
      <c r="P71" s="1458">
        <v>676.82</v>
      </c>
    </row>
    <row r="72" spans="1:16" ht="15.75" thickBot="1">
      <c r="A72" s="1464"/>
      <c r="B72" s="57"/>
      <c r="C72" s="57" t="s">
        <v>263</v>
      </c>
      <c r="D72" s="57">
        <v>0.97</v>
      </c>
      <c r="E72" s="57"/>
      <c r="F72" s="57"/>
      <c r="G72" s="1465">
        <f>ROUND(G71*0.0107,2)</f>
        <v>0.99</v>
      </c>
      <c r="H72" s="1465">
        <f t="shared" si="6"/>
        <v>0.99</v>
      </c>
      <c r="I72" s="1482">
        <f t="shared" si="12"/>
        <v>7.11</v>
      </c>
      <c r="J72" s="1482">
        <f t="shared" si="13"/>
        <v>0.04</v>
      </c>
      <c r="K72" s="1307"/>
      <c r="L72" s="1307"/>
      <c r="M72" s="1307"/>
      <c r="N72" s="1307"/>
      <c r="O72" s="1467"/>
      <c r="P72" s="1468"/>
    </row>
    <row r="73" spans="1:16">
      <c r="A73" s="1469">
        <v>410</v>
      </c>
      <c r="B73" s="620" t="s">
        <v>138</v>
      </c>
      <c r="C73" s="620" t="s">
        <v>351</v>
      </c>
      <c r="D73" s="620">
        <v>254</v>
      </c>
      <c r="E73" s="620">
        <v>6534.3</v>
      </c>
      <c r="F73" s="620">
        <v>6778</v>
      </c>
      <c r="G73" s="1454">
        <f>F73-E73</f>
        <v>243.69999999999982</v>
      </c>
      <c r="H73" s="1454">
        <f t="shared" si="6"/>
        <v>243.69999999999982</v>
      </c>
      <c r="I73" s="1470">
        <f t="shared" si="12"/>
        <v>1749.28</v>
      </c>
      <c r="J73" s="1470">
        <f t="shared" si="13"/>
        <v>9.93</v>
      </c>
      <c r="K73" s="1375"/>
      <c r="L73" s="1375"/>
      <c r="M73" s="1375"/>
      <c r="N73" s="1375"/>
      <c r="O73" s="1457">
        <f>SUM(J73:J74)+SUM(I73:I74)</f>
        <v>1778.05</v>
      </c>
      <c r="P73" s="1458">
        <v>1778.05</v>
      </c>
    </row>
    <row r="74" spans="1:16" ht="15.75" thickBot="1">
      <c r="A74" s="1464"/>
      <c r="B74" s="57"/>
      <c r="C74" s="57" t="s">
        <v>263</v>
      </c>
      <c r="D74" s="57">
        <v>2.72</v>
      </c>
      <c r="E74" s="57"/>
      <c r="F74" s="57"/>
      <c r="G74" s="1465">
        <f>ROUND(G73*0.0107,2)</f>
        <v>2.61</v>
      </c>
      <c r="H74" s="1465">
        <f t="shared" ref="H74:H94" si="14">G74</f>
        <v>2.61</v>
      </c>
      <c r="I74" s="1482">
        <f t="shared" si="12"/>
        <v>18.73</v>
      </c>
      <c r="J74" s="1482">
        <f t="shared" si="13"/>
        <v>0.11</v>
      </c>
      <c r="K74" s="1307"/>
      <c r="L74" s="1307"/>
      <c r="M74" s="1307"/>
      <c r="N74" s="1307"/>
      <c r="O74" s="1467"/>
      <c r="P74" s="1468"/>
    </row>
    <row r="75" spans="1:16">
      <c r="A75" s="1452" t="s">
        <v>384</v>
      </c>
      <c r="B75" s="620" t="s">
        <v>385</v>
      </c>
      <c r="C75" s="620" t="s">
        <v>243</v>
      </c>
      <c r="D75" s="620">
        <v>0.76700000000000002</v>
      </c>
      <c r="E75" s="1453">
        <v>23.69</v>
      </c>
      <c r="F75" s="1453">
        <v>24.006</v>
      </c>
      <c r="G75" s="1454">
        <f>F75-E75</f>
        <v>0.31599999999999895</v>
      </c>
      <c r="H75" s="1454">
        <f t="shared" si="14"/>
        <v>0.31599999999999895</v>
      </c>
      <c r="I75" s="1470">
        <f>ROUND(G75*($E$24+$E$26),2)</f>
        <v>28.31</v>
      </c>
      <c r="J75" s="1470">
        <f>ROUND(D75*(($E$24+$E$26)-($D$24+$D$26)),2)</f>
        <v>0</v>
      </c>
      <c r="K75" s="1375"/>
      <c r="L75" s="1375"/>
      <c r="M75" s="1375"/>
      <c r="N75" s="1375"/>
      <c r="O75" s="1457">
        <f>SUM(J75:J77)+SUM(I75:I77)+SUM(M75:M77)</f>
        <v>1484.5099999999998</v>
      </c>
      <c r="P75" s="1458">
        <v>1484.51</v>
      </c>
    </row>
    <row r="76" spans="1:16">
      <c r="A76" s="1459"/>
      <c r="B76" s="298"/>
      <c r="C76" s="298" t="s">
        <v>351</v>
      </c>
      <c r="D76" s="298">
        <v>205</v>
      </c>
      <c r="E76" s="298">
        <v>8356.1</v>
      </c>
      <c r="F76" s="298">
        <v>8555.7000000000007</v>
      </c>
      <c r="G76" s="1460">
        <f>F76-E76</f>
        <v>199.60000000000036</v>
      </c>
      <c r="H76" s="1460">
        <f t="shared" si="14"/>
        <v>199.60000000000036</v>
      </c>
      <c r="I76" s="1471">
        <f t="shared" ref="I76:I87" si="15">ROUND(G76*$E$27,2)</f>
        <v>1432.73</v>
      </c>
      <c r="J76" s="1471">
        <f t="shared" ref="J76:J87" si="16">ROUND(D76*($E$27-$D$27),2)</f>
        <v>8.02</v>
      </c>
      <c r="K76" s="1377"/>
      <c r="L76" s="1377"/>
      <c r="M76" s="1377"/>
      <c r="N76" s="1377"/>
      <c r="O76" s="1462"/>
      <c r="P76" s="1463"/>
    </row>
    <row r="77" spans="1:16" ht="15.75" thickBot="1">
      <c r="A77" s="1472"/>
      <c r="B77" s="774"/>
      <c r="C77" s="774" t="s">
        <v>263</v>
      </c>
      <c r="D77" s="774">
        <v>2.19</v>
      </c>
      <c r="E77" s="774"/>
      <c r="F77" s="774"/>
      <c r="G77" s="1473">
        <f>ROUND(G76*0.0107,2)</f>
        <v>2.14</v>
      </c>
      <c r="H77" s="1473">
        <f t="shared" si="14"/>
        <v>2.14</v>
      </c>
      <c r="I77" s="1474">
        <f t="shared" si="15"/>
        <v>15.36</v>
      </c>
      <c r="J77" s="1474">
        <f t="shared" si="16"/>
        <v>0.09</v>
      </c>
      <c r="K77" s="1384"/>
      <c r="L77" s="1384"/>
      <c r="M77" s="1384"/>
      <c r="N77" s="1384"/>
      <c r="O77" s="1475"/>
      <c r="P77" s="1476"/>
    </row>
    <row r="78" spans="1:16">
      <c r="A78" s="1469">
        <v>413</v>
      </c>
      <c r="B78" s="620" t="s">
        <v>56</v>
      </c>
      <c r="C78" s="620" t="s">
        <v>351</v>
      </c>
      <c r="D78" s="620">
        <v>273.39999999999998</v>
      </c>
      <c r="E78" s="620">
        <v>18011.2</v>
      </c>
      <c r="F78" s="620">
        <v>18184.5</v>
      </c>
      <c r="G78" s="1454">
        <f>F78-E78</f>
        <v>173.29999999999927</v>
      </c>
      <c r="H78" s="1454">
        <f t="shared" si="14"/>
        <v>173.29999999999927</v>
      </c>
      <c r="I78" s="1470">
        <f t="shared" si="15"/>
        <v>1243.95</v>
      </c>
      <c r="J78" s="1470">
        <f t="shared" si="16"/>
        <v>10.69</v>
      </c>
      <c r="K78" s="1375"/>
      <c r="L78" s="1375"/>
      <c r="M78" s="1375"/>
      <c r="N78" s="1375"/>
      <c r="O78" s="1457">
        <f>SUM(J78:J79)+SUM(I78:I79)</f>
        <v>1268.03</v>
      </c>
      <c r="P78" s="1458">
        <v>1268.03</v>
      </c>
    </row>
    <row r="79" spans="1:16" ht="15.75" thickBot="1">
      <c r="A79" s="1464"/>
      <c r="B79" s="57"/>
      <c r="C79" s="57" t="s">
        <v>263</v>
      </c>
      <c r="D79" s="57">
        <v>2.93</v>
      </c>
      <c r="E79" s="57"/>
      <c r="F79" s="57"/>
      <c r="G79" s="1465">
        <f>ROUND(G78*0.0107,2)</f>
        <v>1.85</v>
      </c>
      <c r="H79" s="1465">
        <f t="shared" si="14"/>
        <v>1.85</v>
      </c>
      <c r="I79" s="1482">
        <f t="shared" si="15"/>
        <v>13.28</v>
      </c>
      <c r="J79" s="1482">
        <f t="shared" si="16"/>
        <v>0.11</v>
      </c>
      <c r="K79" s="1307"/>
      <c r="L79" s="1307"/>
      <c r="M79" s="1307"/>
      <c r="N79" s="1307"/>
      <c r="O79" s="1467"/>
      <c r="P79" s="1468"/>
    </row>
    <row r="80" spans="1:16">
      <c r="A80" s="1469">
        <v>414</v>
      </c>
      <c r="B80" s="620" t="s">
        <v>179</v>
      </c>
      <c r="C80" s="620" t="s">
        <v>351</v>
      </c>
      <c r="D80" s="620">
        <v>18</v>
      </c>
      <c r="E80" s="620">
        <v>659.8</v>
      </c>
      <c r="F80" s="620">
        <v>687.2</v>
      </c>
      <c r="G80" s="1454">
        <f>F80-E80</f>
        <v>27.400000000000091</v>
      </c>
      <c r="H80" s="1454">
        <f t="shared" si="14"/>
        <v>27.400000000000091</v>
      </c>
      <c r="I80" s="1470">
        <f t="shared" si="15"/>
        <v>196.68</v>
      </c>
      <c r="J80" s="1470">
        <f t="shared" si="16"/>
        <v>0.7</v>
      </c>
      <c r="K80" s="1375"/>
      <c r="L80" s="1375"/>
      <c r="M80" s="1375"/>
      <c r="N80" s="1375"/>
      <c r="O80" s="1457">
        <f>SUM(J80:J81)+SUM(I80:I81)</f>
        <v>199.47000000000003</v>
      </c>
      <c r="P80" s="1458">
        <v>199.47</v>
      </c>
    </row>
    <row r="81" spans="1:16" ht="15.75" thickBot="1">
      <c r="A81" s="1464"/>
      <c r="B81" s="57"/>
      <c r="C81" s="57" t="s">
        <v>263</v>
      </c>
      <c r="D81" s="57">
        <v>0.19</v>
      </c>
      <c r="E81" s="57"/>
      <c r="F81" s="57"/>
      <c r="G81" s="1465">
        <f>ROUND(G80*0.0107,2)</f>
        <v>0.28999999999999998</v>
      </c>
      <c r="H81" s="1465">
        <f t="shared" si="14"/>
        <v>0.28999999999999998</v>
      </c>
      <c r="I81" s="1482">
        <f t="shared" si="15"/>
        <v>2.08</v>
      </c>
      <c r="J81" s="1482">
        <f t="shared" si="16"/>
        <v>0.01</v>
      </c>
      <c r="K81" s="1307"/>
      <c r="L81" s="1307"/>
      <c r="M81" s="1307"/>
      <c r="N81" s="1307"/>
      <c r="O81" s="1467"/>
      <c r="P81" s="1468"/>
    </row>
    <row r="82" spans="1:16">
      <c r="A82" s="1469">
        <v>415</v>
      </c>
      <c r="B82" s="620" t="s">
        <v>339</v>
      </c>
      <c r="C82" s="620" t="s">
        <v>351</v>
      </c>
      <c r="D82" s="620">
        <v>289.10000000000002</v>
      </c>
      <c r="E82" s="620">
        <v>4097.8</v>
      </c>
      <c r="F82" s="620">
        <v>4404.1000000000004</v>
      </c>
      <c r="G82" s="1454">
        <f>F82-E82</f>
        <v>306.30000000000018</v>
      </c>
      <c r="H82" s="1454">
        <f t="shared" si="14"/>
        <v>306.30000000000018</v>
      </c>
      <c r="I82" s="1470">
        <f t="shared" si="15"/>
        <v>2198.62</v>
      </c>
      <c r="J82" s="1470">
        <f t="shared" si="16"/>
        <v>11.3</v>
      </c>
      <c r="K82" s="1375"/>
      <c r="L82" s="1375"/>
      <c r="M82" s="1375"/>
      <c r="N82" s="1375"/>
      <c r="O82" s="1457">
        <f>SUM(J82:J83)+SUM(I82:I83)</f>
        <v>2233.58</v>
      </c>
      <c r="P82" s="1458">
        <v>2233.58</v>
      </c>
    </row>
    <row r="83" spans="1:16" ht="15.75" thickBot="1">
      <c r="A83" s="1464"/>
      <c r="B83" s="57"/>
      <c r="C83" s="57" t="s">
        <v>263</v>
      </c>
      <c r="D83" s="57">
        <v>3.09</v>
      </c>
      <c r="E83" s="57"/>
      <c r="F83" s="57"/>
      <c r="G83" s="1465">
        <f>ROUND(G82*0.0107,2)</f>
        <v>3.28</v>
      </c>
      <c r="H83" s="1465">
        <f t="shared" si="14"/>
        <v>3.28</v>
      </c>
      <c r="I83" s="1482">
        <f t="shared" si="15"/>
        <v>23.54</v>
      </c>
      <c r="J83" s="1482">
        <f t="shared" si="16"/>
        <v>0.12</v>
      </c>
      <c r="K83" s="1307"/>
      <c r="L83" s="1307"/>
      <c r="M83" s="1307"/>
      <c r="N83" s="1307"/>
      <c r="O83" s="1467"/>
      <c r="P83" s="1468"/>
    </row>
    <row r="84" spans="1:16">
      <c r="A84" s="1469">
        <v>416</v>
      </c>
      <c r="B84" s="620" t="s">
        <v>386</v>
      </c>
      <c r="C84" s="620" t="s">
        <v>351</v>
      </c>
      <c r="D84" s="620">
        <v>100</v>
      </c>
      <c r="E84" s="620">
        <v>757.8</v>
      </c>
      <c r="F84" s="620">
        <v>854.2</v>
      </c>
      <c r="G84" s="1454">
        <f>F84-E84</f>
        <v>96.400000000000091</v>
      </c>
      <c r="H84" s="1454">
        <f t="shared" si="14"/>
        <v>96.400000000000091</v>
      </c>
      <c r="I84" s="1470">
        <f t="shared" si="15"/>
        <v>691.96</v>
      </c>
      <c r="J84" s="1470">
        <f t="shared" si="16"/>
        <v>3.91</v>
      </c>
      <c r="K84" s="1375"/>
      <c r="L84" s="1375"/>
      <c r="M84" s="1375"/>
      <c r="N84" s="1375"/>
      <c r="O84" s="1457">
        <f>SUM(J84:J85)+SUM(I84:I85)</f>
        <v>703.30000000000007</v>
      </c>
      <c r="P84" s="1458">
        <v>703.3</v>
      </c>
    </row>
    <row r="85" spans="1:16" ht="15.75" thickBot="1">
      <c r="A85" s="1464"/>
      <c r="B85" s="57"/>
      <c r="C85" s="57" t="s">
        <v>263</v>
      </c>
      <c r="D85" s="57">
        <v>1.07</v>
      </c>
      <c r="E85" s="57"/>
      <c r="F85" s="57"/>
      <c r="G85" s="1465">
        <f>ROUND(G84*0.0107,2)</f>
        <v>1.03</v>
      </c>
      <c r="H85" s="1465">
        <f t="shared" si="14"/>
        <v>1.03</v>
      </c>
      <c r="I85" s="1482">
        <f t="shared" si="15"/>
        <v>7.39</v>
      </c>
      <c r="J85" s="1482">
        <f t="shared" si="16"/>
        <v>0.04</v>
      </c>
      <c r="K85" s="1307"/>
      <c r="L85" s="1307"/>
      <c r="M85" s="1307"/>
      <c r="N85" s="1307"/>
      <c r="O85" s="1467"/>
      <c r="P85" s="1468"/>
    </row>
    <row r="86" spans="1:16">
      <c r="A86" s="1469">
        <v>417</v>
      </c>
      <c r="B86" s="620" t="s">
        <v>174</v>
      </c>
      <c r="C86" s="620" t="s">
        <v>351</v>
      </c>
      <c r="D86" s="620">
        <v>74.7</v>
      </c>
      <c r="E86" s="620">
        <v>3876.6</v>
      </c>
      <c r="F86" s="620">
        <v>3936</v>
      </c>
      <c r="G86" s="1454">
        <f>F86-E86</f>
        <v>59.400000000000091</v>
      </c>
      <c r="H86" s="1454">
        <f t="shared" si="14"/>
        <v>59.400000000000091</v>
      </c>
      <c r="I86" s="1470">
        <f t="shared" si="15"/>
        <v>426.37</v>
      </c>
      <c r="J86" s="1470">
        <f t="shared" si="16"/>
        <v>2.92</v>
      </c>
      <c r="K86" s="1375"/>
      <c r="L86" s="1375"/>
      <c r="M86" s="1375"/>
      <c r="N86" s="1375"/>
      <c r="O86" s="1457">
        <f>SUM(J86:J87)+SUM(I86:I87)</f>
        <v>433.90999999999997</v>
      </c>
      <c r="P86" s="1458">
        <v>433.91</v>
      </c>
    </row>
    <row r="87" spans="1:16" ht="15.75" thickBot="1">
      <c r="A87" s="1464"/>
      <c r="B87" s="57"/>
      <c r="C87" s="57" t="s">
        <v>263</v>
      </c>
      <c r="D87" s="57">
        <v>0.8</v>
      </c>
      <c r="E87" s="57"/>
      <c r="F87" s="57"/>
      <c r="G87" s="1465">
        <f>ROUND(G86*0.0107,2)</f>
        <v>0.64</v>
      </c>
      <c r="H87" s="1465">
        <f t="shared" si="14"/>
        <v>0.64</v>
      </c>
      <c r="I87" s="1482">
        <f t="shared" si="15"/>
        <v>4.59</v>
      </c>
      <c r="J87" s="1482">
        <f t="shared" si="16"/>
        <v>0.03</v>
      </c>
      <c r="K87" s="1307"/>
      <c r="L87" s="1307"/>
      <c r="M87" s="1307"/>
      <c r="N87" s="1307"/>
      <c r="O87" s="1467"/>
      <c r="P87" s="1468"/>
    </row>
    <row r="88" spans="1:16">
      <c r="A88" s="1452" t="s">
        <v>387</v>
      </c>
      <c r="B88" s="620" t="s">
        <v>306</v>
      </c>
      <c r="C88" s="620" t="s">
        <v>243</v>
      </c>
      <c r="D88" s="620">
        <v>0.13200000000000001</v>
      </c>
      <c r="E88" s="1453">
        <v>1.7669999999999999</v>
      </c>
      <c r="F88" s="1453">
        <v>2.0920000000000001</v>
      </c>
      <c r="G88" s="1454">
        <f>F88-E88</f>
        <v>0.32500000000000018</v>
      </c>
      <c r="H88" s="1454">
        <f t="shared" si="14"/>
        <v>0.32500000000000018</v>
      </c>
      <c r="I88" s="1470">
        <f>ROUND(G88*($E$24+$E$26),2)</f>
        <v>29.11</v>
      </c>
      <c r="J88" s="1470">
        <f>ROUND(D88*(($E$24+$E$26)-($D$24+$D$26)),2)</f>
        <v>0</v>
      </c>
      <c r="K88" s="1375"/>
      <c r="L88" s="1375"/>
      <c r="M88" s="1375"/>
      <c r="N88" s="1375"/>
      <c r="O88" s="1457">
        <f>SUM(J88:J90)+SUM(I88:I90)+SUM(M88:M90)</f>
        <v>913.44</v>
      </c>
      <c r="P88" s="1458">
        <v>913.44</v>
      </c>
    </row>
    <row r="89" spans="1:16">
      <c r="A89" s="1459"/>
      <c r="B89" s="298"/>
      <c r="C89" s="298" t="s">
        <v>351</v>
      </c>
      <c r="D89" s="298">
        <v>54.8</v>
      </c>
      <c r="E89" s="298">
        <v>6313.4</v>
      </c>
      <c r="F89" s="298">
        <v>6435</v>
      </c>
      <c r="G89" s="1460">
        <f>F89-E89</f>
        <v>121.60000000000036</v>
      </c>
      <c r="H89" s="1460">
        <f t="shared" si="14"/>
        <v>121.60000000000036</v>
      </c>
      <c r="I89" s="1471">
        <f t="shared" ref="I89:I94" si="17">ROUND(G89*$E$27,2)</f>
        <v>872.84</v>
      </c>
      <c r="J89" s="1471">
        <f t="shared" ref="J89:J94" si="18">ROUND(D89*($E$27-$D$27),2)</f>
        <v>2.14</v>
      </c>
      <c r="K89" s="1377"/>
      <c r="L89" s="1377"/>
      <c r="M89" s="1377"/>
      <c r="N89" s="1377"/>
      <c r="O89" s="1462"/>
      <c r="P89" s="1463"/>
    </row>
    <row r="90" spans="1:16" ht="15.75" thickBot="1">
      <c r="A90" s="1472"/>
      <c r="B90" s="774"/>
      <c r="C90" s="774" t="s">
        <v>263</v>
      </c>
      <c r="D90" s="774">
        <v>0.59</v>
      </c>
      <c r="E90" s="774"/>
      <c r="F90" s="774"/>
      <c r="G90" s="1473">
        <f>ROUND(G89*0.0107,2)</f>
        <v>1.3</v>
      </c>
      <c r="H90" s="1473">
        <f t="shared" si="14"/>
        <v>1.3</v>
      </c>
      <c r="I90" s="1474">
        <f t="shared" si="17"/>
        <v>9.33</v>
      </c>
      <c r="J90" s="1474">
        <f t="shared" si="18"/>
        <v>0.02</v>
      </c>
      <c r="K90" s="1384"/>
      <c r="L90" s="1384"/>
      <c r="M90" s="1384"/>
      <c r="N90" s="1384"/>
      <c r="O90" s="1475"/>
      <c r="P90" s="1476"/>
    </row>
    <row r="91" spans="1:16">
      <c r="A91" s="1469">
        <v>422</v>
      </c>
      <c r="B91" s="620" t="s">
        <v>186</v>
      </c>
      <c r="C91" s="620" t="s">
        <v>351</v>
      </c>
      <c r="D91" s="620">
        <v>109.1</v>
      </c>
      <c r="E91" s="620">
        <v>319.2</v>
      </c>
      <c r="F91" s="620">
        <v>459.4</v>
      </c>
      <c r="G91" s="1454">
        <f>F91-E91</f>
        <v>140.19999999999999</v>
      </c>
      <c r="H91" s="1454">
        <f t="shared" si="14"/>
        <v>140.19999999999999</v>
      </c>
      <c r="I91" s="1470">
        <f t="shared" si="17"/>
        <v>1006.36</v>
      </c>
      <c r="J91" s="1470">
        <f t="shared" si="18"/>
        <v>4.2699999999999996</v>
      </c>
      <c r="K91" s="1375"/>
      <c r="L91" s="1375"/>
      <c r="M91" s="1375"/>
      <c r="N91" s="1375"/>
      <c r="O91" s="1457">
        <f>SUM(J91:J92)+SUM(I91:I92)</f>
        <v>1021.45</v>
      </c>
      <c r="P91" s="1458">
        <v>1021.45</v>
      </c>
    </row>
    <row r="92" spans="1:16" ht="15.75" thickBot="1">
      <c r="A92" s="1464"/>
      <c r="B92" s="57"/>
      <c r="C92" s="57" t="s">
        <v>263</v>
      </c>
      <c r="D92" s="57">
        <v>1.17</v>
      </c>
      <c r="E92" s="57"/>
      <c r="F92" s="57"/>
      <c r="G92" s="1465">
        <f>ROUND(G91*0.0107,2)</f>
        <v>1.5</v>
      </c>
      <c r="H92" s="1465">
        <f t="shared" si="14"/>
        <v>1.5</v>
      </c>
      <c r="I92" s="1482">
        <f t="shared" si="17"/>
        <v>10.77</v>
      </c>
      <c r="J92" s="1482">
        <f t="shared" si="18"/>
        <v>0.05</v>
      </c>
      <c r="K92" s="1307"/>
      <c r="L92" s="1307"/>
      <c r="M92" s="1307"/>
      <c r="N92" s="1307"/>
      <c r="O92" s="1467"/>
      <c r="P92" s="1468"/>
    </row>
    <row r="93" spans="1:16">
      <c r="A93" s="1469">
        <v>500</v>
      </c>
      <c r="B93" s="620" t="s">
        <v>367</v>
      </c>
      <c r="C93" s="620" t="s">
        <v>351</v>
      </c>
      <c r="D93" s="620">
        <v>2923.62</v>
      </c>
      <c r="E93" s="620">
        <v>120459.92</v>
      </c>
      <c r="F93" s="620">
        <v>123295.77</v>
      </c>
      <c r="G93" s="1454">
        <f>F93-E93</f>
        <v>2835.8500000000058</v>
      </c>
      <c r="H93" s="1454">
        <f t="shared" si="14"/>
        <v>2835.8500000000058</v>
      </c>
      <c r="I93" s="1470">
        <f t="shared" si="17"/>
        <v>20355.73</v>
      </c>
      <c r="J93" s="1470">
        <f t="shared" si="18"/>
        <v>114.31</v>
      </c>
      <c r="K93" s="1375"/>
      <c r="L93" s="1375"/>
      <c r="M93" s="1375"/>
      <c r="N93" s="1375"/>
      <c r="O93" s="1457">
        <f>SUM(J93:J94)+SUM(I93:I94)</f>
        <v>20689.039999999997</v>
      </c>
      <c r="P93" s="1458">
        <v>20689.04</v>
      </c>
    </row>
    <row r="94" spans="1:16" ht="15.75" thickBot="1">
      <c r="A94" s="1464"/>
      <c r="B94" s="57"/>
      <c r="C94" s="57" t="s">
        <v>263</v>
      </c>
      <c r="D94" s="57">
        <v>31.28</v>
      </c>
      <c r="E94" s="57"/>
      <c r="F94" s="57"/>
      <c r="G94" s="1465">
        <f>ROUND(G93*0.0107,2)</f>
        <v>30.34</v>
      </c>
      <c r="H94" s="1465">
        <f t="shared" si="14"/>
        <v>30.34</v>
      </c>
      <c r="I94" s="1482">
        <f t="shared" si="17"/>
        <v>217.78</v>
      </c>
      <c r="J94" s="1482">
        <f t="shared" si="18"/>
        <v>1.22</v>
      </c>
      <c r="K94" s="1307"/>
      <c r="L94" s="1307"/>
      <c r="M94" s="1307"/>
      <c r="N94" s="1307"/>
      <c r="O94" s="1467"/>
      <c r="P94" s="1468"/>
    </row>
    <row r="96" spans="1:16">
      <c r="A96" s="1445" t="s">
        <v>388</v>
      </c>
      <c r="C96" t="s">
        <v>15</v>
      </c>
      <c r="D96" t="s">
        <v>347</v>
      </c>
      <c r="E96" t="s">
        <v>348</v>
      </c>
      <c r="F96" s="1509" t="s">
        <v>349</v>
      </c>
    </row>
    <row r="97" spans="1:16">
      <c r="C97" t="s">
        <v>243</v>
      </c>
      <c r="D97">
        <v>41.244</v>
      </c>
      <c r="E97">
        <v>41.244</v>
      </c>
      <c r="F97" s="1509">
        <v>42.768000000000001</v>
      </c>
    </row>
    <row r="98" spans="1:16">
      <c r="C98" t="s">
        <v>33</v>
      </c>
      <c r="D98">
        <v>276.93</v>
      </c>
      <c r="E98">
        <v>276.93</v>
      </c>
      <c r="F98" s="1509">
        <v>276.93</v>
      </c>
    </row>
    <row r="99" spans="1:16">
      <c r="C99" t="s">
        <v>350</v>
      </c>
      <c r="D99">
        <v>48.335999999999999</v>
      </c>
      <c r="E99">
        <v>48.335999999999999</v>
      </c>
      <c r="F99" s="1509">
        <v>50.124000000000002</v>
      </c>
    </row>
    <row r="100" spans="1:16" ht="15.75" thickBot="1">
      <c r="C100" t="s">
        <v>351</v>
      </c>
      <c r="D100">
        <v>7.4593999999999996</v>
      </c>
      <c r="E100">
        <v>7.4103000000000003</v>
      </c>
      <c r="F100" s="1509">
        <v>7.6798999999999999</v>
      </c>
    </row>
    <row r="101" spans="1:16" ht="15" customHeight="1">
      <c r="A101" s="1577" t="s">
        <v>1</v>
      </c>
      <c r="B101" s="1579" t="s">
        <v>352</v>
      </c>
      <c r="C101" s="1581" t="s">
        <v>353</v>
      </c>
      <c r="D101" s="1581" t="s">
        <v>354</v>
      </c>
      <c r="E101" s="1579" t="s">
        <v>355</v>
      </c>
      <c r="F101" s="1579"/>
      <c r="G101" s="1579"/>
      <c r="H101" s="1496"/>
      <c r="I101" s="1583" t="s">
        <v>356</v>
      </c>
      <c r="J101" s="1585" t="s">
        <v>357</v>
      </c>
      <c r="K101" s="1587" t="s">
        <v>358</v>
      </c>
      <c r="L101" s="1587"/>
      <c r="M101" s="1587"/>
      <c r="N101" s="1587"/>
      <c r="O101" s="1588" t="s">
        <v>359</v>
      </c>
      <c r="P101" s="1590" t="s">
        <v>360</v>
      </c>
    </row>
    <row r="102" spans="1:16" ht="45" customHeight="1" thickBot="1">
      <c r="A102" s="1578"/>
      <c r="B102" s="1580"/>
      <c r="C102" s="1582"/>
      <c r="D102" s="1582"/>
      <c r="E102" s="1450" t="s">
        <v>361</v>
      </c>
      <c r="F102" s="1450" t="s">
        <v>362</v>
      </c>
      <c r="G102" s="1451" t="s">
        <v>11</v>
      </c>
      <c r="H102" s="1451" t="s">
        <v>466</v>
      </c>
      <c r="I102" s="1584"/>
      <c r="J102" s="1586"/>
      <c r="K102" s="1307" t="s">
        <v>11</v>
      </c>
      <c r="L102" s="1307" t="s">
        <v>15</v>
      </c>
      <c r="M102" s="1307" t="s">
        <v>14</v>
      </c>
      <c r="N102" s="1307" t="s">
        <v>363</v>
      </c>
      <c r="O102" s="1589"/>
      <c r="P102" s="1591"/>
    </row>
    <row r="103" spans="1:16">
      <c r="A103" s="1452" t="s">
        <v>389</v>
      </c>
      <c r="B103" s="1483" t="s">
        <v>390</v>
      </c>
      <c r="C103" s="620" t="s">
        <v>243</v>
      </c>
      <c r="D103" s="620">
        <v>45</v>
      </c>
      <c r="E103" s="1453">
        <v>4256</v>
      </c>
      <c r="F103" s="1453">
        <v>4310</v>
      </c>
      <c r="G103" s="1454">
        <f>F103-E103</f>
        <v>54</v>
      </c>
      <c r="H103" s="1454">
        <f>G103</f>
        <v>54</v>
      </c>
      <c r="I103" s="1470">
        <f>ROUND(G103*($F$97+$F$99),2)</f>
        <v>5016.17</v>
      </c>
      <c r="J103" s="1470"/>
      <c r="K103" s="1375"/>
      <c r="L103" s="1375"/>
      <c r="M103" s="1375"/>
      <c r="N103" s="1375"/>
      <c r="O103" s="1498">
        <f>SUM(J103:J107)+SUM(I103:I107)+SUM(M103:M107)</f>
        <v>320817.11000000004</v>
      </c>
      <c r="P103" s="1458">
        <v>320817.11</v>
      </c>
    </row>
    <row r="104" spans="1:16">
      <c r="A104" s="1459"/>
      <c r="B104" s="298"/>
      <c r="C104" s="298" t="s">
        <v>372</v>
      </c>
      <c r="D104" s="298">
        <v>37931</v>
      </c>
      <c r="E104" s="298">
        <v>3808440</v>
      </c>
      <c r="F104" s="298">
        <v>3836112</v>
      </c>
      <c r="G104" s="1460">
        <f>F104-E104</f>
        <v>27672</v>
      </c>
      <c r="H104" s="1460">
        <f>G104+G105+G106</f>
        <v>41022</v>
      </c>
      <c r="I104" s="1471">
        <f>ROUND(G104*$F$100,2)</f>
        <v>212518.19</v>
      </c>
      <c r="J104" s="1471"/>
      <c r="K104" s="1377"/>
      <c r="L104" s="1377"/>
      <c r="M104" s="1377"/>
      <c r="N104" s="1377"/>
      <c r="O104" s="1462"/>
      <c r="P104" s="1463"/>
    </row>
    <row r="105" spans="1:16">
      <c r="A105" s="1459"/>
      <c r="B105" s="298"/>
      <c r="C105" s="298" t="s">
        <v>373</v>
      </c>
      <c r="D105" s="298">
        <v>9510</v>
      </c>
      <c r="E105" s="298">
        <v>54897</v>
      </c>
      <c r="F105" s="298">
        <v>55205</v>
      </c>
      <c r="G105" s="1460">
        <f>(F105-E105)*30</f>
        <v>9240</v>
      </c>
      <c r="H105" s="1460"/>
      <c r="I105" s="1471">
        <f t="shared" ref="I105:I106" si="19">ROUND(G105*$F$100,2)</f>
        <v>70962.28</v>
      </c>
      <c r="J105" s="1471"/>
      <c r="K105" s="1377"/>
      <c r="L105" s="1377"/>
      <c r="M105" s="1377"/>
      <c r="N105" s="1377"/>
      <c r="O105" s="1462"/>
      <c r="P105" s="1463"/>
    </row>
    <row r="106" spans="1:16">
      <c r="A106" s="1459"/>
      <c r="B106" s="298"/>
      <c r="C106" s="298" t="s">
        <v>374</v>
      </c>
      <c r="D106" s="298">
        <v>4170</v>
      </c>
      <c r="E106" s="298">
        <v>26177</v>
      </c>
      <c r="F106" s="298">
        <v>26314</v>
      </c>
      <c r="G106" s="1460">
        <f>(F106-E106)*30</f>
        <v>4110</v>
      </c>
      <c r="H106" s="1460"/>
      <c r="I106" s="1471">
        <f t="shared" si="19"/>
        <v>31564.39</v>
      </c>
      <c r="J106" s="1471"/>
      <c r="K106" s="1377"/>
      <c r="L106" s="1377"/>
      <c r="M106" s="1377"/>
      <c r="N106" s="1377"/>
      <c r="O106" s="1462"/>
      <c r="P106" s="1463"/>
    </row>
    <row r="107" spans="1:16" ht="15.75" thickBot="1">
      <c r="A107" s="1472"/>
      <c r="B107" s="774"/>
      <c r="C107" s="774" t="s">
        <v>263</v>
      </c>
      <c r="D107" s="774">
        <v>123.86</v>
      </c>
      <c r="E107" s="774"/>
      <c r="F107" s="774"/>
      <c r="G107" s="1473">
        <f>ROUND((G106+G105+G104)*0.0024,2)</f>
        <v>98.45</v>
      </c>
      <c r="H107" s="1473">
        <f t="shared" ref="H107:H129" si="20">G107</f>
        <v>98.45</v>
      </c>
      <c r="I107" s="1471">
        <f>ROUND(G107*$F$100,2)-0.01</f>
        <v>756.08</v>
      </c>
      <c r="J107" s="1474"/>
      <c r="K107" s="1384"/>
      <c r="L107" s="1384"/>
      <c r="M107" s="1384"/>
      <c r="N107" s="1384"/>
      <c r="O107" s="1475"/>
      <c r="P107" s="1476"/>
    </row>
    <row r="108" spans="1:16">
      <c r="A108" s="1452" t="s">
        <v>391</v>
      </c>
      <c r="B108" s="620" t="s">
        <v>392</v>
      </c>
      <c r="C108" s="620" t="s">
        <v>243</v>
      </c>
      <c r="D108" s="620">
        <v>32</v>
      </c>
      <c r="E108" s="1453">
        <v>978</v>
      </c>
      <c r="F108" s="1453">
        <v>1012</v>
      </c>
      <c r="G108" s="1454">
        <f>F108-E108</f>
        <v>34</v>
      </c>
      <c r="H108" s="1454">
        <f t="shared" si="20"/>
        <v>34</v>
      </c>
      <c r="I108" s="1470">
        <f>ROUND(G108*($E$97+$E$99),2)</f>
        <v>3045.72</v>
      </c>
      <c r="J108" s="1470">
        <f>ROUND(D108*(($E$97+$E$99)-($D$97+$D$99)),2)</f>
        <v>0</v>
      </c>
      <c r="K108" s="1375"/>
      <c r="L108" s="1375"/>
      <c r="M108" s="1375"/>
      <c r="N108" s="1375"/>
      <c r="O108" s="1457">
        <f>SUM(J108:J110)+SUM(I108:I110)+SUM(M108:M110)</f>
        <v>87774.709999999992</v>
      </c>
      <c r="P108" s="1458">
        <v>87774.71</v>
      </c>
    </row>
    <row r="109" spans="1:16">
      <c r="A109" s="1459"/>
      <c r="B109" s="298"/>
      <c r="C109" s="298" t="s">
        <v>351</v>
      </c>
      <c r="D109" s="298">
        <v>11232</v>
      </c>
      <c r="E109" s="298">
        <v>441185</v>
      </c>
      <c r="F109" s="298">
        <v>452666</v>
      </c>
      <c r="G109" s="1460">
        <f>F109-E109</f>
        <v>11481</v>
      </c>
      <c r="H109" s="1460">
        <f t="shared" si="20"/>
        <v>11481</v>
      </c>
      <c r="I109" s="1471">
        <f t="shared" ref="I109:I116" si="21">ROUND(G109*$E$100,2)</f>
        <v>85077.65</v>
      </c>
      <c r="J109" s="1471">
        <f t="shared" ref="J109:J116" si="22">ROUND(D109*($E$100-$D$100),2)</f>
        <v>-551.49</v>
      </c>
      <c r="K109" s="1377"/>
      <c r="L109" s="1377"/>
      <c r="M109" s="1377"/>
      <c r="N109" s="1377"/>
      <c r="O109" s="1462"/>
      <c r="P109" s="1463"/>
    </row>
    <row r="110" spans="1:16" ht="15.75" thickBot="1">
      <c r="A110" s="1472"/>
      <c r="B110" s="774"/>
      <c r="C110" s="774" t="s">
        <v>263</v>
      </c>
      <c r="D110" s="774">
        <v>26.96</v>
      </c>
      <c r="E110" s="774"/>
      <c r="F110" s="774"/>
      <c r="G110" s="1473">
        <f>ROUND(G109*0.0024,2)</f>
        <v>27.55</v>
      </c>
      <c r="H110" s="1473">
        <f t="shared" si="20"/>
        <v>27.55</v>
      </c>
      <c r="I110" s="1474">
        <f t="shared" si="21"/>
        <v>204.15</v>
      </c>
      <c r="J110" s="1474">
        <f t="shared" si="22"/>
        <v>-1.32</v>
      </c>
      <c r="K110" s="1384"/>
      <c r="L110" s="1384"/>
      <c r="M110" s="1384"/>
      <c r="N110" s="1384"/>
      <c r="O110" s="1475"/>
      <c r="P110" s="1476"/>
    </row>
    <row r="111" spans="1:16">
      <c r="A111" s="1469">
        <v>105</v>
      </c>
      <c r="B111" s="620" t="s">
        <v>393</v>
      </c>
      <c r="C111" s="620" t="s">
        <v>351</v>
      </c>
      <c r="D111" s="620">
        <v>1471</v>
      </c>
      <c r="E111" s="620">
        <v>17154</v>
      </c>
      <c r="F111" s="620">
        <v>18748</v>
      </c>
      <c r="G111" s="1454">
        <f>F111-E111</f>
        <v>1594</v>
      </c>
      <c r="H111" s="1454">
        <f t="shared" si="20"/>
        <v>1594</v>
      </c>
      <c r="I111" s="1470">
        <f t="shared" si="21"/>
        <v>11812.02</v>
      </c>
      <c r="J111" s="1470">
        <f t="shared" si="22"/>
        <v>-72.23</v>
      </c>
      <c r="K111" s="1375"/>
      <c r="L111" s="1375"/>
      <c r="M111" s="1375"/>
      <c r="N111" s="1375"/>
      <c r="O111" s="1457">
        <f>I111+I112+J111+J112</f>
        <v>11768</v>
      </c>
      <c r="P111" s="1458">
        <v>11768</v>
      </c>
    </row>
    <row r="112" spans="1:16" ht="15.75" thickBot="1">
      <c r="A112" s="1464"/>
      <c r="B112" s="57"/>
      <c r="C112" s="57" t="s">
        <v>263</v>
      </c>
      <c r="D112" s="57">
        <v>3.53</v>
      </c>
      <c r="E112" s="57"/>
      <c r="F112" s="57"/>
      <c r="G112" s="1465">
        <f>ROUND(G111*0.0024,2)</f>
        <v>3.83</v>
      </c>
      <c r="H112" s="1465">
        <f t="shared" si="20"/>
        <v>3.83</v>
      </c>
      <c r="I112" s="1482">
        <f t="shared" si="21"/>
        <v>28.38</v>
      </c>
      <c r="J112" s="1482">
        <f t="shared" si="22"/>
        <v>-0.17</v>
      </c>
      <c r="K112" s="1307"/>
      <c r="L112" s="1307"/>
      <c r="M112" s="1307"/>
      <c r="N112" s="1307"/>
      <c r="O112" s="1467"/>
      <c r="P112" s="1468"/>
    </row>
    <row r="113" spans="1:16">
      <c r="A113" s="1469">
        <v>107</v>
      </c>
      <c r="B113" s="620" t="s">
        <v>394</v>
      </c>
      <c r="C113" s="620" t="s">
        <v>351</v>
      </c>
      <c r="D113" s="620">
        <v>727</v>
      </c>
      <c r="E113" s="620">
        <v>15901</v>
      </c>
      <c r="F113" s="620">
        <v>16745</v>
      </c>
      <c r="G113" s="1454">
        <f>F113-E113</f>
        <v>844</v>
      </c>
      <c r="H113" s="1454">
        <f t="shared" si="20"/>
        <v>844</v>
      </c>
      <c r="I113" s="1470">
        <f t="shared" si="21"/>
        <v>6254.29</v>
      </c>
      <c r="J113" s="1470">
        <f t="shared" si="22"/>
        <v>-35.700000000000003</v>
      </c>
      <c r="K113" s="1375"/>
      <c r="L113" s="1375"/>
      <c r="M113" s="1375"/>
      <c r="N113" s="1375"/>
      <c r="O113" s="1457">
        <f>I113+I114+J113+J114</f>
        <v>6233.54</v>
      </c>
      <c r="P113" s="1458">
        <v>6233.54</v>
      </c>
    </row>
    <row r="114" spans="1:16" ht="15.75" thickBot="1">
      <c r="A114" s="1464"/>
      <c r="B114" s="57"/>
      <c r="C114" s="57" t="s">
        <v>263</v>
      </c>
      <c r="D114" s="57">
        <v>1.74</v>
      </c>
      <c r="E114" s="57"/>
      <c r="F114" s="57"/>
      <c r="G114" s="1465">
        <f>ROUND(G113*0.0024,2)</f>
        <v>2.0299999999999998</v>
      </c>
      <c r="H114" s="1465">
        <f t="shared" si="20"/>
        <v>2.0299999999999998</v>
      </c>
      <c r="I114" s="1482">
        <f t="shared" si="21"/>
        <v>15.04</v>
      </c>
      <c r="J114" s="1482">
        <f t="shared" si="22"/>
        <v>-0.09</v>
      </c>
      <c r="K114" s="1307"/>
      <c r="L114" s="1307"/>
      <c r="M114" s="1307"/>
      <c r="N114" s="1307"/>
      <c r="O114" s="1467"/>
      <c r="P114" s="1468"/>
    </row>
    <row r="115" spans="1:16">
      <c r="A115" s="1469">
        <v>108</v>
      </c>
      <c r="B115" s="620" t="s">
        <v>395</v>
      </c>
      <c r="C115" s="620" t="s">
        <v>351</v>
      </c>
      <c r="D115" s="620">
        <v>233</v>
      </c>
      <c r="E115" s="620">
        <v>4756</v>
      </c>
      <c r="F115" s="620">
        <v>5016</v>
      </c>
      <c r="G115" s="1454">
        <f>F115-E115</f>
        <v>260</v>
      </c>
      <c r="H115" s="1454">
        <f t="shared" si="20"/>
        <v>260</v>
      </c>
      <c r="I115" s="1470">
        <f t="shared" si="21"/>
        <v>1926.68</v>
      </c>
      <c r="J115" s="1470">
        <f t="shared" si="22"/>
        <v>-11.44</v>
      </c>
      <c r="K115" s="1375"/>
      <c r="L115" s="1375"/>
      <c r="M115" s="1375"/>
      <c r="N115" s="1375"/>
      <c r="O115" s="1457">
        <f>I115+I116+J115+J116</f>
        <v>1919.8</v>
      </c>
      <c r="P115" s="1458">
        <v>1919.8</v>
      </c>
    </row>
    <row r="116" spans="1:16" ht="15.75" thickBot="1">
      <c r="A116" s="1464"/>
      <c r="B116" s="57"/>
      <c r="C116" s="57" t="s">
        <v>263</v>
      </c>
      <c r="D116" s="57">
        <v>0.56000000000000005</v>
      </c>
      <c r="E116" s="57"/>
      <c r="F116" s="57"/>
      <c r="G116" s="1465">
        <f>ROUND(G115*0.0024,2)</f>
        <v>0.62</v>
      </c>
      <c r="H116" s="1465">
        <f t="shared" si="20"/>
        <v>0.62</v>
      </c>
      <c r="I116" s="1482">
        <f t="shared" si="21"/>
        <v>4.59</v>
      </c>
      <c r="J116" s="1482">
        <f t="shared" si="22"/>
        <v>-0.03</v>
      </c>
      <c r="K116" s="1307"/>
      <c r="L116" s="1307"/>
      <c r="M116" s="1307"/>
      <c r="N116" s="1307"/>
      <c r="O116" s="1467"/>
      <c r="P116" s="1468"/>
    </row>
    <row r="117" spans="1:16">
      <c r="A117" s="1452" t="s">
        <v>396</v>
      </c>
      <c r="B117" s="620" t="s">
        <v>397</v>
      </c>
      <c r="C117" s="620" t="s">
        <v>243</v>
      </c>
      <c r="D117" s="620">
        <v>1</v>
      </c>
      <c r="E117" s="1453">
        <v>30</v>
      </c>
      <c r="F117" s="1453">
        <v>32</v>
      </c>
      <c r="G117" s="1454">
        <f>F117-E117</f>
        <v>2</v>
      </c>
      <c r="H117" s="1454">
        <f t="shared" si="20"/>
        <v>2</v>
      </c>
      <c r="I117" s="1470">
        <f>ROUND(G117*($E$97+$E$99),2)</f>
        <v>179.16</v>
      </c>
      <c r="J117" s="1470">
        <f>ROUND(D117*(($E$97+$E$99)-($D$97+$D$99)),2)</f>
        <v>0</v>
      </c>
      <c r="K117" s="1375"/>
      <c r="L117" s="1375"/>
      <c r="M117" s="1375"/>
      <c r="N117" s="1375"/>
      <c r="O117" s="1457">
        <f>SUM(J117:J119)+SUM(I117:I119)+SUM(M117:M119)</f>
        <v>7316.41</v>
      </c>
      <c r="P117" s="1458">
        <v>7316.41</v>
      </c>
    </row>
    <row r="118" spans="1:16">
      <c r="A118" s="1459"/>
      <c r="B118" s="298"/>
      <c r="C118" s="298" t="s">
        <v>351</v>
      </c>
      <c r="D118" s="298">
        <v>778</v>
      </c>
      <c r="E118" s="298">
        <v>60204</v>
      </c>
      <c r="F118" s="298">
        <v>61170</v>
      </c>
      <c r="G118" s="1460">
        <f>F118-E118</f>
        <v>966</v>
      </c>
      <c r="H118" s="1460">
        <f t="shared" si="20"/>
        <v>966</v>
      </c>
      <c r="I118" s="1471">
        <f>ROUND(G118*$E$100,2)</f>
        <v>7158.35</v>
      </c>
      <c r="J118" s="1471">
        <f>ROUND(D118*($E$100-$D$100),2)</f>
        <v>-38.200000000000003</v>
      </c>
      <c r="K118" s="1377"/>
      <c r="L118" s="1377"/>
      <c r="M118" s="1377"/>
      <c r="N118" s="1377"/>
      <c r="O118" s="1462"/>
      <c r="P118" s="1463"/>
    </row>
    <row r="119" spans="1:16" ht="15.75" thickBot="1">
      <c r="A119" s="1472"/>
      <c r="B119" s="774"/>
      <c r="C119" s="774" t="s">
        <v>263</v>
      </c>
      <c r="D119" s="774">
        <v>1.87</v>
      </c>
      <c r="E119" s="774"/>
      <c r="F119" s="774"/>
      <c r="G119" s="1473">
        <f>ROUND(G118*0.0024,2)</f>
        <v>2.3199999999999998</v>
      </c>
      <c r="H119" s="1473">
        <f t="shared" si="20"/>
        <v>2.3199999999999998</v>
      </c>
      <c r="I119" s="1474">
        <f>ROUND(G119*$E$100,2)</f>
        <v>17.190000000000001</v>
      </c>
      <c r="J119" s="1474">
        <f>ROUND(D119*($E$100-$D$100),2)</f>
        <v>-0.09</v>
      </c>
      <c r="K119" s="1384"/>
      <c r="L119" s="1384"/>
      <c r="M119" s="1384"/>
      <c r="N119" s="1384"/>
      <c r="O119" s="1475"/>
      <c r="P119" s="1476"/>
    </row>
    <row r="120" spans="1:16">
      <c r="A120" s="1452" t="s">
        <v>398</v>
      </c>
      <c r="B120" s="620" t="s">
        <v>399</v>
      </c>
      <c r="C120" s="620" t="s">
        <v>243</v>
      </c>
      <c r="D120" s="620">
        <v>164</v>
      </c>
      <c r="E120" s="1453">
        <v>8622</v>
      </c>
      <c r="F120" s="1453">
        <v>8777</v>
      </c>
      <c r="G120" s="1454">
        <f>F120-E120</f>
        <v>155</v>
      </c>
      <c r="H120" s="1454">
        <f t="shared" si="20"/>
        <v>155</v>
      </c>
      <c r="I120" s="1470">
        <f>ROUND(G120*($E$97+$E$99),2)</f>
        <v>13884.9</v>
      </c>
      <c r="J120" s="1470">
        <f>ROUND(D120*(($E$97+$E$99)-($D$97+$D$99)),2)</f>
        <v>0</v>
      </c>
      <c r="K120" s="1375"/>
      <c r="L120" s="1375"/>
      <c r="M120" s="1375"/>
      <c r="N120" s="1375"/>
      <c r="O120" s="1457">
        <f>SUM(J120:J122)+SUM(I120:I122)+SUM(M120:M122)</f>
        <v>259185.03999999998</v>
      </c>
      <c r="P120" s="1458">
        <v>259185.04</v>
      </c>
    </row>
    <row r="121" spans="1:16">
      <c r="A121" s="1459"/>
      <c r="B121" s="298"/>
      <c r="C121" s="298" t="s">
        <v>351</v>
      </c>
      <c r="D121" s="298">
        <v>32700</v>
      </c>
      <c r="E121" s="298">
        <v>32781</v>
      </c>
      <c r="F121" s="298">
        <v>33335</v>
      </c>
      <c r="G121" s="1460">
        <f>(F121-E121)*60</f>
        <v>33240</v>
      </c>
      <c r="H121" s="1460">
        <f t="shared" si="20"/>
        <v>33240</v>
      </c>
      <c r="I121" s="1471">
        <f>ROUND(G121*$E$100,2)</f>
        <v>246318.37</v>
      </c>
      <c r="J121" s="1471">
        <f>ROUND(D121*($E$100-$D$100),2)</f>
        <v>-1605.57</v>
      </c>
      <c r="K121" s="1377"/>
      <c r="L121" s="1377"/>
      <c r="M121" s="1377"/>
      <c r="N121" s="1377"/>
      <c r="O121" s="1462"/>
      <c r="P121" s="1463"/>
    </row>
    <row r="122" spans="1:16" ht="15.75" thickBot="1">
      <c r="A122" s="1472"/>
      <c r="B122" s="774"/>
      <c r="C122" s="774" t="s">
        <v>263</v>
      </c>
      <c r="D122" s="774">
        <v>78.48</v>
      </c>
      <c r="E122" s="774"/>
      <c r="F122" s="774"/>
      <c r="G122" s="1473">
        <f>ROUND(G121*0.0024,2)</f>
        <v>79.78</v>
      </c>
      <c r="H122" s="1473">
        <f t="shared" si="20"/>
        <v>79.78</v>
      </c>
      <c r="I122" s="1474">
        <f>ROUND(G122*$E$100,2)</f>
        <v>591.19000000000005</v>
      </c>
      <c r="J122" s="1474">
        <f>ROUND(D122*($E$100-$D$100),2)</f>
        <v>-3.85</v>
      </c>
      <c r="K122" s="1384"/>
      <c r="L122" s="1384"/>
      <c r="M122" s="1384"/>
      <c r="N122" s="1384"/>
      <c r="O122" s="1475"/>
      <c r="P122" s="1476"/>
    </row>
    <row r="123" spans="1:16">
      <c r="A123" s="1452" t="s">
        <v>400</v>
      </c>
      <c r="B123" s="620" t="s">
        <v>401</v>
      </c>
      <c r="C123" s="620" t="s">
        <v>243</v>
      </c>
      <c r="D123" s="620">
        <v>63</v>
      </c>
      <c r="E123" s="1453">
        <v>1126</v>
      </c>
      <c r="F123" s="1453">
        <v>1193</v>
      </c>
      <c r="G123" s="1454">
        <f>F123-E123</f>
        <v>67</v>
      </c>
      <c r="H123" s="1454">
        <f t="shared" si="20"/>
        <v>67</v>
      </c>
      <c r="I123" s="1470">
        <f>ROUND(G123*($E$97+$E$99),2)</f>
        <v>6001.86</v>
      </c>
      <c r="J123" s="1470">
        <f>ROUND(D123*(($E$97+$E$99)-($D$97+$D$99)),2)</f>
        <v>0</v>
      </c>
      <c r="K123" s="1375"/>
      <c r="L123" s="1375"/>
      <c r="M123" s="1375"/>
      <c r="N123" s="1375"/>
      <c r="O123" s="1457">
        <f>SUM(J123:J125)+SUM(I123:I125)+SUM(M123:M125)</f>
        <v>49747.8</v>
      </c>
      <c r="P123" s="1458">
        <v>49747.8</v>
      </c>
    </row>
    <row r="124" spans="1:16">
      <c r="A124" s="1459"/>
      <c r="B124" s="298"/>
      <c r="C124" s="298" t="s">
        <v>351</v>
      </c>
      <c r="D124" s="298">
        <v>6148</v>
      </c>
      <c r="E124" s="298">
        <v>144139</v>
      </c>
      <c r="F124" s="298">
        <v>150069</v>
      </c>
      <c r="G124" s="1460">
        <f>(F124-E124)</f>
        <v>5930</v>
      </c>
      <c r="H124" s="1460">
        <f t="shared" si="20"/>
        <v>5930</v>
      </c>
      <c r="I124" s="1471">
        <f>ROUND(G124*$E$100,2)</f>
        <v>43943.08</v>
      </c>
      <c r="J124" s="1471">
        <f>ROUND(D124*($E$100-$D$100),2)</f>
        <v>-301.87</v>
      </c>
      <c r="K124" s="1377"/>
      <c r="L124" s="1377"/>
      <c r="M124" s="1377"/>
      <c r="N124" s="1377"/>
      <c r="O124" s="1462"/>
      <c r="P124" s="1463"/>
    </row>
    <row r="125" spans="1:16" ht="15.75" thickBot="1">
      <c r="A125" s="1472"/>
      <c r="B125" s="774"/>
      <c r="C125" s="774" t="s">
        <v>263</v>
      </c>
      <c r="D125" s="774">
        <v>14.76</v>
      </c>
      <c r="E125" s="774"/>
      <c r="F125" s="774"/>
      <c r="G125" s="1473">
        <f>ROUND(G124*0.0024,2)</f>
        <v>14.23</v>
      </c>
      <c r="H125" s="1473">
        <f t="shared" si="20"/>
        <v>14.23</v>
      </c>
      <c r="I125" s="1474">
        <f>ROUND(G125*$E$100,2)</f>
        <v>105.45</v>
      </c>
      <c r="J125" s="1474">
        <f>ROUND(D125*($E$100-$D$100),2)</f>
        <v>-0.72</v>
      </c>
      <c r="K125" s="1384"/>
      <c r="L125" s="1384"/>
      <c r="M125" s="1384"/>
      <c r="N125" s="1384"/>
      <c r="O125" s="1475"/>
      <c r="P125" s="1476"/>
    </row>
    <row r="126" spans="1:16">
      <c r="A126" s="1469">
        <v>121</v>
      </c>
      <c r="B126" s="620" t="s">
        <v>154</v>
      </c>
      <c r="C126" s="620" t="s">
        <v>351</v>
      </c>
      <c r="D126" s="620">
        <v>293</v>
      </c>
      <c r="E126" s="620">
        <v>7323</v>
      </c>
      <c r="F126" s="620">
        <v>7624</v>
      </c>
      <c r="G126" s="1454">
        <f>F126-E126</f>
        <v>301</v>
      </c>
      <c r="H126" s="1454">
        <f t="shared" si="20"/>
        <v>301</v>
      </c>
      <c r="I126" s="1470">
        <f>ROUND(G126*$E$100,2)</f>
        <v>2230.5</v>
      </c>
      <c r="J126" s="1470">
        <f>ROUND(D126*($E$100-$D$100),2)</f>
        <v>-14.39</v>
      </c>
      <c r="K126" s="1375"/>
      <c r="L126" s="1375"/>
      <c r="M126" s="1375"/>
      <c r="N126" s="1375"/>
      <c r="O126" s="1457">
        <f>I126+I127+J126+J127</f>
        <v>2221.42</v>
      </c>
      <c r="P126" s="1458">
        <v>2221.42</v>
      </c>
    </row>
    <row r="127" spans="1:16" ht="15.75" thickBot="1">
      <c r="A127" s="1472"/>
      <c r="B127" s="774"/>
      <c r="C127" s="774" t="s">
        <v>263</v>
      </c>
      <c r="D127" s="774">
        <v>0.7</v>
      </c>
      <c r="E127" s="774"/>
      <c r="F127" s="774"/>
      <c r="G127" s="1473">
        <f>ROUND(G126*0.0024,2)</f>
        <v>0.72</v>
      </c>
      <c r="H127" s="1473">
        <f t="shared" si="20"/>
        <v>0.72</v>
      </c>
      <c r="I127" s="1474">
        <f>ROUND(G127*$E$100,2)</f>
        <v>5.34</v>
      </c>
      <c r="J127" s="1474">
        <f>ROUND(D127*($E$100-$D$100),2)</f>
        <v>-0.03</v>
      </c>
      <c r="K127" s="1384"/>
      <c r="L127" s="1384"/>
      <c r="M127" s="1384"/>
      <c r="N127" s="1384"/>
      <c r="O127" s="1475"/>
      <c r="P127" s="1476"/>
    </row>
    <row r="128" spans="1:16">
      <c r="A128" s="1452" t="s">
        <v>402</v>
      </c>
      <c r="B128" s="620" t="s">
        <v>403</v>
      </c>
      <c r="C128" s="620" t="s">
        <v>243</v>
      </c>
      <c r="D128" s="620">
        <v>13</v>
      </c>
      <c r="E128" s="1453">
        <v>894</v>
      </c>
      <c r="F128" s="1453">
        <v>906</v>
      </c>
      <c r="G128" s="1454">
        <f>F128-E128</f>
        <v>12</v>
      </c>
      <c r="H128" s="1454">
        <f t="shared" si="20"/>
        <v>12</v>
      </c>
      <c r="I128" s="1470">
        <f>ROUND(G128*($E$97+$E$99),2)</f>
        <v>1074.96</v>
      </c>
      <c r="J128" s="1470">
        <f>ROUND(D128*(($E$97+$E$99)-($D$97+$D$99)),2)</f>
        <v>0</v>
      </c>
      <c r="K128" s="1375"/>
      <c r="L128" s="1375"/>
      <c r="M128" s="1375"/>
      <c r="N128" s="1375"/>
      <c r="O128" s="1457">
        <f>SUM(J128:J132)+SUM(I128:I132)+SUM(M128:M132)</f>
        <v>21328.100000000002</v>
      </c>
      <c r="P128" s="1458">
        <v>21328.1</v>
      </c>
    </row>
    <row r="129" spans="1:16">
      <c r="A129" s="1477"/>
      <c r="B129" s="670"/>
      <c r="C129" s="1499" t="s">
        <v>33</v>
      </c>
      <c r="D129" s="1499">
        <v>4</v>
      </c>
      <c r="E129" s="1500">
        <v>426</v>
      </c>
      <c r="F129" s="1500">
        <v>432</v>
      </c>
      <c r="G129" s="1501">
        <f>F129-E129</f>
        <v>6</v>
      </c>
      <c r="H129" s="1501">
        <f t="shared" si="20"/>
        <v>6</v>
      </c>
      <c r="I129" s="1502">
        <f>ROUND(G129*($E$98+$E$99),2)</f>
        <v>1951.6</v>
      </c>
      <c r="J129" s="1502">
        <f>ROUND(D129*(($E$98+$E$99)-($D$98+$D$99)),2)</f>
        <v>0</v>
      </c>
      <c r="K129" s="1405"/>
      <c r="L129" s="1405"/>
      <c r="M129" s="1405"/>
      <c r="N129" s="1405"/>
      <c r="O129" s="1479"/>
      <c r="P129" s="1480"/>
    </row>
    <row r="130" spans="1:16">
      <c r="A130" s="1459"/>
      <c r="B130" s="298"/>
      <c r="C130" s="298" t="s">
        <v>372</v>
      </c>
      <c r="D130" s="298">
        <v>2440</v>
      </c>
      <c r="E130" s="298">
        <v>3191</v>
      </c>
      <c r="F130" s="298">
        <v>3253</v>
      </c>
      <c r="G130" s="1460">
        <f>(F130-E130)*40</f>
        <v>2480</v>
      </c>
      <c r="H130" s="1460">
        <f>G130+G131</f>
        <v>2480</v>
      </c>
      <c r="I130" s="1471">
        <f t="shared" ref="I130:I138" si="23">ROUND(G130*$E$100,2)</f>
        <v>18377.54</v>
      </c>
      <c r="J130" s="1471">
        <f t="shared" ref="J130:J138" si="24">ROUND(D130*($E$100-$D$100),2)</f>
        <v>-119.8</v>
      </c>
      <c r="K130" s="1377"/>
      <c r="L130" s="1377"/>
      <c r="M130" s="1377"/>
      <c r="N130" s="1377"/>
      <c r="O130" s="1462"/>
      <c r="P130" s="1463"/>
    </row>
    <row r="131" spans="1:16">
      <c r="A131" s="1459"/>
      <c r="B131" s="298"/>
      <c r="C131" s="298" t="s">
        <v>373</v>
      </c>
      <c r="D131" s="298">
        <v>0</v>
      </c>
      <c r="E131" s="298">
        <v>519</v>
      </c>
      <c r="F131" s="298">
        <v>519</v>
      </c>
      <c r="G131" s="1460">
        <f>(F131-E131)</f>
        <v>0</v>
      </c>
      <c r="H131" s="1460"/>
      <c r="I131" s="1471">
        <f t="shared" si="23"/>
        <v>0</v>
      </c>
      <c r="J131" s="1471">
        <f t="shared" si="24"/>
        <v>0</v>
      </c>
      <c r="K131" s="1377"/>
      <c r="L131" s="1377"/>
      <c r="M131" s="1377"/>
      <c r="N131" s="1377"/>
      <c r="O131" s="1462"/>
      <c r="P131" s="1463"/>
    </row>
    <row r="132" spans="1:16" ht="15.75" thickBot="1">
      <c r="A132" s="1464"/>
      <c r="B132" s="57"/>
      <c r="C132" s="57" t="s">
        <v>263</v>
      </c>
      <c r="D132" s="57">
        <v>5.86</v>
      </c>
      <c r="E132" s="57"/>
      <c r="F132" s="57"/>
      <c r="G132" s="1465">
        <f>ROUND((G131+G130)*0.0024,2)</f>
        <v>5.95</v>
      </c>
      <c r="H132" s="1465">
        <f t="shared" ref="H132:H151" si="25">G132</f>
        <v>5.95</v>
      </c>
      <c r="I132" s="1482">
        <f t="shared" si="23"/>
        <v>44.09</v>
      </c>
      <c r="J132" s="1482">
        <f t="shared" si="24"/>
        <v>-0.28999999999999998</v>
      </c>
      <c r="K132" s="1307"/>
      <c r="L132" s="1307"/>
      <c r="M132" s="1307"/>
      <c r="N132" s="1307"/>
      <c r="O132" s="1467"/>
      <c r="P132" s="1468"/>
    </row>
    <row r="133" spans="1:16">
      <c r="A133" s="1469">
        <v>203</v>
      </c>
      <c r="B133" s="620" t="s">
        <v>404</v>
      </c>
      <c r="C133" s="620" t="s">
        <v>351</v>
      </c>
      <c r="D133" s="620">
        <v>109</v>
      </c>
      <c r="E133" s="620">
        <v>764</v>
      </c>
      <c r="F133" s="620">
        <v>875</v>
      </c>
      <c r="G133" s="1454">
        <f>F133-E133</f>
        <v>111</v>
      </c>
      <c r="H133" s="1454">
        <f t="shared" si="25"/>
        <v>111</v>
      </c>
      <c r="I133" s="1470">
        <f t="shared" si="23"/>
        <v>822.54</v>
      </c>
      <c r="J133" s="1470">
        <f t="shared" si="24"/>
        <v>-5.35</v>
      </c>
      <c r="K133" s="1375"/>
      <c r="L133" s="1375"/>
      <c r="M133" s="1375"/>
      <c r="N133" s="1375"/>
      <c r="O133" s="1457">
        <f>I133+I134+J133+J134</f>
        <v>819.18</v>
      </c>
      <c r="P133" s="1458">
        <v>819.18</v>
      </c>
    </row>
    <row r="134" spans="1:16" ht="15.75" thickBot="1">
      <c r="A134" s="1472"/>
      <c r="B134" s="774"/>
      <c r="C134" s="774" t="s">
        <v>263</v>
      </c>
      <c r="D134" s="774">
        <v>0.26</v>
      </c>
      <c r="E134" s="774"/>
      <c r="F134" s="774"/>
      <c r="G134" s="1473">
        <f>ROUND(G133*0.0024,2)</f>
        <v>0.27</v>
      </c>
      <c r="H134" s="1473">
        <f t="shared" si="25"/>
        <v>0.27</v>
      </c>
      <c r="I134" s="1474">
        <f t="shared" si="23"/>
        <v>2</v>
      </c>
      <c r="J134" s="1474">
        <f t="shared" si="24"/>
        <v>-0.01</v>
      </c>
      <c r="K134" s="1384"/>
      <c r="L134" s="1384"/>
      <c r="M134" s="1384"/>
      <c r="N134" s="1384"/>
      <c r="O134" s="1475"/>
      <c r="P134" s="1476"/>
    </row>
    <row r="135" spans="1:16">
      <c r="A135" s="1469">
        <v>207</v>
      </c>
      <c r="B135" s="620" t="s">
        <v>289</v>
      </c>
      <c r="C135" s="620" t="s">
        <v>351</v>
      </c>
      <c r="D135" s="620">
        <v>327</v>
      </c>
      <c r="E135" s="620">
        <v>10301</v>
      </c>
      <c r="F135" s="620">
        <v>10624</v>
      </c>
      <c r="G135" s="1454">
        <f>F135-E135</f>
        <v>323</v>
      </c>
      <c r="H135" s="1454">
        <f t="shared" si="25"/>
        <v>323</v>
      </c>
      <c r="I135" s="1470">
        <f t="shared" si="23"/>
        <v>2393.5300000000002</v>
      </c>
      <c r="J135" s="1470">
        <f t="shared" si="24"/>
        <v>-16.059999999999999</v>
      </c>
      <c r="K135" s="1375"/>
      <c r="L135" s="1375"/>
      <c r="M135" s="1375"/>
      <c r="N135" s="1375"/>
      <c r="O135" s="1457">
        <f>I135+I136+J135+J136</f>
        <v>2383.2100000000005</v>
      </c>
      <c r="P135" s="1458">
        <v>2383.21</v>
      </c>
    </row>
    <row r="136" spans="1:16" ht="15.75" thickBot="1">
      <c r="A136" s="1472"/>
      <c r="B136" s="774"/>
      <c r="C136" s="774" t="s">
        <v>263</v>
      </c>
      <c r="D136" s="774">
        <v>0.78</v>
      </c>
      <c r="E136" s="774"/>
      <c r="F136" s="774"/>
      <c r="G136" s="1473">
        <f>ROUND(G135*0.0024,2)</f>
        <v>0.78</v>
      </c>
      <c r="H136" s="1473">
        <f t="shared" si="25"/>
        <v>0.78</v>
      </c>
      <c r="I136" s="1474">
        <f t="shared" si="23"/>
        <v>5.78</v>
      </c>
      <c r="J136" s="1474">
        <f t="shared" si="24"/>
        <v>-0.04</v>
      </c>
      <c r="K136" s="1384"/>
      <c r="L136" s="1384"/>
      <c r="M136" s="1384"/>
      <c r="N136" s="1384"/>
      <c r="O136" s="1475"/>
      <c r="P136" s="1476"/>
    </row>
    <row r="137" spans="1:16">
      <c r="A137" s="1469">
        <v>208</v>
      </c>
      <c r="B137" s="620" t="s">
        <v>137</v>
      </c>
      <c r="C137" s="620" t="s">
        <v>351</v>
      </c>
      <c r="D137" s="620">
        <v>267</v>
      </c>
      <c r="E137" s="620">
        <v>1258</v>
      </c>
      <c r="F137" s="620">
        <v>1533</v>
      </c>
      <c r="G137" s="1454">
        <f>F137-E137</f>
        <v>275</v>
      </c>
      <c r="H137" s="1454">
        <f t="shared" si="25"/>
        <v>275</v>
      </c>
      <c r="I137" s="1470">
        <f t="shared" si="23"/>
        <v>2037.83</v>
      </c>
      <c r="J137" s="1470">
        <f t="shared" si="24"/>
        <v>-13.11</v>
      </c>
      <c r="K137" s="1375"/>
      <c r="L137" s="1375"/>
      <c r="M137" s="1375"/>
      <c r="N137" s="1375"/>
      <c r="O137" s="1457">
        <f>I137+I138+J137+J138</f>
        <v>2029.5800000000002</v>
      </c>
      <c r="P137" s="1458">
        <v>2029.58</v>
      </c>
    </row>
    <row r="138" spans="1:16" ht="15.75" thickBot="1">
      <c r="A138" s="1472"/>
      <c r="B138" s="774"/>
      <c r="C138" s="774" t="s">
        <v>263</v>
      </c>
      <c r="D138" s="774">
        <v>0.64</v>
      </c>
      <c r="E138" s="774"/>
      <c r="F138" s="774"/>
      <c r="G138" s="1473">
        <f>ROUND(G137*0.0024,2)</f>
        <v>0.66</v>
      </c>
      <c r="H138" s="1473">
        <f t="shared" si="25"/>
        <v>0.66</v>
      </c>
      <c r="I138" s="1474">
        <f t="shared" si="23"/>
        <v>4.8899999999999997</v>
      </c>
      <c r="J138" s="1474">
        <f t="shared" si="24"/>
        <v>-0.03</v>
      </c>
      <c r="K138" s="1384"/>
      <c r="L138" s="1384"/>
      <c r="M138" s="1384"/>
      <c r="N138" s="1384"/>
      <c r="O138" s="1475"/>
      <c r="P138" s="1476"/>
    </row>
    <row r="139" spans="1:16">
      <c r="A139" s="1452" t="s">
        <v>405</v>
      </c>
      <c r="B139" s="620" t="s">
        <v>406</v>
      </c>
      <c r="C139" s="620" t="s">
        <v>243</v>
      </c>
      <c r="D139" s="620">
        <v>4</v>
      </c>
      <c r="E139" s="1453">
        <v>146</v>
      </c>
      <c r="F139" s="1453">
        <v>148</v>
      </c>
      <c r="G139" s="1454">
        <f>F139-E139</f>
        <v>2</v>
      </c>
      <c r="H139" s="1454">
        <f t="shared" si="25"/>
        <v>2</v>
      </c>
      <c r="I139" s="1470">
        <f>ROUND(G139*($E$97+$E$99),2)</f>
        <v>179.16</v>
      </c>
      <c r="J139" s="1470">
        <f>ROUND(D139*(($E$97+$E$99)-($D$97+$D$99)),2)</f>
        <v>0</v>
      </c>
      <c r="K139" s="1375"/>
      <c r="L139" s="1375"/>
      <c r="M139" s="1375"/>
      <c r="N139" s="1375"/>
      <c r="O139" s="1457">
        <f>SUM(J139:J142)+SUM(I139:I142)+SUM(M139:M142)</f>
        <v>3781.4200000000005</v>
      </c>
      <c r="P139" s="1458">
        <v>3781.42</v>
      </c>
    </row>
    <row r="140" spans="1:16">
      <c r="A140" s="1477"/>
      <c r="B140" s="670"/>
      <c r="C140" s="1499" t="s">
        <v>33</v>
      </c>
      <c r="D140" s="1499">
        <v>4</v>
      </c>
      <c r="E140" s="1500">
        <v>209</v>
      </c>
      <c r="F140" s="1500">
        <v>212</v>
      </c>
      <c r="G140" s="1501">
        <f>F140-E140</f>
        <v>3</v>
      </c>
      <c r="H140" s="1501">
        <f t="shared" si="25"/>
        <v>3</v>
      </c>
      <c r="I140" s="1502">
        <f>ROUND(G140*($E$98+$E$99),2)</f>
        <v>975.8</v>
      </c>
      <c r="J140" s="1502">
        <f>ROUND(D140*(($E$98+$E$99)-($D$98+$D$99)),2)</f>
        <v>0</v>
      </c>
      <c r="K140" s="1405"/>
      <c r="L140" s="1405"/>
      <c r="M140" s="1405"/>
      <c r="N140" s="1405"/>
      <c r="O140" s="1479"/>
      <c r="P140" s="1480"/>
    </row>
    <row r="141" spans="1:16">
      <c r="A141" s="1459"/>
      <c r="B141" s="298"/>
      <c r="C141" s="298" t="s">
        <v>351</v>
      </c>
      <c r="D141" s="298">
        <v>364</v>
      </c>
      <c r="E141" s="298">
        <v>14006</v>
      </c>
      <c r="F141" s="298">
        <v>14362</v>
      </c>
      <c r="G141" s="1460">
        <f>(F141-E141)</f>
        <v>356</v>
      </c>
      <c r="H141" s="1460">
        <f t="shared" si="25"/>
        <v>356</v>
      </c>
      <c r="I141" s="1471">
        <f t="shared" ref="I141:I146" si="26">ROUND(G141*$E$100,2)</f>
        <v>2638.07</v>
      </c>
      <c r="J141" s="1471">
        <f t="shared" ref="J141:J146" si="27">ROUND(D141*($E$100-$D$100),2)</f>
        <v>-17.87</v>
      </c>
      <c r="K141" s="1377"/>
      <c r="L141" s="1377"/>
      <c r="M141" s="1377"/>
      <c r="N141" s="1377"/>
      <c r="O141" s="1462"/>
      <c r="P141" s="1463"/>
    </row>
    <row r="142" spans="1:16" ht="15.75" thickBot="1">
      <c r="A142" s="1464"/>
      <c r="B142" s="57"/>
      <c r="C142" s="57" t="s">
        <v>263</v>
      </c>
      <c r="D142" s="57">
        <v>0.87</v>
      </c>
      <c r="E142" s="57"/>
      <c r="F142" s="57"/>
      <c r="G142" s="1465">
        <f>ROUND((G141)*0.0024,2)</f>
        <v>0.85</v>
      </c>
      <c r="H142" s="1465">
        <f t="shared" si="25"/>
        <v>0.85</v>
      </c>
      <c r="I142" s="1482">
        <f t="shared" si="26"/>
        <v>6.3</v>
      </c>
      <c r="J142" s="1482">
        <f t="shared" si="27"/>
        <v>-0.04</v>
      </c>
      <c r="K142" s="1307"/>
      <c r="L142" s="1307"/>
      <c r="M142" s="1307"/>
      <c r="N142" s="1307"/>
      <c r="O142" s="1467"/>
      <c r="P142" s="1468"/>
    </row>
    <row r="143" spans="1:16">
      <c r="A143" s="1469">
        <v>211</v>
      </c>
      <c r="B143" s="620" t="s">
        <v>407</v>
      </c>
      <c r="C143" s="620" t="s">
        <v>351</v>
      </c>
      <c r="D143" s="620">
        <v>265</v>
      </c>
      <c r="E143" s="620">
        <v>3751</v>
      </c>
      <c r="F143" s="620">
        <v>4026</v>
      </c>
      <c r="G143" s="1454">
        <f>F143-E143</f>
        <v>275</v>
      </c>
      <c r="H143" s="1454">
        <f t="shared" si="25"/>
        <v>275</v>
      </c>
      <c r="I143" s="1470">
        <f t="shared" si="26"/>
        <v>2037.83</v>
      </c>
      <c r="J143" s="1470">
        <f t="shared" si="27"/>
        <v>-13.01</v>
      </c>
      <c r="K143" s="1375"/>
      <c r="L143" s="1375"/>
      <c r="M143" s="1375"/>
      <c r="N143" s="1375"/>
      <c r="O143" s="1457">
        <f>I143+I144+J143+J144</f>
        <v>2029.68</v>
      </c>
      <c r="P143" s="1458">
        <v>2029.68</v>
      </c>
    </row>
    <row r="144" spans="1:16" ht="15.75" thickBot="1">
      <c r="A144" s="1472"/>
      <c r="B144" s="774"/>
      <c r="C144" s="774" t="s">
        <v>263</v>
      </c>
      <c r="D144" s="774">
        <v>0.64</v>
      </c>
      <c r="E144" s="774"/>
      <c r="F144" s="774"/>
      <c r="G144" s="1473">
        <f>ROUND(G143*0.0024,2)</f>
        <v>0.66</v>
      </c>
      <c r="H144" s="1473">
        <f t="shared" si="25"/>
        <v>0.66</v>
      </c>
      <c r="I144" s="1474">
        <f t="shared" si="26"/>
        <v>4.8899999999999997</v>
      </c>
      <c r="J144" s="1474">
        <f t="shared" si="27"/>
        <v>-0.03</v>
      </c>
      <c r="K144" s="1384"/>
      <c r="L144" s="1384"/>
      <c r="M144" s="1384"/>
      <c r="N144" s="1384"/>
      <c r="O144" s="1475"/>
      <c r="P144" s="1476"/>
    </row>
    <row r="145" spans="1:16">
      <c r="A145" s="1469">
        <v>212</v>
      </c>
      <c r="B145" s="620" t="s">
        <v>408</v>
      </c>
      <c r="C145" s="620" t="s">
        <v>351</v>
      </c>
      <c r="D145" s="620">
        <v>704</v>
      </c>
      <c r="E145" s="620">
        <v>18181</v>
      </c>
      <c r="F145" s="620">
        <v>18854</v>
      </c>
      <c r="G145" s="1454">
        <f>F145-E145</f>
        <v>673</v>
      </c>
      <c r="H145" s="1454">
        <f t="shared" si="25"/>
        <v>673</v>
      </c>
      <c r="I145" s="1470">
        <f t="shared" si="26"/>
        <v>4987.13</v>
      </c>
      <c r="J145" s="1470">
        <f t="shared" si="27"/>
        <v>-34.57</v>
      </c>
      <c r="K145" s="1375"/>
      <c r="L145" s="1375"/>
      <c r="M145" s="1375"/>
      <c r="N145" s="1375"/>
      <c r="O145" s="1457">
        <f>I145+I146+J145+J146</f>
        <v>4964.4800000000005</v>
      </c>
      <c r="P145" s="1458">
        <v>4964.4799999999996</v>
      </c>
    </row>
    <row r="146" spans="1:16" ht="15.75" thickBot="1">
      <c r="A146" s="1472"/>
      <c r="B146" s="774"/>
      <c r="C146" s="774" t="s">
        <v>263</v>
      </c>
      <c r="D146" s="774">
        <v>1.69</v>
      </c>
      <c r="E146" s="774"/>
      <c r="F146" s="774"/>
      <c r="G146" s="1473">
        <f>ROUND(G145*0.0024,2)</f>
        <v>1.62</v>
      </c>
      <c r="H146" s="1473">
        <f t="shared" si="25"/>
        <v>1.62</v>
      </c>
      <c r="I146" s="1474">
        <f t="shared" si="26"/>
        <v>12</v>
      </c>
      <c r="J146" s="1474">
        <f t="shared" si="27"/>
        <v>-0.08</v>
      </c>
      <c r="K146" s="1384"/>
      <c r="L146" s="1384"/>
      <c r="M146" s="1384"/>
      <c r="N146" s="1384"/>
      <c r="O146" s="1475"/>
      <c r="P146" s="1476"/>
    </row>
    <row r="147" spans="1:16">
      <c r="A147" s="1469">
        <v>215</v>
      </c>
      <c r="B147" s="1483" t="s">
        <v>409</v>
      </c>
      <c r="C147" s="620" t="s">
        <v>351</v>
      </c>
      <c r="D147" s="620">
        <v>612</v>
      </c>
      <c r="E147" s="620">
        <v>9828</v>
      </c>
      <c r="F147" s="620">
        <v>10440</v>
      </c>
      <c r="G147" s="1454">
        <f>F147-E147</f>
        <v>612</v>
      </c>
      <c r="H147" s="1454">
        <f t="shared" si="25"/>
        <v>612</v>
      </c>
      <c r="I147" s="1470">
        <f t="shared" ref="I147:I148" si="28">ROUND(G147*$F$100,2)</f>
        <v>4700.1000000000004</v>
      </c>
      <c r="J147" s="1470"/>
      <c r="K147" s="1375"/>
      <c r="L147" s="1375"/>
      <c r="M147" s="1375"/>
      <c r="N147" s="1375"/>
      <c r="O147" s="1498">
        <f>I147+I148+J147+J148</f>
        <v>4711.3900000000003</v>
      </c>
      <c r="P147" s="1458">
        <v>4711.3900000000003</v>
      </c>
    </row>
    <row r="148" spans="1:16" ht="15.75" thickBot="1">
      <c r="A148" s="1464"/>
      <c r="B148" s="57"/>
      <c r="C148" s="57" t="s">
        <v>263</v>
      </c>
      <c r="D148" s="57">
        <v>1.47</v>
      </c>
      <c r="E148" s="57"/>
      <c r="F148" s="57"/>
      <c r="G148" s="1465">
        <f>ROUND((G147)*0.0024,2)</f>
        <v>1.47</v>
      </c>
      <c r="H148" s="1465">
        <f t="shared" si="25"/>
        <v>1.47</v>
      </c>
      <c r="I148" s="1482">
        <f t="shared" si="28"/>
        <v>11.29</v>
      </c>
      <c r="J148" s="1482"/>
      <c r="K148" s="1307"/>
      <c r="L148" s="1307"/>
      <c r="M148" s="1307"/>
      <c r="N148" s="1307"/>
      <c r="O148" s="1467"/>
      <c r="P148" s="1468"/>
    </row>
    <row r="149" spans="1:16">
      <c r="A149" s="1469">
        <v>218</v>
      </c>
      <c r="B149" s="620" t="s">
        <v>410</v>
      </c>
      <c r="C149" s="620" t="s">
        <v>351</v>
      </c>
      <c r="D149" s="620">
        <v>170</v>
      </c>
      <c r="E149" s="620">
        <v>1056</v>
      </c>
      <c r="F149" s="620">
        <v>1217</v>
      </c>
      <c r="G149" s="1454">
        <f>F149-E149</f>
        <v>161</v>
      </c>
      <c r="H149" s="1454">
        <f t="shared" si="25"/>
        <v>161</v>
      </c>
      <c r="I149" s="1470">
        <f>ROUND(G149*$E$100,2)</f>
        <v>1193.06</v>
      </c>
      <c r="J149" s="1470">
        <f>ROUND(D149*($E$100-$D$100),2)</f>
        <v>-8.35</v>
      </c>
      <c r="K149" s="1375"/>
      <c r="L149" s="1375"/>
      <c r="M149" s="1375"/>
      <c r="N149" s="1375"/>
      <c r="O149" s="1457">
        <f>I149+I150+J149+J150</f>
        <v>1187.5800000000002</v>
      </c>
      <c r="P149" s="1458">
        <v>1187.58</v>
      </c>
    </row>
    <row r="150" spans="1:16" ht="15.75" thickBot="1">
      <c r="A150" s="1472"/>
      <c r="B150" s="774"/>
      <c r="C150" s="774" t="s">
        <v>263</v>
      </c>
      <c r="D150" s="774">
        <v>0.41</v>
      </c>
      <c r="E150" s="774"/>
      <c r="F150" s="774"/>
      <c r="G150" s="1473">
        <f>ROUND(G149*0.0024,2)</f>
        <v>0.39</v>
      </c>
      <c r="H150" s="1473">
        <f t="shared" si="25"/>
        <v>0.39</v>
      </c>
      <c r="I150" s="1474">
        <f>ROUND(G150*$E$100,2)</f>
        <v>2.89</v>
      </c>
      <c r="J150" s="1474">
        <f>ROUND(D150*($E$100-$D$100),2)</f>
        <v>-0.02</v>
      </c>
      <c r="K150" s="1384"/>
      <c r="L150" s="1384"/>
      <c r="M150" s="1384"/>
      <c r="N150" s="1384"/>
      <c r="O150" s="1475"/>
      <c r="P150" s="1476"/>
    </row>
    <row r="151" spans="1:16">
      <c r="A151" s="1452" t="s">
        <v>411</v>
      </c>
      <c r="B151" s="620" t="s">
        <v>412</v>
      </c>
      <c r="C151" s="620" t="s">
        <v>243</v>
      </c>
      <c r="D151" s="620">
        <v>685</v>
      </c>
      <c r="E151" s="1453">
        <v>55742</v>
      </c>
      <c r="F151" s="1453">
        <v>56353</v>
      </c>
      <c r="G151" s="1454">
        <f>F151-E151-G120</f>
        <v>456</v>
      </c>
      <c r="H151" s="1454">
        <f t="shared" si="25"/>
        <v>456</v>
      </c>
      <c r="I151" s="1470">
        <f>ROUND(G151*($E$97+$E$99),2)</f>
        <v>40848.480000000003</v>
      </c>
      <c r="J151" s="1470">
        <f>ROUND(D151*(($E$97+$E$99)-($D$97+$D$99)),2)</f>
        <v>0</v>
      </c>
      <c r="K151" s="1375"/>
      <c r="L151" s="1375"/>
      <c r="M151" s="1375"/>
      <c r="N151" s="1375"/>
      <c r="O151" s="1457">
        <f>SUM(J151:J156)+SUM(I151:I156)+SUM(M151:M156)</f>
        <v>110443.23</v>
      </c>
      <c r="P151" s="1458">
        <v>110443.23</v>
      </c>
    </row>
    <row r="152" spans="1:16">
      <c r="A152" s="1477"/>
      <c r="B152" s="670"/>
      <c r="C152" s="1499" t="s">
        <v>413</v>
      </c>
      <c r="D152" s="1499">
        <v>41</v>
      </c>
      <c r="E152" s="1500">
        <v>7030</v>
      </c>
      <c r="F152" s="1500">
        <v>7055</v>
      </c>
      <c r="G152" s="1501">
        <f>F152-E152-G140</f>
        <v>22</v>
      </c>
      <c r="H152" s="1501">
        <f>G152+G153</f>
        <v>22</v>
      </c>
      <c r="I152" s="1502">
        <f>ROUND(G152*($E$98+$E$99),2)</f>
        <v>7155.85</v>
      </c>
      <c r="J152" s="1502">
        <f>ROUND(D152*(($E$98+$E$99)-($D$98+$D$99)),2)</f>
        <v>0</v>
      </c>
      <c r="K152" s="1405"/>
      <c r="L152" s="1405"/>
      <c r="M152" s="1405"/>
      <c r="N152" s="1405"/>
      <c r="O152" s="1479"/>
      <c r="P152" s="1480"/>
    </row>
    <row r="153" spans="1:16">
      <c r="A153" s="1477"/>
      <c r="B153" s="670"/>
      <c r="C153" s="1499" t="s">
        <v>414</v>
      </c>
      <c r="D153" s="1499">
        <v>0</v>
      </c>
      <c r="E153" s="1500">
        <v>227</v>
      </c>
      <c r="F153" s="1500">
        <v>227</v>
      </c>
      <c r="G153" s="1501">
        <f>F153-E153</f>
        <v>0</v>
      </c>
      <c r="H153" s="1501"/>
      <c r="I153" s="1502">
        <f>ROUND(G153*($E$98+$E$99),2)</f>
        <v>0</v>
      </c>
      <c r="J153" s="1502">
        <f>ROUND(D153*(($E$98+$E$99)-($D$98+$D$99)),2)</f>
        <v>0</v>
      </c>
      <c r="K153" s="1405"/>
      <c r="L153" s="1405"/>
      <c r="M153" s="1405"/>
      <c r="N153" s="1405"/>
      <c r="O153" s="1479"/>
      <c r="P153" s="1480"/>
    </row>
    <row r="154" spans="1:16">
      <c r="A154" s="1459"/>
      <c r="B154" s="298"/>
      <c r="C154" s="298" t="s">
        <v>372</v>
      </c>
      <c r="D154" s="298">
        <v>11200</v>
      </c>
      <c r="E154" s="298">
        <v>45478</v>
      </c>
      <c r="F154" s="298">
        <v>45690</v>
      </c>
      <c r="G154" s="1460">
        <f>(F154-E154)*40</f>
        <v>8480</v>
      </c>
      <c r="H154" s="1460">
        <f>G154+G155</f>
        <v>8480</v>
      </c>
      <c r="I154" s="1471">
        <f>ROUND(G154*$E$100,2)</f>
        <v>62839.34</v>
      </c>
      <c r="J154" s="1471">
        <f>ROUND(D154*($E$100-$D$100),2)</f>
        <v>-549.91999999999996</v>
      </c>
      <c r="K154" s="1377"/>
      <c r="L154" s="1377"/>
      <c r="M154" s="1377"/>
      <c r="N154" s="1377"/>
      <c r="O154" s="1462"/>
      <c r="P154" s="1463"/>
    </row>
    <row r="155" spans="1:16">
      <c r="A155" s="1459"/>
      <c r="B155" s="298"/>
      <c r="C155" s="298" t="s">
        <v>373</v>
      </c>
      <c r="D155" s="298">
        <v>0</v>
      </c>
      <c r="E155" s="298">
        <v>18565</v>
      </c>
      <c r="F155" s="298">
        <f>14283+4282</f>
        <v>18565</v>
      </c>
      <c r="G155" s="1460">
        <f>(F155-E155)</f>
        <v>0</v>
      </c>
      <c r="H155" s="1460"/>
      <c r="I155" s="1471">
        <f>ROUND(G155*$E$100,2)</f>
        <v>0</v>
      </c>
      <c r="J155" s="1471">
        <f>ROUND(D155*($E$100-$D$100),2)</f>
        <v>0</v>
      </c>
      <c r="K155" s="1377"/>
      <c r="L155" s="1377"/>
      <c r="M155" s="1377"/>
      <c r="N155" s="1377"/>
      <c r="O155" s="1462"/>
      <c r="P155" s="1463"/>
    </row>
    <row r="156" spans="1:16" ht="15.75" thickBot="1">
      <c r="A156" s="1464"/>
      <c r="B156" s="57"/>
      <c r="C156" s="57" t="s">
        <v>263</v>
      </c>
      <c r="D156" s="57">
        <v>26.88</v>
      </c>
      <c r="E156" s="57"/>
      <c r="F156" s="57"/>
      <c r="G156" s="1465">
        <f>ROUND((G155+G154)*0.0024,2)</f>
        <v>20.350000000000001</v>
      </c>
      <c r="H156" s="1465">
        <f t="shared" ref="H156:H162" si="29">G156</f>
        <v>20.350000000000001</v>
      </c>
      <c r="I156" s="1482">
        <f>ROUND(G156*$E$100,2)</f>
        <v>150.80000000000001</v>
      </c>
      <c r="J156" s="1482">
        <f>ROUND(D156*($E$100-$D$100),2)</f>
        <v>-1.32</v>
      </c>
      <c r="K156" s="1307"/>
      <c r="L156" s="1307"/>
      <c r="M156" s="1307"/>
      <c r="N156" s="1307"/>
      <c r="O156" s="1467"/>
      <c r="P156" s="1468"/>
    </row>
    <row r="157" spans="1:16">
      <c r="A157" s="1469">
        <v>302</v>
      </c>
      <c r="B157" s="620" t="s">
        <v>415</v>
      </c>
      <c r="C157" s="620" t="s">
        <v>351</v>
      </c>
      <c r="D157" s="620">
        <v>880</v>
      </c>
      <c r="E157" s="620">
        <v>17031</v>
      </c>
      <c r="F157" s="620">
        <v>17948</v>
      </c>
      <c r="G157" s="1454">
        <f>F157-E157</f>
        <v>917</v>
      </c>
      <c r="H157" s="1454">
        <f t="shared" si="29"/>
        <v>917</v>
      </c>
      <c r="I157" s="1470">
        <f>ROUND(G157*$E$100,2)</f>
        <v>6795.25</v>
      </c>
      <c r="J157" s="1470">
        <f>ROUND(D157*($E$100-$D$100),2)</f>
        <v>-43.21</v>
      </c>
      <c r="K157" s="1375"/>
      <c r="L157" s="1375"/>
      <c r="M157" s="1375"/>
      <c r="N157" s="1375"/>
      <c r="O157" s="1457">
        <f>I157+I158+J157+J158</f>
        <v>6768.24</v>
      </c>
      <c r="P157" s="1458">
        <v>6768.24</v>
      </c>
    </row>
    <row r="158" spans="1:16" ht="15.75" thickBot="1">
      <c r="A158" s="1472"/>
      <c r="B158" s="774"/>
      <c r="C158" s="774" t="s">
        <v>263</v>
      </c>
      <c r="D158" s="774">
        <v>2.11</v>
      </c>
      <c r="E158" s="774"/>
      <c r="F158" s="774"/>
      <c r="G158" s="1473">
        <f>ROUND(G157*0.0024,2)</f>
        <v>2.2000000000000002</v>
      </c>
      <c r="H158" s="1473">
        <f t="shared" si="29"/>
        <v>2.2000000000000002</v>
      </c>
      <c r="I158" s="1474">
        <f>ROUND(G158*$E$100,2)</f>
        <v>16.3</v>
      </c>
      <c r="J158" s="1474">
        <f>ROUND(D158*($E$100-$D$100),2)</f>
        <v>-0.1</v>
      </c>
      <c r="K158" s="1384"/>
      <c r="L158" s="1384"/>
      <c r="M158" s="1384"/>
      <c r="N158" s="1384"/>
      <c r="O158" s="1475"/>
      <c r="P158" s="1476"/>
    </row>
    <row r="159" spans="1:16">
      <c r="A159" s="1452" t="s">
        <v>416</v>
      </c>
      <c r="B159" s="620" t="s">
        <v>417</v>
      </c>
      <c r="C159" s="620" t="s">
        <v>243</v>
      </c>
      <c r="D159" s="620">
        <v>1</v>
      </c>
      <c r="E159" s="1453">
        <v>19</v>
      </c>
      <c r="F159" s="1453">
        <v>19</v>
      </c>
      <c r="G159" s="1454">
        <f>F159-E159</f>
        <v>0</v>
      </c>
      <c r="H159" s="1454">
        <f t="shared" si="29"/>
        <v>0</v>
      </c>
      <c r="I159" s="1470">
        <f>ROUND(G159*($E$97+$E$99),2)</f>
        <v>0</v>
      </c>
      <c r="J159" s="1470">
        <f>ROUND(D159*(($E$97+$E$99)-($D$97+$D$99)),2)</f>
        <v>0</v>
      </c>
      <c r="K159" s="1375"/>
      <c r="L159" s="1375"/>
      <c r="M159" s="1375"/>
      <c r="N159" s="1375"/>
      <c r="O159" s="1457">
        <f>SUM(J159:J161)+SUM(I159:I161)+SUM(M159:M161)</f>
        <v>220.37</v>
      </c>
      <c r="P159" s="1458">
        <v>220.37</v>
      </c>
    </row>
    <row r="160" spans="1:16">
      <c r="A160" s="1459"/>
      <c r="B160" s="298"/>
      <c r="C160" s="298" t="s">
        <v>351</v>
      </c>
      <c r="D160" s="298">
        <v>50</v>
      </c>
      <c r="E160" s="298">
        <v>1717</v>
      </c>
      <c r="F160" s="298">
        <v>1747</v>
      </c>
      <c r="G160" s="1460">
        <f>F160-E160</f>
        <v>30</v>
      </c>
      <c r="H160" s="1460">
        <f t="shared" si="29"/>
        <v>30</v>
      </c>
      <c r="I160" s="1471">
        <f>ROUND(G160*$E$100,2)</f>
        <v>222.31</v>
      </c>
      <c r="J160" s="1471">
        <f>ROUND(D160*($E$100-$D$100),2)</f>
        <v>-2.4500000000000002</v>
      </c>
      <c r="K160" s="1377"/>
      <c r="L160" s="1377"/>
      <c r="M160" s="1377"/>
      <c r="N160" s="1377"/>
      <c r="O160" s="1462"/>
      <c r="P160" s="1463"/>
    </row>
    <row r="161" spans="1:16" ht="15.75" thickBot="1">
      <c r="A161" s="1472"/>
      <c r="B161" s="774"/>
      <c r="C161" s="774" t="s">
        <v>263</v>
      </c>
      <c r="D161" s="774">
        <v>0.12</v>
      </c>
      <c r="E161" s="774"/>
      <c r="F161" s="774"/>
      <c r="G161" s="1473">
        <f>ROUND(G160*0.0024,2)</f>
        <v>7.0000000000000007E-2</v>
      </c>
      <c r="H161" s="1473">
        <f t="shared" si="29"/>
        <v>7.0000000000000007E-2</v>
      </c>
      <c r="I161" s="1474">
        <f>ROUND(G161*$E$100,2)</f>
        <v>0.52</v>
      </c>
      <c r="J161" s="1474">
        <f>ROUND(D161*($E$100-$D$100),2)</f>
        <v>-0.01</v>
      </c>
      <c r="K161" s="1384"/>
      <c r="L161" s="1384"/>
      <c r="M161" s="1384"/>
      <c r="N161" s="1384"/>
      <c r="O161" s="1475"/>
      <c r="P161" s="1476"/>
    </row>
    <row r="162" spans="1:16">
      <c r="A162" s="1452" t="s">
        <v>418</v>
      </c>
      <c r="B162" s="620" t="s">
        <v>415</v>
      </c>
      <c r="C162" s="620" t="s">
        <v>243</v>
      </c>
      <c r="D162" s="620">
        <v>35</v>
      </c>
      <c r="E162" s="1453">
        <v>1307</v>
      </c>
      <c r="F162" s="1453">
        <v>1351</v>
      </c>
      <c r="G162" s="1454">
        <f>F162-E162</f>
        <v>44</v>
      </c>
      <c r="H162" s="1454">
        <f t="shared" si="29"/>
        <v>44</v>
      </c>
      <c r="I162" s="1470">
        <f>ROUND(G162*($E$97+$E$99),2)</f>
        <v>3941.52</v>
      </c>
      <c r="J162" s="1470">
        <f>ROUND(D162*(($E$97+$E$99)-($D$97+$D$99)),2)</f>
        <v>0</v>
      </c>
      <c r="K162" s="1375"/>
      <c r="L162" s="1375"/>
      <c r="M162" s="1375"/>
      <c r="N162" s="1375"/>
      <c r="O162" s="1457">
        <f>SUM(J162:J166)+SUM(I162:I166)+SUM(M162:M166)</f>
        <v>21220.52</v>
      </c>
      <c r="P162" s="1458">
        <v>21220.52</v>
      </c>
    </row>
    <row r="163" spans="1:16">
      <c r="A163" s="1459"/>
      <c r="B163" s="298"/>
      <c r="C163" s="298" t="s">
        <v>372</v>
      </c>
      <c r="D163" s="298">
        <v>1562</v>
      </c>
      <c r="E163" s="298">
        <v>366964</v>
      </c>
      <c r="F163" s="298">
        <v>368552</v>
      </c>
      <c r="G163" s="1460">
        <f>F163-E163</f>
        <v>1588</v>
      </c>
      <c r="H163" s="1460">
        <f>G163+G164+G165</f>
        <v>2340</v>
      </c>
      <c r="I163" s="1471">
        <f>ROUND(G163*$E$100,2)</f>
        <v>11767.56</v>
      </c>
      <c r="J163" s="1471">
        <f>ROUND(D163*($E$100-$D$100),2)</f>
        <v>-76.69</v>
      </c>
      <c r="K163" s="1377"/>
      <c r="L163" s="1377"/>
      <c r="M163" s="1377"/>
      <c r="N163" s="1377"/>
      <c r="O163" s="1462"/>
      <c r="P163" s="1463"/>
    </row>
    <row r="164" spans="1:16">
      <c r="A164" s="1459"/>
      <c r="B164" s="298"/>
      <c r="C164" s="298" t="s">
        <v>373</v>
      </c>
      <c r="D164" s="298">
        <v>453</v>
      </c>
      <c r="E164" s="298">
        <v>35323</v>
      </c>
      <c r="F164" s="298">
        <v>36010</v>
      </c>
      <c r="G164" s="1460">
        <f>F164-E164</f>
        <v>687</v>
      </c>
      <c r="H164" s="1460"/>
      <c r="I164" s="1471">
        <f>ROUND(G164*$E$100,2)</f>
        <v>5090.88</v>
      </c>
      <c r="J164" s="1471">
        <f>ROUND(D164*($E$100-$D$100),2)</f>
        <v>-22.24</v>
      </c>
      <c r="K164" s="1377"/>
      <c r="L164" s="1377"/>
      <c r="M164" s="1377"/>
      <c r="N164" s="1377"/>
      <c r="O164" s="1462"/>
      <c r="P164" s="1463"/>
    </row>
    <row r="165" spans="1:16">
      <c r="A165" s="1459"/>
      <c r="B165" s="298"/>
      <c r="C165" s="298" t="s">
        <v>374</v>
      </c>
      <c r="D165" s="298">
        <v>73</v>
      </c>
      <c r="E165" s="298">
        <v>20714</v>
      </c>
      <c r="F165" s="298">
        <v>20779</v>
      </c>
      <c r="G165" s="1460">
        <f>F165-E165</f>
        <v>65</v>
      </c>
      <c r="H165" s="1460"/>
      <c r="I165" s="1471">
        <f>ROUND(G165*$E$100,2)</f>
        <v>481.67</v>
      </c>
      <c r="J165" s="1471">
        <f>ROUND(D165*($E$100-$D$100),2)</f>
        <v>-3.58</v>
      </c>
      <c r="K165" s="1377"/>
      <c r="L165" s="1377"/>
      <c r="M165" s="1377"/>
      <c r="N165" s="1377"/>
      <c r="O165" s="1462"/>
      <c r="P165" s="1463"/>
    </row>
    <row r="166" spans="1:16" ht="15.75" thickBot="1">
      <c r="A166" s="1472"/>
      <c r="B166" s="774"/>
      <c r="C166" s="774" t="s">
        <v>263</v>
      </c>
      <c r="D166" s="774">
        <v>5.04</v>
      </c>
      <c r="E166" s="774"/>
      <c r="F166" s="774"/>
      <c r="G166" s="1473">
        <f>ROUND((G165+G164+G163)*0.0024,2)</f>
        <v>5.62</v>
      </c>
      <c r="H166" s="1473">
        <f>G166</f>
        <v>5.62</v>
      </c>
      <c r="I166" s="1474">
        <f>ROUND(G166*$E$100,2)</f>
        <v>41.65</v>
      </c>
      <c r="J166" s="1474">
        <f>ROUND(D166*($E$100-$D$100),2)</f>
        <v>-0.25</v>
      </c>
      <c r="K166" s="1384"/>
      <c r="L166" s="1384"/>
      <c r="M166" s="1384"/>
      <c r="N166" s="1384"/>
      <c r="O166" s="1475"/>
      <c r="P166" s="1476"/>
    </row>
    <row r="167" spans="1:16">
      <c r="A167" s="1452" t="s">
        <v>419</v>
      </c>
      <c r="B167" s="620" t="s">
        <v>420</v>
      </c>
      <c r="C167" s="620" t="s">
        <v>243</v>
      </c>
      <c r="D167" s="620">
        <v>50</v>
      </c>
      <c r="E167" s="1453">
        <v>136</v>
      </c>
      <c r="F167" s="1453">
        <v>189</v>
      </c>
      <c r="G167" s="1454">
        <f>F167-E167</f>
        <v>53</v>
      </c>
      <c r="H167" s="1454">
        <f>G167</f>
        <v>53</v>
      </c>
      <c r="I167" s="1470">
        <f>ROUND(G167*($E$97+$E$99),2)</f>
        <v>4747.74</v>
      </c>
      <c r="J167" s="1470">
        <f>ROUND(D167*(($E$97+$E$99)-($D$97+$D$99)),2)</f>
        <v>0</v>
      </c>
      <c r="K167" s="1375"/>
      <c r="L167" s="1375"/>
      <c r="M167" s="1375"/>
      <c r="N167" s="1375"/>
      <c r="O167" s="1457">
        <f>SUM(J167:J171)+SUM(I167:I171)+SUM(M167:M171)</f>
        <v>82283.959999999992</v>
      </c>
      <c r="P167" s="1458">
        <v>82283.960000000006</v>
      </c>
    </row>
    <row r="168" spans="1:16">
      <c r="A168" s="1459"/>
      <c r="B168" s="298"/>
      <c r="C168" s="298" t="s">
        <v>372</v>
      </c>
      <c r="D168" s="298">
        <v>6514</v>
      </c>
      <c r="E168" s="298">
        <v>66001</v>
      </c>
      <c r="F168" s="298">
        <v>72543</v>
      </c>
      <c r="G168" s="1460">
        <f>F168-E168</f>
        <v>6542</v>
      </c>
      <c r="H168" s="1460">
        <f>G168+G169+G170</f>
        <v>10515</v>
      </c>
      <c r="I168" s="1471">
        <f t="shared" ref="I168:I183" si="30">ROUND(G168*$E$100,2)</f>
        <v>48478.18</v>
      </c>
      <c r="J168" s="1471">
        <f t="shared" ref="J168:J183" si="31">ROUND(D168*($E$100-$D$100),2)</f>
        <v>-319.83999999999997</v>
      </c>
      <c r="K168" s="1377"/>
      <c r="L168" s="1377"/>
      <c r="M168" s="1377"/>
      <c r="N168" s="1377"/>
      <c r="O168" s="1462"/>
      <c r="P168" s="1463"/>
    </row>
    <row r="169" spans="1:16">
      <c r="A169" s="1459"/>
      <c r="B169" s="298"/>
      <c r="C169" s="298" t="s">
        <v>373</v>
      </c>
      <c r="D169" s="298">
        <v>351</v>
      </c>
      <c r="E169" s="298">
        <v>9284</v>
      </c>
      <c r="F169" s="298">
        <v>9638</v>
      </c>
      <c r="G169" s="1460">
        <f>F169-E169</f>
        <v>354</v>
      </c>
      <c r="H169" s="1460"/>
      <c r="I169" s="1471">
        <f t="shared" si="30"/>
        <v>2623.25</v>
      </c>
      <c r="J169" s="1471">
        <f t="shared" si="31"/>
        <v>-17.23</v>
      </c>
      <c r="K169" s="1377"/>
      <c r="L169" s="1377"/>
      <c r="M169" s="1377"/>
      <c r="N169" s="1377"/>
      <c r="O169" s="1462"/>
      <c r="P169" s="1463"/>
    </row>
    <row r="170" spans="1:16">
      <c r="A170" s="1459"/>
      <c r="B170" s="298"/>
      <c r="C170" s="298" t="s">
        <v>374</v>
      </c>
      <c r="D170" s="298">
        <v>4719</v>
      </c>
      <c r="E170" s="298">
        <v>42238</v>
      </c>
      <c r="F170" s="298">
        <v>45857</v>
      </c>
      <c r="G170" s="1460">
        <f>F170-E170</f>
        <v>3619</v>
      </c>
      <c r="H170" s="1460"/>
      <c r="I170" s="1471">
        <f t="shared" si="30"/>
        <v>26817.88</v>
      </c>
      <c r="J170" s="1471">
        <f t="shared" si="31"/>
        <v>-231.7</v>
      </c>
      <c r="K170" s="1377"/>
      <c r="L170" s="1377"/>
      <c r="M170" s="1377"/>
      <c r="N170" s="1377"/>
      <c r="O170" s="1462"/>
      <c r="P170" s="1463"/>
    </row>
    <row r="171" spans="1:16" ht="15.75" thickBot="1">
      <c r="A171" s="1472"/>
      <c r="B171" s="774"/>
      <c r="C171" s="774" t="s">
        <v>263</v>
      </c>
      <c r="D171" s="774">
        <v>27.8</v>
      </c>
      <c r="E171" s="774"/>
      <c r="F171" s="774"/>
      <c r="G171" s="1473">
        <f>ROUND((G170+G169+G168)*0.0024,2)</f>
        <v>25.24</v>
      </c>
      <c r="H171" s="1473">
        <f t="shared" ref="H171:H184" si="32">G171</f>
        <v>25.24</v>
      </c>
      <c r="I171" s="1474">
        <f t="shared" si="30"/>
        <v>187.04</v>
      </c>
      <c r="J171" s="1474">
        <f t="shared" si="31"/>
        <v>-1.36</v>
      </c>
      <c r="K171" s="1384"/>
      <c r="L171" s="1384"/>
      <c r="M171" s="1384"/>
      <c r="N171" s="1384"/>
      <c r="O171" s="1475"/>
      <c r="P171" s="1476"/>
    </row>
    <row r="172" spans="1:16">
      <c r="A172" s="1469">
        <v>402</v>
      </c>
      <c r="B172" s="620" t="s">
        <v>122</v>
      </c>
      <c r="C172" s="620" t="s">
        <v>351</v>
      </c>
      <c r="D172" s="620">
        <v>230</v>
      </c>
      <c r="E172" s="620">
        <v>6489</v>
      </c>
      <c r="F172" s="620">
        <v>6711</v>
      </c>
      <c r="G172" s="1454">
        <f>F172-E172</f>
        <v>222</v>
      </c>
      <c r="H172" s="1454">
        <f t="shared" si="32"/>
        <v>222</v>
      </c>
      <c r="I172" s="1470">
        <f t="shared" si="30"/>
        <v>1645.09</v>
      </c>
      <c r="J172" s="1470">
        <f t="shared" si="31"/>
        <v>-11.29</v>
      </c>
      <c r="K172" s="1375"/>
      <c r="L172" s="1375"/>
      <c r="M172" s="1375"/>
      <c r="N172" s="1375"/>
      <c r="O172" s="1457">
        <f>I172+I173+J172+J173</f>
        <v>1637.7</v>
      </c>
      <c r="P172" s="1458">
        <v>1637.7</v>
      </c>
    </row>
    <row r="173" spans="1:16" ht="15.75" thickBot="1">
      <c r="A173" s="1472"/>
      <c r="B173" s="774"/>
      <c r="C173" s="774" t="s">
        <v>263</v>
      </c>
      <c r="D173" s="774">
        <v>0.55000000000000004</v>
      </c>
      <c r="E173" s="774"/>
      <c r="F173" s="774"/>
      <c r="G173" s="1473">
        <f>ROUND(G172*0.0024,2)</f>
        <v>0.53</v>
      </c>
      <c r="H173" s="1473">
        <f t="shared" si="32"/>
        <v>0.53</v>
      </c>
      <c r="I173" s="1474">
        <f t="shared" si="30"/>
        <v>3.93</v>
      </c>
      <c r="J173" s="1474">
        <f t="shared" si="31"/>
        <v>-0.03</v>
      </c>
      <c r="K173" s="1384"/>
      <c r="L173" s="1384"/>
      <c r="M173" s="1384"/>
      <c r="N173" s="1384"/>
      <c r="O173" s="1475"/>
      <c r="P173" s="1476"/>
    </row>
    <row r="174" spans="1:16">
      <c r="A174" s="1469">
        <v>403</v>
      </c>
      <c r="B174" s="620" t="s">
        <v>417</v>
      </c>
      <c r="C174" s="620" t="s">
        <v>351</v>
      </c>
      <c r="D174" s="620">
        <v>90</v>
      </c>
      <c r="E174" s="620">
        <v>2586</v>
      </c>
      <c r="F174" s="620">
        <v>2641</v>
      </c>
      <c r="G174" s="1454">
        <f>F174-E174</f>
        <v>55</v>
      </c>
      <c r="H174" s="1454">
        <f t="shared" si="32"/>
        <v>55</v>
      </c>
      <c r="I174" s="1470">
        <f t="shared" si="30"/>
        <v>407.57</v>
      </c>
      <c r="J174" s="1470">
        <f t="shared" si="31"/>
        <v>-4.42</v>
      </c>
      <c r="K174" s="1375"/>
      <c r="L174" s="1375"/>
      <c r="M174" s="1375"/>
      <c r="N174" s="1375"/>
      <c r="O174" s="1457">
        <f>I174+I175+J174+J175</f>
        <v>404.09999999999997</v>
      </c>
      <c r="P174" s="1458">
        <f>ROUND(O174/28*19,2)</f>
        <v>274.20999999999998</v>
      </c>
    </row>
    <row r="175" spans="1:16" ht="15.75" thickBot="1">
      <c r="A175" s="1472"/>
      <c r="B175" s="774" t="s">
        <v>421</v>
      </c>
      <c r="C175" s="774" t="s">
        <v>263</v>
      </c>
      <c r="D175" s="774">
        <v>0.22</v>
      </c>
      <c r="E175" s="774"/>
      <c r="F175" s="774"/>
      <c r="G175" s="1473">
        <f>ROUND(G174*0.0024,2)</f>
        <v>0.13</v>
      </c>
      <c r="H175" s="1473">
        <f t="shared" si="32"/>
        <v>0.13</v>
      </c>
      <c r="I175" s="1474">
        <f t="shared" si="30"/>
        <v>0.96</v>
      </c>
      <c r="J175" s="1474">
        <f t="shared" si="31"/>
        <v>-0.01</v>
      </c>
      <c r="K175" s="1384"/>
      <c r="L175" s="1384"/>
      <c r="M175" s="1384"/>
      <c r="N175" s="1384"/>
      <c r="O175" s="1475"/>
      <c r="P175" s="1476">
        <f>O174-P174</f>
        <v>129.88999999999999</v>
      </c>
    </row>
    <row r="176" spans="1:16">
      <c r="A176" s="1469">
        <v>404</v>
      </c>
      <c r="B176" s="620" t="s">
        <v>422</v>
      </c>
      <c r="C176" s="620" t="s">
        <v>351</v>
      </c>
      <c r="D176" s="620">
        <v>165</v>
      </c>
      <c r="E176" s="620">
        <v>13080</v>
      </c>
      <c r="F176" s="620">
        <v>13425</v>
      </c>
      <c r="G176" s="1454">
        <f>F176-E176</f>
        <v>345</v>
      </c>
      <c r="H176" s="1454">
        <f t="shared" si="32"/>
        <v>345</v>
      </c>
      <c r="I176" s="1470">
        <f t="shared" si="30"/>
        <v>2556.5500000000002</v>
      </c>
      <c r="J176" s="1470">
        <f t="shared" si="31"/>
        <v>-8.1</v>
      </c>
      <c r="K176" s="1375"/>
      <c r="L176" s="1375"/>
      <c r="M176" s="1375"/>
      <c r="N176" s="1375"/>
      <c r="O176" s="1457">
        <f>I176+I177+J176+J177</f>
        <v>2554.5800000000004</v>
      </c>
      <c r="P176" s="1458">
        <v>2554.58</v>
      </c>
    </row>
    <row r="177" spans="1:17" ht="15.75" thickBot="1">
      <c r="A177" s="1472"/>
      <c r="B177" s="774"/>
      <c r="C177" s="774" t="s">
        <v>263</v>
      </c>
      <c r="D177" s="774">
        <v>0.4</v>
      </c>
      <c r="E177" s="774"/>
      <c r="F177" s="774"/>
      <c r="G177" s="1473">
        <f>ROUND(G176*0.0024,2)</f>
        <v>0.83</v>
      </c>
      <c r="H177" s="1473">
        <f t="shared" si="32"/>
        <v>0.83</v>
      </c>
      <c r="I177" s="1474">
        <f t="shared" si="30"/>
        <v>6.15</v>
      </c>
      <c r="J177" s="1474">
        <f t="shared" si="31"/>
        <v>-0.02</v>
      </c>
      <c r="K177" s="1384"/>
      <c r="L177" s="1384"/>
      <c r="M177" s="1384"/>
      <c r="N177" s="1384"/>
      <c r="O177" s="1475"/>
      <c r="P177" s="1476"/>
    </row>
    <row r="178" spans="1:17">
      <c r="A178" s="1469">
        <v>405</v>
      </c>
      <c r="B178" s="620" t="s">
        <v>379</v>
      </c>
      <c r="C178" s="620" t="s">
        <v>351</v>
      </c>
      <c r="D178" s="620">
        <v>175</v>
      </c>
      <c r="E178" s="620">
        <v>3531</v>
      </c>
      <c r="F178" s="620">
        <v>3680</v>
      </c>
      <c r="G178" s="1454">
        <f>F178-E178</f>
        <v>149</v>
      </c>
      <c r="H178" s="1454">
        <f t="shared" si="32"/>
        <v>149</v>
      </c>
      <c r="I178" s="1470">
        <f t="shared" si="30"/>
        <v>1104.1300000000001</v>
      </c>
      <c r="J178" s="1470">
        <f t="shared" si="31"/>
        <v>-8.59</v>
      </c>
      <c r="K178" s="1375"/>
      <c r="L178" s="1375"/>
      <c r="M178" s="1375"/>
      <c r="N178" s="1375"/>
      <c r="O178" s="1457">
        <f>I178+I179+J178+J179</f>
        <v>1098.1900000000003</v>
      </c>
      <c r="P178" s="1458">
        <v>1098.19</v>
      </c>
    </row>
    <row r="179" spans="1:17" ht="15.75" thickBot="1">
      <c r="A179" s="1472"/>
      <c r="B179" s="774"/>
      <c r="C179" s="774" t="s">
        <v>263</v>
      </c>
      <c r="D179" s="774">
        <v>0.42</v>
      </c>
      <c r="E179" s="774"/>
      <c r="F179" s="774"/>
      <c r="G179" s="1473">
        <f>ROUND(G178*0.0024,2)</f>
        <v>0.36</v>
      </c>
      <c r="H179" s="1473">
        <f t="shared" si="32"/>
        <v>0.36</v>
      </c>
      <c r="I179" s="1474">
        <f t="shared" si="30"/>
        <v>2.67</v>
      </c>
      <c r="J179" s="1474">
        <f t="shared" si="31"/>
        <v>-0.02</v>
      </c>
      <c r="K179" s="1384"/>
      <c r="L179" s="1384"/>
      <c r="M179" s="1384"/>
      <c r="N179" s="1384"/>
      <c r="O179" s="1475"/>
      <c r="P179" s="1476"/>
    </row>
    <row r="180" spans="1:17">
      <c r="A180" s="1469">
        <v>406</v>
      </c>
      <c r="B180" s="620" t="s">
        <v>423</v>
      </c>
      <c r="C180" s="620" t="s">
        <v>351</v>
      </c>
      <c r="D180" s="620">
        <v>59</v>
      </c>
      <c r="E180" s="620">
        <v>602</v>
      </c>
      <c r="F180" s="620">
        <v>701</v>
      </c>
      <c r="G180" s="1454">
        <f>F180-E180</f>
        <v>99</v>
      </c>
      <c r="H180" s="1454">
        <f t="shared" si="32"/>
        <v>99</v>
      </c>
      <c r="I180" s="1470">
        <f t="shared" si="30"/>
        <v>733.62</v>
      </c>
      <c r="J180" s="1470">
        <f t="shared" si="31"/>
        <v>-2.9</v>
      </c>
      <c r="K180" s="1375"/>
      <c r="L180" s="1375"/>
      <c r="M180" s="1375"/>
      <c r="N180" s="1375"/>
      <c r="O180" s="1457">
        <f>I180+I181+J180+J181</f>
        <v>732.49</v>
      </c>
      <c r="P180" s="1458">
        <v>732.49</v>
      </c>
    </row>
    <row r="181" spans="1:17" ht="15.75" thickBot="1">
      <c r="A181" s="1472"/>
      <c r="B181" s="774"/>
      <c r="C181" s="774" t="s">
        <v>263</v>
      </c>
      <c r="D181" s="774">
        <v>0.14000000000000001</v>
      </c>
      <c r="E181" s="774"/>
      <c r="F181" s="774"/>
      <c r="G181" s="1473">
        <f>ROUND(G180*0.0024,2)</f>
        <v>0.24</v>
      </c>
      <c r="H181" s="1473">
        <f t="shared" si="32"/>
        <v>0.24</v>
      </c>
      <c r="I181" s="1474">
        <f t="shared" si="30"/>
        <v>1.78</v>
      </c>
      <c r="J181" s="1474">
        <f t="shared" si="31"/>
        <v>-0.01</v>
      </c>
      <c r="K181" s="1384"/>
      <c r="L181" s="1384"/>
      <c r="M181" s="1384"/>
      <c r="N181" s="1384"/>
      <c r="O181" s="1475"/>
      <c r="P181" s="1476"/>
    </row>
    <row r="182" spans="1:17">
      <c r="A182" s="1469">
        <v>407</v>
      </c>
      <c r="B182" s="620" t="s">
        <v>424</v>
      </c>
      <c r="C182" s="620" t="s">
        <v>351</v>
      </c>
      <c r="D182" s="620">
        <v>23</v>
      </c>
      <c r="E182" s="620">
        <v>547</v>
      </c>
      <c r="F182" s="620">
        <v>555</v>
      </c>
      <c r="G182" s="1454">
        <f>F182-E182</f>
        <v>8</v>
      </c>
      <c r="H182" s="1454">
        <f t="shared" si="32"/>
        <v>8</v>
      </c>
      <c r="I182" s="1470">
        <f t="shared" si="30"/>
        <v>59.28</v>
      </c>
      <c r="J182" s="1470">
        <f t="shared" si="31"/>
        <v>-1.1299999999999999</v>
      </c>
      <c r="K182" s="1375"/>
      <c r="L182" s="1375"/>
      <c r="M182" s="1375"/>
      <c r="N182" s="1375"/>
      <c r="O182" s="1457">
        <f>I182+I183+J182+J183</f>
        <v>58.3</v>
      </c>
      <c r="P182" s="1458"/>
      <c r="Q182" t="s">
        <v>425</v>
      </c>
    </row>
    <row r="183" spans="1:17" ht="15.75" thickBot="1">
      <c r="A183" s="1472"/>
      <c r="B183" s="774"/>
      <c r="C183" s="774" t="s">
        <v>263</v>
      </c>
      <c r="D183" s="774">
        <v>0.06</v>
      </c>
      <c r="E183" s="774"/>
      <c r="F183" s="774"/>
      <c r="G183" s="1473">
        <f>ROUND(G182*0.0024,2)</f>
        <v>0.02</v>
      </c>
      <c r="H183" s="1473">
        <f t="shared" si="32"/>
        <v>0.02</v>
      </c>
      <c r="I183" s="1474">
        <f t="shared" si="30"/>
        <v>0.15</v>
      </c>
      <c r="J183" s="1474">
        <f t="shared" si="31"/>
        <v>0</v>
      </c>
      <c r="K183" s="1384"/>
      <c r="L183" s="1384"/>
      <c r="M183" s="1384"/>
      <c r="N183" s="1384"/>
      <c r="O183" s="1475"/>
      <c r="P183" s="1476"/>
    </row>
    <row r="184" spans="1:17">
      <c r="A184" s="1452" t="s">
        <v>426</v>
      </c>
      <c r="B184" s="620" t="s">
        <v>427</v>
      </c>
      <c r="C184" s="620" t="s">
        <v>243</v>
      </c>
      <c r="D184" s="620">
        <v>52</v>
      </c>
      <c r="E184" s="1453">
        <v>476</v>
      </c>
      <c r="F184" s="1453">
        <v>544</v>
      </c>
      <c r="G184" s="1454">
        <f>F184-E184</f>
        <v>68</v>
      </c>
      <c r="H184" s="1454">
        <f t="shared" si="32"/>
        <v>68</v>
      </c>
      <c r="I184" s="1470">
        <f>ROUND(G184*($E$97+$E$99),2)</f>
        <v>6091.44</v>
      </c>
      <c r="J184" s="1470">
        <f>ROUND(D184*(($E$97+$E$99)-($D$97+$D$99)),2)</f>
        <v>0</v>
      </c>
      <c r="K184" s="1375"/>
      <c r="L184" s="1375"/>
      <c r="M184" s="1375"/>
      <c r="N184" s="1375"/>
      <c r="O184" s="1457">
        <f>SUM(J184:J188)+SUM(I184:I188)+SUM(M184:M188)</f>
        <v>17847.920000000002</v>
      </c>
      <c r="P184" s="1458">
        <v>17847.919999999998</v>
      </c>
    </row>
    <row r="185" spans="1:17">
      <c r="A185" s="1459"/>
      <c r="B185" s="298"/>
      <c r="C185" s="298" t="s">
        <v>372</v>
      </c>
      <c r="D185" s="298">
        <v>1625</v>
      </c>
      <c r="E185" s="298">
        <v>20937</v>
      </c>
      <c r="F185" s="298">
        <v>22461</v>
      </c>
      <c r="G185" s="1460">
        <f>F185-E185</f>
        <v>1524</v>
      </c>
      <c r="H185" s="1460">
        <f>G185+G186+G187</f>
        <v>1594</v>
      </c>
      <c r="I185" s="1471">
        <f t="shared" ref="I185:I192" si="33">ROUND(G185*$E$100,2)</f>
        <v>11293.3</v>
      </c>
      <c r="J185" s="1471">
        <f t="shared" ref="J185:J192" si="34">ROUND(D185*($E$100-$D$100),2)</f>
        <v>-79.790000000000006</v>
      </c>
      <c r="K185" s="1377"/>
      <c r="L185" s="1377"/>
      <c r="M185" s="1377"/>
      <c r="N185" s="1377"/>
      <c r="O185" s="1462"/>
      <c r="P185" s="1463"/>
    </row>
    <row r="186" spans="1:17">
      <c r="A186" s="1459"/>
      <c r="B186" s="298"/>
      <c r="C186" s="298" t="s">
        <v>373</v>
      </c>
      <c r="D186" s="298">
        <v>80</v>
      </c>
      <c r="E186" s="298">
        <v>1133</v>
      </c>
      <c r="F186" s="298">
        <v>1203</v>
      </c>
      <c r="G186" s="1460">
        <f>F186-E186</f>
        <v>70</v>
      </c>
      <c r="H186" s="1460"/>
      <c r="I186" s="1471">
        <f t="shared" si="33"/>
        <v>518.72</v>
      </c>
      <c r="J186" s="1471">
        <f t="shared" si="34"/>
        <v>-3.93</v>
      </c>
      <c r="K186" s="1377"/>
      <c r="L186" s="1377"/>
      <c r="M186" s="1377"/>
      <c r="N186" s="1377"/>
      <c r="O186" s="1462"/>
      <c r="P186" s="1463"/>
    </row>
    <row r="187" spans="1:17">
      <c r="A187" s="1459"/>
      <c r="B187" s="298"/>
      <c r="C187" s="298" t="s">
        <v>374</v>
      </c>
      <c r="D187" s="298">
        <v>0</v>
      </c>
      <c r="E187" s="298">
        <v>2536</v>
      </c>
      <c r="F187" s="298">
        <v>2536</v>
      </c>
      <c r="G187" s="1460">
        <f>F187-E187</f>
        <v>0</v>
      </c>
      <c r="H187" s="1460"/>
      <c r="I187" s="1471">
        <f t="shared" si="33"/>
        <v>0</v>
      </c>
      <c r="J187" s="1471">
        <f t="shared" si="34"/>
        <v>0</v>
      </c>
      <c r="K187" s="1377"/>
      <c r="L187" s="1377"/>
      <c r="M187" s="1377"/>
      <c r="N187" s="1377"/>
      <c r="O187" s="1462"/>
      <c r="P187" s="1463"/>
    </row>
    <row r="188" spans="1:17" ht="15.75" thickBot="1">
      <c r="A188" s="1472"/>
      <c r="B188" s="774"/>
      <c r="C188" s="774" t="s">
        <v>263</v>
      </c>
      <c r="D188" s="774">
        <v>4.09</v>
      </c>
      <c r="E188" s="774"/>
      <c r="F188" s="774"/>
      <c r="G188" s="1473">
        <f>ROUND((G187+G186+G185)*0.0024,2)</f>
        <v>3.83</v>
      </c>
      <c r="H188" s="1473">
        <f>G188</f>
        <v>3.83</v>
      </c>
      <c r="I188" s="1474">
        <f t="shared" si="33"/>
        <v>28.38</v>
      </c>
      <c r="J188" s="1474">
        <f t="shared" si="34"/>
        <v>-0.2</v>
      </c>
      <c r="K188" s="1384"/>
      <c r="L188" s="1384"/>
      <c r="M188" s="1384"/>
      <c r="N188" s="1384"/>
      <c r="O188" s="1475"/>
      <c r="P188" s="1476"/>
    </row>
    <row r="189" spans="1:17">
      <c r="A189" s="1469" t="s">
        <v>258</v>
      </c>
      <c r="B189" s="620" t="s">
        <v>428</v>
      </c>
      <c r="C189" s="620" t="s">
        <v>351</v>
      </c>
      <c r="D189" s="620">
        <v>139</v>
      </c>
      <c r="E189" s="620">
        <v>6364</v>
      </c>
      <c r="F189" s="620">
        <v>6495</v>
      </c>
      <c r="G189" s="1454">
        <f>F189-E189</f>
        <v>131</v>
      </c>
      <c r="H189" s="1454">
        <f>G189</f>
        <v>131</v>
      </c>
      <c r="I189" s="1470">
        <f t="shared" si="33"/>
        <v>970.75</v>
      </c>
      <c r="J189" s="1470">
        <f t="shared" si="34"/>
        <v>-6.82</v>
      </c>
      <c r="K189" s="1375"/>
      <c r="L189" s="1375"/>
      <c r="M189" s="1375"/>
      <c r="N189" s="1375"/>
      <c r="O189" s="1457">
        <f>I189+I190+J189+J190</f>
        <v>966.20999999999992</v>
      </c>
      <c r="P189" s="1458">
        <v>966.21</v>
      </c>
    </row>
    <row r="190" spans="1:17" ht="15.75" thickBot="1">
      <c r="A190" s="1472"/>
      <c r="B190" s="774"/>
      <c r="C190" s="774" t="s">
        <v>263</v>
      </c>
      <c r="D190" s="774">
        <v>0.33</v>
      </c>
      <c r="E190" s="774"/>
      <c r="F190" s="774"/>
      <c r="G190" s="1473">
        <f>ROUND(G189*0.0024,2)</f>
        <v>0.31</v>
      </c>
      <c r="H190" s="1473">
        <f>G190</f>
        <v>0.31</v>
      </c>
      <c r="I190" s="1474">
        <f t="shared" si="33"/>
        <v>2.2999999999999998</v>
      </c>
      <c r="J190" s="1474">
        <f t="shared" si="34"/>
        <v>-0.02</v>
      </c>
      <c r="K190" s="1384"/>
      <c r="L190" s="1384"/>
      <c r="M190" s="1384"/>
      <c r="N190" s="1384"/>
      <c r="O190" s="1475"/>
      <c r="P190" s="1476"/>
    </row>
    <row r="191" spans="1:17">
      <c r="A191" s="1469" t="s">
        <v>258</v>
      </c>
      <c r="B191" s="620" t="s">
        <v>429</v>
      </c>
      <c r="C191" s="620" t="s">
        <v>351</v>
      </c>
      <c r="D191" s="620">
        <v>27</v>
      </c>
      <c r="E191" s="620">
        <v>13484</v>
      </c>
      <c r="F191" s="620">
        <v>13504</v>
      </c>
      <c r="G191" s="1454">
        <f>F191-E191</f>
        <v>20</v>
      </c>
      <c r="H191" s="1454">
        <f>G191</f>
        <v>20</v>
      </c>
      <c r="I191" s="1470">
        <f t="shared" si="33"/>
        <v>148.21</v>
      </c>
      <c r="J191" s="1470">
        <f t="shared" si="34"/>
        <v>-1.33</v>
      </c>
      <c r="K191" s="1375"/>
      <c r="L191" s="1375"/>
      <c r="M191" s="1375"/>
      <c r="N191" s="1375"/>
      <c r="O191" s="1457">
        <f>I191+I192+J191+J192</f>
        <v>147.25</v>
      </c>
      <c r="P191" s="1458">
        <v>147.25</v>
      </c>
    </row>
    <row r="192" spans="1:17" ht="15.75" thickBot="1">
      <c r="A192" s="1464"/>
      <c r="B192" s="57"/>
      <c r="C192" s="57" t="s">
        <v>263</v>
      </c>
      <c r="D192" s="57">
        <v>0.06</v>
      </c>
      <c r="E192" s="57"/>
      <c r="F192" s="57"/>
      <c r="G192" s="1465">
        <f>ROUND(G191*0.0024,2)</f>
        <v>0.05</v>
      </c>
      <c r="H192" s="1465">
        <f>G192</f>
        <v>0.05</v>
      </c>
      <c r="I192" s="1482">
        <f t="shared" si="33"/>
        <v>0.37</v>
      </c>
      <c r="J192" s="1482">
        <f t="shared" si="34"/>
        <v>0</v>
      </c>
      <c r="K192" s="1307"/>
      <c r="L192" s="1307"/>
      <c r="M192" s="1307"/>
      <c r="N192" s="1307"/>
      <c r="O192" s="1467"/>
      <c r="P192" s="1468"/>
    </row>
    <row r="193" spans="1:16" ht="14.25" customHeight="1"/>
    <row r="194" spans="1:16">
      <c r="A194" s="1445" t="s">
        <v>430</v>
      </c>
      <c r="C194" t="s">
        <v>15</v>
      </c>
      <c r="D194" t="s">
        <v>347</v>
      </c>
      <c r="E194" t="s">
        <v>348</v>
      </c>
      <c r="F194" s="1509" t="s">
        <v>349</v>
      </c>
    </row>
    <row r="195" spans="1:16">
      <c r="C195" t="s">
        <v>243</v>
      </c>
      <c r="D195">
        <v>41.244</v>
      </c>
      <c r="E195">
        <v>41.244</v>
      </c>
      <c r="F195" s="1509">
        <v>42.768000000000001</v>
      </c>
    </row>
    <row r="196" spans="1:16">
      <c r="C196" t="s">
        <v>33</v>
      </c>
      <c r="D196">
        <v>276.93</v>
      </c>
      <c r="E196">
        <v>276.93</v>
      </c>
      <c r="F196" s="1509">
        <v>276.93</v>
      </c>
    </row>
    <row r="197" spans="1:16">
      <c r="C197" t="s">
        <v>350</v>
      </c>
      <c r="D197">
        <v>48.335999999999999</v>
      </c>
      <c r="E197">
        <v>48.335999999999999</v>
      </c>
      <c r="F197" s="1509">
        <v>50.124000000000002</v>
      </c>
    </row>
    <row r="198" spans="1:16" ht="15.75" thickBot="1">
      <c r="C198" t="s">
        <v>351</v>
      </c>
      <c r="D198">
        <v>7.1388999999999996</v>
      </c>
      <c r="E198">
        <v>7.1779999999999999</v>
      </c>
      <c r="F198" s="1509">
        <v>7.5038999999999998</v>
      </c>
    </row>
    <row r="199" spans="1:16" ht="15" customHeight="1">
      <c r="A199" s="1577" t="s">
        <v>1</v>
      </c>
      <c r="B199" s="1579" t="s">
        <v>352</v>
      </c>
      <c r="C199" s="1581" t="s">
        <v>353</v>
      </c>
      <c r="D199" s="1581" t="s">
        <v>354</v>
      </c>
      <c r="E199" s="1579" t="s">
        <v>355</v>
      </c>
      <c r="F199" s="1579"/>
      <c r="G199" s="1579"/>
      <c r="H199" s="1496"/>
      <c r="I199" s="1583" t="s">
        <v>356</v>
      </c>
      <c r="J199" s="1585" t="s">
        <v>357</v>
      </c>
      <c r="K199" s="1587" t="s">
        <v>358</v>
      </c>
      <c r="L199" s="1587"/>
      <c r="M199" s="1587"/>
      <c r="N199" s="1587"/>
      <c r="O199" s="1588" t="s">
        <v>359</v>
      </c>
      <c r="P199" s="1590" t="s">
        <v>360</v>
      </c>
    </row>
    <row r="200" spans="1:16" ht="45" customHeight="1" thickBot="1">
      <c r="A200" s="1578"/>
      <c r="B200" s="1580"/>
      <c r="C200" s="1582"/>
      <c r="D200" s="1582"/>
      <c r="E200" s="1450" t="s">
        <v>361</v>
      </c>
      <c r="F200" s="1450" t="s">
        <v>362</v>
      </c>
      <c r="G200" s="1451" t="s">
        <v>11</v>
      </c>
      <c r="H200" s="1451" t="s">
        <v>466</v>
      </c>
      <c r="I200" s="1584"/>
      <c r="J200" s="1586"/>
      <c r="K200" s="1307" t="s">
        <v>11</v>
      </c>
      <c r="L200" s="1307" t="s">
        <v>15</v>
      </c>
      <c r="M200" s="1307" t="s">
        <v>14</v>
      </c>
      <c r="N200" s="1307" t="s">
        <v>363</v>
      </c>
      <c r="O200" s="1589"/>
      <c r="P200" s="1591"/>
    </row>
    <row r="201" spans="1:16">
      <c r="A201" s="1452" t="s">
        <v>389</v>
      </c>
      <c r="B201" s="1483" t="s">
        <v>390</v>
      </c>
      <c r="C201" s="620" t="s">
        <v>243</v>
      </c>
      <c r="D201" s="620">
        <v>23.681000000000001</v>
      </c>
      <c r="E201" s="1453">
        <v>11.619</v>
      </c>
      <c r="F201" s="1453">
        <v>22.821000000000002</v>
      </c>
      <c r="G201" s="1454">
        <f>F201-E201</f>
        <v>11.202000000000002</v>
      </c>
      <c r="H201" s="1454">
        <f>G201</f>
        <v>11.202000000000002</v>
      </c>
      <c r="I201" s="1470">
        <f>ROUND(G201*($F$195+$F$197),2)</f>
        <v>1040.58</v>
      </c>
      <c r="J201" s="1470"/>
      <c r="K201" s="1375"/>
      <c r="L201" s="1375"/>
      <c r="M201" s="1375"/>
      <c r="N201" s="1375"/>
      <c r="O201" s="1498">
        <f>SUM(J201:J204)+SUM(I201:I204)+SUM(M201:M204)</f>
        <v>68683.360000000001</v>
      </c>
      <c r="P201" s="1458">
        <v>68683.360000000001</v>
      </c>
    </row>
    <row r="202" spans="1:16">
      <c r="A202" s="1459"/>
      <c r="B202" s="298"/>
      <c r="C202" s="298" t="s">
        <v>372</v>
      </c>
      <c r="D202" s="298">
        <v>2168.6999999999998</v>
      </c>
      <c r="E202" s="298">
        <v>15496.32</v>
      </c>
      <c r="F202" s="298">
        <v>15778.12</v>
      </c>
      <c r="G202" s="1460">
        <f>(F202-E202)*30</f>
        <v>8454.0000000000327</v>
      </c>
      <c r="H202" s="1460">
        <f>G202+G203</f>
        <v>8751.800000000032</v>
      </c>
      <c r="I202" s="1471">
        <f>ROUND(G202*$F$198,2)</f>
        <v>63437.97</v>
      </c>
      <c r="J202" s="1471"/>
      <c r="K202" s="1377"/>
      <c r="L202" s="1377"/>
      <c r="M202" s="1377"/>
      <c r="N202" s="1377"/>
      <c r="O202" s="1462"/>
      <c r="P202" s="1463"/>
    </row>
    <row r="203" spans="1:16">
      <c r="A203" s="1459"/>
      <c r="B203" s="298"/>
      <c r="C203" s="298" t="s">
        <v>373</v>
      </c>
      <c r="D203" s="298">
        <v>460</v>
      </c>
      <c r="E203" s="298">
        <v>20492.400000000001</v>
      </c>
      <c r="F203" s="298">
        <v>20790.2</v>
      </c>
      <c r="G203" s="1460">
        <f>F203-E203</f>
        <v>297.79999999999927</v>
      </c>
      <c r="H203" s="1460"/>
      <c r="I203" s="1471">
        <f t="shared" ref="I203:I204" si="35">ROUND(G203*$F$198,2)</f>
        <v>2234.66</v>
      </c>
      <c r="J203" s="1471"/>
      <c r="K203" s="1377"/>
      <c r="L203" s="1377"/>
      <c r="M203" s="1377"/>
      <c r="N203" s="1377"/>
      <c r="O203" s="1462"/>
      <c r="P203" s="1463"/>
    </row>
    <row r="204" spans="1:16" ht="15.75" thickBot="1">
      <c r="A204" s="1472"/>
      <c r="B204" s="774"/>
      <c r="C204" s="774" t="s">
        <v>263</v>
      </c>
      <c r="D204" s="774">
        <v>78.86</v>
      </c>
      <c r="E204" s="774"/>
      <c r="F204" s="774"/>
      <c r="G204" s="1473">
        <f>ROUND((G203+G202)*0.03,2)</f>
        <v>262.55</v>
      </c>
      <c r="H204" s="1473">
        <f>G204</f>
        <v>262.55</v>
      </c>
      <c r="I204" s="1471">
        <f t="shared" si="35"/>
        <v>1970.15</v>
      </c>
      <c r="J204" s="1474"/>
      <c r="K204" s="1384"/>
      <c r="L204" s="1384"/>
      <c r="M204" s="1384"/>
      <c r="N204" s="1384"/>
      <c r="O204" s="1475"/>
      <c r="P204" s="1476"/>
    </row>
    <row r="205" spans="1:16">
      <c r="A205" s="1452" t="s">
        <v>462</v>
      </c>
      <c r="B205" s="1483" t="s">
        <v>312</v>
      </c>
      <c r="C205" s="620" t="s">
        <v>351</v>
      </c>
      <c r="D205" s="620"/>
      <c r="E205" s="620">
        <v>437</v>
      </c>
      <c r="F205" s="620">
        <v>547</v>
      </c>
      <c r="G205" s="1454">
        <f>F205-E205</f>
        <v>110</v>
      </c>
      <c r="H205" s="1454">
        <f>G205</f>
        <v>110</v>
      </c>
      <c r="I205" s="1470">
        <f>ROUND(G205*$F$198,2)</f>
        <v>825.43</v>
      </c>
      <c r="J205" s="1470"/>
      <c r="K205" s="1375"/>
      <c r="L205" s="1375"/>
      <c r="M205" s="1375"/>
      <c r="N205" s="1375"/>
      <c r="O205" s="1498">
        <f>SUM(J205:J206)+SUM(I205:I206)</f>
        <v>850.18999999999994</v>
      </c>
      <c r="P205" s="1458">
        <v>850.19</v>
      </c>
    </row>
    <row r="206" spans="1:16" ht="15.75" thickBot="1">
      <c r="A206" s="1464"/>
      <c r="B206" s="57"/>
      <c r="C206" s="57" t="s">
        <v>263</v>
      </c>
      <c r="D206" s="57"/>
      <c r="E206" s="57"/>
      <c r="F206" s="57"/>
      <c r="G206" s="1465">
        <f>ROUND((G205)*0.03,2)</f>
        <v>3.3</v>
      </c>
      <c r="H206" s="1465">
        <f>G206</f>
        <v>3.3</v>
      </c>
      <c r="I206" s="1482">
        <f>ROUND(G206*$F$198,2)</f>
        <v>24.76</v>
      </c>
      <c r="J206" s="1482"/>
      <c r="K206" s="1307"/>
      <c r="L206" s="1307"/>
      <c r="M206" s="1307"/>
      <c r="N206" s="1307"/>
      <c r="O206" s="1467"/>
      <c r="P206" s="1468"/>
    </row>
    <row r="207" spans="1:16">
      <c r="A207" s="1452" t="s">
        <v>431</v>
      </c>
      <c r="B207" s="620" t="s">
        <v>381</v>
      </c>
      <c r="C207" s="620" t="s">
        <v>243</v>
      </c>
      <c r="D207" s="620">
        <v>139.28299999999999</v>
      </c>
      <c r="E207" s="1453">
        <v>9220</v>
      </c>
      <c r="F207" s="1453">
        <v>9352</v>
      </c>
      <c r="G207" s="1454">
        <f>F207-E207</f>
        <v>132</v>
      </c>
      <c r="H207" s="1454">
        <f>G207</f>
        <v>132</v>
      </c>
      <c r="I207" s="1470">
        <f>ROUND(G207*($E$195+$E$197),2)</f>
        <v>11824.56</v>
      </c>
      <c r="J207" s="1470">
        <f>ROUND(D207*(($E$195+$E$197)-($D$195+$D$197)),2)</f>
        <v>0</v>
      </c>
      <c r="K207" s="1375"/>
      <c r="L207" s="1375"/>
      <c r="M207" s="1375"/>
      <c r="N207" s="1375"/>
      <c r="O207" s="1457">
        <f>SUM(J207:J212)+SUM(I207:I212)+SUM(M207:M212)</f>
        <v>57810.37</v>
      </c>
      <c r="P207" s="1458">
        <v>57810.37</v>
      </c>
    </row>
    <row r="208" spans="1:16">
      <c r="A208" s="1477"/>
      <c r="B208" s="670"/>
      <c r="C208" s="1499" t="s">
        <v>33</v>
      </c>
      <c r="D208" s="1499">
        <v>0</v>
      </c>
      <c r="E208" s="1500">
        <v>704.221</v>
      </c>
      <c r="F208" s="1500">
        <v>704.221</v>
      </c>
      <c r="G208" s="1501">
        <f>F208-E208</f>
        <v>0</v>
      </c>
      <c r="H208" s="1503">
        <f>G208</f>
        <v>0</v>
      </c>
      <c r="I208" s="1504">
        <f>ROUND(G208*($E$196+$E$197),2)</f>
        <v>0</v>
      </c>
      <c r="J208" s="1504">
        <f>ROUND(D207*(($E$196+$E$197)-($D$196+$D$197)),2)</f>
        <v>0</v>
      </c>
      <c r="K208" s="1405"/>
      <c r="L208" s="1405"/>
      <c r="M208" s="1405"/>
      <c r="N208" s="1405"/>
      <c r="O208" s="1479"/>
      <c r="P208" s="1480"/>
    </row>
    <row r="209" spans="1:17">
      <c r="A209" s="1459"/>
      <c r="B209" s="298"/>
      <c r="C209" s="298" t="s">
        <v>372</v>
      </c>
      <c r="D209" s="298">
        <v>419.5</v>
      </c>
      <c r="E209" s="298">
        <v>70181.399999999994</v>
      </c>
      <c r="F209" s="298">
        <v>70653.2</v>
      </c>
      <c r="G209" s="1460">
        <f>F209-E209</f>
        <v>471.80000000000291</v>
      </c>
      <c r="H209" s="1460">
        <f>G209+G210+G211</f>
        <v>6183.8000000000029</v>
      </c>
      <c r="I209" s="1471">
        <f>ROUND(G209*$E$198,2)</f>
        <v>3386.58</v>
      </c>
      <c r="J209" s="1471">
        <f>ROUND(D209*($E$198-$D$198),2)</f>
        <v>16.399999999999999</v>
      </c>
      <c r="K209" s="1377"/>
      <c r="L209" s="1377"/>
      <c r="M209" s="1377"/>
      <c r="N209" s="1377"/>
      <c r="O209" s="1462"/>
      <c r="P209" s="1463"/>
    </row>
    <row r="210" spans="1:17">
      <c r="A210" s="1459"/>
      <c r="B210" s="298"/>
      <c r="C210" s="298" t="s">
        <v>373</v>
      </c>
      <c r="D210" s="298">
        <v>6019</v>
      </c>
      <c r="E210" s="298">
        <v>522301</v>
      </c>
      <c r="F210" s="298">
        <v>527852</v>
      </c>
      <c r="G210" s="1460">
        <f>F210-E210</f>
        <v>5551</v>
      </c>
      <c r="H210" s="1460"/>
      <c r="I210" s="1471">
        <f>ROUND(G210*$E$198,2)</f>
        <v>39845.08</v>
      </c>
      <c r="J210" s="1471">
        <f t="shared" ref="J210:J214" si="36">ROUND(D210*($E$198-$D$198),2)</f>
        <v>235.34</v>
      </c>
      <c r="K210" s="1377"/>
      <c r="L210" s="1377"/>
      <c r="M210" s="1377"/>
      <c r="N210" s="1377"/>
      <c r="O210" s="1462"/>
      <c r="P210" s="1463"/>
    </row>
    <row r="211" spans="1:17">
      <c r="A211" s="1459"/>
      <c r="B211" s="298"/>
      <c r="C211" s="298" t="s">
        <v>374</v>
      </c>
      <c r="D211" s="298">
        <v>189</v>
      </c>
      <c r="E211" s="298">
        <v>26782</v>
      </c>
      <c r="F211" s="298">
        <v>26943</v>
      </c>
      <c r="G211" s="1460">
        <f>F211-E211</f>
        <v>161</v>
      </c>
      <c r="H211" s="1460"/>
      <c r="I211" s="1471">
        <f t="shared" ref="I211:I214" si="37">ROUND(G211*$E$198,2)</f>
        <v>1155.6600000000001</v>
      </c>
      <c r="J211" s="1471">
        <f t="shared" si="36"/>
        <v>7.39</v>
      </c>
      <c r="K211" s="1377"/>
      <c r="L211" s="1377"/>
      <c r="M211" s="1377"/>
      <c r="N211" s="1377"/>
      <c r="O211" s="1462"/>
      <c r="P211" s="1463"/>
    </row>
    <row r="212" spans="1:17" ht="15.75" thickBot="1">
      <c r="A212" s="1472"/>
      <c r="B212" s="774"/>
      <c r="C212" s="774" t="s">
        <v>263</v>
      </c>
      <c r="D212" s="774">
        <v>198.83</v>
      </c>
      <c r="E212" s="774"/>
      <c r="F212" s="774"/>
      <c r="G212" s="1473">
        <f>ROUND((G211+G210+G209)*0.03,2)</f>
        <v>185.51</v>
      </c>
      <c r="H212" s="1473">
        <f>G212</f>
        <v>185.51</v>
      </c>
      <c r="I212" s="1474">
        <f t="shared" si="37"/>
        <v>1331.59</v>
      </c>
      <c r="J212" s="1474">
        <f t="shared" si="36"/>
        <v>7.77</v>
      </c>
      <c r="K212" s="1384"/>
      <c r="L212" s="1384"/>
      <c r="M212" s="1384"/>
      <c r="N212" s="1384"/>
      <c r="O212" s="1475"/>
      <c r="P212" s="1476"/>
    </row>
    <row r="213" spans="1:17">
      <c r="A213" s="1469">
        <v>400</v>
      </c>
      <c r="B213" s="620" t="s">
        <v>300</v>
      </c>
      <c r="C213" s="620" t="s">
        <v>351</v>
      </c>
      <c r="D213" s="620">
        <v>2496.3200000000002</v>
      </c>
      <c r="E213" s="620">
        <v>84320.69</v>
      </c>
      <c r="F213" s="620">
        <v>86743.679999999993</v>
      </c>
      <c r="G213" s="1454">
        <f>F213-E213</f>
        <v>2422.9899999999907</v>
      </c>
      <c r="H213" s="1454">
        <f>G213</f>
        <v>2422.9899999999907</v>
      </c>
      <c r="I213" s="1470">
        <f t="shared" si="37"/>
        <v>17392.22</v>
      </c>
      <c r="J213" s="1470">
        <f t="shared" si="36"/>
        <v>97.61</v>
      </c>
      <c r="K213" s="1375"/>
      <c r="L213" s="1375"/>
      <c r="M213" s="1375"/>
      <c r="N213" s="1375"/>
      <c r="O213" s="1457">
        <f>SUM(J213:J214)+SUM(I213:I214)</f>
        <v>18014.530000000002</v>
      </c>
      <c r="P213" s="1458">
        <v>18014.53</v>
      </c>
    </row>
    <row r="214" spans="1:17" ht="15.75" thickBot="1">
      <c r="A214" s="1464"/>
      <c r="B214" s="57"/>
      <c r="C214" s="57" t="s">
        <v>263</v>
      </c>
      <c r="D214" s="57">
        <v>74.89</v>
      </c>
      <c r="E214" s="57"/>
      <c r="F214" s="57"/>
      <c r="G214" s="1465">
        <f>ROUND((G213)*0.03,2)</f>
        <v>72.69</v>
      </c>
      <c r="H214" s="1465">
        <f>G214</f>
        <v>72.69</v>
      </c>
      <c r="I214" s="1482">
        <f t="shared" si="37"/>
        <v>521.77</v>
      </c>
      <c r="J214" s="1482">
        <f t="shared" si="36"/>
        <v>2.93</v>
      </c>
      <c r="K214" s="1307"/>
      <c r="L214" s="1307"/>
      <c r="M214" s="1307"/>
      <c r="N214" s="1307"/>
      <c r="O214" s="1467"/>
      <c r="P214" s="1468"/>
    </row>
    <row r="215" spans="1:17">
      <c r="A215" s="1469" t="s">
        <v>463</v>
      </c>
      <c r="B215" s="620" t="s">
        <v>464</v>
      </c>
      <c r="C215" s="620" t="s">
        <v>351</v>
      </c>
      <c r="D215" s="620"/>
      <c r="E215" s="620">
        <v>0</v>
      </c>
      <c r="F215" s="620">
        <v>166</v>
      </c>
      <c r="G215" s="1454">
        <f>F215-E215</f>
        <v>166</v>
      </c>
      <c r="H215" s="1454">
        <f>G215</f>
        <v>166</v>
      </c>
      <c r="I215" s="1470">
        <f>ROUND(G215*$E$198,2)</f>
        <v>1191.55</v>
      </c>
      <c r="J215" s="1470">
        <f t="shared" ref="J215:J216" si="38">ROUND(D215*($E$198-$D$198),2)</f>
        <v>0</v>
      </c>
      <c r="K215" s="1375"/>
      <c r="L215" s="1375"/>
      <c r="M215" s="1375"/>
      <c r="N215" s="1375"/>
      <c r="O215" s="1457">
        <f>SUM(J215:J216)+SUM(I215:I216)</f>
        <v>1227.3</v>
      </c>
      <c r="P215" s="1458"/>
      <c r="Q215" t="s">
        <v>465</v>
      </c>
    </row>
    <row r="216" spans="1:17" ht="15.75" thickBot="1">
      <c r="A216" s="1464"/>
      <c r="B216" s="57"/>
      <c r="C216" s="57" t="s">
        <v>263</v>
      </c>
      <c r="D216" s="57"/>
      <c r="E216" s="57"/>
      <c r="F216" s="57"/>
      <c r="G216" s="1465">
        <f>ROUND((G215)*0.03,2)</f>
        <v>4.9800000000000004</v>
      </c>
      <c r="H216" s="1465">
        <f>G216</f>
        <v>4.9800000000000004</v>
      </c>
      <c r="I216" s="1482">
        <f t="shared" ref="I216" si="39">ROUND(G216*$E$198,2)</f>
        <v>35.75</v>
      </c>
      <c r="J216" s="1482">
        <f t="shared" si="38"/>
        <v>0</v>
      </c>
      <c r="K216" s="1307"/>
      <c r="L216" s="1307"/>
      <c r="M216" s="1307"/>
      <c r="N216" s="1307"/>
      <c r="O216" s="1467"/>
      <c r="P216" s="1468"/>
    </row>
    <row r="218" spans="1:17">
      <c r="A218" s="1445" t="s">
        <v>432</v>
      </c>
      <c r="C218" t="s">
        <v>15</v>
      </c>
      <c r="D218" t="s">
        <v>347</v>
      </c>
      <c r="E218" t="s">
        <v>348</v>
      </c>
      <c r="F218" s="1509" t="s">
        <v>349</v>
      </c>
    </row>
    <row r="219" spans="1:17">
      <c r="C219" t="s">
        <v>243</v>
      </c>
      <c r="D219">
        <v>41.244</v>
      </c>
      <c r="E219">
        <v>41.244</v>
      </c>
      <c r="F219" s="1509">
        <v>42.768000000000001</v>
      </c>
    </row>
    <row r="220" spans="1:17">
      <c r="C220" t="s">
        <v>33</v>
      </c>
      <c r="D220">
        <v>276.93</v>
      </c>
      <c r="E220">
        <v>276.93</v>
      </c>
      <c r="F220" s="1509">
        <v>276.93</v>
      </c>
    </row>
    <row r="221" spans="1:17">
      <c r="C221" t="s">
        <v>350</v>
      </c>
      <c r="D221">
        <v>48.335999999999999</v>
      </c>
      <c r="E221">
        <v>48.335999999999999</v>
      </c>
      <c r="F221" s="1509">
        <v>50.124000000000002</v>
      </c>
    </row>
    <row r="222" spans="1:17" ht="15.75" thickBot="1">
      <c r="C222" t="s">
        <v>351</v>
      </c>
      <c r="D222">
        <v>7.1388999999999996</v>
      </c>
      <c r="E222">
        <v>7.1779999999999999</v>
      </c>
      <c r="F222" s="1509">
        <v>7.5038999999999998</v>
      </c>
    </row>
    <row r="223" spans="1:17" ht="15" customHeight="1">
      <c r="A223" s="1577" t="s">
        <v>1</v>
      </c>
      <c r="B223" s="1579" t="s">
        <v>352</v>
      </c>
      <c r="C223" s="1581" t="s">
        <v>353</v>
      </c>
      <c r="D223" s="1581" t="s">
        <v>354</v>
      </c>
      <c r="E223" s="1579" t="s">
        <v>355</v>
      </c>
      <c r="F223" s="1579"/>
      <c r="G223" s="1579"/>
      <c r="H223" s="1496"/>
      <c r="I223" s="1583" t="s">
        <v>356</v>
      </c>
      <c r="J223" s="1585" t="s">
        <v>357</v>
      </c>
      <c r="K223" s="1587" t="s">
        <v>358</v>
      </c>
      <c r="L223" s="1587"/>
      <c r="M223" s="1587"/>
      <c r="N223" s="1587"/>
      <c r="O223" s="1588" t="s">
        <v>359</v>
      </c>
      <c r="P223" s="1590" t="s">
        <v>360</v>
      </c>
    </row>
    <row r="224" spans="1:17" ht="45" customHeight="1" thickBot="1">
      <c r="A224" s="1578"/>
      <c r="B224" s="1580"/>
      <c r="C224" s="1582"/>
      <c r="D224" s="1582"/>
      <c r="E224" s="1450" t="s">
        <v>361</v>
      </c>
      <c r="F224" s="1450" t="s">
        <v>362</v>
      </c>
      <c r="G224" s="1451" t="s">
        <v>11</v>
      </c>
      <c r="H224" s="1451" t="s">
        <v>466</v>
      </c>
      <c r="I224" s="1584"/>
      <c r="J224" s="1586"/>
      <c r="K224" s="1307" t="s">
        <v>11</v>
      </c>
      <c r="L224" s="1307" t="s">
        <v>15</v>
      </c>
      <c r="M224" s="1307" t="s">
        <v>14</v>
      </c>
      <c r="N224" s="1307" t="s">
        <v>363</v>
      </c>
      <c r="O224" s="1589"/>
      <c r="P224" s="1591"/>
    </row>
    <row r="225" spans="1:17">
      <c r="A225" s="1452" t="s">
        <v>228</v>
      </c>
      <c r="B225" s="620" t="s">
        <v>186</v>
      </c>
      <c r="C225" s="620" t="s">
        <v>351</v>
      </c>
      <c r="D225" s="620">
        <v>169</v>
      </c>
      <c r="E225" s="620">
        <v>2877</v>
      </c>
      <c r="F225" s="620">
        <v>3080</v>
      </c>
      <c r="G225" s="1454">
        <f>F225-E225</f>
        <v>203</v>
      </c>
      <c r="H225" s="1454">
        <f t="shared" ref="H225:H232" si="40">G225</f>
        <v>203</v>
      </c>
      <c r="I225" s="1470">
        <f>ROUND(G225*$E$222,2)</f>
        <v>1457.13</v>
      </c>
      <c r="J225" s="1470">
        <f>ROUND(D225*($E$222-$D$222),2)</f>
        <v>6.61</v>
      </c>
      <c r="K225" s="1375"/>
      <c r="L225" s="1375"/>
      <c r="M225" s="1375"/>
      <c r="N225" s="1375"/>
      <c r="O225" s="1457">
        <f>SUM(J225:J226)+SUM(I225:I226)</f>
        <v>1528.5600000000002</v>
      </c>
      <c r="P225" s="1458">
        <v>1528.56</v>
      </c>
    </row>
    <row r="226" spans="1:17" ht="15.75" thickBot="1">
      <c r="A226" s="1464"/>
      <c r="B226" s="57"/>
      <c r="C226" s="57" t="s">
        <v>263</v>
      </c>
      <c r="D226" s="57">
        <v>7.49</v>
      </c>
      <c r="E226" s="57"/>
      <c r="F226" s="57"/>
      <c r="G226" s="1465">
        <f>ROUND((G225)*0.0443,2)</f>
        <v>8.99</v>
      </c>
      <c r="H226" s="1465">
        <f t="shared" si="40"/>
        <v>8.99</v>
      </c>
      <c r="I226" s="1482">
        <f>ROUND(G226*$E$222,2)</f>
        <v>64.53</v>
      </c>
      <c r="J226" s="1482">
        <f>ROUND(D226*($E$222-$D$222),2)</f>
        <v>0.28999999999999998</v>
      </c>
      <c r="K226" s="1307"/>
      <c r="L226" s="1307"/>
      <c r="M226" s="1307"/>
      <c r="N226" s="1307"/>
      <c r="O226" s="1467"/>
      <c r="P226" s="1468"/>
    </row>
    <row r="227" spans="1:17">
      <c r="A227" s="1452" t="s">
        <v>207</v>
      </c>
      <c r="B227" s="620" t="s">
        <v>433</v>
      </c>
      <c r="C227" s="620" t="s">
        <v>351</v>
      </c>
      <c r="D227" s="620">
        <v>9</v>
      </c>
      <c r="E227" s="620">
        <v>12</v>
      </c>
      <c r="F227" s="620">
        <v>13</v>
      </c>
      <c r="G227" s="1454">
        <f>F227-E227</f>
        <v>1</v>
      </c>
      <c r="H227" s="1454">
        <f t="shared" si="40"/>
        <v>1</v>
      </c>
      <c r="I227" s="1470">
        <f>ROUND(G227*$E$222,2)</f>
        <v>7.18</v>
      </c>
      <c r="J227" s="1470">
        <f>ROUND(D227*($E$222-$D$222),2)</f>
        <v>0.35</v>
      </c>
      <c r="K227" s="1375"/>
      <c r="L227" s="1375"/>
      <c r="M227" s="1375"/>
      <c r="N227" s="1375"/>
      <c r="O227" s="1457">
        <f>SUM(J227:J228)+SUM(I227:I228)</f>
        <v>7.84</v>
      </c>
      <c r="P227" s="1458"/>
      <c r="Q227" t="s">
        <v>434</v>
      </c>
    </row>
    <row r="228" spans="1:17" ht="15.75" thickBot="1">
      <c r="A228" s="1472"/>
      <c r="B228" s="774"/>
      <c r="C228" s="774" t="s">
        <v>263</v>
      </c>
      <c r="D228" s="774">
        <v>0.4</v>
      </c>
      <c r="E228" s="774"/>
      <c r="F228" s="774"/>
      <c r="G228" s="1473">
        <f>ROUND((G227)*0.0443,2)</f>
        <v>0.04</v>
      </c>
      <c r="H228" s="1473">
        <f t="shared" si="40"/>
        <v>0.04</v>
      </c>
      <c r="I228" s="1474">
        <f>ROUND(G228*$E$222,2)</f>
        <v>0.28999999999999998</v>
      </c>
      <c r="J228" s="1474">
        <f>ROUND(D228*($E$222-$D$222),2)</f>
        <v>0.02</v>
      </c>
      <c r="K228" s="1384"/>
      <c r="L228" s="1384"/>
      <c r="M228" s="1384"/>
      <c r="N228" s="1384"/>
      <c r="O228" s="1475"/>
      <c r="P228" s="1476"/>
    </row>
    <row r="229" spans="1:17">
      <c r="A229" s="1452" t="s">
        <v>389</v>
      </c>
      <c r="B229" s="620" t="s">
        <v>435</v>
      </c>
      <c r="C229" s="620" t="s">
        <v>243</v>
      </c>
      <c r="D229" s="620">
        <v>1</v>
      </c>
      <c r="E229" s="1453">
        <v>697</v>
      </c>
      <c r="F229" s="1453">
        <v>699</v>
      </c>
      <c r="G229" s="1454">
        <f>F229-E229</f>
        <v>2</v>
      </c>
      <c r="H229" s="1491">
        <f t="shared" si="40"/>
        <v>2</v>
      </c>
      <c r="I229" s="1484">
        <f>ROUND(G229*($E$219+$E$221),2)</f>
        <v>179.16</v>
      </c>
      <c r="J229" s="1470">
        <f>ROUND(D229*(($E$219+$E$221)-($D$219+$D$221)),2)</f>
        <v>0</v>
      </c>
      <c r="K229" s="1485"/>
      <c r="L229" s="1375"/>
      <c r="M229" s="1375"/>
      <c r="N229" s="1375"/>
      <c r="O229" s="1457">
        <f>SUM(J229:J232)+SUM(I229:I232)+SUM(M229:M232)</f>
        <v>2948.77</v>
      </c>
      <c r="P229" s="1458">
        <v>2948.78</v>
      </c>
    </row>
    <row r="230" spans="1:17">
      <c r="A230" s="1477"/>
      <c r="B230" s="670"/>
      <c r="C230" s="1499" t="s">
        <v>33</v>
      </c>
      <c r="D230" s="1499">
        <v>1</v>
      </c>
      <c r="E230" s="1500">
        <v>200</v>
      </c>
      <c r="F230" s="1500">
        <v>200</v>
      </c>
      <c r="G230" s="1501">
        <f>F230-E230</f>
        <v>0</v>
      </c>
      <c r="H230" s="1505">
        <f t="shared" si="40"/>
        <v>0</v>
      </c>
      <c r="I230" s="1506">
        <f>ROUND(G230*($E$220+$E$221),2)</f>
        <v>0</v>
      </c>
      <c r="J230" s="1502">
        <f>ROUND(D230*(($E$220+$E$221)-($D$220+$D$221)),2)</f>
        <v>0</v>
      </c>
      <c r="K230" s="1487"/>
      <c r="L230" s="1405"/>
      <c r="M230" s="1405"/>
      <c r="N230" s="1405"/>
      <c r="O230" s="1479"/>
      <c r="P230" s="1480"/>
    </row>
    <row r="231" spans="1:17">
      <c r="A231" s="1459"/>
      <c r="B231" s="298"/>
      <c r="C231" s="298" t="s">
        <v>351</v>
      </c>
      <c r="D231" s="298">
        <v>272</v>
      </c>
      <c r="E231" s="298">
        <v>2118</v>
      </c>
      <c r="F231" s="298">
        <v>2486</v>
      </c>
      <c r="G231" s="1460">
        <f>(F231-E231)</f>
        <v>368</v>
      </c>
      <c r="H231" s="1492">
        <f t="shared" si="40"/>
        <v>368</v>
      </c>
      <c r="I231" s="1486">
        <f>ROUND(G231*$E$222,2)</f>
        <v>2641.5</v>
      </c>
      <c r="J231" s="1471">
        <f>ROUND(D231*($E$222-$D$222),2)</f>
        <v>10.64</v>
      </c>
      <c r="K231" s="1488"/>
      <c r="L231" s="1377"/>
      <c r="M231" s="1377"/>
      <c r="N231" s="1377"/>
      <c r="O231" s="1462"/>
      <c r="P231" s="1463"/>
    </row>
    <row r="232" spans="1:17" ht="15.75" thickBot="1">
      <c r="A232" s="1472"/>
      <c r="B232" s="774"/>
      <c r="C232" s="774" t="s">
        <v>263</v>
      </c>
      <c r="D232" s="774">
        <v>12.05</v>
      </c>
      <c r="E232" s="774"/>
      <c r="F232" s="774"/>
      <c r="G232" s="1473">
        <f>ROUND((G231)*0.0443,2)</f>
        <v>16.3</v>
      </c>
      <c r="H232" s="1497">
        <f t="shared" si="40"/>
        <v>16.3</v>
      </c>
      <c r="I232" s="1489">
        <f>ROUND(G232*$E$222,2)</f>
        <v>117</v>
      </c>
      <c r="J232" s="1474">
        <f>ROUND(D232*($E$222-$D$222),2)</f>
        <v>0.47</v>
      </c>
      <c r="K232" s="1490"/>
      <c r="L232" s="1384"/>
      <c r="M232" s="1384"/>
      <c r="N232" s="1384"/>
      <c r="O232" s="1475"/>
      <c r="P232" s="1476"/>
    </row>
    <row r="233" spans="1:17">
      <c r="A233" s="1452" t="s">
        <v>436</v>
      </c>
      <c r="B233" s="620" t="s">
        <v>437</v>
      </c>
      <c r="C233" s="620" t="s">
        <v>369</v>
      </c>
      <c r="D233" s="620">
        <v>17</v>
      </c>
      <c r="E233" s="1453">
        <v>647</v>
      </c>
      <c r="F233" s="1453">
        <v>676</v>
      </c>
      <c r="G233" s="1491">
        <f>F233-E233</f>
        <v>29</v>
      </c>
      <c r="H233" s="1491">
        <f>G233+G234</f>
        <v>36</v>
      </c>
      <c r="I233" s="1470">
        <f>ROUND(G233*($E$219+$E$221),2)</f>
        <v>2597.8200000000002</v>
      </c>
      <c r="J233" s="1470">
        <f>ROUND(D233*(($E$219+$E$221)-($D$219+$D$221)),2)</f>
        <v>0</v>
      </c>
      <c r="K233" s="1485"/>
      <c r="L233" s="1375"/>
      <c r="M233" s="1375"/>
      <c r="N233" s="1375"/>
      <c r="O233" s="1457">
        <f>SUM(J233:J239)+SUM(I233:I239)+SUM(M233:M239)</f>
        <v>35810.04</v>
      </c>
      <c r="P233" s="1458">
        <v>35810.04</v>
      </c>
    </row>
    <row r="234" spans="1:17">
      <c r="A234" s="1477"/>
      <c r="B234" s="670"/>
      <c r="C234" s="670" t="s">
        <v>370</v>
      </c>
      <c r="D234" s="670">
        <v>6</v>
      </c>
      <c r="E234" s="1478">
        <v>6</v>
      </c>
      <c r="F234" s="1478">
        <v>13</v>
      </c>
      <c r="G234" s="1492">
        <f>F234-E234</f>
        <v>7</v>
      </c>
      <c r="H234" s="1492"/>
      <c r="I234" s="1471">
        <f>ROUND(G234*($E$219+$E$221),2)</f>
        <v>627.05999999999995</v>
      </c>
      <c r="J234" s="1471">
        <f>ROUND(D234*(($E$219+$E$221)-($D$219+$D$221)),2)</f>
        <v>0</v>
      </c>
      <c r="K234" s="1487"/>
      <c r="L234" s="1405"/>
      <c r="M234" s="1405"/>
      <c r="N234" s="1405"/>
      <c r="O234" s="1479"/>
      <c r="P234" s="1480"/>
    </row>
    <row r="235" spans="1:17">
      <c r="A235" s="1477"/>
      <c r="B235" s="670"/>
      <c r="C235" s="1499" t="s">
        <v>413</v>
      </c>
      <c r="D235" s="1499">
        <v>1</v>
      </c>
      <c r="E235" s="1500">
        <v>286</v>
      </c>
      <c r="F235" s="1500">
        <v>287</v>
      </c>
      <c r="G235" s="1505">
        <f>F235-E235</f>
        <v>1</v>
      </c>
      <c r="H235" s="1505">
        <f>G235+G236</f>
        <v>2</v>
      </c>
      <c r="I235" s="1502">
        <f>ROUND(G235*($E$220+$E$221),2)</f>
        <v>325.27</v>
      </c>
      <c r="J235" s="1502">
        <f>ROUND(D235*(($E$220+$E$221)-($D$220+$D$221)),2)</f>
        <v>0</v>
      </c>
      <c r="K235" s="1487"/>
      <c r="L235" s="1405"/>
      <c r="M235" s="1405"/>
      <c r="N235" s="1405"/>
      <c r="O235" s="1479"/>
      <c r="P235" s="1480"/>
    </row>
    <row r="236" spans="1:17">
      <c r="A236" s="1477"/>
      <c r="B236" s="670"/>
      <c r="C236" s="1499" t="s">
        <v>414</v>
      </c>
      <c r="D236" s="1499">
        <v>3</v>
      </c>
      <c r="E236" s="1500">
        <v>391</v>
      </c>
      <c r="F236" s="1500">
        <v>392</v>
      </c>
      <c r="G236" s="1505">
        <f>F236-E236</f>
        <v>1</v>
      </c>
      <c r="H236" s="1505"/>
      <c r="I236" s="1502">
        <f>ROUND(G236*($E$220+$E$221),2)</f>
        <v>325.27</v>
      </c>
      <c r="J236" s="1502">
        <f>ROUND(D236*(($E$220+$E$221)-($D$220+$D$221)),2)</f>
        <v>0</v>
      </c>
      <c r="K236" s="1487"/>
      <c r="L236" s="1405"/>
      <c r="M236" s="1405"/>
      <c r="N236" s="1405"/>
      <c r="O236" s="1479"/>
      <c r="P236" s="1480"/>
    </row>
    <row r="237" spans="1:17">
      <c r="A237" s="1459"/>
      <c r="B237" s="298"/>
      <c r="C237" s="298" t="s">
        <v>372</v>
      </c>
      <c r="D237" s="298">
        <v>934</v>
      </c>
      <c r="E237" s="298">
        <v>81713</v>
      </c>
      <c r="F237" s="298">
        <v>83081</v>
      </c>
      <c r="G237" s="1492">
        <f>(F237-E237)</f>
        <v>1368</v>
      </c>
      <c r="H237" s="1492">
        <f>G237+G238</f>
        <v>4243</v>
      </c>
      <c r="I237" s="1471">
        <f t="shared" ref="I237:I247" si="41">ROUND(G237*$E$222,2)</f>
        <v>9819.5</v>
      </c>
      <c r="J237" s="1471">
        <f t="shared" ref="J237:J247" si="42">ROUND(D237*($E$222-$D$222),2)</f>
        <v>36.520000000000003</v>
      </c>
      <c r="K237" s="1488"/>
      <c r="L237" s="1377"/>
      <c r="M237" s="1377"/>
      <c r="N237" s="1377"/>
      <c r="O237" s="1462"/>
      <c r="P237" s="1463"/>
    </row>
    <row r="238" spans="1:17">
      <c r="A238" s="1459"/>
      <c r="B238" s="298"/>
      <c r="C238" s="298" t="s">
        <v>373</v>
      </c>
      <c r="D238" s="298">
        <v>2230</v>
      </c>
      <c r="E238" s="298">
        <v>85327</v>
      </c>
      <c r="F238" s="298">
        <v>88202</v>
      </c>
      <c r="G238" s="1492">
        <f>(F238-E238)</f>
        <v>2875</v>
      </c>
      <c r="H238" s="1492"/>
      <c r="I238" s="1471">
        <f t="shared" si="41"/>
        <v>20636.75</v>
      </c>
      <c r="J238" s="1471">
        <f t="shared" si="42"/>
        <v>87.19</v>
      </c>
      <c r="K238" s="1488"/>
      <c r="L238" s="1377"/>
      <c r="M238" s="1377"/>
      <c r="N238" s="1377"/>
      <c r="O238" s="1462"/>
      <c r="P238" s="1463"/>
    </row>
    <row r="239" spans="1:17" ht="15.75" thickBot="1">
      <c r="A239" s="1464"/>
      <c r="B239" s="57"/>
      <c r="C239" s="57" t="s">
        <v>263</v>
      </c>
      <c r="D239" s="57">
        <v>140.16999999999999</v>
      </c>
      <c r="E239" s="57"/>
      <c r="F239" s="57"/>
      <c r="G239" s="1493">
        <f>ROUND((G238+G237)*0.0443,2)</f>
        <v>187.96</v>
      </c>
      <c r="H239" s="1493">
        <f t="shared" ref="H239:H265" si="43">G239</f>
        <v>187.96</v>
      </c>
      <c r="I239" s="1482">
        <f t="shared" si="41"/>
        <v>1349.18</v>
      </c>
      <c r="J239" s="1482">
        <f t="shared" si="42"/>
        <v>5.48</v>
      </c>
      <c r="K239" s="1494"/>
      <c r="L239" s="1307"/>
      <c r="M239" s="1307"/>
      <c r="N239" s="1307"/>
      <c r="O239" s="1467"/>
      <c r="P239" s="1468"/>
    </row>
    <row r="240" spans="1:17">
      <c r="A240" s="1452" t="s">
        <v>438</v>
      </c>
      <c r="B240" s="620" t="s">
        <v>439</v>
      </c>
      <c r="C240" s="620" t="s">
        <v>351</v>
      </c>
      <c r="D240" s="620">
        <v>1132</v>
      </c>
      <c r="E240" s="620">
        <v>42326</v>
      </c>
      <c r="F240" s="620">
        <v>43810</v>
      </c>
      <c r="G240" s="1454">
        <f>F240-E240</f>
        <v>1484</v>
      </c>
      <c r="H240" s="1454">
        <f t="shared" si="43"/>
        <v>1484</v>
      </c>
      <c r="I240" s="1470">
        <f t="shared" si="41"/>
        <v>10652.15</v>
      </c>
      <c r="J240" s="1470">
        <f t="shared" si="42"/>
        <v>44.26</v>
      </c>
      <c r="K240" s="1375"/>
      <c r="L240" s="1375"/>
      <c r="M240" s="1375"/>
      <c r="N240" s="1375"/>
      <c r="O240" s="1457">
        <f>SUM(J240:J241)+SUM(I240:I241)</f>
        <v>11170.249999999998</v>
      </c>
      <c r="P240" s="1458">
        <v>11170.25</v>
      </c>
    </row>
    <row r="241" spans="1:16" ht="15.75" thickBot="1">
      <c r="A241" s="1472"/>
      <c r="B241" s="774"/>
      <c r="C241" s="774" t="s">
        <v>263</v>
      </c>
      <c r="D241" s="774">
        <v>50.15</v>
      </c>
      <c r="E241" s="774"/>
      <c r="F241" s="774"/>
      <c r="G241" s="1473">
        <f>ROUND((G240)*0.0443,2)</f>
        <v>65.739999999999995</v>
      </c>
      <c r="H241" s="1473">
        <f t="shared" si="43"/>
        <v>65.739999999999995</v>
      </c>
      <c r="I241" s="1474">
        <f t="shared" si="41"/>
        <v>471.88</v>
      </c>
      <c r="J241" s="1474">
        <f t="shared" si="42"/>
        <v>1.96</v>
      </c>
      <c r="K241" s="1384"/>
      <c r="L241" s="1384"/>
      <c r="M241" s="1384"/>
      <c r="N241" s="1384"/>
      <c r="O241" s="1475"/>
      <c r="P241" s="1476"/>
    </row>
    <row r="242" spans="1:16">
      <c r="A242" s="1452" t="s">
        <v>208</v>
      </c>
      <c r="B242" s="620" t="s">
        <v>213</v>
      </c>
      <c r="C242" s="620" t="s">
        <v>351</v>
      </c>
      <c r="D242" s="620">
        <v>165</v>
      </c>
      <c r="E242" s="620">
        <v>7199</v>
      </c>
      <c r="F242" s="620">
        <v>7436</v>
      </c>
      <c r="G242" s="1454">
        <f>F242-E242</f>
        <v>237</v>
      </c>
      <c r="H242" s="1454">
        <f t="shared" si="43"/>
        <v>237</v>
      </c>
      <c r="I242" s="1470">
        <f t="shared" si="41"/>
        <v>1701.19</v>
      </c>
      <c r="J242" s="1470">
        <f t="shared" si="42"/>
        <v>6.45</v>
      </c>
      <c r="K242" s="1375"/>
      <c r="L242" s="1375"/>
      <c r="M242" s="1375"/>
      <c r="N242" s="1375"/>
      <c r="O242" s="1457">
        <f>SUM(J242:J243)+SUM(I242:I243)</f>
        <v>1783.3</v>
      </c>
      <c r="P242" s="1458">
        <v>1783.3</v>
      </c>
    </row>
    <row r="243" spans="1:16" ht="15.75" thickBot="1">
      <c r="A243" s="1472"/>
      <c r="B243" s="774"/>
      <c r="C243" s="774" t="s">
        <v>263</v>
      </c>
      <c r="D243" s="774">
        <v>7.31</v>
      </c>
      <c r="E243" s="774"/>
      <c r="F243" s="774"/>
      <c r="G243" s="1473">
        <f>ROUND((G242)*0.0443,2)</f>
        <v>10.5</v>
      </c>
      <c r="H243" s="1473">
        <f t="shared" si="43"/>
        <v>10.5</v>
      </c>
      <c r="I243" s="1474">
        <f t="shared" si="41"/>
        <v>75.37</v>
      </c>
      <c r="J243" s="1474">
        <f t="shared" si="42"/>
        <v>0.28999999999999998</v>
      </c>
      <c r="K243" s="1384"/>
      <c r="L243" s="1384"/>
      <c r="M243" s="1384"/>
      <c r="N243" s="1384"/>
      <c r="O243" s="1475"/>
      <c r="P243" s="1476"/>
    </row>
    <row r="244" spans="1:16">
      <c r="A244" s="1452" t="s">
        <v>440</v>
      </c>
      <c r="B244" s="620" t="s">
        <v>441</v>
      </c>
      <c r="C244" s="620" t="s">
        <v>351</v>
      </c>
      <c r="D244" s="620">
        <v>36</v>
      </c>
      <c r="E244" s="620">
        <v>1417</v>
      </c>
      <c r="F244" s="620">
        <v>1502</v>
      </c>
      <c r="G244" s="1454">
        <f>F244-E244</f>
        <v>85</v>
      </c>
      <c r="H244" s="1454">
        <f t="shared" si="43"/>
        <v>85</v>
      </c>
      <c r="I244" s="1470">
        <f t="shared" si="41"/>
        <v>610.13</v>
      </c>
      <c r="J244" s="1470">
        <f t="shared" si="42"/>
        <v>1.41</v>
      </c>
      <c r="K244" s="1375"/>
      <c r="L244" s="1375"/>
      <c r="M244" s="1375"/>
      <c r="N244" s="1375"/>
      <c r="O244" s="1457">
        <f>SUM(J244:J245)+SUM(I244:I245)</f>
        <v>638.66</v>
      </c>
      <c r="P244" s="1458">
        <v>638.66</v>
      </c>
    </row>
    <row r="245" spans="1:16" ht="16.5" customHeight="1" thickBot="1">
      <c r="A245" s="1472"/>
      <c r="B245" s="774"/>
      <c r="C245" s="774" t="s">
        <v>263</v>
      </c>
      <c r="D245" s="774">
        <v>1.59</v>
      </c>
      <c r="E245" s="774"/>
      <c r="F245" s="774"/>
      <c r="G245" s="1473">
        <f>ROUND((G244)*0.0443,2)</f>
        <v>3.77</v>
      </c>
      <c r="H245" s="1473">
        <f t="shared" si="43"/>
        <v>3.77</v>
      </c>
      <c r="I245" s="1474">
        <f t="shared" si="41"/>
        <v>27.06</v>
      </c>
      <c r="J245" s="1474">
        <f t="shared" si="42"/>
        <v>0.06</v>
      </c>
      <c r="K245" s="1384"/>
      <c r="L245" s="1384"/>
      <c r="M245" s="1384"/>
      <c r="N245" s="1384"/>
      <c r="O245" s="1475"/>
      <c r="P245" s="1476"/>
    </row>
    <row r="246" spans="1:16">
      <c r="A246" s="1452" t="s">
        <v>442</v>
      </c>
      <c r="B246" s="620" t="s">
        <v>365</v>
      </c>
      <c r="C246" s="620" t="s">
        <v>351</v>
      </c>
      <c r="D246" s="620">
        <v>358</v>
      </c>
      <c r="E246" s="620">
        <v>20839</v>
      </c>
      <c r="F246" s="620">
        <v>21593</v>
      </c>
      <c r="G246" s="1454">
        <f>F246-E246</f>
        <v>754</v>
      </c>
      <c r="H246" s="1454">
        <f t="shared" si="43"/>
        <v>754</v>
      </c>
      <c r="I246" s="1470">
        <f t="shared" si="41"/>
        <v>5412.21</v>
      </c>
      <c r="J246" s="1470">
        <f t="shared" si="42"/>
        <v>14</v>
      </c>
      <c r="K246" s="1375"/>
      <c r="L246" s="1375"/>
      <c r="M246" s="1375"/>
      <c r="N246" s="1375"/>
      <c r="O246" s="1457">
        <f>SUM(J246:J247)+SUM(I246:I247)</f>
        <v>5666.58</v>
      </c>
      <c r="P246" s="1458">
        <v>5666.58</v>
      </c>
    </row>
    <row r="247" spans="1:16" ht="15.75" thickBot="1">
      <c r="A247" s="1472"/>
      <c r="B247" s="774"/>
      <c r="C247" s="774" t="s">
        <v>263</v>
      </c>
      <c r="D247" s="774">
        <v>15.86</v>
      </c>
      <c r="E247" s="774"/>
      <c r="F247" s="774"/>
      <c r="G247" s="1473">
        <f>ROUND((G246)*0.0443,2)</f>
        <v>33.4</v>
      </c>
      <c r="H247" s="1473">
        <f t="shared" si="43"/>
        <v>33.4</v>
      </c>
      <c r="I247" s="1474">
        <f t="shared" si="41"/>
        <v>239.75</v>
      </c>
      <c r="J247" s="1474">
        <f t="shared" si="42"/>
        <v>0.62</v>
      </c>
      <c r="K247" s="1384"/>
      <c r="L247" s="1384"/>
      <c r="M247" s="1384"/>
      <c r="N247" s="1384"/>
      <c r="O247" s="1475"/>
      <c r="P247" s="1476"/>
    </row>
    <row r="248" spans="1:16">
      <c r="A248" s="1452" t="s">
        <v>443</v>
      </c>
      <c r="B248" s="620" t="s">
        <v>444</v>
      </c>
      <c r="C248" s="620" t="s">
        <v>243</v>
      </c>
      <c r="D248" s="620">
        <v>27</v>
      </c>
      <c r="E248" s="1453">
        <v>38</v>
      </c>
      <c r="F248" s="1453">
        <v>99</v>
      </c>
      <c r="G248" s="1454">
        <f>F248-E248</f>
        <v>61</v>
      </c>
      <c r="H248" s="1491">
        <f t="shared" si="43"/>
        <v>61</v>
      </c>
      <c r="I248" s="1484">
        <f>ROUND(G248*($E$219+$E$221),2)</f>
        <v>5464.38</v>
      </c>
      <c r="J248" s="1470">
        <f>ROUND(D248*(($E$219+$E$221)-($D$219+$D$221)),2)</f>
        <v>0</v>
      </c>
      <c r="K248" s="1485"/>
      <c r="L248" s="1375"/>
      <c r="M248" s="1375"/>
      <c r="N248" s="1375"/>
      <c r="O248" s="1457">
        <f>SUM(J248:J251)+SUM(I248:I251)+SUM(M248:M251)</f>
        <v>29421.360000000001</v>
      </c>
      <c r="P248" s="1458">
        <v>29421.360000000001</v>
      </c>
    </row>
    <row r="249" spans="1:16">
      <c r="A249" s="1477"/>
      <c r="B249" s="670"/>
      <c r="C249" s="1499" t="s">
        <v>33</v>
      </c>
      <c r="D249" s="1499">
        <v>8</v>
      </c>
      <c r="E249" s="1500">
        <v>15</v>
      </c>
      <c r="F249" s="1500">
        <v>27</v>
      </c>
      <c r="G249" s="1501">
        <f>F249-E249</f>
        <v>12</v>
      </c>
      <c r="H249" s="1505">
        <f t="shared" si="43"/>
        <v>12</v>
      </c>
      <c r="I249" s="1506">
        <f>ROUND(G249*($E$220+$E$221),2)</f>
        <v>3903.19</v>
      </c>
      <c r="J249" s="1502">
        <f>ROUND(D249*(($E$220+$E$221)-($D$220+$D$221)),2)</f>
        <v>0</v>
      </c>
      <c r="K249" s="1487"/>
      <c r="L249" s="1405"/>
      <c r="M249" s="1405"/>
      <c r="N249" s="1405"/>
      <c r="O249" s="1479"/>
      <c r="P249" s="1480"/>
    </row>
    <row r="250" spans="1:16">
      <c r="A250" s="1459"/>
      <c r="B250" s="298"/>
      <c r="C250" s="298" t="s">
        <v>351</v>
      </c>
      <c r="D250" s="298">
        <v>1518</v>
      </c>
      <c r="E250" s="298">
        <v>3348</v>
      </c>
      <c r="F250" s="298">
        <v>6015</v>
      </c>
      <c r="G250" s="1460">
        <f>(F250-E250)</f>
        <v>2667</v>
      </c>
      <c r="H250" s="1492">
        <f t="shared" si="43"/>
        <v>2667</v>
      </c>
      <c r="I250" s="1486">
        <f t="shared" ref="I250:I259" si="44">ROUND(G250*$E$222,2)</f>
        <v>19143.73</v>
      </c>
      <c r="J250" s="1471">
        <f t="shared" ref="J250:J259" si="45">ROUND(D250*($E$222-$D$222),2)</f>
        <v>59.35</v>
      </c>
      <c r="K250" s="1488"/>
      <c r="L250" s="1377"/>
      <c r="M250" s="1377"/>
      <c r="N250" s="1377"/>
      <c r="O250" s="1462"/>
      <c r="P250" s="1463"/>
    </row>
    <row r="251" spans="1:16" ht="15.75" thickBot="1">
      <c r="A251" s="1472"/>
      <c r="B251" s="774"/>
      <c r="C251" s="774" t="s">
        <v>263</v>
      </c>
      <c r="D251" s="774">
        <v>67.25</v>
      </c>
      <c r="E251" s="774"/>
      <c r="F251" s="774"/>
      <c r="G251" s="1473">
        <f>ROUND((G250)*0.0443,2)</f>
        <v>118.15</v>
      </c>
      <c r="H251" s="1497">
        <f t="shared" si="43"/>
        <v>118.15</v>
      </c>
      <c r="I251" s="1489">
        <f t="shared" si="44"/>
        <v>848.08</v>
      </c>
      <c r="J251" s="1474">
        <f t="shared" si="45"/>
        <v>2.63</v>
      </c>
      <c r="K251" s="1490"/>
      <c r="L251" s="1384"/>
      <c r="M251" s="1384"/>
      <c r="N251" s="1384"/>
      <c r="O251" s="1475"/>
      <c r="P251" s="1476"/>
    </row>
    <row r="252" spans="1:16">
      <c r="A252" s="1452" t="s">
        <v>445</v>
      </c>
      <c r="B252" s="620" t="s">
        <v>444</v>
      </c>
      <c r="C252" s="620" t="s">
        <v>351</v>
      </c>
      <c r="D252" s="620">
        <v>0</v>
      </c>
      <c r="E252" s="620">
        <v>1697</v>
      </c>
      <c r="F252" s="620">
        <v>1725</v>
      </c>
      <c r="G252" s="1454">
        <f>F252-E252</f>
        <v>28</v>
      </c>
      <c r="H252" s="1454">
        <f t="shared" si="43"/>
        <v>28</v>
      </c>
      <c r="I252" s="1470">
        <f t="shared" si="44"/>
        <v>200.98</v>
      </c>
      <c r="J252" s="1470">
        <f t="shared" si="45"/>
        <v>0</v>
      </c>
      <c r="K252" s="1375"/>
      <c r="L252" s="1375"/>
      <c r="M252" s="1375"/>
      <c r="N252" s="1375"/>
      <c r="O252" s="1457">
        <f>SUM(J252:J253)+SUM(I252:I253)</f>
        <v>209.88</v>
      </c>
      <c r="P252" s="1458">
        <v>209.88</v>
      </c>
    </row>
    <row r="253" spans="1:16" ht="15.75" thickBot="1">
      <c r="A253" s="1472"/>
      <c r="B253" s="774"/>
      <c r="C253" s="774" t="s">
        <v>263</v>
      </c>
      <c r="D253" s="774">
        <v>0</v>
      </c>
      <c r="E253" s="774"/>
      <c r="F253" s="774"/>
      <c r="G253" s="1473">
        <f>ROUND((G252)*0.0443,2)</f>
        <v>1.24</v>
      </c>
      <c r="H253" s="1473">
        <f t="shared" si="43"/>
        <v>1.24</v>
      </c>
      <c r="I253" s="1474">
        <f t="shared" si="44"/>
        <v>8.9</v>
      </c>
      <c r="J253" s="1474">
        <f t="shared" si="45"/>
        <v>0</v>
      </c>
      <c r="K253" s="1384"/>
      <c r="L253" s="1384"/>
      <c r="M253" s="1384"/>
      <c r="N253" s="1384"/>
      <c r="O253" s="1475"/>
      <c r="P253" s="1476"/>
    </row>
    <row r="254" spans="1:16">
      <c r="A254" s="1452" t="s">
        <v>446</v>
      </c>
      <c r="B254" s="620" t="s">
        <v>251</v>
      </c>
      <c r="C254" s="620" t="s">
        <v>351</v>
      </c>
      <c r="D254" s="620">
        <v>337</v>
      </c>
      <c r="E254" s="620">
        <v>9216</v>
      </c>
      <c r="F254" s="620">
        <v>9660</v>
      </c>
      <c r="G254" s="1454">
        <f>F254-E254</f>
        <v>444</v>
      </c>
      <c r="H254" s="1454">
        <f t="shared" si="43"/>
        <v>444</v>
      </c>
      <c r="I254" s="1470">
        <f t="shared" si="44"/>
        <v>3187.03</v>
      </c>
      <c r="J254" s="1470">
        <f t="shared" si="45"/>
        <v>13.18</v>
      </c>
      <c r="K254" s="1375"/>
      <c r="L254" s="1375"/>
      <c r="M254" s="1375"/>
      <c r="N254" s="1375"/>
      <c r="O254" s="1457">
        <f>SUM(J254:J255)+SUM(I254:I255)</f>
        <v>3341.9800000000005</v>
      </c>
      <c r="P254" s="1458">
        <v>3341.98</v>
      </c>
    </row>
    <row r="255" spans="1:16" ht="15.75" thickBot="1">
      <c r="A255" s="1472"/>
      <c r="B255" s="774"/>
      <c r="C255" s="774" t="s">
        <v>263</v>
      </c>
      <c r="D255" s="774">
        <v>14.93</v>
      </c>
      <c r="E255" s="774"/>
      <c r="F255" s="774"/>
      <c r="G255" s="1473">
        <f>ROUND((G254)*0.0443,2)</f>
        <v>19.670000000000002</v>
      </c>
      <c r="H255" s="1473">
        <f t="shared" si="43"/>
        <v>19.670000000000002</v>
      </c>
      <c r="I255" s="1474">
        <f t="shared" si="44"/>
        <v>141.19</v>
      </c>
      <c r="J255" s="1474">
        <f t="shared" si="45"/>
        <v>0.57999999999999996</v>
      </c>
      <c r="K255" s="1384"/>
      <c r="L255" s="1384"/>
      <c r="M255" s="1384"/>
      <c r="N255" s="1384"/>
      <c r="O255" s="1475"/>
      <c r="P255" s="1476"/>
    </row>
    <row r="256" spans="1:16">
      <c r="A256" s="1452" t="s">
        <v>447</v>
      </c>
      <c r="B256" s="620" t="s">
        <v>448</v>
      </c>
      <c r="C256" s="620" t="s">
        <v>351</v>
      </c>
      <c r="D256" s="620">
        <v>309</v>
      </c>
      <c r="E256" s="620">
        <v>4212</v>
      </c>
      <c r="F256" s="620">
        <v>4549</v>
      </c>
      <c r="G256" s="1454">
        <f>F256-E256</f>
        <v>337</v>
      </c>
      <c r="H256" s="1454">
        <f t="shared" si="43"/>
        <v>337</v>
      </c>
      <c r="I256" s="1470">
        <f t="shared" si="44"/>
        <v>2418.9899999999998</v>
      </c>
      <c r="J256" s="1470">
        <f t="shared" si="45"/>
        <v>12.08</v>
      </c>
      <c r="K256" s="1375"/>
      <c r="L256" s="1375"/>
      <c r="M256" s="1375"/>
      <c r="N256" s="1375"/>
      <c r="O256" s="1457">
        <f>SUM(J256:J257)+SUM(I256:I257)</f>
        <v>2538.7799999999997</v>
      </c>
      <c r="P256" s="1458">
        <v>2538.7800000000002</v>
      </c>
    </row>
    <row r="257" spans="1:16" ht="15.75" thickBot="1">
      <c r="A257" s="1472"/>
      <c r="B257" s="774"/>
      <c r="C257" s="774" t="s">
        <v>263</v>
      </c>
      <c r="D257" s="774">
        <v>13.69</v>
      </c>
      <c r="E257" s="774"/>
      <c r="F257" s="774"/>
      <c r="G257" s="1473">
        <f>ROUND((G256)*0.0443,2)</f>
        <v>14.93</v>
      </c>
      <c r="H257" s="1473">
        <f t="shared" si="43"/>
        <v>14.93</v>
      </c>
      <c r="I257" s="1474">
        <f t="shared" si="44"/>
        <v>107.17</v>
      </c>
      <c r="J257" s="1474">
        <f t="shared" si="45"/>
        <v>0.54</v>
      </c>
      <c r="K257" s="1384"/>
      <c r="L257" s="1384"/>
      <c r="M257" s="1384"/>
      <c r="N257" s="1384"/>
      <c r="O257" s="1475"/>
      <c r="P257" s="1476"/>
    </row>
    <row r="258" spans="1:16">
      <c r="A258" s="1452" t="s">
        <v>449</v>
      </c>
      <c r="B258" s="620" t="s">
        <v>288</v>
      </c>
      <c r="C258" s="620" t="s">
        <v>351</v>
      </c>
      <c r="D258" s="620">
        <v>74</v>
      </c>
      <c r="E258" s="620">
        <v>977</v>
      </c>
      <c r="F258" s="620">
        <v>1080</v>
      </c>
      <c r="G258" s="1454">
        <f>F258-E258</f>
        <v>103</v>
      </c>
      <c r="H258" s="1454">
        <f t="shared" si="43"/>
        <v>103</v>
      </c>
      <c r="I258" s="1470">
        <f t="shared" si="44"/>
        <v>739.33</v>
      </c>
      <c r="J258" s="1470">
        <f t="shared" si="45"/>
        <v>2.89</v>
      </c>
      <c r="K258" s="1375"/>
      <c r="L258" s="1375"/>
      <c r="M258" s="1375"/>
      <c r="N258" s="1375"/>
      <c r="O258" s="1457">
        <f>SUM(J258:J259)+SUM(I258:I259)</f>
        <v>775.08</v>
      </c>
      <c r="P258" s="1458">
        <v>775.08</v>
      </c>
    </row>
    <row r="259" spans="1:16" ht="15.75" thickBot="1">
      <c r="A259" s="1472"/>
      <c r="B259" s="774"/>
      <c r="C259" s="774" t="s">
        <v>263</v>
      </c>
      <c r="D259" s="774">
        <v>3.28</v>
      </c>
      <c r="E259" s="774"/>
      <c r="F259" s="774"/>
      <c r="G259" s="1473">
        <f>ROUND((G258)*0.0443,2)</f>
        <v>4.5599999999999996</v>
      </c>
      <c r="H259" s="1473">
        <f t="shared" si="43"/>
        <v>4.5599999999999996</v>
      </c>
      <c r="I259" s="1474">
        <f t="shared" si="44"/>
        <v>32.729999999999997</v>
      </c>
      <c r="J259" s="1474">
        <f t="shared" si="45"/>
        <v>0.13</v>
      </c>
      <c r="K259" s="1384"/>
      <c r="L259" s="1384"/>
      <c r="M259" s="1384"/>
      <c r="N259" s="1384"/>
      <c r="O259" s="1475"/>
      <c r="P259" s="1476"/>
    </row>
    <row r="260" spans="1:16">
      <c r="A260" s="1452" t="s">
        <v>450</v>
      </c>
      <c r="B260" s="620" t="s">
        <v>279</v>
      </c>
      <c r="C260" s="620" t="s">
        <v>243</v>
      </c>
      <c r="D260" s="620">
        <v>2</v>
      </c>
      <c r="E260" s="1453">
        <v>36</v>
      </c>
      <c r="F260" s="1453">
        <v>39</v>
      </c>
      <c r="G260" s="1454">
        <f>F260-E260</f>
        <v>3</v>
      </c>
      <c r="H260" s="1491">
        <f t="shared" si="43"/>
        <v>3</v>
      </c>
      <c r="I260" s="1484">
        <f>ROUND(G260*($E$219+$E$221),2)</f>
        <v>268.74</v>
      </c>
      <c r="J260" s="1470">
        <f>ROUND(D260*(($E$219+$E$221)-($D$219+$D$221)),2)</f>
        <v>0</v>
      </c>
      <c r="K260" s="1485"/>
      <c r="L260" s="1375"/>
      <c r="M260" s="1375"/>
      <c r="N260" s="1375"/>
      <c r="O260" s="1457">
        <f>SUM(J260:J263)+SUM(I260:I263)+SUM(M260:M263)</f>
        <v>2068.3200000000002</v>
      </c>
      <c r="P260" s="1458">
        <v>2068.3200000000002</v>
      </c>
    </row>
    <row r="261" spans="1:16">
      <c r="A261" s="1477"/>
      <c r="B261" s="670"/>
      <c r="C261" s="1499" t="s">
        <v>33</v>
      </c>
      <c r="D261" s="1499">
        <v>3</v>
      </c>
      <c r="E261" s="1500">
        <v>84</v>
      </c>
      <c r="F261" s="1500">
        <v>85</v>
      </c>
      <c r="G261" s="1501">
        <f>F261-E261</f>
        <v>1</v>
      </c>
      <c r="H261" s="1505">
        <f t="shared" si="43"/>
        <v>1</v>
      </c>
      <c r="I261" s="1506">
        <f>ROUND(G261*($E$220+$E$221),2)</f>
        <v>325.27</v>
      </c>
      <c r="J261" s="1502">
        <f>ROUND(D261*(($E$220+$E$221)-($D$220+$D$221)),2)</f>
        <v>0</v>
      </c>
      <c r="K261" s="1487"/>
      <c r="L261" s="1405"/>
      <c r="M261" s="1405"/>
      <c r="N261" s="1405"/>
      <c r="O261" s="1479"/>
      <c r="P261" s="1480"/>
    </row>
    <row r="262" spans="1:16">
      <c r="A262" s="1459"/>
      <c r="B262" s="298"/>
      <c r="C262" s="298" t="s">
        <v>351</v>
      </c>
      <c r="D262" s="298">
        <v>125</v>
      </c>
      <c r="E262" s="298">
        <v>1169</v>
      </c>
      <c r="F262" s="298">
        <v>1365</v>
      </c>
      <c r="G262" s="1460">
        <f>(F262-E262)</f>
        <v>196</v>
      </c>
      <c r="H262" s="1492">
        <f t="shared" si="43"/>
        <v>196</v>
      </c>
      <c r="I262" s="1486">
        <f>ROUND(G262*$E$222,2)</f>
        <v>1406.89</v>
      </c>
      <c r="J262" s="1471">
        <f>ROUND(D262*($E$222-$D$222),2)</f>
        <v>4.8899999999999997</v>
      </c>
      <c r="K262" s="1488"/>
      <c r="L262" s="1377"/>
      <c r="M262" s="1377"/>
      <c r="N262" s="1377"/>
      <c r="O262" s="1462"/>
      <c r="P262" s="1463"/>
    </row>
    <row r="263" spans="1:16" ht="15.75" thickBot="1">
      <c r="A263" s="1472"/>
      <c r="B263" s="774"/>
      <c r="C263" s="774" t="s">
        <v>263</v>
      </c>
      <c r="D263" s="774">
        <v>5.54</v>
      </c>
      <c r="E263" s="774"/>
      <c r="F263" s="774"/>
      <c r="G263" s="1473">
        <f>ROUND((G262)*0.0443,2)</f>
        <v>8.68</v>
      </c>
      <c r="H263" s="1497">
        <f t="shared" si="43"/>
        <v>8.68</v>
      </c>
      <c r="I263" s="1489">
        <f>ROUND(G263*$E$222,2)</f>
        <v>62.31</v>
      </c>
      <c r="J263" s="1474">
        <f>ROUND(D263*($E$222-$D$222),2)</f>
        <v>0.22</v>
      </c>
      <c r="K263" s="1490"/>
      <c r="L263" s="1384"/>
      <c r="M263" s="1384"/>
      <c r="N263" s="1384"/>
      <c r="O263" s="1475"/>
      <c r="P263" s="1476"/>
    </row>
    <row r="264" spans="1:16">
      <c r="A264" s="1452" t="s">
        <v>451</v>
      </c>
      <c r="B264" s="620" t="s">
        <v>452</v>
      </c>
      <c r="C264" s="620" t="s">
        <v>243</v>
      </c>
      <c r="D264" s="620">
        <v>22</v>
      </c>
      <c r="E264" s="1453">
        <v>2287</v>
      </c>
      <c r="F264" s="1453">
        <v>2317</v>
      </c>
      <c r="G264" s="1491">
        <f>F264-E264-G269</f>
        <v>27</v>
      </c>
      <c r="H264" s="1491">
        <f t="shared" si="43"/>
        <v>27</v>
      </c>
      <c r="I264" s="1470">
        <f>ROUND(G264*($E$219+$E$221),2)</f>
        <v>2418.66</v>
      </c>
      <c r="J264" s="1470">
        <f>ROUND(D264*(($E$219+$E$221)-($D$219+$D$221)),2)</f>
        <v>0</v>
      </c>
      <c r="K264" s="1485"/>
      <c r="L264" s="1375"/>
      <c r="M264" s="1375"/>
      <c r="N264" s="1375"/>
      <c r="O264" s="1457">
        <f>SUM(J264:J268)+SUM(I264:I268)+SUM(M264:M268)</f>
        <v>21728.69</v>
      </c>
      <c r="P264" s="1458">
        <v>21728.69</v>
      </c>
    </row>
    <row r="265" spans="1:16">
      <c r="A265" s="1477" t="s">
        <v>453</v>
      </c>
      <c r="B265" s="670"/>
      <c r="C265" s="1499" t="s">
        <v>33</v>
      </c>
      <c r="D265" s="1499">
        <v>3</v>
      </c>
      <c r="E265" s="1500">
        <v>331</v>
      </c>
      <c r="F265" s="1500">
        <v>332</v>
      </c>
      <c r="G265" s="1505">
        <f>F265-E265-G270</f>
        <v>1</v>
      </c>
      <c r="H265" s="1505">
        <f t="shared" si="43"/>
        <v>1</v>
      </c>
      <c r="I265" s="1502">
        <f>ROUND(G265*($E$220+$E$221),2)</f>
        <v>325.27</v>
      </c>
      <c r="J265" s="1502">
        <f>ROUND(D265*(($E$220+$E$221)-($D$220+$D$221)),2)</f>
        <v>0</v>
      </c>
      <c r="K265" s="1487"/>
      <c r="L265" s="1405"/>
      <c r="M265" s="1405"/>
      <c r="N265" s="1405"/>
      <c r="O265" s="1479"/>
      <c r="P265" s="1480"/>
    </row>
    <row r="266" spans="1:16">
      <c r="A266" s="1459">
        <v>417</v>
      </c>
      <c r="B266" s="298"/>
      <c r="C266" s="298" t="s">
        <v>372</v>
      </c>
      <c r="D266" s="298">
        <v>2140</v>
      </c>
      <c r="E266" s="298">
        <v>157949</v>
      </c>
      <c r="F266" s="298">
        <v>160465</v>
      </c>
      <c r="G266" s="1492">
        <f>(F266-E266)</f>
        <v>2516</v>
      </c>
      <c r="H266" s="1492">
        <f>G266+G267</f>
        <v>2521</v>
      </c>
      <c r="I266" s="1471">
        <f>ROUND(G266*$E$222,2)</f>
        <v>18059.849999999999</v>
      </c>
      <c r="J266" s="1471">
        <f>ROUND(D266*($E$222-$D$222),2)</f>
        <v>83.67</v>
      </c>
      <c r="K266" s="1488"/>
      <c r="L266" s="1377"/>
      <c r="M266" s="1377"/>
      <c r="N266" s="1377"/>
      <c r="O266" s="1462"/>
      <c r="P266" s="1463"/>
    </row>
    <row r="267" spans="1:16">
      <c r="A267" s="1459"/>
      <c r="B267" s="298"/>
      <c r="C267" s="298" t="s">
        <v>373</v>
      </c>
      <c r="D267" s="298">
        <v>0</v>
      </c>
      <c r="E267" s="298">
        <v>2147</v>
      </c>
      <c r="F267" s="298">
        <v>2152</v>
      </c>
      <c r="G267" s="1492">
        <f>(F267-E267)</f>
        <v>5</v>
      </c>
      <c r="H267" s="1492"/>
      <c r="I267" s="1471">
        <f>ROUND(G267*$E$222,2)</f>
        <v>35.89</v>
      </c>
      <c r="J267" s="1471">
        <f>ROUND(D267*($E$222-$D$222),2)</f>
        <v>0</v>
      </c>
      <c r="K267" s="1488"/>
      <c r="L267" s="1377"/>
      <c r="M267" s="1377"/>
      <c r="N267" s="1377"/>
      <c r="O267" s="1462"/>
      <c r="P267" s="1463"/>
    </row>
    <row r="268" spans="1:16" ht="15.75" thickBot="1">
      <c r="A268" s="1464"/>
      <c r="B268" s="57"/>
      <c r="C268" s="57" t="s">
        <v>263</v>
      </c>
      <c r="D268" s="57">
        <v>94.8</v>
      </c>
      <c r="E268" s="57"/>
      <c r="F268" s="57"/>
      <c r="G268" s="1493">
        <f>ROUND((G267+G266)*0.0443,2)</f>
        <v>111.68</v>
      </c>
      <c r="H268" s="1493">
        <f t="shared" ref="H268:H281" si="46">G268</f>
        <v>111.68</v>
      </c>
      <c r="I268" s="1482">
        <f>ROUND(G268*$E$222,2)</f>
        <v>801.64</v>
      </c>
      <c r="J268" s="1482">
        <f>ROUND(D268*($E$222-$D$222),2)</f>
        <v>3.71</v>
      </c>
      <c r="K268" s="1494"/>
      <c r="L268" s="1307"/>
      <c r="M268" s="1307"/>
      <c r="N268" s="1307"/>
      <c r="O268" s="1467"/>
      <c r="P268" s="1468"/>
    </row>
    <row r="269" spans="1:16">
      <c r="A269" s="1452" t="s">
        <v>454</v>
      </c>
      <c r="B269" s="620" t="s">
        <v>455</v>
      </c>
      <c r="C269" s="620" t="s">
        <v>243</v>
      </c>
      <c r="D269" s="620">
        <v>3</v>
      </c>
      <c r="E269" s="1453">
        <v>179</v>
      </c>
      <c r="F269" s="1453">
        <v>182</v>
      </c>
      <c r="G269" s="1454">
        <f>F269-E269</f>
        <v>3</v>
      </c>
      <c r="H269" s="1491">
        <f t="shared" si="46"/>
        <v>3</v>
      </c>
      <c r="I269" s="1484">
        <f>ROUND(G269*($E$219+$E$221),2)</f>
        <v>268.74</v>
      </c>
      <c r="J269" s="1470">
        <f>ROUND(D269*(($E$219+$E$221)-($D$219+$D$221)),2)</f>
        <v>0</v>
      </c>
      <c r="K269" s="1485"/>
      <c r="L269" s="1375"/>
      <c r="M269" s="1375"/>
      <c r="N269" s="1375"/>
      <c r="O269" s="1457">
        <f>SUM(J269:J272)+SUM(I269:I272)+SUM(M269:M272)</f>
        <v>3071.62</v>
      </c>
      <c r="P269" s="1458">
        <v>3071.62</v>
      </c>
    </row>
    <row r="270" spans="1:16">
      <c r="A270" s="1477"/>
      <c r="B270" s="670"/>
      <c r="C270" s="1499" t="s">
        <v>33</v>
      </c>
      <c r="D270" s="1499">
        <v>0</v>
      </c>
      <c r="E270" s="1500">
        <v>9</v>
      </c>
      <c r="F270" s="1500">
        <v>9</v>
      </c>
      <c r="G270" s="1501">
        <f>F270-E270</f>
        <v>0</v>
      </c>
      <c r="H270" s="1505">
        <f t="shared" si="46"/>
        <v>0</v>
      </c>
      <c r="I270" s="1506">
        <f>ROUND(G270*($E$220+$E$221),2)</f>
        <v>0</v>
      </c>
      <c r="J270" s="1502">
        <f>ROUND(D270*(($E$220+$E$221)-($D$220+$D$221)),2)</f>
        <v>0</v>
      </c>
      <c r="K270" s="1487"/>
      <c r="L270" s="1405"/>
      <c r="M270" s="1405"/>
      <c r="N270" s="1405"/>
      <c r="O270" s="1479"/>
      <c r="P270" s="1480"/>
    </row>
    <row r="271" spans="1:16">
      <c r="A271" s="1459"/>
      <c r="B271" s="298"/>
      <c r="C271" s="298" t="s">
        <v>351</v>
      </c>
      <c r="D271" s="298">
        <v>352</v>
      </c>
      <c r="E271" s="298">
        <v>17415</v>
      </c>
      <c r="F271" s="298">
        <v>17787</v>
      </c>
      <c r="G271" s="1460">
        <f>(F271-E271)</f>
        <v>372</v>
      </c>
      <c r="H271" s="1492">
        <f t="shared" si="46"/>
        <v>372</v>
      </c>
      <c r="I271" s="1486">
        <f>ROUND(G271*$E$222,2)</f>
        <v>2670.22</v>
      </c>
      <c r="J271" s="1471">
        <f>ROUND(D271*($E$222-$D$222),2)</f>
        <v>13.76</v>
      </c>
      <c r="K271" s="1488"/>
      <c r="L271" s="1377"/>
      <c r="M271" s="1377"/>
      <c r="N271" s="1377"/>
      <c r="O271" s="1462"/>
      <c r="P271" s="1463"/>
    </row>
    <row r="272" spans="1:16" ht="15.75" thickBot="1">
      <c r="A272" s="1472"/>
      <c r="B272" s="774"/>
      <c r="C272" s="774" t="s">
        <v>263</v>
      </c>
      <c r="D272" s="774">
        <v>15.59</v>
      </c>
      <c r="E272" s="774"/>
      <c r="F272" s="774"/>
      <c r="G272" s="1473">
        <f>ROUND((G271)*0.0443,2)</f>
        <v>16.48</v>
      </c>
      <c r="H272" s="1497">
        <f t="shared" si="46"/>
        <v>16.48</v>
      </c>
      <c r="I272" s="1489">
        <f>ROUND(G272*$E$222,2)</f>
        <v>118.29</v>
      </c>
      <c r="J272" s="1474">
        <f>ROUND(D272*($E$222-$D$222),2)</f>
        <v>0.61</v>
      </c>
      <c r="K272" s="1490"/>
      <c r="L272" s="1384"/>
      <c r="M272" s="1384"/>
      <c r="N272" s="1384"/>
      <c r="O272" s="1475"/>
      <c r="P272" s="1476"/>
    </row>
    <row r="273" spans="1:16">
      <c r="A273" s="1452" t="s">
        <v>456</v>
      </c>
      <c r="B273" s="620" t="s">
        <v>457</v>
      </c>
      <c r="C273" s="620" t="s">
        <v>351</v>
      </c>
      <c r="D273" s="620">
        <v>543</v>
      </c>
      <c r="E273" s="620">
        <v>13480</v>
      </c>
      <c r="F273" s="620">
        <v>14056</v>
      </c>
      <c r="G273" s="1454">
        <f>F273-E273</f>
        <v>576</v>
      </c>
      <c r="H273" s="1454">
        <f t="shared" si="46"/>
        <v>576</v>
      </c>
      <c r="I273" s="1470">
        <f>ROUND(G273*$E$222,2)</f>
        <v>4134.53</v>
      </c>
      <c r="J273" s="1470">
        <f>ROUND(D273*($E$222-$D$222),2)</f>
        <v>21.23</v>
      </c>
      <c r="K273" s="1375"/>
      <c r="L273" s="1375"/>
      <c r="M273" s="1375"/>
      <c r="N273" s="1375"/>
      <c r="O273" s="1457">
        <f>SUM(J273:J274)+SUM(I273:I274)</f>
        <v>4339.88</v>
      </c>
      <c r="P273" s="1458">
        <v>4339.88</v>
      </c>
    </row>
    <row r="274" spans="1:16" ht="15.75" thickBot="1">
      <c r="A274" s="1472"/>
      <c r="B274" s="774"/>
      <c r="C274" s="774" t="s">
        <v>263</v>
      </c>
      <c r="D274" s="774">
        <v>24.05</v>
      </c>
      <c r="E274" s="774"/>
      <c r="F274" s="774"/>
      <c r="G274" s="1473">
        <f>ROUND((G273)*0.0443,2)</f>
        <v>25.52</v>
      </c>
      <c r="H274" s="1473">
        <f t="shared" si="46"/>
        <v>25.52</v>
      </c>
      <c r="I274" s="1474">
        <f>ROUND(G274*$E$222,2)</f>
        <v>183.18</v>
      </c>
      <c r="J274" s="1474">
        <f>ROUND(D274*($E$222-$D$222),2)</f>
        <v>0.94</v>
      </c>
      <c r="K274" s="1384"/>
      <c r="L274" s="1384"/>
      <c r="M274" s="1384"/>
      <c r="N274" s="1384"/>
      <c r="O274" s="1475"/>
      <c r="P274" s="1476"/>
    </row>
    <row r="275" spans="1:16">
      <c r="A275" s="1452" t="s">
        <v>458</v>
      </c>
      <c r="B275" s="620" t="s">
        <v>459</v>
      </c>
      <c r="C275" s="620" t="s">
        <v>243</v>
      </c>
      <c r="D275" s="620">
        <v>2</v>
      </c>
      <c r="E275" s="1453">
        <v>2</v>
      </c>
      <c r="F275" s="1453">
        <v>5</v>
      </c>
      <c r="G275" s="1454">
        <f>F275-E275</f>
        <v>3</v>
      </c>
      <c r="H275" s="1491">
        <f t="shared" si="46"/>
        <v>3</v>
      </c>
      <c r="I275" s="1484">
        <f>ROUND(G275*($E$219+$E$221),2)</f>
        <v>268.74</v>
      </c>
      <c r="J275" s="1470">
        <f>ROUND(D275*(($E$219+$E$221)-($D$219+$D$221)),2)</f>
        <v>0</v>
      </c>
      <c r="K275" s="1485"/>
      <c r="L275" s="1375"/>
      <c r="M275" s="1375"/>
      <c r="N275" s="1375"/>
      <c r="O275" s="1457">
        <f>SUM(J275:J277)+SUM(I275:I277)+SUM(M275:M277)</f>
        <v>7744.98</v>
      </c>
      <c r="P275" s="1458">
        <v>7744.98</v>
      </c>
    </row>
    <row r="276" spans="1:16">
      <c r="A276" s="1459"/>
      <c r="B276" s="298"/>
      <c r="C276" s="298" t="s">
        <v>351</v>
      </c>
      <c r="D276" s="298">
        <v>434</v>
      </c>
      <c r="E276" s="298">
        <v>1264</v>
      </c>
      <c r="F276" s="298">
        <v>2259</v>
      </c>
      <c r="G276" s="1460">
        <f>(F276-E276)</f>
        <v>995</v>
      </c>
      <c r="H276" s="1492">
        <f t="shared" si="46"/>
        <v>995</v>
      </c>
      <c r="I276" s="1486">
        <f>ROUND(G276*$E$222,2)</f>
        <v>7142.11</v>
      </c>
      <c r="J276" s="1471">
        <f>ROUND(D276*($E$222-$D$222),2)</f>
        <v>16.97</v>
      </c>
      <c r="K276" s="1488"/>
      <c r="L276" s="1377"/>
      <c r="M276" s="1377"/>
      <c r="N276" s="1377"/>
      <c r="O276" s="1462"/>
      <c r="P276" s="1463"/>
    </row>
    <row r="277" spans="1:16" ht="15.75" thickBot="1">
      <c r="A277" s="1472"/>
      <c r="B277" s="774"/>
      <c r="C277" s="774" t="s">
        <v>263</v>
      </c>
      <c r="D277" s="774">
        <v>19.23</v>
      </c>
      <c r="E277" s="774"/>
      <c r="F277" s="774"/>
      <c r="G277" s="1473">
        <f>ROUND((G276)*0.0443,2)</f>
        <v>44.08</v>
      </c>
      <c r="H277" s="1497">
        <f t="shared" si="46"/>
        <v>44.08</v>
      </c>
      <c r="I277" s="1489">
        <f>ROUND(G277*$E$222,2)</f>
        <v>316.41000000000003</v>
      </c>
      <c r="J277" s="1474">
        <f>ROUND(D277*($E$222-$D$222),2)</f>
        <v>0.75</v>
      </c>
      <c r="K277" s="1490"/>
      <c r="L277" s="1384"/>
      <c r="M277" s="1384"/>
      <c r="N277" s="1384"/>
      <c r="O277" s="1475"/>
      <c r="P277" s="1476"/>
    </row>
    <row r="278" spans="1:16">
      <c r="A278" s="1452" t="s">
        <v>460</v>
      </c>
      <c r="B278" s="620" t="s">
        <v>381</v>
      </c>
      <c r="C278" s="620" t="s">
        <v>243</v>
      </c>
      <c r="D278" s="620">
        <v>43</v>
      </c>
      <c r="E278" s="1453">
        <v>4376</v>
      </c>
      <c r="F278" s="1453">
        <v>4439</v>
      </c>
      <c r="G278" s="1454">
        <f>F278-E278</f>
        <v>63</v>
      </c>
      <c r="H278" s="1491">
        <f t="shared" si="46"/>
        <v>63</v>
      </c>
      <c r="I278" s="1484">
        <f>ROUND(G278*($E$219+$E$221),2)</f>
        <v>5643.54</v>
      </c>
      <c r="J278" s="1470">
        <f>ROUND(D278*(($E$219+$E$221)-($D$219+$D$221)),2)</f>
        <v>0</v>
      </c>
      <c r="K278" s="1485"/>
      <c r="L278" s="1375"/>
      <c r="M278" s="1375"/>
      <c r="N278" s="1375"/>
      <c r="O278" s="1457">
        <f>SUM(J278:J281)+SUM(I278:I281)+SUM(M278:M281)</f>
        <v>56782.58</v>
      </c>
      <c r="P278" s="1458">
        <v>56782.58</v>
      </c>
    </row>
    <row r="279" spans="1:16">
      <c r="A279" s="1477"/>
      <c r="B279" s="670"/>
      <c r="C279" s="1499" t="s">
        <v>33</v>
      </c>
      <c r="D279" s="1499">
        <v>20</v>
      </c>
      <c r="E279" s="1500">
        <v>1693</v>
      </c>
      <c r="F279" s="1500">
        <v>1694</v>
      </c>
      <c r="G279" s="1501">
        <f>F279-E279</f>
        <v>1</v>
      </c>
      <c r="H279" s="1505">
        <f t="shared" si="46"/>
        <v>1</v>
      </c>
      <c r="I279" s="1506">
        <f>ROUND(G279*($E$220+$E$221),2)</f>
        <v>325.27</v>
      </c>
      <c r="J279" s="1502">
        <f>ROUND(D279*(($E$220+$E$221)-($D$220+$D$221)),2)</f>
        <v>0</v>
      </c>
      <c r="K279" s="1487"/>
      <c r="L279" s="1405"/>
      <c r="M279" s="1405"/>
      <c r="N279" s="1405"/>
      <c r="O279" s="1479"/>
      <c r="P279" s="1480"/>
    </row>
    <row r="280" spans="1:16">
      <c r="A280" s="1459"/>
      <c r="B280" s="298"/>
      <c r="C280" s="298" t="s">
        <v>351</v>
      </c>
      <c r="D280" s="298">
        <v>5103</v>
      </c>
      <c r="E280" s="298">
        <v>484648</v>
      </c>
      <c r="F280" s="298">
        <v>491399</v>
      </c>
      <c r="G280" s="1460">
        <f>(F280-E280)</f>
        <v>6751</v>
      </c>
      <c r="H280" s="1492">
        <f t="shared" si="46"/>
        <v>6751</v>
      </c>
      <c r="I280" s="1486">
        <f>ROUND(G280*$E$222,2)</f>
        <v>48458.68</v>
      </c>
      <c r="J280" s="1471">
        <f>ROUND(D280*($E$222-$D$222),2)</f>
        <v>199.53</v>
      </c>
      <c r="K280" s="1488"/>
      <c r="L280" s="1377"/>
      <c r="M280" s="1377"/>
      <c r="N280" s="1377"/>
      <c r="O280" s="1462"/>
      <c r="P280" s="1463"/>
    </row>
    <row r="281" spans="1:16" ht="15.75" thickBot="1">
      <c r="A281" s="1464"/>
      <c r="B281" s="57"/>
      <c r="C281" s="57" t="s">
        <v>263</v>
      </c>
      <c r="D281" s="57">
        <v>226.06</v>
      </c>
      <c r="E281" s="57"/>
      <c r="F281" s="57"/>
      <c r="G281" s="1465">
        <f>ROUND((G280)*0.0443,2)</f>
        <v>299.07</v>
      </c>
      <c r="H281" s="1493">
        <f t="shared" si="46"/>
        <v>299.07</v>
      </c>
      <c r="I281" s="1495">
        <f>ROUND(G281*$E$222,2)</f>
        <v>2146.7199999999998</v>
      </c>
      <c r="J281" s="1482">
        <f>ROUND(D281*($E$222-$D$222),2)</f>
        <v>8.84</v>
      </c>
      <c r="K281" s="1494"/>
      <c r="L281" s="1307"/>
      <c r="M281" s="1307"/>
      <c r="N281" s="1307"/>
      <c r="O281" s="1467"/>
      <c r="P281" s="1468"/>
    </row>
  </sheetData>
  <mergeCells count="50">
    <mergeCell ref="J5:J6"/>
    <mergeCell ref="K5:N5"/>
    <mergeCell ref="O5:O6"/>
    <mergeCell ref="P5:P6"/>
    <mergeCell ref="A28:A29"/>
    <mergeCell ref="B28:B29"/>
    <mergeCell ref="C28:C29"/>
    <mergeCell ref="D28:D29"/>
    <mergeCell ref="E28:G28"/>
    <mergeCell ref="I28:I29"/>
    <mergeCell ref="A5:A6"/>
    <mergeCell ref="B5:B6"/>
    <mergeCell ref="C5:C6"/>
    <mergeCell ref="D5:D6"/>
    <mergeCell ref="E5:G5"/>
    <mergeCell ref="I5:I6"/>
    <mergeCell ref="J28:J29"/>
    <mergeCell ref="K28:N28"/>
    <mergeCell ref="O28:O29"/>
    <mergeCell ref="P28:P29"/>
    <mergeCell ref="A101:A102"/>
    <mergeCell ref="B101:B102"/>
    <mergeCell ref="C101:C102"/>
    <mergeCell ref="D101:D102"/>
    <mergeCell ref="E101:G101"/>
    <mergeCell ref="I101:I102"/>
    <mergeCell ref="A199:A200"/>
    <mergeCell ref="B199:B200"/>
    <mergeCell ref="C199:C200"/>
    <mergeCell ref="D199:D200"/>
    <mergeCell ref="E199:G199"/>
    <mergeCell ref="I223:I224"/>
    <mergeCell ref="J101:J102"/>
    <mergeCell ref="K101:N101"/>
    <mergeCell ref="O101:O102"/>
    <mergeCell ref="P101:P102"/>
    <mergeCell ref="I199:I200"/>
    <mergeCell ref="J223:J224"/>
    <mergeCell ref="K223:N223"/>
    <mergeCell ref="O223:O224"/>
    <mergeCell ref="P223:P224"/>
    <mergeCell ref="J199:J200"/>
    <mergeCell ref="K199:N199"/>
    <mergeCell ref="O199:O200"/>
    <mergeCell ref="P199:P200"/>
    <mergeCell ref="A223:A224"/>
    <mergeCell ref="B223:B224"/>
    <mergeCell ref="C223:C224"/>
    <mergeCell ref="D223:D224"/>
    <mergeCell ref="E223:G223"/>
  </mergeCells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31</vt:i4>
      </vt:variant>
    </vt:vector>
  </HeadingPairs>
  <TitlesOfParts>
    <vt:vector size="31" baseType="lpstr">
      <vt:lpstr>янв17</vt:lpstr>
      <vt:lpstr>фев17</vt:lpstr>
      <vt:lpstr>март17</vt:lpstr>
      <vt:lpstr>апр17</vt:lpstr>
      <vt:lpstr>май17</vt:lpstr>
      <vt:lpstr>июнь17</vt:lpstr>
      <vt:lpstr>июль17</vt:lpstr>
      <vt:lpstr>авг17</vt:lpstr>
      <vt:lpstr>сен17</vt:lpstr>
      <vt:lpstr>окт17</vt:lpstr>
      <vt:lpstr>нояб17</vt:lpstr>
      <vt:lpstr>дек17</vt:lpstr>
      <vt:lpstr>янв18</vt:lpstr>
      <vt:lpstr>фев18</vt:lpstr>
      <vt:lpstr>мар18</vt:lpstr>
      <vt:lpstr>апр18</vt:lpstr>
      <vt:lpstr>май18</vt:lpstr>
      <vt:lpstr>июнь18</vt:lpstr>
      <vt:lpstr>июль18</vt:lpstr>
      <vt:lpstr>авг18</vt:lpstr>
      <vt:lpstr>сент18</vt:lpstr>
      <vt:lpstr>окт18</vt:lpstr>
      <vt:lpstr>ноя18</vt:lpstr>
      <vt:lpstr>дек18</vt:lpstr>
      <vt:lpstr>янв19</vt:lpstr>
      <vt:lpstr>фев19</vt:lpstr>
      <vt:lpstr>мар19</vt:lpstr>
      <vt:lpstr>апр.19</vt:lpstr>
      <vt:lpstr>май.19</vt:lpstr>
      <vt:lpstr>июн.19</vt:lpstr>
      <vt:lpstr>июл.19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FEMIDA</dc:creator>
  <cp:lastModifiedBy>FEMIDA</cp:lastModifiedBy>
  <dcterms:created xsi:type="dcterms:W3CDTF">2018-03-15T10:49:34Z</dcterms:created>
  <dcterms:modified xsi:type="dcterms:W3CDTF">2019-09-02T12:02:25Z</dcterms:modified>
</cp:coreProperties>
</file>