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8315" windowHeight="6450" activeTab="3"/>
  </bookViews>
  <sheets>
    <sheet name="1.华西证券" sheetId="1" r:id="rId1"/>
    <sheet name="2.国信证券" sheetId="2" r:id="rId2"/>
    <sheet name="3.银河证券" sheetId="3" r:id="rId3"/>
    <sheet name="记录4-国金证券" sheetId="4" r:id="rId4"/>
    <sheet name="记录5-平安证券" sheetId="5" r:id="rId5"/>
    <sheet name="分析5-平安证券" sheetId="7" r:id="rId6"/>
    <sheet name="6.国泰君安" sheetId="6" r:id="rId7"/>
  </sheets>
  <definedNames>
    <definedName name="_xlnm._FilterDatabase" localSheetId="4" hidden="1">'记录5-平安证券'!$A$1:$U$492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D413" i="5" l="1"/>
  <c r="D412" i="5"/>
  <c r="D411" i="5"/>
  <c r="D410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T492" i="5"/>
  <c r="S492" i="5"/>
  <c r="B492" i="5"/>
  <c r="A492" i="5"/>
  <c r="T491" i="5"/>
  <c r="S491" i="5"/>
  <c r="R491" i="5"/>
  <c r="D491" i="5"/>
  <c r="C491" i="5"/>
  <c r="B491" i="5"/>
  <c r="A491" i="5"/>
  <c r="T490" i="5"/>
  <c r="S490" i="5"/>
  <c r="B490" i="5"/>
  <c r="A490" i="5"/>
  <c r="T489" i="5"/>
  <c r="S489" i="5"/>
  <c r="R489" i="5"/>
  <c r="O489" i="5"/>
  <c r="D489" i="5"/>
  <c r="C489" i="5"/>
  <c r="B489" i="5"/>
  <c r="A489" i="5"/>
  <c r="T488" i="5"/>
  <c r="S488" i="5"/>
  <c r="B488" i="5"/>
  <c r="A488" i="5"/>
  <c r="T487" i="5"/>
  <c r="S487" i="5"/>
  <c r="B487" i="5"/>
  <c r="A487" i="5"/>
  <c r="T486" i="5"/>
  <c r="S486" i="5"/>
  <c r="R486" i="5"/>
  <c r="D486" i="5"/>
  <c r="C486" i="5"/>
  <c r="B486" i="5"/>
  <c r="A486" i="5"/>
  <c r="T485" i="5"/>
  <c r="S485" i="5"/>
  <c r="R485" i="5"/>
  <c r="D485" i="5"/>
  <c r="C485" i="5"/>
  <c r="B485" i="5"/>
  <c r="A485" i="5"/>
  <c r="T484" i="5"/>
  <c r="S484" i="5"/>
  <c r="R484" i="5"/>
  <c r="D484" i="5"/>
  <c r="C484" i="5"/>
  <c r="B484" i="5"/>
  <c r="A484" i="5"/>
  <c r="T483" i="5"/>
  <c r="S483" i="5"/>
  <c r="R483" i="5"/>
  <c r="D483" i="5"/>
  <c r="C483" i="5"/>
  <c r="B483" i="5"/>
  <c r="A483" i="5"/>
  <c r="T482" i="5"/>
  <c r="S482" i="5"/>
  <c r="R482" i="5"/>
  <c r="O482" i="5"/>
  <c r="D482" i="5"/>
  <c r="C482" i="5"/>
  <c r="B482" i="5"/>
  <c r="A482" i="5"/>
  <c r="T481" i="5"/>
  <c r="S481" i="5"/>
  <c r="R481" i="5"/>
  <c r="D481" i="5"/>
  <c r="C481" i="5"/>
  <c r="B481" i="5"/>
  <c r="A481" i="5"/>
  <c r="T480" i="5"/>
  <c r="S480" i="5"/>
  <c r="R480" i="5"/>
  <c r="O480" i="5"/>
  <c r="D480" i="5"/>
  <c r="C480" i="5"/>
  <c r="B480" i="5"/>
  <c r="A480" i="5"/>
  <c r="T479" i="5"/>
  <c r="S479" i="5"/>
  <c r="R479" i="5"/>
  <c r="O479" i="5"/>
  <c r="D479" i="5"/>
  <c r="C479" i="5"/>
  <c r="B479" i="5"/>
  <c r="A479" i="5"/>
  <c r="T478" i="5"/>
  <c r="S478" i="5"/>
  <c r="R478" i="5"/>
  <c r="O478" i="5"/>
  <c r="D478" i="5"/>
  <c r="C478" i="5"/>
  <c r="B478" i="5"/>
  <c r="A478" i="5"/>
  <c r="T477" i="5"/>
  <c r="S477" i="5"/>
  <c r="R477" i="5"/>
  <c r="O477" i="5"/>
  <c r="D477" i="5"/>
  <c r="C477" i="5"/>
  <c r="B477" i="5"/>
  <c r="A477" i="5"/>
  <c r="T476" i="5"/>
  <c r="S476" i="5"/>
  <c r="R476" i="5"/>
  <c r="D476" i="5"/>
  <c r="C476" i="5"/>
  <c r="B476" i="5"/>
  <c r="A476" i="5"/>
  <c r="T475" i="5"/>
  <c r="S475" i="5"/>
  <c r="R475" i="5"/>
  <c r="D475" i="5"/>
  <c r="C475" i="5"/>
  <c r="B475" i="5"/>
  <c r="A475" i="5"/>
  <c r="T474" i="5"/>
  <c r="S474" i="5"/>
  <c r="R474" i="5"/>
  <c r="O474" i="5"/>
  <c r="D474" i="5"/>
  <c r="C474" i="5"/>
  <c r="B474" i="5"/>
  <c r="A474" i="5"/>
  <c r="T473" i="5"/>
  <c r="S473" i="5"/>
  <c r="R473" i="5"/>
  <c r="O473" i="5"/>
  <c r="D473" i="5"/>
  <c r="C473" i="5"/>
  <c r="B473" i="5"/>
  <c r="A473" i="5"/>
  <c r="T472" i="5"/>
  <c r="S472" i="5"/>
  <c r="R472" i="5"/>
  <c r="D472" i="5"/>
  <c r="C472" i="5"/>
  <c r="B472" i="5"/>
  <c r="A472" i="5"/>
  <c r="T471" i="5"/>
  <c r="S471" i="5"/>
  <c r="R471" i="5"/>
  <c r="D471" i="5"/>
  <c r="C471" i="5"/>
  <c r="B471" i="5"/>
  <c r="A471" i="5"/>
  <c r="T470" i="5"/>
  <c r="S470" i="5"/>
  <c r="R470" i="5"/>
  <c r="O470" i="5"/>
  <c r="D470" i="5"/>
  <c r="C470" i="5"/>
  <c r="B470" i="5"/>
  <c r="A470" i="5"/>
  <c r="T469" i="5"/>
  <c r="S469" i="5"/>
  <c r="R469" i="5"/>
  <c r="O469" i="5"/>
  <c r="D469" i="5"/>
  <c r="C469" i="5"/>
  <c r="B469" i="5"/>
  <c r="A469" i="5"/>
  <c r="T468" i="5"/>
  <c r="S468" i="5"/>
  <c r="R468" i="5"/>
  <c r="D468" i="5"/>
  <c r="C468" i="5"/>
  <c r="B468" i="5"/>
  <c r="A468" i="5"/>
  <c r="T467" i="5"/>
  <c r="S467" i="5"/>
  <c r="R467" i="5"/>
  <c r="D467" i="5"/>
  <c r="C467" i="5"/>
  <c r="B467" i="5"/>
  <c r="A467" i="5"/>
  <c r="T466" i="5"/>
  <c r="S466" i="5"/>
  <c r="R466" i="5"/>
  <c r="O466" i="5"/>
  <c r="D466" i="5"/>
  <c r="C466" i="5"/>
  <c r="B466" i="5"/>
  <c r="A466" i="5"/>
  <c r="T465" i="5"/>
  <c r="S465" i="5"/>
  <c r="R465" i="5"/>
  <c r="O465" i="5"/>
  <c r="D465" i="5"/>
  <c r="C465" i="5"/>
  <c r="B465" i="5"/>
  <c r="A465" i="5"/>
  <c r="T464" i="5"/>
  <c r="S464" i="5"/>
  <c r="R464" i="5"/>
  <c r="D464" i="5"/>
  <c r="C464" i="5"/>
  <c r="B464" i="5"/>
  <c r="A464" i="5"/>
  <c r="T463" i="5"/>
  <c r="S463" i="5"/>
  <c r="R463" i="5"/>
  <c r="D463" i="5"/>
  <c r="C463" i="5"/>
  <c r="B463" i="5"/>
  <c r="A463" i="5"/>
  <c r="T462" i="5"/>
  <c r="S462" i="5"/>
  <c r="R462" i="5"/>
  <c r="O462" i="5"/>
  <c r="D462" i="5"/>
  <c r="C462" i="5"/>
  <c r="B462" i="5"/>
  <c r="A462" i="5"/>
  <c r="T461" i="5"/>
  <c r="S461" i="5"/>
  <c r="R461" i="5"/>
  <c r="D461" i="5"/>
  <c r="C461" i="5"/>
  <c r="B461" i="5"/>
  <c r="A461" i="5"/>
  <c r="T460" i="5"/>
  <c r="S460" i="5"/>
  <c r="R460" i="5"/>
  <c r="O460" i="5"/>
  <c r="D460" i="5"/>
  <c r="C460" i="5"/>
  <c r="B460" i="5"/>
  <c r="A460" i="5"/>
  <c r="T459" i="5"/>
  <c r="S459" i="5"/>
  <c r="R459" i="5"/>
  <c r="O459" i="5"/>
  <c r="D459" i="5"/>
  <c r="C459" i="5"/>
  <c r="B459" i="5"/>
  <c r="A459" i="5"/>
  <c r="T458" i="5"/>
  <c r="S458" i="5"/>
  <c r="R458" i="5"/>
  <c r="O458" i="5"/>
  <c r="D458" i="5"/>
  <c r="C458" i="5"/>
  <c r="B458" i="5"/>
  <c r="A458" i="5"/>
  <c r="T457" i="5"/>
  <c r="S457" i="5"/>
  <c r="R457" i="5"/>
  <c r="O457" i="5"/>
  <c r="D457" i="5"/>
  <c r="C457" i="5"/>
  <c r="B457" i="5"/>
  <c r="A457" i="5"/>
  <c r="T456" i="5"/>
  <c r="S456" i="5"/>
  <c r="R456" i="5"/>
  <c r="D456" i="5"/>
  <c r="C456" i="5"/>
  <c r="B456" i="5"/>
  <c r="A456" i="5"/>
  <c r="T455" i="5"/>
  <c r="S455" i="5"/>
  <c r="R455" i="5"/>
  <c r="O455" i="5"/>
  <c r="D455" i="5"/>
  <c r="C455" i="5"/>
  <c r="B455" i="5"/>
  <c r="A455" i="5"/>
  <c r="T454" i="5"/>
  <c r="S454" i="5"/>
  <c r="R454" i="5"/>
  <c r="D454" i="5"/>
  <c r="C454" i="5"/>
  <c r="B454" i="5"/>
  <c r="A454" i="5"/>
  <c r="T453" i="5"/>
  <c r="S453" i="5"/>
  <c r="B453" i="5"/>
  <c r="A453" i="5"/>
  <c r="T452" i="5"/>
  <c r="S452" i="5"/>
  <c r="R452" i="5"/>
  <c r="D452" i="5"/>
  <c r="C452" i="5"/>
  <c r="B452" i="5"/>
  <c r="A452" i="5"/>
  <c r="T451" i="5"/>
  <c r="S451" i="5"/>
  <c r="R451" i="5"/>
  <c r="D451" i="5"/>
  <c r="C451" i="5"/>
  <c r="B451" i="5"/>
  <c r="A451" i="5"/>
  <c r="T450" i="5"/>
  <c r="S450" i="5"/>
  <c r="R450" i="5"/>
  <c r="D450" i="5"/>
  <c r="C450" i="5"/>
  <c r="B450" i="5"/>
  <c r="A450" i="5"/>
  <c r="T449" i="5"/>
  <c r="S449" i="5"/>
  <c r="R449" i="5"/>
  <c r="O449" i="5"/>
  <c r="D449" i="5"/>
  <c r="C449" i="5"/>
  <c r="B449" i="5"/>
  <c r="A449" i="5"/>
  <c r="T448" i="5"/>
  <c r="S448" i="5"/>
  <c r="B448" i="5"/>
  <c r="A448" i="5"/>
  <c r="T447" i="5"/>
  <c r="S447" i="5"/>
  <c r="B447" i="5"/>
  <c r="A447" i="5"/>
  <c r="T446" i="5"/>
  <c r="S446" i="5"/>
  <c r="B446" i="5"/>
  <c r="A446" i="5"/>
  <c r="T445" i="5"/>
  <c r="S445" i="5"/>
  <c r="B445" i="5"/>
  <c r="A445" i="5"/>
  <c r="T444" i="5"/>
  <c r="S444" i="5"/>
  <c r="B444" i="5"/>
  <c r="A444" i="5"/>
  <c r="T443" i="5"/>
  <c r="S443" i="5"/>
  <c r="B443" i="5"/>
  <c r="A443" i="5"/>
  <c r="T442" i="5"/>
  <c r="S442" i="5"/>
  <c r="R442" i="5"/>
  <c r="O442" i="5"/>
  <c r="D442" i="5"/>
  <c r="C442" i="5"/>
  <c r="B442" i="5"/>
  <c r="A442" i="5"/>
  <c r="T441" i="5"/>
  <c r="S441" i="5"/>
  <c r="R441" i="5"/>
  <c r="D441" i="5"/>
  <c r="C441" i="5"/>
  <c r="B441" i="5"/>
  <c r="A441" i="5"/>
  <c r="T440" i="5"/>
  <c r="S440" i="5"/>
  <c r="R440" i="5"/>
  <c r="D440" i="5"/>
  <c r="C440" i="5"/>
  <c r="B440" i="5"/>
  <c r="A440" i="5"/>
  <c r="T439" i="5"/>
  <c r="S439" i="5"/>
  <c r="R439" i="5"/>
  <c r="O439" i="5"/>
  <c r="D439" i="5"/>
  <c r="C439" i="5"/>
  <c r="B439" i="5"/>
  <c r="A439" i="5"/>
  <c r="T438" i="5"/>
  <c r="S438" i="5"/>
  <c r="R438" i="5"/>
  <c r="O438" i="5"/>
  <c r="D438" i="5"/>
  <c r="C438" i="5"/>
  <c r="B438" i="5"/>
  <c r="A438" i="5"/>
  <c r="T437" i="5"/>
  <c r="S437" i="5"/>
  <c r="R437" i="5"/>
  <c r="D437" i="5"/>
  <c r="C437" i="5"/>
  <c r="B437" i="5"/>
  <c r="A437" i="5"/>
  <c r="T436" i="5"/>
  <c r="S436" i="5"/>
  <c r="R436" i="5"/>
  <c r="D436" i="5"/>
  <c r="C436" i="5"/>
  <c r="B436" i="5"/>
  <c r="A436" i="5"/>
  <c r="T435" i="5"/>
  <c r="S435" i="5"/>
  <c r="R435" i="5"/>
  <c r="D435" i="5"/>
  <c r="C435" i="5"/>
  <c r="B435" i="5"/>
  <c r="A435" i="5"/>
  <c r="T434" i="5"/>
  <c r="S434" i="5"/>
  <c r="R434" i="5"/>
  <c r="D434" i="5"/>
  <c r="C434" i="5"/>
  <c r="B434" i="5"/>
  <c r="A434" i="5"/>
  <c r="T433" i="5"/>
  <c r="S433" i="5"/>
  <c r="B433" i="5"/>
  <c r="A433" i="5"/>
  <c r="T432" i="5"/>
  <c r="S432" i="5"/>
  <c r="R432" i="5"/>
  <c r="D432" i="5"/>
  <c r="C432" i="5"/>
  <c r="B432" i="5"/>
  <c r="A432" i="5"/>
  <c r="T431" i="5"/>
  <c r="S431" i="5"/>
  <c r="B431" i="5"/>
  <c r="A431" i="5"/>
  <c r="T430" i="5"/>
  <c r="S430" i="5"/>
  <c r="B430" i="5"/>
  <c r="A430" i="5"/>
  <c r="T429" i="5"/>
  <c r="S429" i="5"/>
  <c r="B429" i="5"/>
  <c r="A429" i="5"/>
  <c r="T428" i="5"/>
  <c r="S428" i="5"/>
  <c r="R428" i="5"/>
  <c r="D428" i="5"/>
  <c r="C428" i="5"/>
  <c r="B428" i="5"/>
  <c r="A428" i="5"/>
  <c r="T427" i="5"/>
  <c r="S427" i="5"/>
  <c r="R427" i="5"/>
  <c r="O427" i="5"/>
  <c r="D427" i="5"/>
  <c r="C427" i="5"/>
  <c r="B427" i="5"/>
  <c r="A427" i="5"/>
  <c r="T426" i="5"/>
  <c r="S426" i="5"/>
  <c r="R426" i="5"/>
  <c r="O426" i="5"/>
  <c r="D426" i="5"/>
  <c r="C426" i="5"/>
  <c r="B426" i="5"/>
  <c r="A426" i="5"/>
  <c r="T425" i="5"/>
  <c r="S425" i="5"/>
  <c r="R425" i="5"/>
  <c r="O425" i="5"/>
  <c r="D425" i="5"/>
  <c r="C425" i="5"/>
  <c r="B425" i="5"/>
  <c r="A425" i="5"/>
  <c r="T424" i="5"/>
  <c r="S424" i="5"/>
  <c r="R424" i="5"/>
  <c r="O424" i="5"/>
  <c r="D424" i="5"/>
  <c r="C424" i="5"/>
  <c r="B424" i="5"/>
  <c r="A424" i="5"/>
  <c r="T423" i="5"/>
  <c r="S423" i="5"/>
  <c r="R423" i="5"/>
  <c r="O423" i="5"/>
  <c r="D423" i="5"/>
  <c r="C423" i="5"/>
  <c r="B423" i="5"/>
  <c r="A423" i="5"/>
  <c r="T422" i="5"/>
  <c r="S422" i="5"/>
  <c r="R422" i="5"/>
  <c r="O422" i="5"/>
  <c r="D422" i="5"/>
  <c r="C422" i="5"/>
  <c r="B422" i="5"/>
  <c r="A422" i="5"/>
  <c r="T421" i="5"/>
  <c r="S421" i="5"/>
  <c r="R421" i="5"/>
  <c r="O421" i="5"/>
  <c r="D421" i="5"/>
  <c r="C421" i="5"/>
  <c r="B421" i="5"/>
  <c r="A421" i="5"/>
  <c r="T420" i="5"/>
  <c r="S420" i="5"/>
  <c r="R420" i="5"/>
  <c r="D420" i="5"/>
  <c r="C420" i="5"/>
  <c r="B420" i="5"/>
  <c r="A420" i="5"/>
  <c r="T419" i="5"/>
  <c r="S419" i="5"/>
  <c r="R419" i="5"/>
  <c r="D419" i="5"/>
  <c r="C419" i="5"/>
  <c r="B419" i="5"/>
  <c r="A419" i="5"/>
  <c r="T418" i="5"/>
  <c r="S418" i="5"/>
  <c r="R418" i="5"/>
  <c r="O418" i="5"/>
  <c r="D418" i="5"/>
  <c r="C418" i="5"/>
  <c r="B418" i="5"/>
  <c r="A418" i="5"/>
  <c r="T417" i="5"/>
  <c r="S417" i="5"/>
  <c r="R417" i="5"/>
  <c r="O417" i="5"/>
  <c r="D417" i="5"/>
  <c r="C417" i="5"/>
  <c r="B417" i="5"/>
  <c r="A417" i="5"/>
  <c r="T416" i="5"/>
  <c r="S416" i="5"/>
  <c r="R416" i="5"/>
  <c r="O416" i="5"/>
  <c r="D416" i="5"/>
  <c r="C416" i="5"/>
  <c r="B416" i="5"/>
  <c r="A416" i="5"/>
  <c r="T415" i="5"/>
  <c r="S415" i="5"/>
  <c r="B415" i="5"/>
  <c r="A415" i="5"/>
  <c r="T414" i="5"/>
  <c r="S414" i="5"/>
  <c r="B414" i="5"/>
  <c r="A414" i="5"/>
  <c r="T413" i="5"/>
  <c r="S413" i="5"/>
  <c r="B413" i="5"/>
  <c r="A413" i="5"/>
  <c r="T412" i="5"/>
  <c r="S412" i="5"/>
  <c r="B412" i="5"/>
  <c r="A412" i="5"/>
  <c r="T411" i="5"/>
  <c r="S411" i="5"/>
  <c r="B411" i="5"/>
  <c r="A411" i="5"/>
  <c r="T410" i="5"/>
  <c r="S410" i="5"/>
  <c r="B410" i="5"/>
  <c r="A410" i="5"/>
  <c r="T409" i="5"/>
  <c r="S409" i="5"/>
  <c r="R409" i="5"/>
  <c r="O409" i="5"/>
  <c r="D409" i="5"/>
  <c r="C409" i="5"/>
  <c r="B409" i="5"/>
  <c r="A409" i="5"/>
  <c r="T408" i="5"/>
  <c r="S408" i="5"/>
  <c r="R408" i="5"/>
  <c r="O408" i="5"/>
  <c r="D408" i="5"/>
  <c r="C408" i="5"/>
  <c r="B408" i="5"/>
  <c r="A408" i="5"/>
  <c r="T407" i="5"/>
  <c r="S407" i="5"/>
  <c r="R407" i="5"/>
  <c r="O407" i="5"/>
  <c r="D407" i="5"/>
  <c r="C407" i="5"/>
  <c r="B407" i="5"/>
  <c r="A407" i="5"/>
  <c r="T406" i="5"/>
  <c r="S406" i="5"/>
  <c r="R406" i="5"/>
  <c r="O406" i="5"/>
  <c r="D406" i="5"/>
  <c r="C406" i="5"/>
  <c r="B406" i="5"/>
  <c r="A406" i="5"/>
  <c r="T405" i="5"/>
  <c r="S405" i="5"/>
  <c r="R405" i="5"/>
  <c r="D405" i="5"/>
  <c r="C405" i="5"/>
  <c r="B405" i="5"/>
  <c r="A405" i="5"/>
  <c r="T404" i="5"/>
  <c r="S404" i="5"/>
  <c r="B404" i="5"/>
  <c r="A404" i="5"/>
  <c r="T403" i="5"/>
  <c r="S403" i="5"/>
  <c r="R403" i="5"/>
  <c r="D403" i="5"/>
  <c r="C403" i="5"/>
  <c r="B403" i="5"/>
  <c r="A403" i="5"/>
  <c r="T402" i="5"/>
  <c r="S402" i="5"/>
  <c r="R402" i="5"/>
  <c r="D402" i="5"/>
  <c r="C402" i="5"/>
  <c r="B402" i="5"/>
  <c r="A402" i="5"/>
  <c r="T401" i="5"/>
  <c r="S401" i="5"/>
  <c r="R401" i="5"/>
  <c r="O401" i="5"/>
  <c r="D401" i="5"/>
  <c r="C401" i="5"/>
  <c r="B401" i="5"/>
  <c r="A401" i="5"/>
  <c r="T400" i="5"/>
  <c r="S400" i="5"/>
  <c r="R400" i="5"/>
  <c r="O400" i="5"/>
  <c r="D400" i="5"/>
  <c r="C400" i="5"/>
  <c r="B400" i="5"/>
  <c r="A400" i="5"/>
  <c r="T399" i="5"/>
  <c r="S399" i="5"/>
  <c r="R399" i="5"/>
  <c r="O399" i="5"/>
  <c r="D399" i="5"/>
  <c r="C399" i="5"/>
  <c r="B399" i="5"/>
  <c r="A399" i="5"/>
  <c r="T398" i="5"/>
  <c r="S398" i="5"/>
  <c r="R398" i="5"/>
  <c r="O398" i="5"/>
  <c r="D398" i="5"/>
  <c r="C398" i="5"/>
  <c r="B398" i="5"/>
  <c r="A398" i="5"/>
  <c r="T397" i="5"/>
  <c r="S397" i="5"/>
  <c r="R397" i="5"/>
  <c r="O397" i="5"/>
  <c r="D397" i="5"/>
  <c r="C397" i="5"/>
  <c r="B397" i="5"/>
  <c r="A397" i="5"/>
  <c r="T396" i="5"/>
  <c r="S396" i="5"/>
  <c r="R396" i="5"/>
  <c r="O396" i="5"/>
  <c r="D396" i="5"/>
  <c r="C396" i="5"/>
  <c r="B396" i="5"/>
  <c r="A396" i="5"/>
  <c r="T395" i="5"/>
  <c r="S395" i="5"/>
  <c r="R395" i="5"/>
  <c r="D395" i="5"/>
  <c r="C395" i="5"/>
  <c r="B395" i="5"/>
  <c r="A395" i="5"/>
  <c r="T394" i="5"/>
  <c r="S394" i="5"/>
  <c r="R394" i="5"/>
  <c r="D394" i="5"/>
  <c r="C394" i="5"/>
  <c r="B394" i="5"/>
  <c r="A394" i="5"/>
  <c r="T393" i="5"/>
  <c r="S393" i="5"/>
  <c r="R393" i="5"/>
  <c r="D393" i="5"/>
  <c r="C393" i="5"/>
  <c r="B393" i="5"/>
  <c r="A393" i="5"/>
  <c r="T392" i="5"/>
  <c r="S392" i="5"/>
  <c r="R392" i="5"/>
  <c r="O392" i="5"/>
  <c r="D392" i="5"/>
  <c r="C392" i="5"/>
  <c r="B392" i="5"/>
  <c r="A392" i="5"/>
  <c r="T391" i="5"/>
  <c r="S391" i="5"/>
  <c r="R391" i="5"/>
  <c r="O391" i="5"/>
  <c r="D391" i="5"/>
  <c r="C391" i="5"/>
  <c r="B391" i="5"/>
  <c r="A391" i="5"/>
  <c r="T390" i="5"/>
  <c r="S390" i="5"/>
  <c r="R390" i="5"/>
  <c r="O390" i="5"/>
  <c r="D390" i="5"/>
  <c r="C390" i="5"/>
  <c r="B390" i="5"/>
  <c r="A390" i="5"/>
  <c r="T389" i="5"/>
  <c r="S389" i="5"/>
  <c r="R389" i="5"/>
  <c r="O389" i="5"/>
  <c r="D389" i="5"/>
  <c r="C389" i="5"/>
  <c r="B389" i="5"/>
  <c r="A389" i="5"/>
  <c r="T388" i="5"/>
  <c r="S388" i="5"/>
  <c r="R388" i="5"/>
  <c r="O388" i="5"/>
  <c r="D388" i="5"/>
  <c r="C388" i="5"/>
  <c r="B388" i="5"/>
  <c r="A388" i="5"/>
  <c r="T387" i="5"/>
  <c r="S387" i="5"/>
  <c r="R387" i="5"/>
  <c r="O387" i="5"/>
  <c r="D387" i="5"/>
  <c r="C387" i="5"/>
  <c r="B387" i="5"/>
  <c r="A387" i="5"/>
  <c r="T386" i="5"/>
  <c r="S386" i="5"/>
  <c r="R386" i="5"/>
  <c r="O386" i="5"/>
  <c r="D386" i="5"/>
  <c r="C386" i="5"/>
  <c r="B386" i="5"/>
  <c r="A386" i="5"/>
  <c r="T385" i="5"/>
  <c r="S385" i="5"/>
  <c r="R385" i="5"/>
  <c r="O385" i="5"/>
  <c r="D385" i="5"/>
  <c r="C385" i="5"/>
  <c r="B385" i="5"/>
  <c r="A385" i="5"/>
  <c r="T384" i="5"/>
  <c r="S384" i="5"/>
  <c r="R384" i="5"/>
  <c r="D384" i="5"/>
  <c r="C384" i="5"/>
  <c r="B384" i="5"/>
  <c r="A384" i="5"/>
  <c r="T383" i="5"/>
  <c r="S383" i="5"/>
  <c r="B383" i="5"/>
  <c r="A383" i="5"/>
  <c r="T382" i="5"/>
  <c r="S382" i="5"/>
  <c r="R382" i="5"/>
  <c r="O382" i="5"/>
  <c r="D382" i="5"/>
  <c r="C382" i="5"/>
  <c r="B382" i="5"/>
  <c r="A382" i="5"/>
  <c r="T381" i="5"/>
  <c r="S381" i="5"/>
  <c r="R381" i="5"/>
  <c r="O381" i="5"/>
  <c r="D381" i="5"/>
  <c r="C381" i="5"/>
  <c r="B381" i="5"/>
  <c r="A381" i="5"/>
  <c r="T380" i="5"/>
  <c r="S380" i="5"/>
  <c r="R380" i="5"/>
  <c r="O380" i="5"/>
  <c r="D380" i="5"/>
  <c r="C380" i="5"/>
  <c r="B380" i="5"/>
  <c r="A380" i="5"/>
  <c r="T379" i="5"/>
  <c r="S379" i="5"/>
  <c r="R379" i="5"/>
  <c r="O379" i="5"/>
  <c r="D379" i="5"/>
  <c r="C379" i="5"/>
  <c r="B379" i="5"/>
  <c r="A379" i="5"/>
  <c r="T378" i="5"/>
  <c r="S378" i="5"/>
  <c r="R378" i="5"/>
  <c r="O378" i="5"/>
  <c r="D378" i="5"/>
  <c r="C378" i="5"/>
  <c r="B378" i="5"/>
  <c r="A378" i="5"/>
  <c r="T377" i="5"/>
  <c r="S377" i="5"/>
  <c r="R377" i="5"/>
  <c r="O377" i="5"/>
  <c r="D377" i="5"/>
  <c r="C377" i="5"/>
  <c r="B377" i="5"/>
  <c r="A377" i="5"/>
  <c r="T376" i="5"/>
  <c r="S376" i="5"/>
  <c r="R376" i="5"/>
  <c r="D376" i="5"/>
  <c r="C376" i="5"/>
  <c r="B376" i="5"/>
  <c r="A376" i="5"/>
  <c r="T375" i="5"/>
  <c r="S375" i="5"/>
  <c r="B375" i="5"/>
  <c r="A375" i="5"/>
  <c r="T374" i="5"/>
  <c r="S374" i="5"/>
  <c r="B374" i="5"/>
  <c r="A374" i="5"/>
  <c r="T373" i="5"/>
  <c r="S373" i="5"/>
  <c r="B373" i="5"/>
  <c r="A373" i="5"/>
  <c r="T372" i="5"/>
  <c r="S372" i="5"/>
  <c r="R372" i="5"/>
  <c r="O372" i="5"/>
  <c r="D372" i="5"/>
  <c r="C372" i="5"/>
  <c r="B372" i="5"/>
  <c r="A372" i="5"/>
  <c r="T371" i="5"/>
  <c r="S371" i="5"/>
  <c r="R371" i="5"/>
  <c r="D371" i="5"/>
  <c r="C371" i="5"/>
  <c r="B371" i="5"/>
  <c r="A371" i="5"/>
  <c r="T370" i="5"/>
  <c r="S370" i="5"/>
  <c r="B370" i="5"/>
  <c r="A370" i="5"/>
  <c r="T369" i="5"/>
  <c r="S369" i="5"/>
  <c r="B369" i="5"/>
  <c r="A369" i="5"/>
  <c r="T368" i="5"/>
  <c r="S368" i="5"/>
  <c r="B368" i="5"/>
  <c r="A368" i="5"/>
  <c r="T367" i="5"/>
  <c r="S367" i="5"/>
  <c r="R367" i="5"/>
  <c r="D367" i="5"/>
  <c r="C367" i="5"/>
  <c r="B367" i="5"/>
  <c r="A367" i="5"/>
  <c r="T366" i="5"/>
  <c r="S366" i="5"/>
  <c r="R366" i="5"/>
  <c r="O366" i="5"/>
  <c r="D366" i="5"/>
  <c r="C366" i="5"/>
  <c r="B366" i="5"/>
  <c r="A366" i="5"/>
  <c r="T365" i="5"/>
  <c r="S365" i="5"/>
  <c r="R365" i="5"/>
  <c r="O365" i="5"/>
  <c r="D365" i="5"/>
  <c r="C365" i="5"/>
  <c r="B365" i="5"/>
  <c r="A365" i="5"/>
  <c r="T364" i="5"/>
  <c r="S364" i="5"/>
  <c r="R364" i="5"/>
  <c r="O364" i="5"/>
  <c r="D364" i="5"/>
  <c r="C364" i="5"/>
  <c r="B364" i="5"/>
  <c r="A364" i="5"/>
  <c r="T363" i="5"/>
  <c r="S363" i="5"/>
  <c r="B363" i="5"/>
  <c r="A363" i="5"/>
  <c r="T362" i="5"/>
  <c r="S362" i="5"/>
  <c r="R362" i="5"/>
  <c r="D362" i="5"/>
  <c r="C362" i="5"/>
  <c r="B362" i="5"/>
  <c r="A362" i="5"/>
  <c r="T361" i="5"/>
  <c r="S361" i="5"/>
  <c r="R361" i="5"/>
  <c r="O361" i="5"/>
  <c r="D361" i="5"/>
  <c r="C361" i="5"/>
  <c r="B361" i="5"/>
  <c r="A361" i="5"/>
  <c r="T360" i="5"/>
  <c r="S360" i="5"/>
  <c r="R360" i="5"/>
  <c r="O360" i="5"/>
  <c r="D360" i="5"/>
  <c r="C360" i="5"/>
  <c r="B360" i="5"/>
  <c r="A360" i="5"/>
  <c r="T359" i="5"/>
  <c r="S359" i="5"/>
  <c r="R359" i="5"/>
  <c r="O359" i="5"/>
  <c r="D359" i="5"/>
  <c r="C359" i="5"/>
  <c r="B359" i="5"/>
  <c r="A359" i="5"/>
  <c r="T358" i="5"/>
  <c r="S358" i="5"/>
  <c r="R358" i="5"/>
  <c r="O358" i="5"/>
  <c r="D358" i="5"/>
  <c r="C358" i="5"/>
  <c r="B358" i="5"/>
  <c r="A358" i="5"/>
  <c r="T357" i="5"/>
  <c r="S357" i="5"/>
  <c r="R357" i="5"/>
  <c r="O357" i="5"/>
  <c r="D357" i="5"/>
  <c r="C357" i="5"/>
  <c r="B357" i="5"/>
  <c r="A357" i="5"/>
  <c r="T356" i="5"/>
  <c r="S356" i="5"/>
  <c r="R356" i="5"/>
  <c r="O356" i="5"/>
  <c r="D356" i="5"/>
  <c r="C356" i="5"/>
  <c r="B356" i="5"/>
  <c r="A356" i="5"/>
  <c r="T355" i="5"/>
  <c r="S355" i="5"/>
  <c r="R355" i="5"/>
  <c r="O355" i="5"/>
  <c r="D355" i="5"/>
  <c r="C355" i="5"/>
  <c r="B355" i="5"/>
  <c r="A355" i="5"/>
  <c r="T354" i="5"/>
  <c r="S354" i="5"/>
  <c r="R354" i="5"/>
  <c r="O354" i="5"/>
  <c r="D354" i="5"/>
  <c r="C354" i="5"/>
  <c r="B354" i="5"/>
  <c r="A354" i="5"/>
  <c r="T353" i="5"/>
  <c r="S353" i="5"/>
  <c r="R353" i="5"/>
  <c r="O353" i="5"/>
  <c r="D353" i="5"/>
  <c r="C353" i="5"/>
  <c r="B353" i="5"/>
  <c r="A353" i="5"/>
  <c r="T352" i="5"/>
  <c r="S352" i="5"/>
  <c r="R352" i="5"/>
  <c r="O352" i="5"/>
  <c r="D352" i="5"/>
  <c r="C352" i="5"/>
  <c r="B352" i="5"/>
  <c r="A352" i="5"/>
  <c r="T351" i="5"/>
  <c r="S351" i="5"/>
  <c r="R351" i="5"/>
  <c r="O351" i="5"/>
  <c r="D351" i="5"/>
  <c r="C351" i="5"/>
  <c r="B351" i="5"/>
  <c r="A351" i="5"/>
  <c r="T350" i="5"/>
  <c r="S350" i="5"/>
  <c r="R350" i="5"/>
  <c r="O350" i="5"/>
  <c r="D350" i="5"/>
  <c r="C350" i="5"/>
  <c r="B350" i="5"/>
  <c r="A350" i="5"/>
  <c r="T349" i="5"/>
  <c r="S349" i="5"/>
  <c r="R349" i="5"/>
  <c r="O349" i="5"/>
  <c r="D349" i="5"/>
  <c r="C349" i="5"/>
  <c r="B349" i="5"/>
  <c r="A349" i="5"/>
  <c r="T348" i="5"/>
  <c r="S348" i="5"/>
  <c r="R348" i="5"/>
  <c r="O348" i="5"/>
  <c r="D348" i="5"/>
  <c r="C348" i="5"/>
  <c r="B348" i="5"/>
  <c r="A348" i="5"/>
  <c r="T347" i="5"/>
  <c r="S347" i="5"/>
  <c r="R347" i="5"/>
  <c r="O347" i="5"/>
  <c r="D347" i="5"/>
  <c r="C347" i="5"/>
  <c r="B347" i="5"/>
  <c r="A347" i="5"/>
  <c r="T346" i="5"/>
  <c r="S346" i="5"/>
  <c r="R346" i="5"/>
  <c r="O346" i="5"/>
  <c r="D346" i="5"/>
  <c r="C346" i="5"/>
  <c r="B346" i="5"/>
  <c r="A346" i="5"/>
  <c r="T345" i="5"/>
  <c r="S345" i="5"/>
  <c r="R345" i="5"/>
  <c r="O345" i="5"/>
  <c r="D345" i="5"/>
  <c r="C345" i="5"/>
  <c r="B345" i="5"/>
  <c r="A345" i="5"/>
  <c r="T344" i="5"/>
  <c r="S344" i="5"/>
  <c r="R344" i="5"/>
  <c r="D344" i="5"/>
  <c r="C344" i="5"/>
  <c r="B344" i="5"/>
  <c r="A344" i="5"/>
  <c r="T343" i="5"/>
  <c r="S343" i="5"/>
  <c r="B343" i="5"/>
  <c r="A343" i="5"/>
  <c r="T342" i="5"/>
  <c r="S342" i="5"/>
  <c r="R342" i="5"/>
  <c r="O342" i="5"/>
  <c r="D342" i="5"/>
  <c r="C342" i="5"/>
  <c r="B342" i="5"/>
  <c r="A342" i="5"/>
  <c r="T341" i="5"/>
  <c r="S341" i="5"/>
  <c r="R341" i="5"/>
  <c r="O341" i="5"/>
  <c r="D341" i="5"/>
  <c r="C341" i="5"/>
  <c r="B341" i="5"/>
  <c r="A341" i="5"/>
  <c r="T340" i="5"/>
  <c r="S340" i="5"/>
  <c r="R340" i="5"/>
  <c r="O340" i="5"/>
  <c r="D340" i="5"/>
  <c r="C340" i="5"/>
  <c r="B340" i="5"/>
  <c r="A340" i="5"/>
  <c r="T339" i="5"/>
  <c r="S339" i="5"/>
  <c r="R339" i="5"/>
  <c r="O339" i="5"/>
  <c r="D339" i="5"/>
  <c r="C339" i="5"/>
  <c r="B339" i="5"/>
  <c r="A339" i="5"/>
  <c r="T338" i="5"/>
  <c r="S338" i="5"/>
  <c r="R338" i="5"/>
  <c r="O338" i="5"/>
  <c r="D338" i="5"/>
  <c r="C338" i="5"/>
  <c r="B338" i="5"/>
  <c r="A338" i="5"/>
  <c r="T337" i="5"/>
  <c r="S337" i="5"/>
  <c r="R337" i="5"/>
  <c r="O337" i="5"/>
  <c r="D337" i="5"/>
  <c r="C337" i="5"/>
  <c r="B337" i="5"/>
  <c r="A337" i="5"/>
  <c r="T336" i="5"/>
  <c r="S336" i="5"/>
  <c r="R336" i="5"/>
  <c r="O336" i="5"/>
  <c r="D336" i="5"/>
  <c r="C336" i="5"/>
  <c r="B336" i="5"/>
  <c r="A336" i="5"/>
  <c r="T335" i="5"/>
  <c r="S335" i="5"/>
  <c r="R335" i="5"/>
  <c r="D335" i="5"/>
  <c r="C335" i="5"/>
  <c r="B335" i="5"/>
  <c r="A335" i="5"/>
  <c r="T334" i="5"/>
  <c r="S334" i="5"/>
  <c r="B334" i="5"/>
  <c r="A334" i="5"/>
  <c r="T333" i="5"/>
  <c r="S333" i="5"/>
  <c r="B333" i="5"/>
  <c r="A333" i="5"/>
  <c r="T332" i="5"/>
  <c r="S332" i="5"/>
  <c r="B332" i="5"/>
  <c r="A332" i="5"/>
  <c r="T331" i="5"/>
  <c r="S331" i="5"/>
  <c r="R331" i="5"/>
  <c r="O331" i="5"/>
  <c r="D331" i="5"/>
  <c r="C331" i="5"/>
  <c r="B331" i="5"/>
  <c r="A331" i="5"/>
  <c r="T330" i="5"/>
  <c r="S330" i="5"/>
  <c r="R330" i="5"/>
  <c r="O330" i="5"/>
  <c r="D330" i="5"/>
  <c r="C330" i="5"/>
  <c r="B330" i="5"/>
  <c r="A330" i="5"/>
  <c r="T329" i="5"/>
  <c r="S329" i="5"/>
  <c r="R329" i="5"/>
  <c r="O329" i="5"/>
  <c r="D329" i="5"/>
  <c r="C329" i="5"/>
  <c r="B329" i="5"/>
  <c r="A329" i="5"/>
  <c r="T328" i="5"/>
  <c r="S328" i="5"/>
  <c r="R328" i="5"/>
  <c r="D328" i="5"/>
  <c r="C328" i="5"/>
  <c r="B328" i="5"/>
  <c r="A328" i="5"/>
  <c r="T327" i="5"/>
  <c r="S327" i="5"/>
  <c r="B327" i="5"/>
  <c r="A327" i="5"/>
  <c r="T326" i="5"/>
  <c r="S326" i="5"/>
  <c r="B326" i="5"/>
  <c r="A326" i="5"/>
  <c r="T325" i="5"/>
  <c r="S325" i="5"/>
  <c r="B325" i="5"/>
  <c r="A325" i="5"/>
  <c r="T324" i="5"/>
  <c r="S324" i="5"/>
  <c r="R324" i="5"/>
  <c r="O324" i="5"/>
  <c r="D324" i="5"/>
  <c r="C324" i="5"/>
  <c r="B324" i="5"/>
  <c r="A324" i="5"/>
  <c r="T323" i="5"/>
  <c r="S323" i="5"/>
  <c r="R323" i="5"/>
  <c r="D323" i="5"/>
  <c r="C323" i="5"/>
  <c r="B323" i="5"/>
  <c r="A323" i="5"/>
  <c r="T322" i="5"/>
  <c r="S322" i="5"/>
  <c r="R322" i="5"/>
  <c r="O322" i="5"/>
  <c r="D322" i="5"/>
  <c r="C322" i="5"/>
  <c r="B322" i="5"/>
  <c r="A322" i="5"/>
  <c r="T321" i="5"/>
  <c r="S321" i="5"/>
  <c r="R321" i="5"/>
  <c r="O321" i="5"/>
  <c r="D321" i="5"/>
  <c r="C321" i="5"/>
  <c r="B321" i="5"/>
  <c r="A321" i="5"/>
  <c r="T320" i="5"/>
  <c r="S320" i="5"/>
  <c r="R320" i="5"/>
  <c r="D320" i="5"/>
  <c r="C320" i="5"/>
  <c r="B320" i="5"/>
  <c r="A320" i="5"/>
  <c r="T319" i="5"/>
  <c r="S319" i="5"/>
  <c r="B319" i="5"/>
  <c r="A319" i="5"/>
  <c r="T318" i="5"/>
  <c r="S318" i="5"/>
  <c r="B318" i="5"/>
  <c r="A318" i="5"/>
  <c r="T317" i="5"/>
  <c r="S317" i="5"/>
  <c r="R317" i="5"/>
  <c r="D317" i="5"/>
  <c r="C317" i="5"/>
  <c r="B317" i="5"/>
  <c r="A317" i="5"/>
  <c r="T316" i="5"/>
  <c r="S316" i="5"/>
  <c r="R316" i="5"/>
  <c r="O316" i="5"/>
  <c r="D316" i="5"/>
  <c r="C316" i="5"/>
  <c r="B316" i="5"/>
  <c r="A316" i="5"/>
  <c r="T315" i="5"/>
  <c r="S315" i="5"/>
  <c r="R315" i="5"/>
  <c r="O315" i="5"/>
  <c r="D315" i="5"/>
  <c r="C315" i="5"/>
  <c r="B315" i="5"/>
  <c r="A315" i="5"/>
  <c r="T314" i="5"/>
  <c r="S314" i="5"/>
  <c r="R314" i="5"/>
  <c r="O314" i="5"/>
  <c r="D314" i="5"/>
  <c r="C314" i="5"/>
  <c r="B314" i="5"/>
  <c r="A314" i="5"/>
  <c r="T313" i="5"/>
  <c r="S313" i="5"/>
  <c r="R313" i="5"/>
  <c r="D313" i="5"/>
  <c r="C313" i="5"/>
  <c r="B313" i="5"/>
  <c r="A313" i="5"/>
  <c r="T312" i="5"/>
  <c r="S312" i="5"/>
  <c r="R312" i="5"/>
  <c r="D312" i="5"/>
  <c r="C312" i="5"/>
  <c r="B312" i="5"/>
  <c r="A312" i="5"/>
  <c r="T311" i="5"/>
  <c r="S311" i="5"/>
  <c r="R311" i="5"/>
  <c r="O311" i="5"/>
  <c r="D311" i="5"/>
  <c r="C311" i="5"/>
  <c r="B311" i="5"/>
  <c r="A311" i="5"/>
  <c r="T310" i="5"/>
  <c r="S310" i="5"/>
  <c r="B310" i="5"/>
  <c r="A310" i="5"/>
  <c r="T309" i="5"/>
  <c r="S309" i="5"/>
  <c r="R309" i="5"/>
  <c r="O309" i="5"/>
  <c r="D309" i="5"/>
  <c r="C309" i="5"/>
  <c r="B309" i="5"/>
  <c r="A309" i="5"/>
  <c r="T308" i="5"/>
  <c r="S308" i="5"/>
  <c r="R308" i="5"/>
  <c r="O308" i="5"/>
  <c r="D308" i="5"/>
  <c r="C308" i="5"/>
  <c r="B308" i="5"/>
  <c r="A308" i="5"/>
  <c r="T307" i="5"/>
  <c r="S307" i="5"/>
  <c r="R307" i="5"/>
  <c r="O307" i="5"/>
  <c r="D307" i="5"/>
  <c r="C307" i="5"/>
  <c r="B307" i="5"/>
  <c r="A307" i="5"/>
  <c r="T306" i="5"/>
  <c r="S306" i="5"/>
  <c r="R306" i="5"/>
  <c r="O306" i="5"/>
  <c r="D306" i="5"/>
  <c r="C306" i="5"/>
  <c r="B306" i="5"/>
  <c r="A306" i="5"/>
  <c r="T305" i="5"/>
  <c r="S305" i="5"/>
  <c r="R305" i="5"/>
  <c r="O305" i="5"/>
  <c r="D305" i="5"/>
  <c r="C305" i="5"/>
  <c r="B305" i="5"/>
  <c r="A305" i="5"/>
  <c r="T304" i="5"/>
  <c r="S304" i="5"/>
  <c r="R304" i="5"/>
  <c r="O304" i="5"/>
  <c r="D304" i="5"/>
  <c r="C304" i="5"/>
  <c r="B304" i="5"/>
  <c r="A304" i="5"/>
  <c r="T303" i="5"/>
  <c r="S303" i="5"/>
  <c r="R303" i="5"/>
  <c r="O303" i="5"/>
  <c r="D303" i="5"/>
  <c r="C303" i="5"/>
  <c r="B303" i="5"/>
  <c r="A303" i="5"/>
  <c r="T302" i="5"/>
  <c r="S302" i="5"/>
  <c r="R302" i="5"/>
  <c r="O302" i="5"/>
  <c r="D302" i="5"/>
  <c r="C302" i="5"/>
  <c r="B302" i="5"/>
  <c r="A302" i="5"/>
  <c r="T301" i="5"/>
  <c r="S301" i="5"/>
  <c r="R301" i="5"/>
  <c r="O301" i="5"/>
  <c r="D301" i="5"/>
  <c r="C301" i="5"/>
  <c r="B301" i="5"/>
  <c r="A301" i="5"/>
  <c r="T300" i="5"/>
  <c r="S300" i="5"/>
  <c r="R300" i="5"/>
  <c r="O300" i="5"/>
  <c r="D300" i="5"/>
  <c r="C300" i="5"/>
  <c r="B300" i="5"/>
  <c r="A300" i="5"/>
  <c r="T299" i="5"/>
  <c r="S299" i="5"/>
  <c r="R299" i="5"/>
  <c r="D299" i="5"/>
  <c r="C299" i="5"/>
  <c r="B299" i="5"/>
  <c r="A299" i="5"/>
  <c r="T298" i="5"/>
  <c r="S298" i="5"/>
  <c r="R298" i="5"/>
  <c r="D298" i="5"/>
  <c r="C298" i="5"/>
  <c r="B298" i="5"/>
  <c r="A298" i="5"/>
  <c r="T297" i="5"/>
  <c r="S297" i="5"/>
  <c r="R297" i="5"/>
  <c r="O297" i="5"/>
  <c r="D297" i="5"/>
  <c r="C297" i="5"/>
  <c r="B297" i="5"/>
  <c r="A297" i="5"/>
  <c r="T296" i="5"/>
  <c r="S296" i="5"/>
  <c r="R296" i="5"/>
  <c r="O296" i="5"/>
  <c r="D296" i="5"/>
  <c r="C296" i="5"/>
  <c r="B296" i="5"/>
  <c r="A296" i="5"/>
  <c r="T295" i="5"/>
  <c r="S295" i="5"/>
  <c r="R295" i="5"/>
  <c r="O295" i="5"/>
  <c r="D295" i="5"/>
  <c r="C295" i="5"/>
  <c r="B295" i="5"/>
  <c r="A295" i="5"/>
  <c r="T294" i="5"/>
  <c r="S294" i="5"/>
  <c r="R294" i="5"/>
  <c r="O294" i="5"/>
  <c r="D294" i="5"/>
  <c r="C294" i="5"/>
  <c r="B294" i="5"/>
  <c r="A294" i="5"/>
  <c r="T293" i="5"/>
  <c r="S293" i="5"/>
  <c r="R293" i="5"/>
  <c r="O293" i="5"/>
  <c r="D293" i="5"/>
  <c r="C293" i="5"/>
  <c r="B293" i="5"/>
  <c r="A293" i="5"/>
  <c r="T292" i="5"/>
  <c r="S292" i="5"/>
  <c r="R292" i="5"/>
  <c r="O292" i="5"/>
  <c r="D292" i="5"/>
  <c r="C292" i="5"/>
  <c r="B292" i="5"/>
  <c r="A292" i="5"/>
  <c r="T291" i="5"/>
  <c r="S291" i="5"/>
  <c r="R291" i="5"/>
  <c r="O291" i="5"/>
  <c r="D291" i="5"/>
  <c r="C291" i="5"/>
  <c r="B291" i="5"/>
  <c r="A291" i="5"/>
  <c r="T290" i="5"/>
  <c r="S290" i="5"/>
  <c r="R290" i="5"/>
  <c r="O290" i="5"/>
  <c r="D290" i="5"/>
  <c r="C290" i="5"/>
  <c r="B290" i="5"/>
  <c r="A290" i="5"/>
  <c r="T289" i="5"/>
  <c r="S289" i="5"/>
  <c r="R289" i="5"/>
  <c r="O289" i="5"/>
  <c r="D289" i="5"/>
  <c r="C289" i="5"/>
  <c r="B289" i="5"/>
  <c r="A289" i="5"/>
  <c r="T288" i="5"/>
  <c r="S288" i="5"/>
  <c r="R288" i="5"/>
  <c r="O288" i="5"/>
  <c r="D288" i="5"/>
  <c r="C288" i="5"/>
  <c r="B288" i="5"/>
  <c r="A288" i="5"/>
  <c r="T287" i="5"/>
  <c r="S287" i="5"/>
  <c r="R287" i="5"/>
  <c r="D287" i="5"/>
  <c r="C287" i="5"/>
  <c r="B287" i="5"/>
  <c r="A287" i="5"/>
  <c r="T286" i="5"/>
  <c r="S286" i="5"/>
  <c r="R286" i="5"/>
  <c r="D286" i="5"/>
  <c r="C286" i="5"/>
  <c r="B286" i="5"/>
  <c r="A286" i="5"/>
  <c r="T285" i="5"/>
  <c r="S285" i="5"/>
  <c r="B285" i="5"/>
  <c r="A285" i="5"/>
  <c r="T284" i="5"/>
  <c r="S284" i="5"/>
  <c r="B284" i="5"/>
  <c r="A284" i="5"/>
  <c r="T283" i="5"/>
  <c r="S283" i="5"/>
  <c r="B283" i="5"/>
  <c r="A283" i="5"/>
  <c r="T282" i="5"/>
  <c r="S282" i="5"/>
  <c r="R282" i="5"/>
  <c r="D282" i="5"/>
  <c r="C282" i="5"/>
  <c r="B282" i="5"/>
  <c r="A282" i="5"/>
  <c r="T281" i="5"/>
  <c r="S281" i="5"/>
  <c r="R281" i="5"/>
  <c r="O281" i="5"/>
  <c r="D281" i="5"/>
  <c r="C281" i="5"/>
  <c r="B281" i="5"/>
  <c r="A281" i="5"/>
  <c r="T280" i="5"/>
  <c r="S280" i="5"/>
  <c r="R280" i="5"/>
  <c r="D280" i="5"/>
  <c r="C280" i="5"/>
  <c r="B280" i="5"/>
  <c r="A280" i="5"/>
  <c r="T279" i="5"/>
  <c r="S279" i="5"/>
  <c r="R279" i="5"/>
  <c r="D279" i="5"/>
  <c r="C279" i="5"/>
  <c r="B279" i="5"/>
  <c r="A279" i="5"/>
  <c r="T278" i="5"/>
  <c r="S278" i="5"/>
  <c r="R278" i="5"/>
  <c r="O278" i="5"/>
  <c r="D278" i="5"/>
  <c r="C278" i="5"/>
  <c r="B278" i="5"/>
  <c r="A278" i="5"/>
  <c r="T277" i="5"/>
  <c r="S277" i="5"/>
  <c r="R277" i="5"/>
  <c r="O277" i="5"/>
  <c r="D277" i="5"/>
  <c r="C277" i="5"/>
  <c r="B277" i="5"/>
  <c r="A277" i="5"/>
  <c r="T276" i="5"/>
  <c r="S276" i="5"/>
  <c r="R276" i="5"/>
  <c r="O276" i="5"/>
  <c r="D276" i="5"/>
  <c r="C276" i="5"/>
  <c r="B276" i="5"/>
  <c r="A276" i="5"/>
  <c r="T275" i="5"/>
  <c r="S275" i="5"/>
  <c r="B275" i="5"/>
  <c r="A275" i="5"/>
  <c r="T274" i="5"/>
  <c r="S274" i="5"/>
  <c r="B274" i="5"/>
  <c r="A274" i="5"/>
  <c r="T273" i="5"/>
  <c r="S273" i="5"/>
  <c r="R273" i="5"/>
  <c r="D273" i="5"/>
  <c r="C273" i="5"/>
  <c r="B273" i="5"/>
  <c r="A273" i="5"/>
  <c r="T272" i="5"/>
  <c r="S272" i="5"/>
  <c r="R272" i="5"/>
  <c r="O272" i="5"/>
  <c r="D272" i="5"/>
  <c r="C272" i="5"/>
  <c r="B272" i="5"/>
  <c r="A272" i="5"/>
  <c r="T271" i="5"/>
  <c r="S271" i="5"/>
  <c r="R271" i="5"/>
  <c r="O271" i="5"/>
  <c r="D271" i="5"/>
  <c r="C271" i="5"/>
  <c r="B271" i="5"/>
  <c r="A271" i="5"/>
  <c r="T270" i="5"/>
  <c r="S270" i="5"/>
  <c r="R270" i="5"/>
  <c r="O270" i="5"/>
  <c r="D270" i="5"/>
  <c r="C270" i="5"/>
  <c r="B270" i="5"/>
  <c r="A270" i="5"/>
  <c r="T269" i="5"/>
  <c r="S269" i="5"/>
  <c r="R269" i="5"/>
  <c r="O269" i="5"/>
  <c r="D269" i="5"/>
  <c r="C269" i="5"/>
  <c r="B269" i="5"/>
  <c r="A269" i="5"/>
  <c r="T268" i="5"/>
  <c r="S268" i="5"/>
  <c r="R268" i="5"/>
  <c r="O268" i="5"/>
  <c r="D268" i="5"/>
  <c r="C268" i="5"/>
  <c r="B268" i="5"/>
  <c r="A268" i="5"/>
  <c r="T267" i="5"/>
  <c r="S267" i="5"/>
  <c r="R267" i="5"/>
  <c r="O267" i="5"/>
  <c r="D267" i="5"/>
  <c r="C267" i="5"/>
  <c r="B267" i="5"/>
  <c r="A267" i="5"/>
  <c r="T266" i="5"/>
  <c r="S266" i="5"/>
  <c r="R266" i="5"/>
  <c r="O266" i="5"/>
  <c r="D266" i="5"/>
  <c r="C266" i="5"/>
  <c r="B266" i="5"/>
  <c r="A266" i="5"/>
  <c r="T265" i="5"/>
  <c r="S265" i="5"/>
  <c r="B265" i="5"/>
  <c r="A265" i="5"/>
  <c r="T264" i="5"/>
  <c r="S264" i="5"/>
  <c r="B264" i="5"/>
  <c r="A264" i="5"/>
  <c r="T263" i="5"/>
  <c r="S263" i="5"/>
  <c r="R263" i="5"/>
  <c r="O263" i="5"/>
  <c r="D263" i="5"/>
  <c r="C263" i="5"/>
  <c r="B263" i="5"/>
  <c r="A263" i="5"/>
  <c r="T262" i="5"/>
  <c r="S262" i="5"/>
  <c r="R262" i="5"/>
  <c r="O262" i="5"/>
  <c r="D262" i="5"/>
  <c r="C262" i="5"/>
  <c r="B262" i="5"/>
  <c r="A262" i="5"/>
  <c r="T261" i="5"/>
  <c r="S261" i="5"/>
  <c r="R261" i="5"/>
  <c r="O261" i="5"/>
  <c r="D261" i="5"/>
  <c r="C261" i="5"/>
  <c r="B261" i="5"/>
  <c r="A261" i="5"/>
  <c r="T260" i="5"/>
  <c r="S260" i="5"/>
  <c r="R260" i="5"/>
  <c r="O260" i="5"/>
  <c r="D260" i="5"/>
  <c r="C260" i="5"/>
  <c r="B260" i="5"/>
  <c r="A260" i="5"/>
  <c r="T259" i="5"/>
  <c r="S259" i="5"/>
  <c r="R259" i="5"/>
  <c r="O259" i="5"/>
  <c r="D259" i="5"/>
  <c r="C259" i="5"/>
  <c r="B259" i="5"/>
  <c r="A259" i="5"/>
  <c r="T258" i="5"/>
  <c r="S258" i="5"/>
  <c r="R258" i="5"/>
  <c r="O258" i="5"/>
  <c r="D258" i="5"/>
  <c r="C258" i="5"/>
  <c r="B258" i="5"/>
  <c r="A258" i="5"/>
  <c r="T257" i="5"/>
  <c r="S257" i="5"/>
  <c r="R257" i="5"/>
  <c r="O257" i="5"/>
  <c r="D257" i="5"/>
  <c r="C257" i="5"/>
  <c r="B257" i="5"/>
  <c r="A257" i="5"/>
  <c r="T256" i="5"/>
  <c r="S256" i="5"/>
  <c r="R256" i="5"/>
  <c r="O256" i="5"/>
  <c r="D256" i="5"/>
  <c r="C256" i="5"/>
  <c r="B256" i="5"/>
  <c r="A256" i="5"/>
  <c r="T255" i="5"/>
  <c r="S255" i="5"/>
  <c r="R255" i="5"/>
  <c r="D255" i="5"/>
  <c r="C255" i="5"/>
  <c r="B255" i="5"/>
  <c r="A255" i="5"/>
  <c r="T254" i="5"/>
  <c r="S254" i="5"/>
  <c r="R254" i="5"/>
  <c r="O254" i="5"/>
  <c r="D254" i="5"/>
  <c r="C254" i="5"/>
  <c r="B254" i="5"/>
  <c r="A254" i="5"/>
  <c r="T253" i="5"/>
  <c r="S253" i="5"/>
  <c r="R253" i="5"/>
  <c r="O253" i="5"/>
  <c r="D253" i="5"/>
  <c r="C253" i="5"/>
  <c r="B253" i="5"/>
  <c r="A253" i="5"/>
  <c r="T252" i="5"/>
  <c r="S252" i="5"/>
  <c r="R252" i="5"/>
  <c r="O252" i="5"/>
  <c r="D252" i="5"/>
  <c r="C252" i="5"/>
  <c r="B252" i="5"/>
  <c r="A252" i="5"/>
  <c r="T251" i="5"/>
  <c r="S251" i="5"/>
  <c r="R251" i="5"/>
  <c r="O251" i="5"/>
  <c r="D251" i="5"/>
  <c r="C251" i="5"/>
  <c r="B251" i="5"/>
  <c r="A251" i="5"/>
  <c r="T250" i="5"/>
  <c r="S250" i="5"/>
  <c r="R250" i="5"/>
  <c r="O250" i="5"/>
  <c r="D250" i="5"/>
  <c r="C250" i="5"/>
  <c r="B250" i="5"/>
  <c r="A250" i="5"/>
  <c r="T249" i="5"/>
  <c r="S249" i="5"/>
  <c r="R249" i="5"/>
  <c r="O249" i="5"/>
  <c r="D249" i="5"/>
  <c r="C249" i="5"/>
  <c r="B249" i="5"/>
  <c r="A249" i="5"/>
  <c r="T248" i="5"/>
  <c r="S248" i="5"/>
  <c r="R248" i="5"/>
  <c r="O248" i="5"/>
  <c r="D248" i="5"/>
  <c r="C248" i="5"/>
  <c r="B248" i="5"/>
  <c r="A248" i="5"/>
  <c r="T247" i="5"/>
  <c r="S247" i="5"/>
  <c r="R247" i="5"/>
  <c r="D247" i="5"/>
  <c r="C247" i="5"/>
  <c r="B247" i="5"/>
  <c r="A247" i="5"/>
  <c r="T246" i="5"/>
  <c r="S246" i="5"/>
  <c r="B246" i="5"/>
  <c r="A246" i="5"/>
  <c r="T245" i="5"/>
  <c r="S245" i="5"/>
  <c r="B245" i="5"/>
  <c r="A245" i="5"/>
  <c r="T244" i="5"/>
  <c r="S244" i="5"/>
  <c r="B244" i="5"/>
  <c r="A244" i="5"/>
  <c r="T243" i="5"/>
  <c r="S243" i="5"/>
  <c r="B243" i="5"/>
  <c r="A243" i="5"/>
  <c r="T242" i="5"/>
  <c r="S242" i="5"/>
  <c r="B242" i="5"/>
  <c r="A242" i="5"/>
  <c r="T241" i="5"/>
  <c r="S241" i="5"/>
  <c r="B241" i="5"/>
  <c r="A241" i="5"/>
  <c r="T240" i="5"/>
  <c r="S240" i="5"/>
  <c r="B240" i="5"/>
  <c r="A240" i="5"/>
  <c r="T239" i="5"/>
  <c r="S239" i="5"/>
  <c r="B239" i="5"/>
  <c r="A239" i="5"/>
  <c r="T238" i="5"/>
  <c r="S238" i="5"/>
  <c r="B238" i="5"/>
  <c r="A238" i="5"/>
  <c r="T237" i="5"/>
  <c r="S237" i="5"/>
  <c r="R237" i="5"/>
  <c r="O237" i="5"/>
  <c r="D237" i="5"/>
  <c r="C237" i="5"/>
  <c r="B237" i="5"/>
  <c r="A237" i="5"/>
  <c r="T236" i="5"/>
  <c r="S236" i="5"/>
  <c r="R236" i="5"/>
  <c r="O236" i="5"/>
  <c r="D236" i="5"/>
  <c r="C236" i="5"/>
  <c r="B236" i="5"/>
  <c r="A236" i="5"/>
  <c r="T235" i="5"/>
  <c r="S235" i="5"/>
  <c r="R235" i="5"/>
  <c r="O235" i="5"/>
  <c r="D235" i="5"/>
  <c r="C235" i="5"/>
  <c r="B235" i="5"/>
  <c r="A235" i="5"/>
  <c r="T234" i="5"/>
  <c r="S234" i="5"/>
  <c r="R234" i="5"/>
  <c r="O234" i="5"/>
  <c r="D234" i="5"/>
  <c r="C234" i="5"/>
  <c r="B234" i="5"/>
  <c r="A234" i="5"/>
  <c r="T233" i="5"/>
  <c r="S233" i="5"/>
  <c r="R233" i="5"/>
  <c r="O233" i="5"/>
  <c r="D233" i="5"/>
  <c r="C233" i="5"/>
  <c r="B233" i="5"/>
  <c r="A233" i="5"/>
  <c r="T232" i="5"/>
  <c r="S232" i="5"/>
  <c r="R232" i="5"/>
  <c r="O232" i="5"/>
  <c r="D232" i="5"/>
  <c r="C232" i="5"/>
  <c r="B232" i="5"/>
  <c r="A232" i="5"/>
  <c r="T231" i="5"/>
  <c r="S231" i="5"/>
  <c r="R231" i="5"/>
  <c r="D231" i="5"/>
  <c r="C231" i="5"/>
  <c r="B231" i="5"/>
  <c r="A231" i="5"/>
  <c r="T230" i="5"/>
  <c r="S230" i="5"/>
  <c r="R230" i="5"/>
  <c r="D230" i="5"/>
  <c r="C230" i="5"/>
  <c r="B230" i="5"/>
  <c r="A230" i="5"/>
  <c r="T229" i="5"/>
  <c r="S229" i="5"/>
  <c r="B229" i="5"/>
  <c r="A229" i="5"/>
  <c r="T228" i="5"/>
  <c r="S228" i="5"/>
  <c r="B228" i="5"/>
  <c r="A228" i="5"/>
  <c r="T227" i="5"/>
  <c r="S227" i="5"/>
  <c r="B227" i="5"/>
  <c r="A227" i="5"/>
  <c r="T226" i="5"/>
  <c r="S226" i="5"/>
  <c r="B226" i="5"/>
  <c r="A226" i="5"/>
  <c r="T225" i="5"/>
  <c r="S225" i="5"/>
  <c r="B225" i="5"/>
  <c r="A225" i="5"/>
  <c r="T224" i="5"/>
  <c r="S224" i="5"/>
  <c r="B224" i="5"/>
  <c r="A224" i="5"/>
  <c r="T223" i="5"/>
  <c r="S223" i="5"/>
  <c r="B223" i="5"/>
  <c r="A223" i="5"/>
  <c r="T222" i="5"/>
  <c r="S222" i="5"/>
  <c r="B222" i="5"/>
  <c r="A222" i="5"/>
  <c r="T221" i="5"/>
  <c r="S221" i="5"/>
  <c r="R221" i="5"/>
  <c r="D221" i="5"/>
  <c r="C221" i="5"/>
  <c r="B221" i="5"/>
  <c r="A221" i="5"/>
  <c r="T220" i="5"/>
  <c r="S220" i="5"/>
  <c r="R220" i="5"/>
  <c r="O220" i="5"/>
  <c r="D220" i="5"/>
  <c r="C220" i="5"/>
  <c r="B220" i="5"/>
  <c r="A220" i="5"/>
  <c r="T219" i="5"/>
  <c r="S219" i="5"/>
  <c r="R219" i="5"/>
  <c r="O219" i="5"/>
  <c r="D219" i="5"/>
  <c r="C219" i="5"/>
  <c r="B219" i="5"/>
  <c r="A219" i="5"/>
  <c r="T218" i="5"/>
  <c r="S218" i="5"/>
  <c r="R218" i="5"/>
  <c r="O218" i="5"/>
  <c r="D218" i="5"/>
  <c r="C218" i="5"/>
  <c r="B218" i="5"/>
  <c r="A218" i="5"/>
  <c r="T217" i="5"/>
  <c r="S217" i="5"/>
  <c r="R217" i="5"/>
  <c r="O217" i="5"/>
  <c r="D217" i="5"/>
  <c r="C217" i="5"/>
  <c r="B217" i="5"/>
  <c r="A217" i="5"/>
  <c r="T216" i="5"/>
  <c r="S216" i="5"/>
  <c r="R216" i="5"/>
  <c r="O216" i="5"/>
  <c r="D216" i="5"/>
  <c r="C216" i="5"/>
  <c r="B216" i="5"/>
  <c r="A216" i="5"/>
  <c r="T215" i="5"/>
  <c r="S215" i="5"/>
  <c r="R215" i="5"/>
  <c r="D215" i="5"/>
  <c r="C215" i="5"/>
  <c r="B215" i="5"/>
  <c r="A215" i="5"/>
  <c r="T214" i="5"/>
  <c r="S214" i="5"/>
  <c r="R214" i="5"/>
  <c r="O214" i="5"/>
  <c r="D214" i="5"/>
  <c r="C214" i="5"/>
  <c r="B214" i="5"/>
  <c r="A214" i="5"/>
  <c r="T213" i="5"/>
  <c r="S213" i="5"/>
  <c r="R213" i="5"/>
  <c r="O213" i="5"/>
  <c r="D213" i="5"/>
  <c r="C213" i="5"/>
  <c r="B213" i="5"/>
  <c r="A213" i="5"/>
  <c r="T212" i="5"/>
  <c r="S212" i="5"/>
  <c r="R212" i="5"/>
  <c r="O212" i="5"/>
  <c r="D212" i="5"/>
  <c r="C212" i="5"/>
  <c r="B212" i="5"/>
  <c r="A212" i="5"/>
  <c r="T211" i="5"/>
  <c r="S211" i="5"/>
  <c r="R211" i="5"/>
  <c r="O211" i="5"/>
  <c r="D211" i="5"/>
  <c r="C211" i="5"/>
  <c r="B211" i="5"/>
  <c r="A211" i="5"/>
  <c r="T210" i="5"/>
  <c r="S210" i="5"/>
  <c r="R210" i="5"/>
  <c r="O210" i="5"/>
  <c r="D210" i="5"/>
  <c r="C210" i="5"/>
  <c r="B210" i="5"/>
  <c r="A210" i="5"/>
  <c r="T209" i="5"/>
  <c r="S209" i="5"/>
  <c r="R209" i="5"/>
  <c r="O209" i="5"/>
  <c r="D209" i="5"/>
  <c r="C209" i="5"/>
  <c r="B209" i="5"/>
  <c r="A209" i="5"/>
  <c r="T208" i="5"/>
  <c r="S208" i="5"/>
  <c r="R208" i="5"/>
  <c r="O208" i="5"/>
  <c r="D208" i="5"/>
  <c r="C208" i="5"/>
  <c r="B208" i="5"/>
  <c r="A208" i="5"/>
  <c r="T207" i="5"/>
  <c r="S207" i="5"/>
  <c r="B207" i="5"/>
  <c r="A207" i="5"/>
  <c r="T206" i="5"/>
  <c r="S206" i="5"/>
  <c r="R206" i="5"/>
  <c r="O206" i="5"/>
  <c r="D206" i="5"/>
  <c r="C206" i="5"/>
  <c r="B206" i="5"/>
  <c r="A206" i="5"/>
  <c r="T205" i="5"/>
  <c r="S205" i="5"/>
  <c r="R205" i="5"/>
  <c r="O205" i="5"/>
  <c r="D205" i="5"/>
  <c r="C205" i="5"/>
  <c r="B205" i="5"/>
  <c r="A205" i="5"/>
  <c r="T204" i="5"/>
  <c r="S204" i="5"/>
  <c r="R204" i="5"/>
  <c r="O204" i="5"/>
  <c r="D204" i="5"/>
  <c r="C204" i="5"/>
  <c r="B204" i="5"/>
  <c r="A204" i="5"/>
  <c r="T203" i="5"/>
  <c r="S203" i="5"/>
  <c r="R203" i="5"/>
  <c r="O203" i="5"/>
  <c r="D203" i="5"/>
  <c r="C203" i="5"/>
  <c r="B203" i="5"/>
  <c r="A203" i="5"/>
  <c r="T202" i="5"/>
  <c r="S202" i="5"/>
  <c r="R202" i="5"/>
  <c r="O202" i="5"/>
  <c r="D202" i="5"/>
  <c r="C202" i="5"/>
  <c r="B202" i="5"/>
  <c r="A202" i="5"/>
  <c r="T201" i="5"/>
  <c r="S201" i="5"/>
  <c r="R201" i="5"/>
  <c r="O201" i="5"/>
  <c r="D201" i="5"/>
  <c r="C201" i="5"/>
  <c r="B201" i="5"/>
  <c r="A201" i="5"/>
  <c r="T200" i="5"/>
  <c r="S200" i="5"/>
  <c r="R200" i="5"/>
  <c r="O200" i="5"/>
  <c r="D200" i="5"/>
  <c r="C200" i="5"/>
  <c r="B200" i="5"/>
  <c r="A200" i="5"/>
  <c r="T199" i="5"/>
  <c r="S199" i="5"/>
  <c r="R199" i="5"/>
  <c r="O199" i="5"/>
  <c r="D199" i="5"/>
  <c r="C199" i="5"/>
  <c r="B199" i="5"/>
  <c r="A199" i="5"/>
  <c r="T198" i="5"/>
  <c r="S198" i="5"/>
  <c r="R198" i="5"/>
  <c r="O198" i="5"/>
  <c r="D198" i="5"/>
  <c r="C198" i="5"/>
  <c r="B198" i="5"/>
  <c r="A198" i="5"/>
  <c r="T197" i="5"/>
  <c r="S197" i="5"/>
  <c r="R197" i="5"/>
  <c r="O197" i="5"/>
  <c r="D197" i="5"/>
  <c r="C197" i="5"/>
  <c r="B197" i="5"/>
  <c r="A197" i="5"/>
  <c r="T196" i="5"/>
  <c r="S196" i="5"/>
  <c r="R196" i="5"/>
  <c r="O196" i="5"/>
  <c r="D196" i="5"/>
  <c r="C196" i="5"/>
  <c r="B196" i="5"/>
  <c r="A196" i="5"/>
  <c r="T195" i="5"/>
  <c r="S195" i="5"/>
  <c r="R195" i="5"/>
  <c r="O195" i="5"/>
  <c r="D195" i="5"/>
  <c r="C195" i="5"/>
  <c r="B195" i="5"/>
  <c r="A195" i="5"/>
  <c r="T194" i="5"/>
  <c r="S194" i="5"/>
  <c r="R194" i="5"/>
  <c r="D194" i="5"/>
  <c r="C194" i="5"/>
  <c r="B194" i="5"/>
  <c r="A194" i="5"/>
  <c r="T193" i="5"/>
  <c r="S193" i="5"/>
  <c r="B193" i="5"/>
  <c r="A193" i="5"/>
  <c r="T192" i="5"/>
  <c r="S192" i="5"/>
  <c r="B192" i="5"/>
  <c r="A192" i="5"/>
  <c r="T191" i="5"/>
  <c r="S191" i="5"/>
  <c r="B191" i="5"/>
  <c r="A191" i="5"/>
  <c r="T190" i="5"/>
  <c r="S190" i="5"/>
  <c r="B190" i="5"/>
  <c r="A190" i="5"/>
  <c r="T189" i="5"/>
  <c r="S189" i="5"/>
  <c r="B189" i="5"/>
  <c r="A189" i="5"/>
  <c r="T188" i="5"/>
  <c r="S188" i="5"/>
  <c r="B188" i="5"/>
  <c r="A188" i="5"/>
  <c r="T187" i="5"/>
  <c r="S187" i="5"/>
  <c r="B187" i="5"/>
  <c r="A187" i="5"/>
  <c r="T186" i="5"/>
  <c r="S186" i="5"/>
  <c r="B186" i="5"/>
  <c r="A186" i="5"/>
  <c r="T185" i="5"/>
  <c r="S185" i="5"/>
  <c r="B185" i="5"/>
  <c r="A185" i="5"/>
  <c r="T184" i="5"/>
  <c r="S184" i="5"/>
  <c r="R184" i="5"/>
  <c r="O184" i="5"/>
  <c r="D184" i="5"/>
  <c r="C184" i="5"/>
  <c r="B184" i="5"/>
  <c r="A184" i="5"/>
  <c r="T183" i="5"/>
  <c r="S183" i="5"/>
  <c r="R183" i="5"/>
  <c r="O183" i="5"/>
  <c r="D183" i="5"/>
  <c r="C183" i="5"/>
  <c r="B183" i="5"/>
  <c r="A183" i="5"/>
  <c r="T182" i="5"/>
  <c r="S182" i="5"/>
  <c r="R182" i="5"/>
  <c r="O182" i="5"/>
  <c r="D182" i="5"/>
  <c r="C182" i="5"/>
  <c r="B182" i="5"/>
  <c r="A182" i="5"/>
  <c r="T181" i="5"/>
  <c r="S181" i="5"/>
  <c r="R181" i="5"/>
  <c r="O181" i="5"/>
  <c r="D181" i="5"/>
  <c r="C181" i="5"/>
  <c r="B181" i="5"/>
  <c r="A181" i="5"/>
  <c r="T180" i="5"/>
  <c r="S180" i="5"/>
  <c r="R180" i="5"/>
  <c r="O180" i="5"/>
  <c r="D180" i="5"/>
  <c r="C180" i="5"/>
  <c r="B180" i="5"/>
  <c r="A180" i="5"/>
  <c r="T179" i="5"/>
  <c r="S179" i="5"/>
  <c r="R179" i="5"/>
  <c r="O179" i="5"/>
  <c r="D179" i="5"/>
  <c r="C179" i="5"/>
  <c r="B179" i="5"/>
  <c r="A179" i="5"/>
  <c r="T178" i="5"/>
  <c r="S178" i="5"/>
  <c r="R178" i="5"/>
  <c r="O178" i="5"/>
  <c r="D178" i="5"/>
  <c r="C178" i="5"/>
  <c r="B178" i="5"/>
  <c r="A178" i="5"/>
  <c r="T177" i="5"/>
  <c r="S177" i="5"/>
  <c r="R177" i="5"/>
  <c r="D177" i="5"/>
  <c r="C177" i="5"/>
  <c r="B177" i="5"/>
  <c r="A177" i="5"/>
  <c r="T176" i="5"/>
  <c r="S176" i="5"/>
  <c r="B176" i="5"/>
  <c r="A176" i="5"/>
  <c r="T175" i="5"/>
  <c r="S175" i="5"/>
  <c r="B175" i="5"/>
  <c r="A175" i="5"/>
  <c r="T174" i="5"/>
  <c r="S174" i="5"/>
  <c r="B174" i="5"/>
  <c r="A174" i="5"/>
  <c r="T173" i="5"/>
  <c r="S173" i="5"/>
  <c r="B173" i="5"/>
  <c r="A173" i="5"/>
  <c r="T172" i="5"/>
  <c r="S172" i="5"/>
  <c r="R172" i="5"/>
  <c r="O172" i="5"/>
  <c r="D172" i="5"/>
  <c r="C172" i="5"/>
  <c r="B172" i="5"/>
  <c r="A172" i="5"/>
  <c r="T171" i="5"/>
  <c r="S171" i="5"/>
  <c r="R171" i="5"/>
  <c r="O171" i="5"/>
  <c r="D171" i="5"/>
  <c r="C171" i="5"/>
  <c r="B171" i="5"/>
  <c r="A171" i="5"/>
  <c r="T170" i="5"/>
  <c r="S170" i="5"/>
  <c r="R170" i="5"/>
  <c r="O170" i="5"/>
  <c r="D170" i="5"/>
  <c r="C170" i="5"/>
  <c r="B170" i="5"/>
  <c r="A170" i="5"/>
  <c r="T169" i="5"/>
  <c r="S169" i="5"/>
  <c r="R169" i="5"/>
  <c r="O169" i="5"/>
  <c r="D169" i="5"/>
  <c r="C169" i="5"/>
  <c r="B169" i="5"/>
  <c r="A169" i="5"/>
  <c r="T168" i="5"/>
  <c r="S168" i="5"/>
  <c r="R168" i="5"/>
  <c r="O168" i="5"/>
  <c r="D168" i="5"/>
  <c r="C168" i="5"/>
  <c r="B168" i="5"/>
  <c r="A168" i="5"/>
  <c r="T167" i="5"/>
  <c r="S167" i="5"/>
  <c r="R167" i="5"/>
  <c r="O167" i="5"/>
  <c r="D167" i="5"/>
  <c r="C167" i="5"/>
  <c r="B167" i="5"/>
  <c r="A167" i="5"/>
  <c r="T166" i="5"/>
  <c r="S166" i="5"/>
  <c r="R166" i="5"/>
  <c r="O166" i="5"/>
  <c r="D166" i="5"/>
  <c r="C166" i="5"/>
  <c r="B166" i="5"/>
  <c r="A166" i="5"/>
  <c r="T165" i="5"/>
  <c r="S165" i="5"/>
  <c r="R165" i="5"/>
  <c r="D165" i="5"/>
  <c r="C165" i="5"/>
  <c r="B165" i="5"/>
  <c r="A165" i="5"/>
  <c r="T164" i="5"/>
  <c r="S164" i="5"/>
  <c r="B164" i="5"/>
  <c r="A164" i="5"/>
  <c r="T163" i="5"/>
  <c r="S163" i="5"/>
  <c r="R163" i="5"/>
  <c r="O163" i="5"/>
  <c r="D163" i="5"/>
  <c r="C163" i="5"/>
  <c r="B163" i="5"/>
  <c r="A163" i="5"/>
  <c r="T162" i="5"/>
  <c r="S162" i="5"/>
  <c r="R162" i="5"/>
  <c r="D162" i="5"/>
  <c r="C162" i="5"/>
  <c r="B162" i="5"/>
  <c r="A162" i="5"/>
  <c r="T161" i="5"/>
  <c r="S161" i="5"/>
  <c r="B161" i="5"/>
  <c r="A161" i="5"/>
  <c r="T160" i="5"/>
  <c r="S160" i="5"/>
  <c r="R160" i="5"/>
  <c r="D160" i="5"/>
  <c r="C160" i="5"/>
  <c r="B160" i="5"/>
  <c r="A160" i="5"/>
  <c r="T159" i="5"/>
  <c r="S159" i="5"/>
  <c r="R159" i="5"/>
  <c r="O159" i="5"/>
  <c r="D159" i="5"/>
  <c r="C159" i="5"/>
  <c r="B159" i="5"/>
  <c r="A159" i="5"/>
  <c r="T158" i="5"/>
  <c r="S158" i="5"/>
  <c r="B158" i="5"/>
  <c r="A158" i="5"/>
  <c r="T157" i="5"/>
  <c r="S157" i="5"/>
  <c r="B157" i="5"/>
  <c r="A157" i="5"/>
  <c r="T156" i="5"/>
  <c r="S156" i="5"/>
  <c r="B156" i="5"/>
  <c r="A156" i="5"/>
  <c r="T155" i="5"/>
  <c r="S155" i="5"/>
  <c r="B155" i="5"/>
  <c r="A155" i="5"/>
  <c r="T154" i="5"/>
  <c r="S154" i="5"/>
  <c r="R154" i="5"/>
  <c r="O154" i="5"/>
  <c r="D154" i="5"/>
  <c r="C154" i="5"/>
  <c r="B154" i="5"/>
  <c r="A154" i="5"/>
  <c r="T153" i="5"/>
  <c r="S153" i="5"/>
  <c r="R153" i="5"/>
  <c r="O153" i="5"/>
  <c r="D153" i="5"/>
  <c r="C153" i="5"/>
  <c r="B153" i="5"/>
  <c r="A153" i="5"/>
  <c r="T152" i="5"/>
  <c r="S152" i="5"/>
  <c r="R152" i="5"/>
  <c r="D152" i="5"/>
  <c r="C152" i="5"/>
  <c r="B152" i="5"/>
  <c r="A152" i="5"/>
  <c r="T151" i="5"/>
  <c r="S151" i="5"/>
  <c r="R151" i="5"/>
  <c r="D151" i="5"/>
  <c r="C151" i="5"/>
  <c r="B151" i="5"/>
  <c r="A151" i="5"/>
  <c r="T150" i="5"/>
  <c r="S150" i="5"/>
  <c r="R150" i="5"/>
  <c r="O150" i="5"/>
  <c r="D150" i="5"/>
  <c r="C150" i="5"/>
  <c r="B150" i="5"/>
  <c r="A150" i="5"/>
  <c r="T149" i="5"/>
  <c r="S149" i="5"/>
  <c r="R149" i="5"/>
  <c r="O149" i="5"/>
  <c r="D149" i="5"/>
  <c r="C149" i="5"/>
  <c r="B149" i="5"/>
  <c r="A149" i="5"/>
  <c r="T148" i="5"/>
  <c r="S148" i="5"/>
  <c r="R148" i="5"/>
  <c r="D148" i="5"/>
  <c r="C148" i="5"/>
  <c r="B148" i="5"/>
  <c r="A148" i="5"/>
  <c r="T147" i="5"/>
  <c r="S147" i="5"/>
  <c r="B147" i="5"/>
  <c r="A147" i="5"/>
  <c r="T146" i="5"/>
  <c r="S146" i="5"/>
  <c r="B146" i="5"/>
  <c r="A146" i="5"/>
  <c r="T145" i="5"/>
  <c r="S145" i="5"/>
  <c r="B145" i="5"/>
  <c r="A145" i="5"/>
  <c r="T144" i="5"/>
  <c r="S144" i="5"/>
  <c r="B144" i="5"/>
  <c r="A144" i="5"/>
  <c r="T143" i="5"/>
  <c r="S143" i="5"/>
  <c r="B143" i="5"/>
  <c r="A143" i="5"/>
  <c r="T142" i="5"/>
  <c r="S142" i="5"/>
  <c r="B142" i="5"/>
  <c r="A142" i="5"/>
  <c r="T141" i="5"/>
  <c r="S141" i="5"/>
  <c r="R141" i="5"/>
  <c r="D141" i="5"/>
  <c r="C141" i="5"/>
  <c r="B141" i="5"/>
  <c r="A141" i="5"/>
  <c r="T140" i="5"/>
  <c r="S140" i="5"/>
  <c r="R140" i="5"/>
  <c r="D140" i="5"/>
  <c r="C140" i="5"/>
  <c r="B140" i="5"/>
  <c r="A140" i="5"/>
  <c r="T139" i="5"/>
  <c r="S139" i="5"/>
  <c r="B139" i="5"/>
  <c r="A139" i="5"/>
  <c r="T138" i="5"/>
  <c r="S138" i="5"/>
  <c r="B138" i="5"/>
  <c r="A138" i="5"/>
  <c r="T137" i="5"/>
  <c r="S137" i="5"/>
  <c r="R137" i="5"/>
  <c r="D137" i="5"/>
  <c r="C137" i="5"/>
  <c r="B137" i="5"/>
  <c r="A137" i="5"/>
  <c r="T136" i="5"/>
  <c r="S136" i="5"/>
  <c r="B136" i="5"/>
  <c r="A136" i="5"/>
  <c r="T135" i="5"/>
  <c r="S135" i="5"/>
  <c r="B135" i="5"/>
  <c r="A135" i="5"/>
  <c r="T134" i="5"/>
  <c r="S134" i="5"/>
  <c r="R134" i="5"/>
  <c r="O134" i="5"/>
  <c r="D134" i="5"/>
  <c r="C134" i="5"/>
  <c r="B134" i="5"/>
  <c r="A134" i="5"/>
  <c r="T133" i="5"/>
  <c r="S133" i="5"/>
  <c r="R133" i="5"/>
  <c r="O133" i="5"/>
  <c r="D133" i="5"/>
  <c r="C133" i="5"/>
  <c r="B133" i="5"/>
  <c r="A133" i="5"/>
  <c r="T132" i="5"/>
  <c r="S132" i="5"/>
  <c r="R132" i="5"/>
  <c r="D132" i="5"/>
  <c r="C132" i="5"/>
  <c r="B132" i="5"/>
  <c r="A132" i="5"/>
  <c r="T131" i="5"/>
  <c r="S131" i="5"/>
  <c r="B131" i="5"/>
  <c r="A131" i="5"/>
  <c r="T130" i="5"/>
  <c r="S130" i="5"/>
  <c r="B130" i="5"/>
  <c r="A130" i="5"/>
  <c r="T129" i="5"/>
  <c r="S129" i="5"/>
  <c r="B129" i="5"/>
  <c r="A129" i="5"/>
  <c r="T128" i="5"/>
  <c r="S128" i="5"/>
  <c r="R128" i="5"/>
  <c r="D128" i="5"/>
  <c r="C128" i="5"/>
  <c r="B128" i="5"/>
  <c r="A128" i="5"/>
  <c r="T127" i="5"/>
  <c r="S127" i="5"/>
  <c r="R127" i="5"/>
  <c r="O127" i="5"/>
  <c r="D127" i="5"/>
  <c r="C127" i="5"/>
  <c r="B127" i="5"/>
  <c r="A127" i="5"/>
  <c r="T126" i="5"/>
  <c r="S126" i="5"/>
  <c r="R126" i="5"/>
  <c r="O126" i="5"/>
  <c r="D126" i="5"/>
  <c r="C126" i="5"/>
  <c r="B126" i="5"/>
  <c r="A126" i="5"/>
  <c r="T125" i="5"/>
  <c r="S125" i="5"/>
  <c r="B125" i="5"/>
  <c r="A125" i="5"/>
  <c r="T124" i="5"/>
  <c r="S124" i="5"/>
  <c r="R124" i="5"/>
  <c r="D124" i="5"/>
  <c r="C124" i="5"/>
  <c r="B124" i="5"/>
  <c r="A124" i="5"/>
  <c r="T123" i="5"/>
  <c r="S123" i="5"/>
  <c r="R123" i="5"/>
  <c r="O123" i="5"/>
  <c r="D123" i="5"/>
  <c r="C123" i="5"/>
  <c r="B123" i="5"/>
  <c r="A123" i="5"/>
  <c r="T122" i="5"/>
  <c r="S122" i="5"/>
  <c r="R122" i="5"/>
  <c r="O122" i="5"/>
  <c r="D122" i="5"/>
  <c r="C122" i="5"/>
  <c r="B122" i="5"/>
  <c r="A122" i="5"/>
  <c r="T121" i="5"/>
  <c r="S121" i="5"/>
  <c r="R121" i="5"/>
  <c r="O121" i="5"/>
  <c r="D121" i="5"/>
  <c r="C121" i="5"/>
  <c r="B121" i="5"/>
  <c r="A121" i="5"/>
  <c r="T120" i="5"/>
  <c r="S120" i="5"/>
  <c r="R120" i="5"/>
  <c r="O120" i="5"/>
  <c r="D120" i="5"/>
  <c r="C120" i="5"/>
  <c r="B120" i="5"/>
  <c r="A120" i="5"/>
  <c r="T119" i="5"/>
  <c r="S119" i="5"/>
  <c r="R119" i="5"/>
  <c r="O119" i="5"/>
  <c r="D119" i="5"/>
  <c r="C119" i="5"/>
  <c r="B119" i="5"/>
  <c r="A119" i="5"/>
  <c r="T118" i="5"/>
  <c r="S118" i="5"/>
  <c r="R118" i="5"/>
  <c r="D118" i="5"/>
  <c r="C118" i="5"/>
  <c r="B118" i="5"/>
  <c r="A118" i="5"/>
  <c r="T117" i="5"/>
  <c r="S117" i="5"/>
  <c r="R117" i="5"/>
  <c r="O117" i="5"/>
  <c r="D117" i="5"/>
  <c r="C117" i="5"/>
  <c r="B117" i="5"/>
  <c r="A117" i="5"/>
  <c r="T116" i="5"/>
  <c r="S116" i="5"/>
  <c r="R116" i="5"/>
  <c r="O116" i="5"/>
  <c r="D116" i="5"/>
  <c r="C116" i="5"/>
  <c r="B116" i="5"/>
  <c r="A116" i="5"/>
  <c r="T115" i="5"/>
  <c r="S115" i="5"/>
  <c r="R115" i="5"/>
  <c r="O115" i="5"/>
  <c r="D115" i="5"/>
  <c r="C115" i="5"/>
  <c r="B115" i="5"/>
  <c r="A115" i="5"/>
  <c r="T114" i="5"/>
  <c r="S114" i="5"/>
  <c r="R114" i="5"/>
  <c r="O114" i="5"/>
  <c r="D114" i="5"/>
  <c r="C114" i="5"/>
  <c r="B114" i="5"/>
  <c r="A114" i="5"/>
  <c r="T113" i="5"/>
  <c r="S113" i="5"/>
  <c r="R113" i="5"/>
  <c r="O113" i="5"/>
  <c r="D113" i="5"/>
  <c r="C113" i="5"/>
  <c r="B113" i="5"/>
  <c r="A113" i="5"/>
  <c r="T112" i="5"/>
  <c r="S112" i="5"/>
  <c r="R112" i="5"/>
  <c r="O112" i="5"/>
  <c r="D112" i="5"/>
  <c r="C112" i="5"/>
  <c r="B112" i="5"/>
  <c r="A112" i="5"/>
  <c r="T111" i="5"/>
  <c r="S111" i="5"/>
  <c r="R111" i="5"/>
  <c r="O111" i="5"/>
  <c r="D111" i="5"/>
  <c r="C111" i="5"/>
  <c r="B111" i="5"/>
  <c r="A111" i="5"/>
  <c r="T110" i="5"/>
  <c r="S110" i="5"/>
  <c r="R110" i="5"/>
  <c r="O110" i="5"/>
  <c r="D110" i="5"/>
  <c r="C110" i="5"/>
  <c r="B110" i="5"/>
  <c r="A110" i="5"/>
  <c r="T109" i="5"/>
  <c r="S109" i="5"/>
  <c r="R109" i="5"/>
  <c r="O109" i="5"/>
  <c r="D109" i="5"/>
  <c r="C109" i="5"/>
  <c r="B109" i="5"/>
  <c r="A109" i="5"/>
  <c r="T108" i="5"/>
  <c r="S108" i="5"/>
  <c r="R108" i="5"/>
  <c r="O108" i="5"/>
  <c r="D108" i="5"/>
  <c r="C108" i="5"/>
  <c r="B108" i="5"/>
  <c r="A108" i="5"/>
  <c r="T107" i="5"/>
  <c r="S107" i="5"/>
  <c r="R107" i="5"/>
  <c r="O107" i="5"/>
  <c r="D107" i="5"/>
  <c r="C107" i="5"/>
  <c r="B107" i="5"/>
  <c r="A107" i="5"/>
  <c r="T106" i="5"/>
  <c r="S106" i="5"/>
  <c r="R106" i="5"/>
  <c r="D106" i="5"/>
  <c r="C106" i="5"/>
  <c r="B106" i="5"/>
  <c r="A106" i="5"/>
  <c r="T105" i="5"/>
  <c r="S105" i="5"/>
  <c r="R105" i="5"/>
  <c r="O105" i="5"/>
  <c r="D105" i="5"/>
  <c r="C105" i="5"/>
  <c r="B105" i="5"/>
  <c r="A105" i="5"/>
  <c r="T104" i="5"/>
  <c r="S104" i="5"/>
  <c r="R104" i="5"/>
  <c r="O104" i="5"/>
  <c r="D104" i="5"/>
  <c r="C104" i="5"/>
  <c r="B104" i="5"/>
  <c r="A104" i="5"/>
  <c r="T103" i="5"/>
  <c r="S103" i="5"/>
  <c r="R103" i="5"/>
  <c r="O103" i="5"/>
  <c r="D103" i="5"/>
  <c r="C103" i="5"/>
  <c r="B103" i="5"/>
  <c r="A103" i="5"/>
  <c r="T102" i="5"/>
  <c r="S102" i="5"/>
  <c r="R102" i="5"/>
  <c r="O102" i="5"/>
  <c r="D102" i="5"/>
  <c r="C102" i="5"/>
  <c r="B102" i="5"/>
  <c r="A102" i="5"/>
  <c r="T101" i="5"/>
  <c r="S101" i="5"/>
  <c r="R101" i="5"/>
  <c r="O101" i="5"/>
  <c r="D101" i="5"/>
  <c r="C101" i="5"/>
  <c r="B101" i="5"/>
  <c r="A101" i="5"/>
  <c r="T100" i="5"/>
  <c r="S100" i="5"/>
  <c r="R100" i="5"/>
  <c r="D100" i="5"/>
  <c r="C100" i="5"/>
  <c r="B100" i="5"/>
  <c r="A100" i="5"/>
  <c r="T99" i="5"/>
  <c r="S99" i="5"/>
  <c r="R99" i="5"/>
  <c r="D99" i="5"/>
  <c r="C99" i="5"/>
  <c r="B99" i="5"/>
  <c r="A99" i="5"/>
  <c r="T98" i="5"/>
  <c r="S98" i="5"/>
  <c r="R98" i="5"/>
  <c r="O98" i="5"/>
  <c r="D98" i="5"/>
  <c r="C98" i="5"/>
  <c r="B98" i="5"/>
  <c r="A98" i="5"/>
  <c r="T97" i="5"/>
  <c r="S97" i="5"/>
  <c r="B97" i="5"/>
  <c r="A97" i="5"/>
  <c r="T96" i="5"/>
  <c r="S96" i="5"/>
  <c r="B96" i="5"/>
  <c r="A96" i="5"/>
  <c r="T95" i="5"/>
  <c r="S95" i="5"/>
  <c r="B95" i="5"/>
  <c r="A95" i="5"/>
  <c r="T94" i="5"/>
  <c r="S94" i="5"/>
  <c r="R94" i="5"/>
  <c r="D94" i="5"/>
  <c r="C94" i="5"/>
  <c r="B94" i="5"/>
  <c r="A94" i="5"/>
  <c r="T93" i="5"/>
  <c r="S93" i="5"/>
  <c r="R93" i="5"/>
  <c r="O93" i="5"/>
  <c r="D93" i="5"/>
  <c r="C93" i="5"/>
  <c r="B93" i="5"/>
  <c r="A93" i="5"/>
  <c r="T92" i="5"/>
  <c r="S92" i="5"/>
  <c r="B92" i="5"/>
  <c r="A92" i="5"/>
  <c r="T91" i="5"/>
  <c r="S91" i="5"/>
  <c r="B91" i="5"/>
  <c r="A91" i="5"/>
  <c r="T90" i="5"/>
  <c r="S90" i="5"/>
  <c r="B90" i="5"/>
  <c r="A90" i="5"/>
  <c r="T89" i="5"/>
  <c r="S89" i="5"/>
  <c r="B89" i="5"/>
  <c r="A89" i="5"/>
  <c r="T88" i="5"/>
  <c r="S88" i="5"/>
  <c r="B88" i="5"/>
  <c r="A88" i="5"/>
  <c r="T87" i="5"/>
  <c r="S87" i="5"/>
  <c r="B87" i="5"/>
  <c r="A87" i="5"/>
  <c r="T86" i="5"/>
  <c r="S86" i="5"/>
  <c r="R86" i="5"/>
  <c r="D86" i="5"/>
  <c r="C86" i="5"/>
  <c r="B86" i="5"/>
  <c r="A86" i="5"/>
  <c r="T85" i="5"/>
  <c r="S85" i="5"/>
  <c r="R85" i="5"/>
  <c r="O85" i="5"/>
  <c r="D85" i="5"/>
  <c r="C85" i="5"/>
  <c r="B85" i="5"/>
  <c r="A85" i="5"/>
  <c r="T84" i="5"/>
  <c r="S84" i="5"/>
  <c r="R84" i="5"/>
  <c r="O84" i="5"/>
  <c r="D84" i="5"/>
  <c r="C84" i="5"/>
  <c r="B84" i="5"/>
  <c r="A84" i="5"/>
  <c r="T83" i="5"/>
  <c r="S83" i="5"/>
  <c r="B83" i="5"/>
  <c r="A83" i="5"/>
  <c r="T82" i="5"/>
  <c r="S82" i="5"/>
  <c r="B82" i="5"/>
  <c r="A82" i="5"/>
  <c r="T81" i="5"/>
  <c r="S81" i="5"/>
  <c r="B81" i="5"/>
  <c r="A81" i="5"/>
  <c r="T80" i="5"/>
  <c r="S80" i="5"/>
  <c r="R80" i="5"/>
  <c r="O80" i="5"/>
  <c r="D80" i="5"/>
  <c r="C80" i="5"/>
  <c r="B80" i="5"/>
  <c r="A80" i="5"/>
  <c r="T79" i="5"/>
  <c r="S79" i="5"/>
  <c r="R79" i="5"/>
  <c r="O79" i="5"/>
  <c r="D79" i="5"/>
  <c r="C79" i="5"/>
  <c r="B79" i="5"/>
  <c r="A79" i="5"/>
  <c r="T78" i="5"/>
  <c r="S78" i="5"/>
  <c r="R78" i="5"/>
  <c r="O78" i="5"/>
  <c r="D78" i="5"/>
  <c r="C78" i="5"/>
  <c r="B78" i="5"/>
  <c r="A78" i="5"/>
  <c r="T77" i="5"/>
  <c r="S77" i="5"/>
  <c r="R77" i="5"/>
  <c r="O77" i="5"/>
  <c r="D77" i="5"/>
  <c r="C77" i="5"/>
  <c r="B77" i="5"/>
  <c r="A77" i="5"/>
  <c r="T76" i="5"/>
  <c r="S76" i="5"/>
  <c r="R76" i="5"/>
  <c r="O76" i="5"/>
  <c r="D76" i="5"/>
  <c r="C76" i="5"/>
  <c r="B76" i="5"/>
  <c r="A76" i="5"/>
  <c r="T75" i="5"/>
  <c r="S75" i="5"/>
  <c r="R75" i="5"/>
  <c r="O75" i="5"/>
  <c r="D75" i="5"/>
  <c r="C75" i="5"/>
  <c r="B75" i="5"/>
  <c r="A75" i="5"/>
  <c r="T74" i="5"/>
  <c r="S74" i="5"/>
  <c r="R74" i="5"/>
  <c r="D74" i="5"/>
  <c r="C74" i="5"/>
  <c r="B74" i="5"/>
  <c r="A74" i="5"/>
  <c r="T73" i="5"/>
  <c r="S73" i="5"/>
  <c r="B73" i="5"/>
  <c r="A73" i="5"/>
  <c r="T72" i="5"/>
  <c r="S72" i="5"/>
  <c r="R72" i="5"/>
  <c r="O72" i="5"/>
  <c r="D72" i="5"/>
  <c r="C72" i="5"/>
  <c r="B72" i="5"/>
  <c r="A72" i="5"/>
  <c r="T71" i="5"/>
  <c r="S71" i="5"/>
  <c r="R71" i="5"/>
  <c r="D71" i="5"/>
  <c r="C71" i="5"/>
  <c r="B71" i="5"/>
  <c r="A71" i="5"/>
  <c r="T70" i="5"/>
  <c r="S70" i="5"/>
  <c r="R70" i="5"/>
  <c r="O70" i="5"/>
  <c r="D70" i="5"/>
  <c r="C70" i="5"/>
  <c r="B70" i="5"/>
  <c r="A70" i="5"/>
  <c r="T69" i="5"/>
  <c r="S69" i="5"/>
  <c r="R69" i="5"/>
  <c r="D69" i="5"/>
  <c r="C69" i="5"/>
  <c r="B69" i="5"/>
  <c r="A69" i="5"/>
  <c r="T68" i="5"/>
  <c r="S68" i="5"/>
  <c r="R68" i="5"/>
  <c r="D68" i="5"/>
  <c r="C68" i="5"/>
  <c r="B68" i="5"/>
  <c r="A68" i="5"/>
  <c r="T67" i="5"/>
  <c r="S67" i="5"/>
  <c r="B67" i="5"/>
  <c r="A67" i="5"/>
  <c r="T66" i="5"/>
  <c r="S66" i="5"/>
  <c r="B66" i="5"/>
  <c r="A66" i="5"/>
  <c r="T65" i="5"/>
  <c r="S65" i="5"/>
  <c r="B65" i="5"/>
  <c r="A65" i="5"/>
  <c r="T64" i="5"/>
  <c r="S64" i="5"/>
  <c r="R64" i="5"/>
  <c r="O64" i="5"/>
  <c r="D64" i="5"/>
  <c r="C64" i="5"/>
  <c r="B64" i="5"/>
  <c r="A64" i="5"/>
  <c r="T63" i="5"/>
  <c r="S63" i="5"/>
  <c r="R63" i="5"/>
  <c r="O63" i="5"/>
  <c r="D63" i="5"/>
  <c r="C63" i="5"/>
  <c r="B63" i="5"/>
  <c r="A63" i="5"/>
  <c r="T62" i="5"/>
  <c r="S62" i="5"/>
  <c r="R62" i="5"/>
  <c r="D62" i="5"/>
  <c r="C62" i="5"/>
  <c r="B62" i="5"/>
  <c r="A62" i="5"/>
  <c r="T61" i="5"/>
  <c r="S61" i="5"/>
  <c r="R61" i="5"/>
  <c r="D61" i="5"/>
  <c r="C61" i="5"/>
  <c r="B61" i="5"/>
  <c r="A61" i="5"/>
  <c r="T60" i="5"/>
  <c r="S60" i="5"/>
  <c r="R60" i="5"/>
  <c r="O60" i="5"/>
  <c r="D60" i="5"/>
  <c r="C60" i="5"/>
  <c r="B60" i="5"/>
  <c r="A60" i="5"/>
  <c r="T59" i="5"/>
  <c r="S59" i="5"/>
  <c r="R59" i="5"/>
  <c r="O59" i="5"/>
  <c r="D59" i="5"/>
  <c r="C59" i="5"/>
  <c r="B59" i="5"/>
  <c r="A59" i="5"/>
  <c r="T58" i="5"/>
  <c r="S58" i="5"/>
  <c r="R58" i="5"/>
  <c r="O58" i="5"/>
  <c r="D58" i="5"/>
  <c r="C58" i="5"/>
  <c r="B58" i="5"/>
  <c r="A58" i="5"/>
  <c r="T57" i="5"/>
  <c r="S57" i="5"/>
  <c r="R57" i="5"/>
  <c r="D57" i="5"/>
  <c r="C57" i="5"/>
  <c r="T56" i="5"/>
  <c r="S56" i="5"/>
  <c r="T55" i="5"/>
  <c r="S55" i="5"/>
  <c r="T54" i="5"/>
  <c r="S54" i="5"/>
  <c r="T53" i="5"/>
  <c r="S53" i="5"/>
  <c r="R53" i="5"/>
  <c r="D53" i="5"/>
  <c r="C53" i="5"/>
  <c r="T52" i="5"/>
  <c r="S52" i="5"/>
  <c r="R52" i="5"/>
  <c r="D52" i="5"/>
  <c r="C52" i="5"/>
  <c r="T51" i="5"/>
  <c r="S51" i="5"/>
  <c r="R51" i="5"/>
  <c r="O51" i="5"/>
  <c r="D51" i="5"/>
  <c r="C51" i="5"/>
  <c r="T50" i="5"/>
  <c r="S50" i="5"/>
  <c r="R50" i="5"/>
  <c r="O50" i="5"/>
  <c r="D50" i="5"/>
  <c r="C50" i="5"/>
  <c r="T49" i="5"/>
  <c r="S49" i="5"/>
  <c r="R49" i="5"/>
  <c r="O49" i="5"/>
  <c r="D49" i="5"/>
  <c r="C49" i="5"/>
  <c r="T48" i="5"/>
  <c r="S48" i="5"/>
  <c r="R48" i="5"/>
  <c r="D48" i="5"/>
  <c r="C48" i="5"/>
  <c r="T47" i="5"/>
  <c r="S47" i="5"/>
  <c r="R47" i="5"/>
  <c r="O47" i="5"/>
  <c r="D47" i="5"/>
  <c r="C47" i="5"/>
  <c r="T46" i="5"/>
  <c r="S46" i="5"/>
  <c r="R46" i="5"/>
  <c r="D46" i="5"/>
  <c r="C46" i="5"/>
  <c r="T45" i="5"/>
  <c r="S45" i="5"/>
  <c r="R45" i="5"/>
  <c r="D45" i="5"/>
  <c r="C45" i="5"/>
  <c r="T44" i="5"/>
  <c r="S44" i="5"/>
  <c r="T43" i="5"/>
  <c r="S43" i="5"/>
  <c r="T42" i="5"/>
  <c r="S42" i="5"/>
  <c r="T41" i="5"/>
  <c r="S41" i="5"/>
  <c r="T40" i="5"/>
  <c r="S40" i="5"/>
  <c r="T39" i="5"/>
  <c r="S39" i="5"/>
</calcChain>
</file>

<file path=xl/sharedStrings.xml><?xml version="1.0" encoding="utf-8"?>
<sst xmlns="http://schemas.openxmlformats.org/spreadsheetml/2006/main" count="216" uniqueCount="74">
  <si>
    <t>发生日期</t>
  </si>
  <si>
    <t>业务名称</t>
  </si>
  <si>
    <t>证券代码</t>
  </si>
  <si>
    <t>证券名称</t>
  </si>
  <si>
    <t>成交均价</t>
  </si>
  <si>
    <t>成交数量</t>
  </si>
  <si>
    <t>成交金额</t>
  </si>
  <si>
    <t>股份余额</t>
  </si>
  <si>
    <t>手续费</t>
  </si>
  <si>
    <t>印花税</t>
  </si>
  <si>
    <t>过户费</t>
  </si>
  <si>
    <t>其他费</t>
  </si>
  <si>
    <t>发生金额</t>
  </si>
  <si>
    <t>资金余额</t>
  </si>
  <si>
    <t>委托编号</t>
  </si>
  <si>
    <t>委托价格</t>
  </si>
  <si>
    <t>委托数量</t>
  </si>
  <si>
    <t>股东代码</t>
  </si>
  <si>
    <t>资金帐号</t>
  </si>
  <si>
    <t>币种</t>
  </si>
  <si>
    <t>备注</t>
  </si>
  <si>
    <t>2015-01-19</t>
  </si>
  <si>
    <t>资产账户币种开户</t>
  </si>
  <si>
    <t>301719090122</t>
  </si>
  <si>
    <t>人民币</t>
  </si>
  <si>
    <t>带资金补登</t>
  </si>
  <si>
    <t>2015-01-20</t>
  </si>
  <si>
    <t>301719093190</t>
  </si>
  <si>
    <t>301719093195</t>
  </si>
  <si>
    <t>银证转入</t>
  </si>
  <si>
    <t>跨行转出</t>
  </si>
  <si>
    <t>跨行转入</t>
  </si>
  <si>
    <t>301719093212</t>
  </si>
  <si>
    <t>资产账户币种销户</t>
  </si>
  <si>
    <t>2015-01-21</t>
  </si>
  <si>
    <t>301719094322</t>
  </si>
  <si>
    <t>301719094323</t>
  </si>
  <si>
    <t>2015-01-22</t>
  </si>
  <si>
    <t>2015-01-26</t>
  </si>
  <si>
    <t>证券买入清算</t>
  </si>
  <si>
    <t>159919</t>
  </si>
  <si>
    <t>300ETF</t>
  </si>
  <si>
    <t>SW235134</t>
  </si>
  <si>
    <t>0103988319</t>
  </si>
  <si>
    <t>基金申购</t>
  </si>
  <si>
    <t>A40006</t>
  </si>
  <si>
    <t>现金宝</t>
  </si>
  <si>
    <t>99F625223328</t>
  </si>
  <si>
    <t>主资产账号变更可用调整</t>
  </si>
  <si>
    <t>2015-01-27</t>
  </si>
  <si>
    <t>基金赎回</t>
  </si>
  <si>
    <t>SW235842</t>
  </si>
  <si>
    <t>2015-01-28</t>
  </si>
  <si>
    <t>2015-01-29</t>
  </si>
  <si>
    <t>SW267951</t>
  </si>
  <si>
    <t>证券卖出清算</t>
  </si>
  <si>
    <t>SW275269</t>
  </si>
  <si>
    <t>行标签</t>
  </si>
  <si>
    <t>50ETF</t>
  </si>
  <si>
    <t>创业板</t>
  </si>
  <si>
    <t>汉缆股份</t>
  </si>
  <si>
    <t>恒邦股份</t>
  </si>
  <si>
    <t>红旗连锁</t>
  </si>
  <si>
    <t>基金丰和</t>
  </si>
  <si>
    <t>金 飞 达</t>
  </si>
  <si>
    <t>科迪乳业</t>
  </si>
  <si>
    <t>青龙管业</t>
  </si>
  <si>
    <t>上海莱士</t>
  </si>
  <si>
    <t>湘潭电化</t>
  </si>
  <si>
    <t>永新股份</t>
  </si>
  <si>
    <t>(空白)</t>
  </si>
  <si>
    <t>总计</t>
  </si>
  <si>
    <t>求和项:发生金额</t>
  </si>
  <si>
    <t>盈亏：2421.45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</si>
</sst>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21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[汇总分析.xlsx]分析5-平安证券!平安证券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平安证券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'分析5-平安证券'!$B$1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'分析5-平安证券'!$A$2:$A$17</c:f>
              <c:strCache>
                <c:ptCount val="15"/>
                <c:pt idx="0">
                  <c:v>湘潭电化</c:v>
                </c:pt>
                <c:pt idx="1">
                  <c:v>金 飞 达</c:v>
                </c:pt>
                <c:pt idx="2">
                  <c:v>现金宝</c:v>
                </c:pt>
                <c:pt idx="3">
                  <c:v>红旗连锁</c:v>
                </c:pt>
                <c:pt idx="4">
                  <c:v>科迪乳业</c:v>
                </c:pt>
                <c:pt idx="5">
                  <c:v>50ETF</c:v>
                </c:pt>
                <c:pt idx="6">
                  <c:v>上海莱士</c:v>
                </c:pt>
                <c:pt idx="7">
                  <c:v>汉缆股份</c:v>
                </c:pt>
                <c:pt idx="8">
                  <c:v>300ETF</c:v>
                </c:pt>
                <c:pt idx="9">
                  <c:v>(空白)</c:v>
                </c:pt>
                <c:pt idx="10">
                  <c:v>青龙管业</c:v>
                </c:pt>
                <c:pt idx="11">
                  <c:v>创业板</c:v>
                </c:pt>
                <c:pt idx="12">
                  <c:v>基金丰和</c:v>
                </c:pt>
                <c:pt idx="13">
                  <c:v>永新股份</c:v>
                </c:pt>
                <c:pt idx="14">
                  <c:v>恒邦股份</c:v>
                </c:pt>
              </c:strCache>
            </c:strRef>
          </c:cat>
          <c:val>
            <c:numRef>
              <c:f>'分析5-平安证券'!$B$2:$B$17</c:f>
              <c:numCache>
                <c:formatCode>0.00_ </c:formatCode>
                <c:ptCount val="15"/>
                <c:pt idx="0">
                  <c:v>18504.79</c:v>
                </c:pt>
                <c:pt idx="1">
                  <c:v>8217.1999999999971</c:v>
                </c:pt>
                <c:pt idx="2">
                  <c:v>6294.4400000000551</c:v>
                </c:pt>
                <c:pt idx="3">
                  <c:v>5906.0600000000013</c:v>
                </c:pt>
                <c:pt idx="4">
                  <c:v>4815.41</c:v>
                </c:pt>
                <c:pt idx="5">
                  <c:v>1260</c:v>
                </c:pt>
                <c:pt idx="6">
                  <c:v>586.32999999999811</c:v>
                </c:pt>
                <c:pt idx="7">
                  <c:v>88.899999999999636</c:v>
                </c:pt>
                <c:pt idx="8">
                  <c:v>-138.39000000000669</c:v>
                </c:pt>
                <c:pt idx="9">
                  <c:v>-2421.4499999999421</c:v>
                </c:pt>
                <c:pt idx="10">
                  <c:v>-3473.5599999999995</c:v>
                </c:pt>
                <c:pt idx="11">
                  <c:v>-3653.7099999999905</c:v>
                </c:pt>
                <c:pt idx="12">
                  <c:v>-3841.0600000000122</c:v>
                </c:pt>
                <c:pt idx="13">
                  <c:v>-5319.9000000000015</c:v>
                </c:pt>
                <c:pt idx="14">
                  <c:v>-26825.060000000005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04416"/>
        <c:axId val="75287360"/>
      </c:barChart>
      <c:catAx>
        <c:axId val="12940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75287360"/>
        <c:crosses val="autoZero"/>
        <c:auto val="1"/>
        <c:lblAlgn val="ctr"/>
        <c:lblOffset val="100"/>
        <c:noMultiLvlLbl val="0"/>
      </c:catAx>
      <c:valAx>
        <c:axId val="752873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2940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85726</xdr:rowOff>
    </xdr:from>
    <xdr:to>
      <xdr:col>12</xdr:col>
      <xdr:colOff>628650</xdr:colOff>
      <xdr:row>16</xdr:row>
      <xdr:rowOff>142876</xdr:rowOff>
    </xdr:to>
    <xdr:graphicFrame macro="">
      <xdr:nvGraphicFramePr>
        <xdr:cNvPr id="2" name="图表 1" title="平安证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ming" refreshedDate="42749.028527546296" createdVersion="4" refreshedVersion="4" minRefreshableVersion="3" recordCount="492">
  <cacheSource type="worksheet">
    <worksheetSource ref="A1:U1048576" sheet="记录5-平安证券"/>
  </cacheSource>
  <cacheFields count="21">
    <cacheField name="发生日期" numFmtId="0">
      <sharedItems containsBlank="1"/>
    </cacheField>
    <cacheField name="业务名称" numFmtId="0">
      <sharedItems containsBlank="1"/>
    </cacheField>
    <cacheField name="证券代码" numFmtId="0">
      <sharedItems containsBlank="1"/>
    </cacheField>
    <cacheField name="证券名称" numFmtId="0">
      <sharedItems containsBlank="1" count="90">
        <m/>
        <s v="300ETF"/>
        <s v="现金宝"/>
        <s v="红旗连锁"/>
        <s v="湘潭电化"/>
        <s v="蓝思科技"/>
        <s v="富临精工"/>
        <s v="四通新材"/>
        <s v="世龙实业"/>
        <s v="恒通科技"/>
        <s v="诚益通"/>
        <s v="埃斯顿"/>
        <s v="强力新材"/>
        <s v="暴风科技"/>
        <s v="国光股份"/>
        <s v="龙津药业"/>
        <s v="金 飞 达"/>
        <s v="中泰股份"/>
        <s v="上海莱士"/>
        <s v="汉邦高科"/>
        <s v="广生堂"/>
        <s v="航新科技"/>
        <s v="全信股份"/>
        <s v="美康生物"/>
        <s v="康斯特"/>
        <s v="金雷风电"/>
        <s v="昇兴股份"/>
        <s v="乐凯新材"/>
        <s v="清水源"/>
        <s v="浩云科技"/>
        <s v="鲍斯股份"/>
        <s v="运达科技"/>
        <s v="双杰电气"/>
        <s v="金石东方"/>
        <s v="博济医药"/>
        <s v="易尚展示"/>
        <s v="鹏辉能源"/>
        <s v="普丽盛"/>
        <s v="中光防雷"/>
        <s v="创业软件"/>
        <s v="山河药辅"/>
        <s v="赢合科技"/>
        <s v="浙江金科"/>
        <s v="惠伦晶体"/>
        <s v="东方新星"/>
        <s v="先导股份"/>
        <s v="三鑫医疗"/>
        <s v="康拓红外"/>
        <s v="耐威科技"/>
        <s v="全志科技"/>
        <s v="基金丰和"/>
        <s v="永东股份"/>
        <s v="汉缆股份"/>
        <s v="田中精机"/>
        <s v="南兴装备"/>
        <s v="华通医药"/>
        <s v="天际股份"/>
        <s v="华铭智能"/>
        <s v="迈克生物"/>
        <s v="赛摩电气"/>
        <s v="迅游科技"/>
        <s v="四方精创"/>
        <s v="青龙管业"/>
        <s v="高伟达"/>
        <s v="恒邦股份"/>
        <s v="多喜爱"/>
        <s v="蓝黛传动"/>
        <s v="聚隆科技"/>
        <s v="星徽精密"/>
        <s v="合纵科技"/>
        <s v="汇洁股份"/>
        <s v="杭州高新"/>
        <s v="凤形股份"/>
        <s v="索菱股份"/>
        <s v="信息发展"/>
        <s v="新元科技"/>
        <s v="神思电子"/>
        <s v="中飞股份"/>
        <s v="蓝晓科技"/>
        <s v="万孚生物"/>
        <s v="濮阳惠成"/>
        <s v="科迪乳业"/>
        <s v="东杰智能"/>
        <s v="永新股份"/>
        <s v="中坚科技"/>
        <s v="三夫户外"/>
        <s v="润欣科技"/>
        <s v="中科创达"/>
        <s v="50ETF"/>
        <s v="创业板"/>
      </sharedItems>
    </cacheField>
    <cacheField name="成交均价" numFmtId="0">
      <sharedItems containsString="0" containsBlank="1" containsNumber="1" minValue="0" maxValue="56.66"/>
    </cacheField>
    <cacheField name="成交数量" numFmtId="0">
      <sharedItems containsString="0" containsBlank="1" containsNumber="1" minValue="0" maxValue="370853.46"/>
    </cacheField>
    <cacheField name="成交金额" numFmtId="0">
      <sharedItems containsString="0" containsBlank="1" containsNumber="1" minValue="0" maxValue="370853.46"/>
    </cacheField>
    <cacheField name="股份余额" numFmtId="0">
      <sharedItems containsString="0" containsBlank="1" containsNumber="1" containsInteger="1" minValue="0" maxValue="612470"/>
    </cacheField>
    <cacheField name="手续费" numFmtId="0">
      <sharedItems containsString="0" containsBlank="1" containsNumber="1" minValue="0" maxValue="14.66"/>
    </cacheField>
    <cacheField name="印花税" numFmtId="0">
      <sharedItems containsString="0" containsBlank="1" containsNumber="1" minValue="0" maxValue="47.94"/>
    </cacheField>
    <cacheField name="过户费" numFmtId="0">
      <sharedItems containsString="0" containsBlank="1" containsNumber="1" containsInteger="1" minValue="0" maxValue="0"/>
    </cacheField>
    <cacheField name="其他费" numFmtId="0">
      <sharedItems containsString="0" containsBlank="1" containsNumber="1" containsInteger="1" minValue="0" maxValue="0"/>
    </cacheField>
    <cacheField name="发生金额" numFmtId="0">
      <sharedItems containsString="0" containsBlank="1" containsNumber="1" minValue="-370853.46" maxValue="322075"/>
    </cacheField>
    <cacheField name="资金余额" numFmtId="0">
      <sharedItems containsString="0" containsBlank="1" containsNumber="1" minValue="-27653.53" maxValue="472328.18"/>
    </cacheField>
    <cacheField name="委托编号" numFmtId="0">
      <sharedItems containsBlank="1"/>
    </cacheField>
    <cacheField name="委托价格" numFmtId="0">
      <sharedItems containsString="0" containsBlank="1" containsNumber="1" minValue="0" maxValue="56.66"/>
    </cacheField>
    <cacheField name="委托数量" numFmtId="0">
      <sharedItems containsString="0" containsBlank="1" containsNumber="1" containsInteger="1" minValue="0" maxValue="40000"/>
    </cacheField>
    <cacheField name="股东代码" numFmtId="0">
      <sharedItems containsBlank="1"/>
    </cacheField>
    <cacheField name="资金帐号" numFmtId="0">
      <sharedItems containsBlank="1"/>
    </cacheField>
    <cacheField name="币种" numFmtId="0">
      <sharedItems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">
  <r>
    <s v="2015-01-19"/>
    <s v="资产账户币种开户"/>
    <m/>
    <x v="0"/>
    <n v="0"/>
    <n v="0"/>
    <n v="0"/>
    <n v="0"/>
    <n v="0"/>
    <n v="0"/>
    <n v="0"/>
    <n v="0"/>
    <n v="0"/>
    <n v="0"/>
    <m/>
    <n v="0"/>
    <n v="0"/>
    <m/>
    <s v="301719090122"/>
    <s v="人民币"/>
    <m/>
  </r>
  <r>
    <s v="2015-01-19"/>
    <s v="带资金补登"/>
    <m/>
    <x v="0"/>
    <n v="0"/>
    <n v="0"/>
    <n v="0"/>
    <n v="0"/>
    <n v="0"/>
    <n v="0"/>
    <n v="0"/>
    <n v="0"/>
    <n v="0"/>
    <n v="0"/>
    <m/>
    <n v="0"/>
    <n v="0"/>
    <m/>
    <s v="301719090122"/>
    <s v="人民币"/>
    <m/>
  </r>
  <r>
    <s v="2015-01-20"/>
    <s v="资产账户币种开户"/>
    <m/>
    <x v="0"/>
    <n v="0"/>
    <n v="0"/>
    <n v="0"/>
    <n v="0"/>
    <n v="0"/>
    <n v="0"/>
    <n v="0"/>
    <n v="0"/>
    <n v="0"/>
    <n v="0"/>
    <m/>
    <n v="0"/>
    <n v="0"/>
    <m/>
    <s v="301719093190"/>
    <s v="人民币"/>
    <m/>
  </r>
  <r>
    <s v="2015-01-20"/>
    <s v="带资金补登"/>
    <m/>
    <x v="0"/>
    <n v="0"/>
    <n v="0"/>
    <n v="0"/>
    <n v="0"/>
    <n v="0"/>
    <n v="0"/>
    <n v="0"/>
    <n v="0"/>
    <n v="0"/>
    <n v="0"/>
    <m/>
    <n v="0"/>
    <n v="0"/>
    <m/>
    <s v="301719093190"/>
    <s v="人民币"/>
    <m/>
  </r>
  <r>
    <s v="2015-01-20"/>
    <s v="资产账户币种开户"/>
    <m/>
    <x v="0"/>
    <n v="0"/>
    <n v="0"/>
    <n v="0"/>
    <n v="0"/>
    <n v="0"/>
    <n v="0"/>
    <n v="0"/>
    <n v="0"/>
    <n v="0"/>
    <n v="0"/>
    <m/>
    <n v="0"/>
    <n v="0"/>
    <m/>
    <s v="301719093195"/>
    <s v="人民币"/>
    <m/>
  </r>
  <r>
    <s v="2015-01-20"/>
    <s v="带资金补登"/>
    <m/>
    <x v="0"/>
    <n v="0"/>
    <n v="0"/>
    <n v="0"/>
    <n v="0"/>
    <n v="0"/>
    <n v="0"/>
    <n v="0"/>
    <n v="0"/>
    <n v="0"/>
    <n v="0"/>
    <m/>
    <n v="0"/>
    <n v="0"/>
    <m/>
    <s v="301719093195"/>
    <s v="人民币"/>
    <m/>
  </r>
  <r>
    <s v="2015-01-20"/>
    <s v="银证转入"/>
    <m/>
    <x v="0"/>
    <n v="0"/>
    <n v="0"/>
    <n v="0"/>
    <n v="0"/>
    <n v="0"/>
    <n v="0"/>
    <n v="0"/>
    <n v="0"/>
    <n v="0.04"/>
    <n v="0.04"/>
    <m/>
    <n v="0"/>
    <n v="0"/>
    <m/>
    <s v="301719093195"/>
    <s v="人民币"/>
    <m/>
  </r>
  <r>
    <s v="2015-01-20"/>
    <s v="跨行转出"/>
    <m/>
    <x v="0"/>
    <n v="0"/>
    <n v="0"/>
    <n v="0"/>
    <n v="0"/>
    <n v="0"/>
    <n v="0"/>
    <n v="0"/>
    <n v="0"/>
    <n v="-0.04"/>
    <n v="0"/>
    <m/>
    <n v="0"/>
    <n v="0"/>
    <m/>
    <s v="301719093195"/>
    <s v="人民币"/>
    <m/>
  </r>
  <r>
    <s v="2015-01-20"/>
    <s v="跨行转入"/>
    <m/>
    <x v="0"/>
    <n v="0"/>
    <n v="0"/>
    <n v="0"/>
    <n v="0"/>
    <n v="0"/>
    <n v="0"/>
    <n v="0"/>
    <n v="0"/>
    <n v="0.04"/>
    <n v="0.04"/>
    <m/>
    <n v="0"/>
    <n v="0"/>
    <m/>
    <s v="301719090122"/>
    <s v="人民币"/>
    <m/>
  </r>
  <r>
    <s v="2015-01-20"/>
    <s v="资产账户币种开户"/>
    <m/>
    <x v="0"/>
    <n v="0"/>
    <n v="0"/>
    <n v="0"/>
    <n v="0"/>
    <n v="0"/>
    <n v="0"/>
    <n v="0"/>
    <n v="0"/>
    <n v="0"/>
    <n v="0"/>
    <m/>
    <n v="0"/>
    <n v="0"/>
    <m/>
    <s v="301719093212"/>
    <s v="人民币"/>
    <m/>
  </r>
  <r>
    <s v="2015-01-20"/>
    <s v="资产账户币种销户"/>
    <m/>
    <x v="0"/>
    <n v="0"/>
    <n v="0"/>
    <n v="0"/>
    <n v="0"/>
    <n v="0"/>
    <n v="0"/>
    <n v="0"/>
    <n v="0"/>
    <n v="0"/>
    <n v="0"/>
    <m/>
    <n v="0"/>
    <n v="0"/>
    <m/>
    <s v="301719093212"/>
    <s v="人民币"/>
    <m/>
  </r>
  <r>
    <s v="2015-01-20"/>
    <s v="跨行转出"/>
    <m/>
    <x v="0"/>
    <n v="0"/>
    <n v="0"/>
    <n v="0"/>
    <n v="0"/>
    <n v="0"/>
    <n v="0"/>
    <n v="0"/>
    <n v="0"/>
    <n v="-0.04"/>
    <n v="0"/>
    <m/>
    <n v="0"/>
    <n v="0"/>
    <m/>
    <s v="301719090122"/>
    <s v="人民币"/>
    <m/>
  </r>
  <r>
    <s v="2015-01-20"/>
    <s v="跨行转入"/>
    <m/>
    <x v="0"/>
    <n v="0"/>
    <n v="0"/>
    <n v="0"/>
    <n v="0"/>
    <n v="0"/>
    <n v="0"/>
    <n v="0"/>
    <n v="0"/>
    <n v="0.04"/>
    <n v="0.04"/>
    <m/>
    <n v="0"/>
    <n v="0"/>
    <m/>
    <s v="301719093195"/>
    <s v="人民币"/>
    <m/>
  </r>
  <r>
    <s v="2015-01-21"/>
    <s v="资产账户币种开户"/>
    <m/>
    <x v="0"/>
    <n v="0"/>
    <n v="0"/>
    <n v="0"/>
    <n v="0"/>
    <n v="0"/>
    <n v="0"/>
    <n v="0"/>
    <n v="0"/>
    <n v="0"/>
    <n v="0"/>
    <m/>
    <n v="0"/>
    <n v="0"/>
    <m/>
    <s v="301719094322"/>
    <s v="人民币"/>
    <m/>
  </r>
  <r>
    <s v="2015-01-21"/>
    <s v="资产账户币种开户"/>
    <m/>
    <x v="0"/>
    <n v="0"/>
    <n v="0"/>
    <n v="0"/>
    <n v="0"/>
    <n v="0"/>
    <n v="0"/>
    <n v="0"/>
    <n v="0"/>
    <n v="0"/>
    <n v="0"/>
    <m/>
    <n v="0"/>
    <n v="0"/>
    <m/>
    <s v="301719094323"/>
    <s v="人民币"/>
    <m/>
  </r>
  <r>
    <s v="2015-01-21"/>
    <s v="带资金补登"/>
    <m/>
    <x v="0"/>
    <n v="0"/>
    <n v="0"/>
    <n v="0"/>
    <n v="0"/>
    <n v="0"/>
    <n v="0"/>
    <n v="0"/>
    <n v="0"/>
    <n v="0"/>
    <n v="0"/>
    <m/>
    <n v="0"/>
    <n v="0"/>
    <m/>
    <s v="301719094322"/>
    <s v="人民币"/>
    <m/>
  </r>
  <r>
    <s v="2015-01-21"/>
    <s v="带资金补登"/>
    <m/>
    <x v="0"/>
    <n v="0"/>
    <n v="0"/>
    <n v="0"/>
    <n v="0"/>
    <n v="0"/>
    <n v="0"/>
    <n v="0"/>
    <n v="0"/>
    <n v="0"/>
    <n v="0"/>
    <m/>
    <n v="0"/>
    <n v="0"/>
    <m/>
    <s v="301719094323"/>
    <s v="人民币"/>
    <m/>
  </r>
  <r>
    <s v="2015-01-22"/>
    <s v="跨行转出"/>
    <m/>
    <x v="0"/>
    <n v="0"/>
    <n v="0"/>
    <n v="0"/>
    <n v="0"/>
    <n v="0"/>
    <n v="0"/>
    <n v="0"/>
    <n v="0"/>
    <n v="-0.04"/>
    <n v="0"/>
    <m/>
    <n v="0"/>
    <n v="0"/>
    <m/>
    <s v="301719093195"/>
    <s v="人民币"/>
    <m/>
  </r>
  <r>
    <s v="2015-01-22"/>
    <s v="跨行转入"/>
    <m/>
    <x v="0"/>
    <n v="0"/>
    <n v="0"/>
    <n v="0"/>
    <n v="0"/>
    <n v="0"/>
    <n v="0"/>
    <n v="0"/>
    <n v="0"/>
    <n v="0.04"/>
    <n v="0.04"/>
    <m/>
    <n v="0"/>
    <n v="0"/>
    <m/>
    <s v="301719094322"/>
    <s v="人民币"/>
    <m/>
  </r>
  <r>
    <s v="2015-01-26"/>
    <s v="银证转入"/>
    <m/>
    <x v="0"/>
    <n v="0"/>
    <n v="0"/>
    <n v="0"/>
    <n v="0"/>
    <n v="0"/>
    <n v="0"/>
    <n v="0"/>
    <n v="0"/>
    <n v="178014"/>
    <n v="178014.04"/>
    <m/>
    <n v="0"/>
    <n v="0"/>
    <m/>
    <s v="301719094322"/>
    <s v="人民币"/>
    <m/>
  </r>
  <r>
    <s v="2015-01-26"/>
    <s v="银证转入"/>
    <m/>
    <x v="0"/>
    <n v="0"/>
    <n v="0"/>
    <n v="0"/>
    <n v="0"/>
    <n v="0"/>
    <n v="0"/>
    <n v="0"/>
    <n v="0"/>
    <n v="280"/>
    <n v="178294.04"/>
    <m/>
    <n v="0"/>
    <n v="0"/>
    <m/>
    <s v="301719094322"/>
    <s v="人民币"/>
    <m/>
  </r>
  <r>
    <s v="2015-01-26"/>
    <s v="证券买入清算"/>
    <s v="159919"/>
    <x v="1"/>
    <n v="3.7509999999999999"/>
    <n v="8000"/>
    <n v="30008"/>
    <n v="8000"/>
    <n v="6"/>
    <n v="0"/>
    <n v="0"/>
    <n v="0"/>
    <n v="-30014"/>
    <n v="148280.04"/>
    <s v="SW235134"/>
    <n v="3.7519999999999998"/>
    <n v="8000"/>
    <s v="0103988319"/>
    <s v="301719094322"/>
    <s v="人民币"/>
    <m/>
  </r>
  <r>
    <s v="2015-01-26"/>
    <s v="基金申购"/>
    <s v="A40006"/>
    <x v="2"/>
    <n v="1"/>
    <n v="148280.04"/>
    <n v="148280.04"/>
    <n v="148280"/>
    <n v="0"/>
    <n v="0"/>
    <n v="0"/>
    <n v="0"/>
    <n v="-148280.04"/>
    <n v="0"/>
    <m/>
    <n v="0"/>
    <n v="0"/>
    <s v="99F625223328"/>
    <s v="301719094322"/>
    <s v="人民币"/>
    <m/>
  </r>
  <r>
    <s v="2015-01-26"/>
    <s v="主资产账号变更可用调整"/>
    <m/>
    <x v="0"/>
    <n v="0"/>
    <n v="0"/>
    <n v="0"/>
    <n v="0"/>
    <n v="0"/>
    <n v="0"/>
    <n v="0"/>
    <n v="0"/>
    <n v="0"/>
    <n v="0"/>
    <m/>
    <n v="0"/>
    <n v="0"/>
    <m/>
    <s v="301719094322"/>
    <s v="人民币"/>
    <m/>
  </r>
  <r>
    <s v="2015-01-26"/>
    <s v="主资产账号变更可用调整"/>
    <m/>
    <x v="0"/>
    <n v="0"/>
    <n v="0"/>
    <n v="0"/>
    <n v="0"/>
    <n v="0"/>
    <n v="0"/>
    <n v="0"/>
    <n v="0"/>
    <n v="0"/>
    <n v="0"/>
    <m/>
    <n v="0"/>
    <n v="0"/>
    <m/>
    <s v="301719090122"/>
    <s v="人民币"/>
    <m/>
  </r>
  <r>
    <s v="2015-01-26"/>
    <s v="主资产账号变更可用调整"/>
    <m/>
    <x v="0"/>
    <n v="0"/>
    <n v="0"/>
    <n v="0"/>
    <n v="0"/>
    <n v="0"/>
    <n v="0"/>
    <n v="0"/>
    <n v="0"/>
    <n v="0"/>
    <n v="0"/>
    <m/>
    <n v="0"/>
    <n v="0"/>
    <m/>
    <s v="301719090122"/>
    <s v="人民币"/>
    <m/>
  </r>
  <r>
    <s v="2015-01-26"/>
    <s v="主资产账号变更可用调整"/>
    <m/>
    <x v="0"/>
    <n v="0"/>
    <n v="0"/>
    <n v="0"/>
    <n v="0"/>
    <n v="0"/>
    <n v="0"/>
    <n v="0"/>
    <n v="0"/>
    <n v="0"/>
    <n v="0"/>
    <m/>
    <n v="0"/>
    <n v="0"/>
    <m/>
    <s v="301719094322"/>
    <s v="人民币"/>
    <m/>
  </r>
  <r>
    <s v="2015-01-27"/>
    <s v="基金赎回"/>
    <s v="A40006"/>
    <x v="2"/>
    <n v="1"/>
    <n v="29701.22"/>
    <n v="29701.22"/>
    <n v="118578"/>
    <n v="0"/>
    <n v="0"/>
    <n v="0"/>
    <n v="0"/>
    <n v="29701.22"/>
    <n v="29701.22"/>
    <m/>
    <n v="0"/>
    <n v="0"/>
    <s v="99F625223328"/>
    <s v="301719094322"/>
    <s v="人民币"/>
    <m/>
  </r>
  <r>
    <s v="2015-01-27"/>
    <s v="证券买入清算"/>
    <s v="159919"/>
    <x v="1"/>
    <n v="3.7010000000000001"/>
    <n v="8000"/>
    <n v="29608"/>
    <n v="16000"/>
    <n v="5.92"/>
    <n v="0"/>
    <n v="0"/>
    <n v="0"/>
    <n v="-29613.919999999998"/>
    <n v="87.3"/>
    <s v="SW235842"/>
    <n v="3.7010000000000001"/>
    <n v="8000"/>
    <s v="0103988319"/>
    <s v="301719094322"/>
    <s v="人民币"/>
    <m/>
  </r>
  <r>
    <s v="2015-01-28"/>
    <s v="银证转入"/>
    <m/>
    <x v="0"/>
    <n v="0"/>
    <n v="0"/>
    <n v="0"/>
    <n v="0"/>
    <n v="0"/>
    <n v="0"/>
    <n v="0"/>
    <n v="0"/>
    <n v="137490.84"/>
    <n v="137578.14000000001"/>
    <m/>
    <n v="0"/>
    <n v="0"/>
    <m/>
    <s v="301719094322"/>
    <s v="人民币"/>
    <m/>
  </r>
  <r>
    <s v="2015-01-28"/>
    <s v="基金申购"/>
    <s v="A40006"/>
    <x v="2"/>
    <n v="1"/>
    <n v="137578.14000000001"/>
    <n v="137578.14000000001"/>
    <n v="256156"/>
    <n v="0"/>
    <n v="0"/>
    <n v="0"/>
    <n v="0"/>
    <n v="-137578.14000000001"/>
    <n v="0"/>
    <m/>
    <n v="0"/>
    <n v="0"/>
    <s v="99F625223328"/>
    <s v="301719094322"/>
    <s v="人民币"/>
    <m/>
  </r>
  <r>
    <s v="2015-01-29"/>
    <s v="银证转入"/>
    <m/>
    <x v="0"/>
    <n v="0"/>
    <n v="0"/>
    <n v="0"/>
    <n v="0"/>
    <n v="0"/>
    <n v="0"/>
    <n v="0"/>
    <n v="0"/>
    <n v="200000.01"/>
    <n v="200000.01"/>
    <m/>
    <n v="0"/>
    <n v="0"/>
    <m/>
    <s v="301719094323"/>
    <s v="人民币"/>
    <m/>
  </r>
  <r>
    <s v="2015-01-29"/>
    <s v="跨行转出"/>
    <m/>
    <x v="0"/>
    <n v="0"/>
    <n v="0"/>
    <n v="0"/>
    <n v="0"/>
    <n v="0"/>
    <n v="0"/>
    <n v="0"/>
    <n v="0"/>
    <n v="-200000.01"/>
    <n v="0"/>
    <m/>
    <n v="0"/>
    <n v="0"/>
    <m/>
    <s v="301719094323"/>
    <s v="人民币"/>
    <m/>
  </r>
  <r>
    <s v="2015-01-29"/>
    <s v="跨行转入"/>
    <m/>
    <x v="0"/>
    <n v="0"/>
    <n v="0"/>
    <n v="0"/>
    <n v="0"/>
    <n v="0"/>
    <n v="0"/>
    <n v="0"/>
    <n v="0"/>
    <n v="200000.01"/>
    <n v="200000.01"/>
    <m/>
    <n v="0"/>
    <n v="0"/>
    <m/>
    <s v="301719094322"/>
    <s v="人民币"/>
    <m/>
  </r>
  <r>
    <s v="2015-01-29"/>
    <s v="证券买入清算"/>
    <s v="159919"/>
    <x v="1"/>
    <n v="3.601"/>
    <n v="4000"/>
    <n v="14404"/>
    <n v="20000"/>
    <n v="5"/>
    <n v="0"/>
    <n v="0"/>
    <n v="0"/>
    <n v="-14409"/>
    <n v="185591.01"/>
    <s v="SW267951"/>
    <n v="3.601"/>
    <n v="4000"/>
    <s v="0103988319"/>
    <s v="301719094322"/>
    <s v="人民币"/>
    <m/>
  </r>
  <r>
    <s v="2015-01-29"/>
    <s v="证券卖出清算"/>
    <s v="159919"/>
    <x v="1"/>
    <n v="3.629"/>
    <n v="4000"/>
    <n v="14516"/>
    <n v="16000"/>
    <n v="5"/>
    <n v="0"/>
    <n v="0"/>
    <n v="0"/>
    <n v="14511"/>
    <n v="200102.01"/>
    <s v="SW275269"/>
    <n v="3.629"/>
    <n v="4000"/>
    <s v="0103988319"/>
    <s v="301719094322"/>
    <s v="人民币"/>
    <m/>
  </r>
  <r>
    <s v="2015-01-29"/>
    <s v="基金申购"/>
    <s v="A40006"/>
    <x v="2"/>
    <n v="1"/>
    <n v="200102.01"/>
    <n v="200102.01"/>
    <n v="456258"/>
    <n v="0"/>
    <n v="0"/>
    <n v="0"/>
    <n v="0"/>
    <n v="-200102.01"/>
    <n v="0"/>
    <m/>
    <n v="0"/>
    <n v="0"/>
    <s v="99F625223328"/>
    <s v="301719094322"/>
    <s v="人民币"/>
    <m/>
  </r>
  <r>
    <s v="2015-02-02"/>
    <s v="银证转入"/>
    <m/>
    <x v="0"/>
    <n v="0"/>
    <n v="0"/>
    <n v="0"/>
    <n v="0"/>
    <n v="0"/>
    <n v="0"/>
    <n v="0"/>
    <n v="0"/>
    <n v="10000"/>
    <n v="10000"/>
    <m/>
    <n v="0"/>
    <n v="0"/>
    <m/>
    <s v="301719094323"/>
    <s v="人民币"/>
    <m/>
  </r>
  <r>
    <s v="2015-02-03"/>
    <s v="银证转入"/>
    <m/>
    <x v="0"/>
    <n v="0"/>
    <n v="0"/>
    <n v="0"/>
    <n v="0"/>
    <n v="0"/>
    <n v="0"/>
    <n v="0"/>
    <n v="0"/>
    <n v="21.11"/>
    <n v="21.11"/>
    <m/>
    <n v="0"/>
    <n v="0"/>
    <m/>
    <s v="301719093190"/>
    <s v="人民币"/>
    <m/>
  </r>
  <r>
    <s v="2015-02-03"/>
    <s v="跨行转出"/>
    <m/>
    <x v="0"/>
    <n v="0"/>
    <n v="0"/>
    <n v="0"/>
    <n v="0"/>
    <n v="0"/>
    <n v="0"/>
    <n v="0"/>
    <n v="0"/>
    <n v="-21.11"/>
    <n v="0"/>
    <m/>
    <n v="0"/>
    <n v="0"/>
    <m/>
    <s v="301719093190"/>
    <s v="人民币"/>
    <m/>
  </r>
  <r>
    <s v="2015-02-03"/>
    <s v="跨行转入"/>
    <m/>
    <x v="0"/>
    <n v="0"/>
    <n v="0"/>
    <n v="0"/>
    <n v="0"/>
    <n v="0"/>
    <n v="0"/>
    <n v="0"/>
    <n v="0"/>
    <n v="21.11"/>
    <n v="21.11"/>
    <m/>
    <n v="0"/>
    <n v="0"/>
    <m/>
    <s v="301719094322"/>
    <s v="人民币"/>
    <m/>
  </r>
  <r>
    <s v="2015-02-03"/>
    <s v="跨行转出"/>
    <m/>
    <x v="0"/>
    <n v="0"/>
    <n v="0"/>
    <n v="0"/>
    <n v="0"/>
    <n v="0"/>
    <n v="0"/>
    <n v="0"/>
    <n v="0"/>
    <n v="-10000"/>
    <n v="0"/>
    <m/>
    <n v="0"/>
    <n v="0"/>
    <m/>
    <s v="301719094323"/>
    <s v="人民币"/>
    <m/>
  </r>
  <r>
    <s v="2015-02-03"/>
    <s v="跨行转入"/>
    <m/>
    <x v="0"/>
    <n v="0"/>
    <n v="0"/>
    <n v="0"/>
    <n v="0"/>
    <n v="0"/>
    <n v="0"/>
    <n v="0"/>
    <n v="0"/>
    <n v="10000"/>
    <n v="10021.11"/>
    <m/>
    <n v="0"/>
    <n v="0"/>
    <m/>
    <s v="301719094322"/>
    <s v="人民币"/>
    <m/>
  </r>
  <r>
    <s v="2015-02-03"/>
    <s v="基金申购"/>
    <s v="A40006"/>
    <x v="2"/>
    <n v="1"/>
    <n v="10021.11"/>
    <n v="10021.11"/>
    <n v="466280"/>
    <n v="0"/>
    <n v="0"/>
    <n v="0"/>
    <n v="0"/>
    <n v="-10021.11"/>
    <n v="0"/>
    <m/>
    <n v="0"/>
    <n v="0"/>
    <s v="99F625223328"/>
    <s v="301719094322"/>
    <s v="人民币"/>
    <m/>
  </r>
  <r>
    <s v="2015-02-04"/>
    <s v="基金赎回"/>
    <s v="A40006"/>
    <x v="2"/>
    <n v="1"/>
    <n v="72032.399999999994"/>
    <n v="72032.399999999994"/>
    <n v="394247"/>
    <n v="0"/>
    <n v="0"/>
    <n v="0"/>
    <n v="0"/>
    <n v="72032.399999999994"/>
    <n v="72032.399999999994"/>
    <m/>
    <n v="0"/>
    <n v="0"/>
    <s v="99F625223328"/>
    <s v="301719094322"/>
    <s v="人民币"/>
    <m/>
  </r>
  <r>
    <s v="2015-02-05"/>
    <s v="证券卖出清算"/>
    <s v="159919"/>
    <x v="1"/>
    <n v="3.6259999999999999"/>
    <n v="8000"/>
    <n v="29008"/>
    <n v="8000"/>
    <n v="5.8"/>
    <n v="0"/>
    <n v="0"/>
    <n v="0"/>
    <n v="29002.2"/>
    <n v="101034.6"/>
    <s v="SW336674"/>
    <n v="3.6150000000000002"/>
    <n v="8000"/>
    <s v="0103988319"/>
    <s v="301719094322"/>
    <s v="人民币"/>
    <m/>
  </r>
  <r>
    <s v="2015-02-05"/>
    <s v="基金申购"/>
    <s v="A40006"/>
    <x v="2"/>
    <n v="1"/>
    <n v="101034.6"/>
    <n v="101034.6"/>
    <n v="495282"/>
    <n v="0"/>
    <n v="0"/>
    <n v="0"/>
    <n v="0"/>
    <n v="-101034.6"/>
    <n v="0"/>
    <m/>
    <n v="0"/>
    <n v="0"/>
    <s v="99F625223328"/>
    <s v="301719094322"/>
    <s v="人民币"/>
    <m/>
  </r>
  <r>
    <s v="2015-02-06"/>
    <s v="证券买入清算"/>
    <s v="159919"/>
    <x v="1"/>
    <n v="3.456"/>
    <n v="8000"/>
    <n v="27648"/>
    <n v="16000"/>
    <n v="5.53"/>
    <n v="0"/>
    <n v="0"/>
    <n v="0"/>
    <n v="-27653.53"/>
    <n v="-27653.53"/>
    <s v="SW352730"/>
    <n v="3.456"/>
    <n v="8000"/>
    <s v="0103988319"/>
    <s v="301719094322"/>
    <s v="人民币"/>
    <m/>
  </r>
  <r>
    <s v="2015-02-06"/>
    <s v="证券卖出清算"/>
    <s v="159919"/>
    <x v="1"/>
    <n v="3.4889999999999999"/>
    <n v="8000"/>
    <n v="27912"/>
    <n v="8000"/>
    <n v="5.58"/>
    <n v="0"/>
    <n v="0"/>
    <n v="0"/>
    <n v="27906.42"/>
    <n v="252.89"/>
    <s v="SW361006"/>
    <n v="3.4889999999999999"/>
    <n v="8000"/>
    <s v="0103988319"/>
    <s v="301719094322"/>
    <s v="人民币"/>
    <m/>
  </r>
  <r>
    <s v="2015-02-09"/>
    <s v="证券卖出清算"/>
    <s v="159919"/>
    <x v="1"/>
    <n v="3.4990000000000001"/>
    <n v="7900"/>
    <n v="27642.1"/>
    <n v="100"/>
    <n v="5.53"/>
    <n v="0"/>
    <n v="0"/>
    <n v="0"/>
    <n v="27636.57"/>
    <n v="27889.46"/>
    <s v="SW373351"/>
    <n v="3.4990000000000001"/>
    <n v="7900"/>
    <s v="0103988319"/>
    <s v="301719094322"/>
    <s v="人民币"/>
    <m/>
  </r>
  <r>
    <s v="2015-02-09"/>
    <s v="基金申购"/>
    <s v="A40006"/>
    <x v="2"/>
    <n v="1"/>
    <n v="27889.46"/>
    <n v="27889.46"/>
    <n v="523171"/>
    <n v="0"/>
    <n v="0"/>
    <n v="0"/>
    <n v="0"/>
    <n v="-27889.46"/>
    <n v="0"/>
    <m/>
    <n v="0"/>
    <n v="0"/>
    <s v="99F625223328"/>
    <s v="301719094322"/>
    <s v="人民币"/>
    <m/>
  </r>
  <r>
    <s v="2015-02-10"/>
    <s v="基金赎回"/>
    <s v="A40006"/>
    <x v="2"/>
    <n v="1"/>
    <n v="27932.09"/>
    <n v="27932.09"/>
    <n v="495239"/>
    <n v="0"/>
    <n v="0"/>
    <n v="0"/>
    <n v="0"/>
    <n v="27932.09"/>
    <n v="27932.09"/>
    <m/>
    <n v="0"/>
    <n v="0"/>
    <s v="99F625223328"/>
    <s v="301719094322"/>
    <s v="人民币"/>
    <m/>
  </r>
  <r>
    <s v="2015-02-11"/>
    <s v="银证转入"/>
    <m/>
    <x v="0"/>
    <n v="0"/>
    <n v="0"/>
    <n v="0"/>
    <n v="0"/>
    <n v="0"/>
    <n v="0"/>
    <n v="0"/>
    <n v="0"/>
    <n v="5116"/>
    <n v="5116"/>
    <m/>
    <n v="0"/>
    <n v="0"/>
    <m/>
    <s v="301719093190"/>
    <s v="人民币"/>
    <m/>
  </r>
  <r>
    <s v="2015-02-11"/>
    <s v="跨行转出"/>
    <m/>
    <x v="0"/>
    <n v="0"/>
    <n v="0"/>
    <n v="0"/>
    <n v="0"/>
    <n v="0"/>
    <n v="0"/>
    <n v="0"/>
    <n v="0"/>
    <n v="-5116"/>
    <n v="0"/>
    <m/>
    <n v="0"/>
    <n v="0"/>
    <m/>
    <s v="301719093190"/>
    <s v="人民币"/>
    <m/>
  </r>
  <r>
    <s v="2015-02-11"/>
    <s v="跨行转入"/>
    <m/>
    <x v="0"/>
    <n v="0"/>
    <n v="0"/>
    <n v="0"/>
    <n v="0"/>
    <n v="0"/>
    <n v="0"/>
    <n v="0"/>
    <n v="0"/>
    <n v="5116"/>
    <n v="33048.089999999997"/>
    <m/>
    <n v="0"/>
    <n v="0"/>
    <m/>
    <s v="301719094322"/>
    <s v="人民币"/>
    <m/>
  </r>
  <r>
    <s v="2015-02-11"/>
    <s v="基金赎回"/>
    <s v="A40006"/>
    <x v="2"/>
    <n v="1"/>
    <n v="13482.61"/>
    <n v="13482.61"/>
    <n v="481757"/>
    <n v="0"/>
    <n v="0"/>
    <n v="0"/>
    <n v="0"/>
    <n v="13482.61"/>
    <n v="46530.7"/>
    <m/>
    <n v="0"/>
    <n v="0"/>
    <s v="99F625223328"/>
    <s v="301719094322"/>
    <s v="人民币"/>
    <m/>
  </r>
  <r>
    <s v="2015-02-11"/>
    <s v="证券买入清算"/>
    <s v="002697"/>
    <x v="3"/>
    <n v="9"/>
    <n v="2000"/>
    <n v="18000"/>
    <n v="2000"/>
    <n v="5"/>
    <n v="0"/>
    <n v="0"/>
    <n v="0"/>
    <n v="-18005"/>
    <n v="28525.7"/>
    <s v="SW408411"/>
    <n v="9"/>
    <n v="2000"/>
    <s v="0103988319"/>
    <s v="301719094322"/>
    <s v="人民币"/>
    <m/>
  </r>
  <r>
    <s v="2015-02-11"/>
    <s v="证券买入清算"/>
    <s v="159919"/>
    <x v="1"/>
    <n v="3.5649999999999999"/>
    <n v="8000"/>
    <n v="28520"/>
    <n v="8100"/>
    <n v="5.7"/>
    <n v="0"/>
    <n v="0"/>
    <n v="0"/>
    <n v="-28525.7"/>
    <n v="0"/>
    <s v="SW409105"/>
    <n v="3.5649999999999999"/>
    <n v="8000"/>
    <s v="0103988319"/>
    <s v="301719094322"/>
    <s v="人民币"/>
    <m/>
  </r>
  <r>
    <s v="2015-02-12"/>
    <s v="证券卖出清算"/>
    <s v="159919"/>
    <x v="1"/>
    <n v="3.5790000000000002"/>
    <n v="8000"/>
    <n v="28632"/>
    <n v="100"/>
    <n v="5.73"/>
    <n v="0"/>
    <n v="0"/>
    <n v="0"/>
    <n v="28626.27"/>
    <n v="28626.27"/>
    <s v="SW411257"/>
    <n v="3.5790000000000002"/>
    <n v="8000"/>
    <s v="0103988319"/>
    <s v="301719094322"/>
    <s v="人民币"/>
    <m/>
  </r>
  <r>
    <s v="2015-02-12"/>
    <s v="基金申购"/>
    <s v="A40006"/>
    <x v="2"/>
    <n v="1"/>
    <n v="28626.27"/>
    <n v="28626.27"/>
    <n v="510383"/>
    <n v="0"/>
    <n v="0"/>
    <n v="0"/>
    <n v="0"/>
    <n v="-28626.27"/>
    <n v="0"/>
    <m/>
    <n v="0"/>
    <n v="0"/>
    <s v="99F625223328"/>
    <s v="301719094322"/>
    <s v="人民币"/>
    <m/>
  </r>
  <r>
    <s v="2015-02-13"/>
    <s v="基金赎回"/>
    <s v="A40006"/>
    <x v="2"/>
    <n v="1"/>
    <n v="57545.71"/>
    <n v="57545.71"/>
    <n v="452837"/>
    <n v="0"/>
    <n v="0"/>
    <n v="0"/>
    <n v="0"/>
    <n v="57545.71"/>
    <n v="57545.71"/>
    <m/>
    <n v="0"/>
    <n v="0"/>
    <s v="99F625223328"/>
    <s v="301719094322"/>
    <s v="人民币"/>
    <m/>
  </r>
  <r>
    <s v="2015-02-13"/>
    <s v="证券买入清算"/>
    <s v="159919"/>
    <x v="1"/>
    <n v="3.6179999999999999"/>
    <n v="7900"/>
    <n v="28582.2"/>
    <n v="8000"/>
    <n v="5.72"/>
    <n v="0"/>
    <n v="0"/>
    <n v="0"/>
    <n v="-28587.919999999998"/>
    <n v="28957.79"/>
    <s v="SW431139"/>
    <n v="3.6179999999999999"/>
    <n v="7900"/>
    <s v="0103988319"/>
    <s v="301719094322"/>
    <s v="人民币"/>
    <m/>
  </r>
  <r>
    <s v="2015-02-13"/>
    <s v="证券买入清算"/>
    <s v="159919"/>
    <x v="1"/>
    <n v="3.6190000000000002"/>
    <n v="8000"/>
    <n v="28952"/>
    <n v="16000"/>
    <n v="5.79"/>
    <n v="0"/>
    <n v="0"/>
    <n v="0"/>
    <n v="-28957.79"/>
    <n v="0"/>
    <s v="SW431450"/>
    <n v="3.6190000000000002"/>
    <n v="8000"/>
    <s v="0103988319"/>
    <s v="301719094322"/>
    <s v="人民币"/>
    <m/>
  </r>
  <r>
    <s v="2015-02-16"/>
    <s v="银证转入"/>
    <m/>
    <x v="0"/>
    <n v="0"/>
    <n v="0"/>
    <n v="0"/>
    <n v="0"/>
    <n v="0"/>
    <n v="0"/>
    <n v="0"/>
    <n v="0"/>
    <n v="3752"/>
    <n v="3752"/>
    <m/>
    <n v="0"/>
    <n v="0"/>
    <m/>
    <s v="301719094323"/>
    <s v="人民币"/>
    <m/>
  </r>
  <r>
    <s v="2015-02-16"/>
    <s v="跨行转出"/>
    <m/>
    <x v="0"/>
    <n v="0"/>
    <n v="0"/>
    <n v="0"/>
    <n v="0"/>
    <n v="0"/>
    <n v="0"/>
    <n v="0"/>
    <n v="0"/>
    <n v="-3752"/>
    <n v="0"/>
    <m/>
    <n v="0"/>
    <n v="0"/>
    <m/>
    <s v="301719094323"/>
    <s v="人民币"/>
    <m/>
  </r>
  <r>
    <s v="2015-02-16"/>
    <s v="跨行转入"/>
    <m/>
    <x v="0"/>
    <n v="0"/>
    <n v="0"/>
    <n v="0"/>
    <n v="0"/>
    <n v="0"/>
    <n v="0"/>
    <n v="0"/>
    <n v="0"/>
    <n v="3752"/>
    <n v="3752"/>
    <m/>
    <n v="0"/>
    <n v="0"/>
    <m/>
    <s v="301719094322"/>
    <s v="人民币"/>
    <m/>
  </r>
  <r>
    <s v="2015-02-16"/>
    <s v="基金申购"/>
    <s v="A40006"/>
    <x v="2"/>
    <n v="1"/>
    <n v="3752"/>
    <n v="3752"/>
    <n v="456589"/>
    <n v="0"/>
    <n v="0"/>
    <n v="0"/>
    <n v="0"/>
    <n v="-3752"/>
    <n v="0"/>
    <m/>
    <n v="0"/>
    <n v="0"/>
    <s v="99F625223328"/>
    <s v="301719094322"/>
    <s v="人民币"/>
    <m/>
  </r>
  <r>
    <s v="2015-02-17"/>
    <s v="基金赎回"/>
    <s v="A40006"/>
    <x v="2"/>
    <n v="1"/>
    <n v="23285"/>
    <n v="23285"/>
    <n v="433304"/>
    <n v="0"/>
    <n v="0"/>
    <n v="0"/>
    <n v="0"/>
    <n v="23285"/>
    <n v="23285"/>
    <m/>
    <n v="0"/>
    <n v="0"/>
    <s v="99F625223328"/>
    <s v="301719094322"/>
    <s v="人民币"/>
    <m/>
  </r>
  <r>
    <s v="2015-02-17"/>
    <s v="证券买入清算"/>
    <s v="002125"/>
    <x v="4"/>
    <n v="11.64"/>
    <n v="2000"/>
    <n v="23280"/>
    <n v="2000"/>
    <n v="5"/>
    <n v="0"/>
    <n v="0"/>
    <n v="0"/>
    <n v="-23285"/>
    <n v="0"/>
    <s v="SW467904"/>
    <n v="11.64"/>
    <n v="2000"/>
    <s v="0103988319"/>
    <s v="301719094322"/>
    <s v="人民币"/>
    <m/>
  </r>
  <r>
    <s v="2015-02-25"/>
    <s v="基金赎回"/>
    <s v="A40006"/>
    <x v="2"/>
    <n v="1"/>
    <n v="217223.48"/>
    <n v="217223.48"/>
    <n v="216081"/>
    <n v="0"/>
    <n v="0"/>
    <n v="0"/>
    <n v="0"/>
    <n v="217223.48"/>
    <n v="217223.48"/>
    <m/>
    <n v="0"/>
    <n v="0"/>
    <s v="99F625223328"/>
    <s v="301719094322"/>
    <s v="人民币"/>
    <m/>
  </r>
  <r>
    <s v="2015-02-25"/>
    <s v="证券买入清算"/>
    <s v="510300"/>
    <x v="1"/>
    <n v="3.484"/>
    <n v="5000"/>
    <n v="17420"/>
    <n v="5000"/>
    <n v="3.48"/>
    <n v="0"/>
    <n v="0"/>
    <n v="0"/>
    <n v="-17423.48"/>
    <n v="199800"/>
    <s v="17358770"/>
    <n v="3.484"/>
    <n v="5000"/>
    <s v="A761486897"/>
    <s v="301719094322"/>
    <s v="人民币"/>
    <m/>
  </r>
  <r>
    <s v="2015-02-26"/>
    <s v="银证转出"/>
    <m/>
    <x v="0"/>
    <n v="0"/>
    <n v="0"/>
    <n v="0"/>
    <n v="0"/>
    <n v="0"/>
    <n v="0"/>
    <n v="0"/>
    <n v="0"/>
    <n v="-199800"/>
    <n v="0"/>
    <m/>
    <n v="0"/>
    <n v="0"/>
    <m/>
    <s v="301719094322"/>
    <s v="人民币"/>
    <m/>
  </r>
  <r>
    <s v="2015-02-26"/>
    <s v="基金赎回"/>
    <s v="A40006"/>
    <x v="2"/>
    <n v="1"/>
    <n v="15069.53"/>
    <n v="15069.53"/>
    <n v="201011"/>
    <n v="0"/>
    <n v="0"/>
    <n v="0"/>
    <n v="0"/>
    <n v="15069.53"/>
    <n v="15069.53"/>
    <m/>
    <n v="0"/>
    <n v="0"/>
    <s v="99F625223328"/>
    <s v="301719094322"/>
    <s v="人民币"/>
    <m/>
  </r>
  <r>
    <s v="2015-02-26"/>
    <s v="证券卖出清算"/>
    <s v="159919"/>
    <x v="1"/>
    <n v="3.6659999999999999"/>
    <n v="8000"/>
    <n v="29328"/>
    <n v="8000"/>
    <n v="5.87"/>
    <n v="0"/>
    <n v="0"/>
    <n v="0"/>
    <n v="29322.13"/>
    <n v="44391.66"/>
    <s v="SW487069"/>
    <n v="3.6659999999999999"/>
    <n v="8000"/>
    <s v="0103988319"/>
    <s v="301719094322"/>
    <s v="人民币"/>
    <m/>
  </r>
  <r>
    <s v="2015-02-26"/>
    <s v="证券卖出清算"/>
    <s v="159919"/>
    <x v="1"/>
    <n v="3.6520000000000001"/>
    <n v="8000"/>
    <n v="29216"/>
    <n v="0"/>
    <n v="5.84"/>
    <n v="0"/>
    <n v="0"/>
    <n v="0"/>
    <n v="29210.16"/>
    <n v="73601.820000000007"/>
    <s v="SW487070"/>
    <n v="3.6520000000000001"/>
    <n v="8000"/>
    <s v="0103988319"/>
    <s v="301719094322"/>
    <s v="人民币"/>
    <m/>
  </r>
  <r>
    <s v="2015-02-26"/>
    <s v="证券买入清算"/>
    <s v="510300"/>
    <x v="1"/>
    <n v="3.5179999999999998"/>
    <n v="5000"/>
    <n v="17590"/>
    <n v="10000"/>
    <n v="3.52"/>
    <n v="0"/>
    <n v="0"/>
    <n v="0"/>
    <n v="-17593.52"/>
    <n v="56008.3"/>
    <s v="17389632"/>
    <n v="3.5179999999999998"/>
    <n v="5000"/>
    <s v="A761486897"/>
    <s v="301719094322"/>
    <s v="人民币"/>
    <m/>
  </r>
  <r>
    <s v="2015-02-26"/>
    <s v="证券买入清算"/>
    <s v="159919"/>
    <x v="1"/>
    <n v="3.6789999999999998"/>
    <n v="10000"/>
    <n v="36790"/>
    <n v="10000"/>
    <n v="7.36"/>
    <n v="0"/>
    <n v="0"/>
    <n v="0"/>
    <n v="-36797.360000000001"/>
    <n v="19210.939999999999"/>
    <s v="SW100131"/>
    <n v="3.6789999999999998"/>
    <n v="10000"/>
    <s v="0103988319"/>
    <s v="301719094322"/>
    <s v="人民币"/>
    <m/>
  </r>
  <r>
    <s v="2015-02-26"/>
    <s v="证券买入清算"/>
    <s v="159919"/>
    <x v="1"/>
    <n v="3.6930000000000001"/>
    <n v="10000"/>
    <n v="36930"/>
    <n v="20000"/>
    <n v="7.39"/>
    <n v="0"/>
    <n v="0"/>
    <n v="0"/>
    <n v="-36937.39"/>
    <n v="-17726.45"/>
    <s v="SW100868"/>
    <n v="3.6930000000000001"/>
    <n v="10000"/>
    <s v="0103988319"/>
    <s v="301719094322"/>
    <s v="人民币"/>
    <m/>
  </r>
  <r>
    <s v="2015-02-26"/>
    <s v="证券卖出清算"/>
    <s v="510300"/>
    <x v="1"/>
    <n v="3.5459999999999998"/>
    <n v="5000"/>
    <n v="17730"/>
    <n v="5000"/>
    <n v="3.55"/>
    <n v="0"/>
    <n v="0"/>
    <n v="0"/>
    <n v="17726.45"/>
    <n v="0"/>
    <s v="17393508"/>
    <n v="3.5459999999999998"/>
    <n v="5000"/>
    <s v="A761486897"/>
    <s v="301719094322"/>
    <s v="人民币"/>
    <m/>
  </r>
  <r>
    <s v="2015-03-02"/>
    <s v="银证转入"/>
    <m/>
    <x v="0"/>
    <n v="0"/>
    <n v="0"/>
    <n v="0"/>
    <n v="0"/>
    <n v="0"/>
    <n v="0"/>
    <n v="0"/>
    <n v="0"/>
    <n v="961.11"/>
    <n v="961.11"/>
    <m/>
    <n v="0"/>
    <n v="0"/>
    <m/>
    <s v="301719093190"/>
    <s v="人民币"/>
    <m/>
  </r>
  <r>
    <s v="2015-03-02"/>
    <s v="跨行转出"/>
    <m/>
    <x v="0"/>
    <n v="0"/>
    <n v="0"/>
    <n v="0"/>
    <n v="0"/>
    <n v="0"/>
    <n v="0"/>
    <n v="0"/>
    <n v="0"/>
    <n v="-961.11"/>
    <n v="0"/>
    <m/>
    <n v="0"/>
    <n v="0"/>
    <m/>
    <s v="301719093190"/>
    <s v="人民币"/>
    <m/>
  </r>
  <r>
    <s v="2015-03-02"/>
    <s v="跨行转入"/>
    <m/>
    <x v="0"/>
    <n v="0"/>
    <n v="0"/>
    <n v="0"/>
    <n v="0"/>
    <n v="0"/>
    <n v="0"/>
    <n v="0"/>
    <n v="0"/>
    <n v="961.11"/>
    <n v="961.11"/>
    <m/>
    <n v="0"/>
    <n v="0"/>
    <m/>
    <s v="301719094322"/>
    <s v="人民币"/>
    <m/>
  </r>
  <r>
    <s v="2015-03-02"/>
    <s v="证券卖出清算"/>
    <s v="159919"/>
    <x v="1"/>
    <n v="3.7389999999999999"/>
    <n v="10000"/>
    <n v="37390"/>
    <n v="10000"/>
    <n v="7.48"/>
    <n v="0"/>
    <n v="0"/>
    <n v="0"/>
    <n v="37382.519999999997"/>
    <n v="38343.629999999997"/>
    <s v="SW143311"/>
    <n v="3.7389999999999999"/>
    <n v="10000"/>
    <s v="0103988319"/>
    <s v="301719094322"/>
    <s v="人民币"/>
    <m/>
  </r>
  <r>
    <s v="2015-03-02"/>
    <s v="证券卖出清算"/>
    <s v="159919"/>
    <x v="1"/>
    <n v="3.73"/>
    <n v="10000"/>
    <n v="37300"/>
    <n v="0"/>
    <n v="7.46"/>
    <n v="0"/>
    <n v="0"/>
    <n v="0"/>
    <n v="37292.54"/>
    <n v="75636.17"/>
    <s v="SW144664"/>
    <n v="3.73"/>
    <n v="10000"/>
    <s v="0103988319"/>
    <s v="301719094322"/>
    <s v="人民币"/>
    <m/>
  </r>
  <r>
    <s v="2015-03-02"/>
    <s v="基金申购"/>
    <s v="A40006"/>
    <x v="2"/>
    <n v="1"/>
    <n v="75636.17"/>
    <n v="75636.17"/>
    <n v="276647"/>
    <n v="0"/>
    <n v="0"/>
    <n v="0"/>
    <n v="0"/>
    <n v="-75636.17"/>
    <n v="0"/>
    <m/>
    <n v="0"/>
    <n v="0"/>
    <s v="99F625223328"/>
    <s v="301719094322"/>
    <s v="人民币"/>
    <m/>
  </r>
  <r>
    <s v="2015-03-04"/>
    <s v="银证转入"/>
    <m/>
    <x v="0"/>
    <n v="0"/>
    <n v="0"/>
    <n v="0"/>
    <n v="0"/>
    <n v="0"/>
    <n v="0"/>
    <n v="0"/>
    <n v="0"/>
    <n v="50000"/>
    <n v="50000"/>
    <m/>
    <n v="0"/>
    <n v="0"/>
    <m/>
    <s v="301719093190"/>
    <s v="人民币"/>
    <m/>
  </r>
  <r>
    <s v="2015-03-04"/>
    <s v="跨行转出"/>
    <m/>
    <x v="0"/>
    <n v="0"/>
    <n v="0"/>
    <n v="0"/>
    <n v="0"/>
    <n v="0"/>
    <n v="0"/>
    <n v="0"/>
    <n v="0"/>
    <n v="-50000"/>
    <n v="0"/>
    <m/>
    <n v="0"/>
    <n v="0"/>
    <m/>
    <s v="301719093190"/>
    <s v="人民币"/>
    <m/>
  </r>
  <r>
    <s v="2015-03-04"/>
    <s v="跨行转入"/>
    <m/>
    <x v="0"/>
    <n v="0"/>
    <n v="0"/>
    <n v="0"/>
    <n v="0"/>
    <n v="0"/>
    <n v="0"/>
    <n v="0"/>
    <n v="0"/>
    <n v="50000"/>
    <n v="50000"/>
    <m/>
    <n v="0"/>
    <n v="0"/>
    <m/>
    <s v="301719094322"/>
    <s v="人民币"/>
    <m/>
  </r>
  <r>
    <s v="2015-03-04"/>
    <s v="银证转入"/>
    <m/>
    <x v="0"/>
    <n v="0"/>
    <n v="0"/>
    <n v="0"/>
    <n v="0"/>
    <n v="0"/>
    <n v="0"/>
    <n v="0"/>
    <n v="0"/>
    <n v="5000"/>
    <n v="5000"/>
    <m/>
    <n v="0"/>
    <n v="0"/>
    <m/>
    <s v="301719093190"/>
    <s v="人民币"/>
    <m/>
  </r>
  <r>
    <s v="2015-03-04"/>
    <s v="跨行转出"/>
    <m/>
    <x v="0"/>
    <n v="0"/>
    <n v="0"/>
    <n v="0"/>
    <n v="0"/>
    <n v="0"/>
    <n v="0"/>
    <n v="0"/>
    <n v="0"/>
    <n v="-5000"/>
    <n v="0"/>
    <m/>
    <n v="0"/>
    <n v="0"/>
    <m/>
    <s v="301719093190"/>
    <s v="人民币"/>
    <m/>
  </r>
  <r>
    <s v="2015-03-04"/>
    <s v="跨行转入"/>
    <m/>
    <x v="0"/>
    <n v="0"/>
    <n v="0"/>
    <n v="0"/>
    <n v="0"/>
    <n v="0"/>
    <n v="0"/>
    <n v="0"/>
    <n v="0"/>
    <n v="5000"/>
    <n v="55000"/>
    <m/>
    <n v="0"/>
    <n v="0"/>
    <m/>
    <s v="301719094322"/>
    <s v="人民币"/>
    <m/>
  </r>
  <r>
    <s v="2015-03-04"/>
    <s v="证券卖出清算"/>
    <s v="510300"/>
    <x v="1"/>
    <n v="3.5209999999999999"/>
    <n v="5000"/>
    <n v="17605"/>
    <n v="0"/>
    <n v="3.52"/>
    <n v="0"/>
    <n v="0"/>
    <n v="0"/>
    <n v="17601.48"/>
    <n v="72601.48"/>
    <s v="17100652"/>
    <n v="3.5209999999999999"/>
    <n v="5000"/>
    <s v="A761486897"/>
    <s v="301719094322"/>
    <s v="人民币"/>
    <m/>
  </r>
  <r>
    <s v="2015-03-04"/>
    <s v="基金申购"/>
    <s v="A40006"/>
    <x v="2"/>
    <n v="1"/>
    <n v="72601.48"/>
    <n v="72601.48"/>
    <n v="349249"/>
    <n v="0"/>
    <n v="0"/>
    <n v="0"/>
    <n v="0"/>
    <n v="-72601.48"/>
    <n v="0"/>
    <m/>
    <n v="0"/>
    <n v="0"/>
    <s v="99F625223328"/>
    <s v="301719094322"/>
    <s v="人民币"/>
    <m/>
  </r>
  <r>
    <s v="2015-03-10"/>
    <s v="银证转入"/>
    <m/>
    <x v="0"/>
    <n v="0"/>
    <n v="0"/>
    <n v="0"/>
    <n v="0"/>
    <n v="0"/>
    <n v="0"/>
    <n v="0"/>
    <n v="0"/>
    <n v="309201.7"/>
    <n v="309201.7"/>
    <m/>
    <n v="0"/>
    <n v="0"/>
    <m/>
    <s v="301719093190"/>
    <s v="人民币"/>
    <m/>
  </r>
  <r>
    <s v="2015-03-10"/>
    <s v="跨行转出"/>
    <m/>
    <x v="0"/>
    <n v="0"/>
    <n v="0"/>
    <n v="0"/>
    <n v="0"/>
    <n v="0"/>
    <n v="0"/>
    <n v="0"/>
    <n v="0"/>
    <n v="-309201.7"/>
    <n v="0"/>
    <m/>
    <n v="0"/>
    <n v="0"/>
    <m/>
    <s v="301719093190"/>
    <s v="人民币"/>
    <m/>
  </r>
  <r>
    <s v="2015-03-10"/>
    <s v="跨行转入"/>
    <m/>
    <x v="0"/>
    <n v="0"/>
    <n v="0"/>
    <n v="0"/>
    <n v="0"/>
    <n v="0"/>
    <n v="0"/>
    <n v="0"/>
    <n v="0"/>
    <n v="309201.7"/>
    <n v="309201.7"/>
    <m/>
    <n v="0"/>
    <n v="0"/>
    <m/>
    <s v="301719094322"/>
    <s v="人民币"/>
    <m/>
  </r>
  <r>
    <s v="2015-03-10"/>
    <s v="新股申购"/>
    <s v="300433"/>
    <x v="5"/>
    <n v="22.99"/>
    <n v="2000"/>
    <n v="45980"/>
    <n v="2000"/>
    <n v="0"/>
    <n v="0"/>
    <n v="0"/>
    <n v="0"/>
    <n v="-45980"/>
    <n v="263221.7"/>
    <s v="SW287130"/>
    <n v="22.99"/>
    <n v="2000"/>
    <s v="0103988319"/>
    <s v="301719094322"/>
    <s v="人民币"/>
    <m/>
  </r>
  <r>
    <s v="2015-03-10"/>
    <s v="基金申购"/>
    <s v="A40006"/>
    <x v="2"/>
    <n v="1"/>
    <n v="263221.7"/>
    <n v="263221.7"/>
    <n v="612470"/>
    <n v="0"/>
    <n v="0"/>
    <n v="0"/>
    <n v="0"/>
    <n v="-263221.7"/>
    <n v="0"/>
    <m/>
    <n v="0"/>
    <n v="0"/>
    <s v="99F625223328"/>
    <s v="301719094322"/>
    <s v="人民币"/>
    <m/>
  </r>
  <r>
    <s v="2015-03-11"/>
    <s v="基金赎回"/>
    <s v="A40006"/>
    <x v="2"/>
    <n v="1"/>
    <n v="152360"/>
    <n v="152360"/>
    <n v="460110"/>
    <n v="0"/>
    <n v="0"/>
    <n v="0"/>
    <n v="0"/>
    <n v="152360"/>
    <n v="152360"/>
    <m/>
    <n v="0"/>
    <n v="0"/>
    <s v="99F625223328"/>
    <s v="301719094322"/>
    <s v="人民币"/>
    <m/>
  </r>
  <r>
    <s v="2015-03-11"/>
    <s v="新股申购"/>
    <s v="300432"/>
    <x v="6"/>
    <n v="13.97"/>
    <n v="2000"/>
    <n v="27940"/>
    <n v="2000"/>
    <n v="0"/>
    <n v="0"/>
    <n v="0"/>
    <n v="0"/>
    <n v="-27940"/>
    <n v="124420"/>
    <s v="SW325004"/>
    <n v="13.97"/>
    <n v="2000"/>
    <s v="0103988319"/>
    <s v="301719094322"/>
    <s v="人民币"/>
    <m/>
  </r>
  <r>
    <s v="2015-03-11"/>
    <s v="新股申购"/>
    <s v="300428"/>
    <x v="7"/>
    <n v="14.71"/>
    <n v="2000"/>
    <n v="29420"/>
    <n v="2000"/>
    <n v="0"/>
    <n v="0"/>
    <n v="0"/>
    <n v="0"/>
    <n v="-29420"/>
    <n v="95000"/>
    <s v="SW325028"/>
    <n v="14.71"/>
    <n v="2000"/>
    <s v="0103988319"/>
    <s v="301719094322"/>
    <s v="人民币"/>
    <m/>
  </r>
  <r>
    <s v="2015-03-11"/>
    <s v="新股申购"/>
    <s v="002748"/>
    <x v="8"/>
    <n v="15.38"/>
    <n v="2000"/>
    <n v="30760"/>
    <n v="2000"/>
    <n v="0"/>
    <n v="0"/>
    <n v="0"/>
    <n v="0"/>
    <n v="-30760"/>
    <n v="64240"/>
    <s v="SW325058"/>
    <n v="15.38"/>
    <n v="2000"/>
    <s v="0103988319"/>
    <s v="301719094322"/>
    <s v="人民币"/>
    <m/>
  </r>
  <r>
    <s v="2015-03-11"/>
    <s v="新股申购"/>
    <s v="300374"/>
    <x v="9"/>
    <n v="13.21"/>
    <n v="2000"/>
    <n v="26420"/>
    <n v="2000"/>
    <n v="0"/>
    <n v="0"/>
    <n v="0"/>
    <n v="0"/>
    <n v="-26420"/>
    <n v="37820"/>
    <s v="SW325072"/>
    <n v="13.21"/>
    <n v="2000"/>
    <s v="0103988319"/>
    <s v="301719094322"/>
    <s v="人民币"/>
    <m/>
  </r>
  <r>
    <s v="2015-03-11"/>
    <s v="新股申购"/>
    <s v="300430"/>
    <x v="10"/>
    <n v="18.91"/>
    <n v="2000"/>
    <n v="37820"/>
    <n v="2000"/>
    <n v="0"/>
    <n v="0"/>
    <n v="0"/>
    <n v="0"/>
    <n v="-37820"/>
    <n v="0"/>
    <s v="SW325097"/>
    <n v="18.91"/>
    <n v="2000"/>
    <s v="0103988319"/>
    <s v="301719094322"/>
    <s v="人民币"/>
    <m/>
  </r>
  <r>
    <s v="2015-03-12"/>
    <s v="基金赎回"/>
    <s v="A40006"/>
    <x v="2"/>
    <n v="1"/>
    <n v="194900"/>
    <n v="194900"/>
    <n v="265210"/>
    <n v="0"/>
    <n v="0"/>
    <n v="0"/>
    <n v="0"/>
    <n v="194900"/>
    <n v="194900"/>
    <m/>
    <n v="0"/>
    <n v="0"/>
    <s v="99F625223328"/>
    <s v="301719094322"/>
    <s v="人民币"/>
    <m/>
  </r>
  <r>
    <s v="2015-03-12"/>
    <s v="申购还款"/>
    <s v="300433"/>
    <x v="5"/>
    <n v="22.99"/>
    <n v="2000"/>
    <n v="45980"/>
    <n v="0"/>
    <n v="0"/>
    <n v="0"/>
    <n v="0"/>
    <n v="0"/>
    <n v="45980"/>
    <n v="240880"/>
    <s v="SW287130"/>
    <n v="22.99"/>
    <n v="2000"/>
    <s v="0103988319"/>
    <s v="301719094322"/>
    <s v="人民币"/>
    <m/>
  </r>
  <r>
    <s v="2015-03-12"/>
    <s v="新股申购"/>
    <s v="002747"/>
    <x v="11"/>
    <n v="6.8"/>
    <n v="2500"/>
    <n v="17000"/>
    <n v="2500"/>
    <n v="0"/>
    <n v="0"/>
    <n v="0"/>
    <n v="0"/>
    <n v="-17000"/>
    <n v="223880"/>
    <s v="SW375681"/>
    <n v="6.8"/>
    <n v="2500"/>
    <s v="0103988319"/>
    <s v="301719094322"/>
    <s v="人民币"/>
    <m/>
  </r>
  <r>
    <s v="2015-03-12"/>
    <s v="新股申购"/>
    <s v="300429"/>
    <x v="12"/>
    <n v="15.89"/>
    <n v="2500"/>
    <n v="39725"/>
    <n v="2500"/>
    <n v="0"/>
    <n v="0"/>
    <n v="0"/>
    <n v="0"/>
    <n v="-39725"/>
    <n v="184155"/>
    <s v="SW375707"/>
    <n v="15.89"/>
    <n v="2500"/>
    <s v="0103988319"/>
    <s v="301719094322"/>
    <s v="人民币"/>
    <m/>
  </r>
  <r>
    <s v="2015-03-12"/>
    <s v="新股申购"/>
    <s v="300431"/>
    <x v="13"/>
    <n v="7.14"/>
    <n v="2500"/>
    <n v="17850"/>
    <n v="2500"/>
    <n v="0"/>
    <n v="0"/>
    <n v="0"/>
    <n v="0"/>
    <n v="-17850"/>
    <n v="166305"/>
    <s v="SW375806"/>
    <n v="7.14"/>
    <n v="2500"/>
    <s v="0103988319"/>
    <s v="301719094322"/>
    <s v="人民币"/>
    <m/>
  </r>
  <r>
    <s v="2015-03-12"/>
    <s v="新股申购"/>
    <s v="002749"/>
    <x v="14"/>
    <n v="26.92"/>
    <n v="2500"/>
    <n v="67300"/>
    <n v="2500"/>
    <n v="0"/>
    <n v="0"/>
    <n v="0"/>
    <n v="0"/>
    <n v="-67300"/>
    <n v="99005"/>
    <s v="SW375867"/>
    <n v="26.92"/>
    <n v="2500"/>
    <s v="0103988319"/>
    <s v="301719094322"/>
    <s v="人民币"/>
    <m/>
  </r>
  <r>
    <s v="2015-03-12"/>
    <s v="新股申购"/>
    <s v="002750"/>
    <x v="15"/>
    <n v="21.21"/>
    <n v="2500"/>
    <n v="53025"/>
    <n v="2500"/>
    <n v="0"/>
    <n v="0"/>
    <n v="0"/>
    <n v="0"/>
    <n v="-53025"/>
    <n v="45980"/>
    <s v="SW375886"/>
    <n v="21.21"/>
    <n v="2500"/>
    <s v="0103988319"/>
    <s v="301719094322"/>
    <s v="人民币"/>
    <m/>
  </r>
  <r>
    <s v="2015-03-13"/>
    <s v="申购还款"/>
    <s v="300432"/>
    <x v="6"/>
    <n v="13.97"/>
    <n v="2000"/>
    <n v="27940"/>
    <n v="0"/>
    <n v="0"/>
    <n v="0"/>
    <n v="0"/>
    <n v="0"/>
    <n v="27940"/>
    <n v="73920"/>
    <s v="SW325004"/>
    <n v="13.97"/>
    <n v="2000"/>
    <s v="0103988319"/>
    <s v="301719094322"/>
    <s v="人民币"/>
    <m/>
  </r>
  <r>
    <s v="2015-03-13"/>
    <s v="申购还款"/>
    <s v="300428"/>
    <x v="7"/>
    <n v="14.71"/>
    <n v="2000"/>
    <n v="29420"/>
    <n v="0"/>
    <n v="0"/>
    <n v="0"/>
    <n v="0"/>
    <n v="0"/>
    <n v="29420"/>
    <n v="103340"/>
    <s v="SW325028"/>
    <n v="14.71"/>
    <n v="2000"/>
    <s v="0103988319"/>
    <s v="301719094322"/>
    <s v="人民币"/>
    <m/>
  </r>
  <r>
    <s v="2015-03-13"/>
    <s v="申购还款"/>
    <s v="002748"/>
    <x v="8"/>
    <n v="15.38"/>
    <n v="2000"/>
    <n v="30760"/>
    <n v="0"/>
    <n v="0"/>
    <n v="0"/>
    <n v="0"/>
    <n v="0"/>
    <n v="30760"/>
    <n v="134100"/>
    <s v="SW325058"/>
    <n v="15.38"/>
    <n v="2000"/>
    <s v="0103988319"/>
    <s v="301719094322"/>
    <s v="人民币"/>
    <m/>
  </r>
  <r>
    <s v="2015-03-13"/>
    <s v="申购还款"/>
    <s v="300374"/>
    <x v="9"/>
    <n v="13.21"/>
    <n v="2000"/>
    <n v="26420"/>
    <n v="0"/>
    <n v="0"/>
    <n v="0"/>
    <n v="0"/>
    <n v="0"/>
    <n v="26420"/>
    <n v="160520"/>
    <s v="SW325072"/>
    <n v="13.21"/>
    <n v="2000"/>
    <s v="0103988319"/>
    <s v="301719094322"/>
    <s v="人民币"/>
    <m/>
  </r>
  <r>
    <s v="2015-03-13"/>
    <s v="申购还款"/>
    <s v="300430"/>
    <x v="10"/>
    <n v="18.91"/>
    <n v="2000"/>
    <n v="37820"/>
    <n v="0"/>
    <n v="0"/>
    <n v="0"/>
    <n v="0"/>
    <n v="0"/>
    <n v="37820"/>
    <n v="198340"/>
    <s v="SW325097"/>
    <n v="18.91"/>
    <n v="2000"/>
    <s v="0103988319"/>
    <s v="301719094322"/>
    <s v="人民币"/>
    <m/>
  </r>
  <r>
    <s v="2015-03-13"/>
    <s v="基金申购"/>
    <s v="A40006"/>
    <x v="2"/>
    <n v="1"/>
    <n v="45980"/>
    <n v="45980"/>
    <n v="311190"/>
    <n v="0"/>
    <n v="0"/>
    <n v="0"/>
    <n v="0"/>
    <n v="-45980"/>
    <n v="152360"/>
    <m/>
    <n v="0"/>
    <n v="0"/>
    <s v="99F625223328"/>
    <s v="301719094322"/>
    <s v="人民币"/>
    <m/>
  </r>
  <r>
    <s v="2015-03-16"/>
    <s v="申购还款"/>
    <s v="002747"/>
    <x v="11"/>
    <n v="6.8"/>
    <n v="2500"/>
    <n v="17000"/>
    <n v="0"/>
    <n v="0"/>
    <n v="0"/>
    <n v="0"/>
    <n v="0"/>
    <n v="17000"/>
    <n v="169360"/>
    <s v="SW375681"/>
    <n v="6.8"/>
    <n v="2500"/>
    <s v="0103988319"/>
    <s v="301719094322"/>
    <s v="人民币"/>
    <m/>
  </r>
  <r>
    <s v="2015-03-16"/>
    <s v="申购还款"/>
    <s v="300429"/>
    <x v="12"/>
    <n v="15.89"/>
    <n v="2500"/>
    <n v="39725"/>
    <n v="0"/>
    <n v="0"/>
    <n v="0"/>
    <n v="0"/>
    <n v="0"/>
    <n v="39725"/>
    <n v="209085"/>
    <s v="SW375707"/>
    <n v="15.89"/>
    <n v="2500"/>
    <s v="0103988319"/>
    <s v="301719094322"/>
    <s v="人民币"/>
    <m/>
  </r>
  <r>
    <s v="2015-03-16"/>
    <s v="申购还款"/>
    <s v="300431"/>
    <x v="13"/>
    <n v="7.14"/>
    <n v="2500"/>
    <n v="17850"/>
    <n v="0"/>
    <n v="0"/>
    <n v="0"/>
    <n v="0"/>
    <n v="0"/>
    <n v="17850"/>
    <n v="226935"/>
    <s v="SW375806"/>
    <n v="7.14"/>
    <n v="2500"/>
    <s v="0103988319"/>
    <s v="301719094322"/>
    <s v="人民币"/>
    <m/>
  </r>
  <r>
    <s v="2015-03-16"/>
    <s v="申购还款"/>
    <s v="002749"/>
    <x v="14"/>
    <n v="26.92"/>
    <n v="2500"/>
    <n v="67300"/>
    <n v="0"/>
    <n v="0"/>
    <n v="0"/>
    <n v="0"/>
    <n v="0"/>
    <n v="67300"/>
    <n v="294235"/>
    <s v="SW375867"/>
    <n v="26.92"/>
    <n v="2500"/>
    <s v="0103988319"/>
    <s v="301719094322"/>
    <s v="人民币"/>
    <m/>
  </r>
  <r>
    <s v="2015-03-16"/>
    <s v="申购还款"/>
    <s v="002750"/>
    <x v="15"/>
    <n v="21.21"/>
    <n v="2500"/>
    <n v="53025"/>
    <n v="0"/>
    <n v="0"/>
    <n v="0"/>
    <n v="0"/>
    <n v="0"/>
    <n v="53025"/>
    <n v="347260"/>
    <s v="SW375886"/>
    <n v="21.21"/>
    <n v="2500"/>
    <s v="0103988319"/>
    <s v="301719094322"/>
    <s v="人民币"/>
    <m/>
  </r>
  <r>
    <s v="2015-03-16"/>
    <s v="基金申购"/>
    <s v="A40006"/>
    <x v="2"/>
    <n v="1"/>
    <n v="152360"/>
    <n v="152360"/>
    <n v="463550"/>
    <n v="0"/>
    <n v="0"/>
    <n v="0"/>
    <n v="0"/>
    <n v="-152360"/>
    <n v="194900"/>
    <m/>
    <n v="0"/>
    <n v="0"/>
    <s v="99F625223328"/>
    <s v="301719094322"/>
    <s v="人民币"/>
    <m/>
  </r>
  <r>
    <s v="2015-03-17"/>
    <s v="银证转出"/>
    <m/>
    <x v="0"/>
    <n v="0"/>
    <n v="0"/>
    <n v="0"/>
    <n v="0"/>
    <n v="0"/>
    <n v="0"/>
    <n v="0"/>
    <n v="0"/>
    <n v="-150000"/>
    <n v="44900"/>
    <m/>
    <n v="0"/>
    <n v="0"/>
    <m/>
    <s v="301719094322"/>
    <s v="人民币"/>
    <m/>
  </r>
  <r>
    <s v="2015-03-17"/>
    <s v="证券买入清算"/>
    <s v="002239"/>
    <x v="16"/>
    <n v="8.8800000000000008"/>
    <n v="2000"/>
    <n v="17760"/>
    <n v="2000"/>
    <n v="5"/>
    <n v="0"/>
    <n v="0"/>
    <n v="0"/>
    <n v="-17765"/>
    <n v="27135"/>
    <s v="SW498419"/>
    <n v="8.8800000000000008"/>
    <n v="2000"/>
    <s v="0103988319"/>
    <s v="301719094322"/>
    <s v="人民币"/>
    <m/>
  </r>
  <r>
    <s v="2015-03-17"/>
    <s v="证券买入清算"/>
    <s v="002239"/>
    <x v="16"/>
    <n v="8.98"/>
    <n v="2000"/>
    <n v="17960"/>
    <n v="4000"/>
    <n v="5"/>
    <n v="0"/>
    <n v="0"/>
    <n v="0"/>
    <n v="-17965"/>
    <n v="9170"/>
    <s v="SW498647"/>
    <n v="8.98"/>
    <n v="2000"/>
    <s v="0103988319"/>
    <s v="301719094322"/>
    <s v="人民币"/>
    <m/>
  </r>
  <r>
    <s v="2015-03-17"/>
    <s v="基金申购"/>
    <s v="A40006"/>
    <x v="2"/>
    <n v="1"/>
    <n v="9170"/>
    <n v="9170"/>
    <n v="472720"/>
    <n v="0"/>
    <n v="0"/>
    <n v="0"/>
    <n v="0"/>
    <n v="-9170"/>
    <n v="0"/>
    <m/>
    <n v="0"/>
    <n v="0"/>
    <s v="99F625223328"/>
    <s v="301719094322"/>
    <s v="人民币"/>
    <m/>
  </r>
  <r>
    <s v="2015-03-18"/>
    <s v="银证转入"/>
    <m/>
    <x v="0"/>
    <n v="0"/>
    <n v="0"/>
    <n v="0"/>
    <n v="0"/>
    <n v="0"/>
    <n v="0"/>
    <n v="0"/>
    <n v="0"/>
    <n v="9131.66"/>
    <n v="9131.66"/>
    <m/>
    <n v="0"/>
    <n v="0"/>
    <m/>
    <s v="301719094323"/>
    <s v="人民币"/>
    <m/>
  </r>
  <r>
    <s v="2015-03-18"/>
    <s v="跨行转出"/>
    <m/>
    <x v="0"/>
    <n v="0"/>
    <n v="0"/>
    <n v="0"/>
    <n v="0"/>
    <n v="0"/>
    <n v="0"/>
    <n v="0"/>
    <n v="0"/>
    <n v="-9131.66"/>
    <n v="0"/>
    <m/>
    <n v="0"/>
    <n v="0"/>
    <m/>
    <s v="301719094323"/>
    <s v="人民币"/>
    <m/>
  </r>
  <r>
    <s v="2015-03-18"/>
    <s v="跨行转入"/>
    <m/>
    <x v="0"/>
    <n v="0"/>
    <n v="0"/>
    <n v="0"/>
    <n v="0"/>
    <n v="0"/>
    <n v="0"/>
    <n v="0"/>
    <n v="0"/>
    <n v="9131.66"/>
    <n v="9131.66"/>
    <m/>
    <n v="0"/>
    <n v="0"/>
    <m/>
    <s v="301719094322"/>
    <s v="人民币"/>
    <m/>
  </r>
  <r>
    <s v="2015-03-18"/>
    <s v="基金赎回"/>
    <s v="A40006"/>
    <x v="2"/>
    <n v="1"/>
    <n v="42423.34"/>
    <n v="42423.34"/>
    <n v="430297"/>
    <n v="0"/>
    <n v="0"/>
    <n v="0"/>
    <n v="0"/>
    <n v="42423.34"/>
    <n v="51555"/>
    <m/>
    <n v="0"/>
    <n v="0"/>
    <s v="99F625223328"/>
    <s v="301719094322"/>
    <s v="人民币"/>
    <m/>
  </r>
  <r>
    <s v="2015-03-18"/>
    <s v="新股申购"/>
    <s v="300435"/>
    <x v="17"/>
    <n v="14.73"/>
    <n v="3500"/>
    <n v="51555"/>
    <n v="3500"/>
    <n v="0"/>
    <n v="0"/>
    <n v="0"/>
    <n v="0"/>
    <n v="-51555"/>
    <n v="0"/>
    <s v="SW136608"/>
    <n v="14.73"/>
    <n v="3500"/>
    <s v="0103988319"/>
    <s v="301719094322"/>
    <s v="人民币"/>
    <m/>
  </r>
  <r>
    <s v="2015-03-20"/>
    <s v="申购还款"/>
    <s v="300435"/>
    <x v="17"/>
    <n v="14.73"/>
    <n v="3500"/>
    <n v="51555"/>
    <n v="0"/>
    <n v="0"/>
    <n v="0"/>
    <n v="0"/>
    <n v="0"/>
    <n v="51555"/>
    <n v="51555"/>
    <s v="SW136608"/>
    <n v="14.73"/>
    <n v="3500"/>
    <s v="0103988319"/>
    <s v="301719094322"/>
    <s v="人民币"/>
    <m/>
  </r>
  <r>
    <s v="2015-03-23"/>
    <s v="利息归本"/>
    <m/>
    <x v="0"/>
    <n v="0"/>
    <n v="0"/>
    <n v="0"/>
    <n v="0"/>
    <n v="0"/>
    <n v="0"/>
    <n v="0"/>
    <n v="0"/>
    <n v="12.42"/>
    <n v="51567.42"/>
    <m/>
    <n v="0"/>
    <n v="0"/>
    <m/>
    <s v="301719094322"/>
    <s v="人民币"/>
    <m/>
  </r>
  <r>
    <s v="2015-03-23"/>
    <s v="利息归本"/>
    <m/>
    <x v="0"/>
    <n v="0"/>
    <n v="0"/>
    <n v="0"/>
    <n v="0"/>
    <n v="0"/>
    <n v="0"/>
    <n v="0"/>
    <n v="0"/>
    <n v="0.1"/>
    <n v="0.1"/>
    <m/>
    <n v="0"/>
    <n v="0"/>
    <m/>
    <s v="301719094323"/>
    <s v="人民币"/>
    <m/>
  </r>
  <r>
    <s v="2015-03-23"/>
    <s v="基金申购"/>
    <s v="A40006"/>
    <x v="2"/>
    <n v="1"/>
    <n v="51555"/>
    <n v="51555"/>
    <n v="481852"/>
    <n v="0"/>
    <n v="0"/>
    <n v="0"/>
    <n v="0"/>
    <n v="-51555"/>
    <n v="12.42"/>
    <m/>
    <n v="0"/>
    <n v="0"/>
    <s v="99F625223328"/>
    <s v="301719094322"/>
    <s v="人民币"/>
    <m/>
  </r>
  <r>
    <s v="2015-03-24"/>
    <s v="跨行转出"/>
    <m/>
    <x v="0"/>
    <n v="0"/>
    <n v="0"/>
    <n v="0"/>
    <n v="0"/>
    <n v="0"/>
    <n v="0"/>
    <n v="0"/>
    <n v="0"/>
    <n v="-0.1"/>
    <n v="0"/>
    <m/>
    <n v="0"/>
    <n v="0"/>
    <m/>
    <s v="301719094323"/>
    <s v="人民币"/>
    <m/>
  </r>
  <r>
    <s v="2015-03-24"/>
    <s v="跨行转入"/>
    <m/>
    <x v="0"/>
    <n v="0"/>
    <n v="0"/>
    <n v="0"/>
    <n v="0"/>
    <n v="0"/>
    <n v="0"/>
    <n v="0"/>
    <n v="0"/>
    <n v="0.1"/>
    <n v="12.52"/>
    <m/>
    <n v="0"/>
    <n v="0"/>
    <m/>
    <s v="301719094322"/>
    <s v="人民币"/>
    <m/>
  </r>
  <r>
    <s v="2015-03-24"/>
    <s v="红利发放"/>
    <s v="A40006"/>
    <x v="2"/>
    <n v="1"/>
    <n v="0"/>
    <n v="2300.7800000000002"/>
    <n v="481852"/>
    <n v="0"/>
    <n v="0"/>
    <n v="0"/>
    <n v="0"/>
    <n v="2300.7800000000002"/>
    <n v="2313.3000000000002"/>
    <m/>
    <n v="1E-3"/>
    <n v="0"/>
    <s v="99F625223328"/>
    <s v="301719094322"/>
    <s v="人民币"/>
    <m/>
  </r>
  <r>
    <s v="2015-03-25"/>
    <s v="基金申购"/>
    <s v="A40006"/>
    <x v="2"/>
    <n v="1"/>
    <n v="2313.3000000000002"/>
    <n v="2313.3000000000002"/>
    <n v="484165"/>
    <n v="0"/>
    <n v="0"/>
    <n v="0"/>
    <n v="0"/>
    <n v="-2313.3000000000002"/>
    <n v="0"/>
    <m/>
    <n v="0"/>
    <n v="0"/>
    <s v="99F625223328"/>
    <s v="301719094322"/>
    <s v="人民币"/>
    <m/>
  </r>
  <r>
    <s v="2015-03-26"/>
    <s v="银证转入"/>
    <m/>
    <x v="0"/>
    <n v="0"/>
    <n v="0"/>
    <n v="0"/>
    <n v="0"/>
    <n v="0"/>
    <n v="0"/>
    <n v="0"/>
    <n v="0"/>
    <n v="1.02"/>
    <n v="1.02"/>
    <m/>
    <n v="0"/>
    <n v="0"/>
    <m/>
    <s v="301719093190"/>
    <s v="人民币"/>
    <m/>
  </r>
  <r>
    <s v="2015-03-26"/>
    <s v="跨行转出"/>
    <m/>
    <x v="0"/>
    <n v="0"/>
    <n v="0"/>
    <n v="0"/>
    <n v="0"/>
    <n v="0"/>
    <n v="0"/>
    <n v="0"/>
    <n v="0"/>
    <n v="-1.02"/>
    <n v="0"/>
    <m/>
    <n v="0"/>
    <n v="0"/>
    <m/>
    <s v="301719093190"/>
    <s v="人民币"/>
    <m/>
  </r>
  <r>
    <s v="2015-03-26"/>
    <s v="跨行转入"/>
    <m/>
    <x v="0"/>
    <n v="0"/>
    <n v="0"/>
    <n v="0"/>
    <n v="0"/>
    <n v="0"/>
    <n v="0"/>
    <n v="0"/>
    <n v="0"/>
    <n v="1.02"/>
    <n v="1.02"/>
    <m/>
    <n v="0"/>
    <n v="0"/>
    <m/>
    <s v="301719094322"/>
    <s v="人民币"/>
    <m/>
  </r>
  <r>
    <s v="2015-03-26"/>
    <s v="银证转入"/>
    <m/>
    <x v="0"/>
    <n v="0"/>
    <n v="0"/>
    <n v="0"/>
    <n v="0"/>
    <n v="0"/>
    <n v="0"/>
    <n v="0"/>
    <n v="0"/>
    <n v="1.43"/>
    <n v="1.43"/>
    <m/>
    <n v="0"/>
    <n v="0"/>
    <m/>
    <s v="301719094323"/>
    <s v="人民币"/>
    <m/>
  </r>
  <r>
    <s v="2015-03-26"/>
    <s v="跨行转出"/>
    <m/>
    <x v="0"/>
    <n v="0"/>
    <n v="0"/>
    <n v="0"/>
    <n v="0"/>
    <n v="0"/>
    <n v="0"/>
    <n v="0"/>
    <n v="0"/>
    <n v="-1.43"/>
    <n v="0"/>
    <m/>
    <n v="0"/>
    <n v="0"/>
    <m/>
    <s v="301719094323"/>
    <s v="人民币"/>
    <m/>
  </r>
  <r>
    <s v="2015-03-26"/>
    <s v="跨行转入"/>
    <m/>
    <x v="0"/>
    <n v="0"/>
    <n v="0"/>
    <n v="0"/>
    <n v="0"/>
    <n v="0"/>
    <n v="0"/>
    <n v="0"/>
    <n v="0"/>
    <n v="1.43"/>
    <n v="2.4500000000000002"/>
    <m/>
    <n v="0"/>
    <n v="0"/>
    <m/>
    <s v="301719094322"/>
    <s v="人民币"/>
    <m/>
  </r>
  <r>
    <s v="2015-03-26"/>
    <s v="基金赎回"/>
    <s v="A40006"/>
    <x v="2"/>
    <n v="1"/>
    <n v="27778.11"/>
    <n v="27778.11"/>
    <n v="456387"/>
    <n v="0"/>
    <n v="0"/>
    <n v="0"/>
    <n v="0"/>
    <n v="27778.11"/>
    <n v="27780.560000000001"/>
    <m/>
    <n v="0"/>
    <n v="0"/>
    <s v="99F625223328"/>
    <s v="301719094322"/>
    <s v="人民币"/>
    <m/>
  </r>
  <r>
    <s v="2015-03-26"/>
    <s v="证券买入清算"/>
    <s v="002252"/>
    <x v="18"/>
    <n v="55.55"/>
    <n v="500"/>
    <n v="27775"/>
    <n v="500"/>
    <n v="5.56"/>
    <n v="0"/>
    <n v="0"/>
    <n v="0"/>
    <n v="-27780.560000000001"/>
    <n v="0"/>
    <s v="SW474456"/>
    <n v="55.55"/>
    <n v="500"/>
    <s v="0103988319"/>
    <s v="301719094322"/>
    <s v="人民币"/>
    <m/>
  </r>
  <r>
    <s v="2015-03-27"/>
    <s v="证券卖出清算"/>
    <s v="002252"/>
    <x v="18"/>
    <n v="56.66"/>
    <n v="500"/>
    <n v="28330"/>
    <n v="0"/>
    <n v="5.67"/>
    <n v="28.33"/>
    <n v="0"/>
    <n v="0"/>
    <n v="28296"/>
    <n v="28296"/>
    <s v="SW172768"/>
    <n v="56.66"/>
    <n v="500"/>
    <s v="0103988319"/>
    <s v="301719094322"/>
    <s v="人民币"/>
    <m/>
  </r>
  <r>
    <s v="2015-03-27"/>
    <s v="基金申购"/>
    <s v="A40006"/>
    <x v="2"/>
    <n v="1"/>
    <n v="28296"/>
    <n v="28296"/>
    <n v="484683"/>
    <n v="0"/>
    <n v="0"/>
    <n v="0"/>
    <n v="0"/>
    <n v="-28296"/>
    <n v="0"/>
    <m/>
    <n v="0"/>
    <n v="0"/>
    <s v="99F625223328"/>
    <s v="301719094322"/>
    <s v="人民币"/>
    <m/>
  </r>
  <r>
    <s v="2015-03-30"/>
    <s v="基金赎回"/>
    <s v="A40006"/>
    <x v="2"/>
    <n v="1"/>
    <n v="3934.51"/>
    <n v="3934.51"/>
    <n v="480749"/>
    <n v="0"/>
    <n v="0"/>
    <n v="0"/>
    <n v="0"/>
    <n v="3934.51"/>
    <n v="3934.51"/>
    <m/>
    <n v="0"/>
    <n v="0"/>
    <s v="99F625223328"/>
    <s v="301719094322"/>
    <s v="人民币"/>
    <m/>
  </r>
  <r>
    <s v="2015-03-30"/>
    <s v="证券卖出清算"/>
    <s v="002697"/>
    <x v="3"/>
    <n v="11.97"/>
    <n v="2000"/>
    <n v="23940"/>
    <n v="0"/>
    <n v="5"/>
    <n v="23.94"/>
    <n v="0"/>
    <n v="0"/>
    <n v="23911.06"/>
    <n v="27845.57"/>
    <s v="SW238286"/>
    <n v="11.36"/>
    <n v="2000"/>
    <s v="0103988319"/>
    <s v="301719094322"/>
    <s v="人民币"/>
    <m/>
  </r>
  <r>
    <s v="2015-03-30"/>
    <s v="证券买入清算"/>
    <s v="002252"/>
    <x v="18"/>
    <n v="55.68"/>
    <n v="500"/>
    <n v="27840"/>
    <n v="500"/>
    <n v="5.57"/>
    <n v="0"/>
    <n v="0"/>
    <n v="0"/>
    <n v="-27845.57"/>
    <n v="0"/>
    <s v="SW260320"/>
    <n v="55.68"/>
    <n v="500"/>
    <s v="0103988319"/>
    <s v="301719094322"/>
    <s v="人民币"/>
    <m/>
  </r>
  <r>
    <s v="2015-03-31"/>
    <s v="银证转入"/>
    <m/>
    <x v="0"/>
    <n v="0"/>
    <n v="0"/>
    <n v="0"/>
    <n v="0"/>
    <n v="0"/>
    <n v="0"/>
    <n v="0"/>
    <n v="0"/>
    <n v="14.45"/>
    <n v="14.45"/>
    <m/>
    <n v="0"/>
    <n v="0"/>
    <m/>
    <s v="301719094322"/>
    <s v="人民币"/>
    <m/>
  </r>
  <r>
    <s v="2015-03-31"/>
    <s v="银证转入"/>
    <m/>
    <x v="0"/>
    <n v="0"/>
    <n v="0"/>
    <n v="0"/>
    <n v="0"/>
    <n v="0"/>
    <n v="0"/>
    <n v="0"/>
    <n v="0"/>
    <n v="9161.11"/>
    <n v="9161.11"/>
    <m/>
    <n v="0"/>
    <n v="0"/>
    <m/>
    <s v="301719093190"/>
    <s v="人民币"/>
    <m/>
  </r>
  <r>
    <s v="2015-03-31"/>
    <s v="跨行转出"/>
    <m/>
    <x v="0"/>
    <n v="0"/>
    <n v="0"/>
    <n v="0"/>
    <n v="0"/>
    <n v="0"/>
    <n v="0"/>
    <n v="0"/>
    <n v="0"/>
    <n v="-9161.11"/>
    <n v="0"/>
    <m/>
    <n v="0"/>
    <n v="0"/>
    <m/>
    <s v="301719093190"/>
    <s v="人民币"/>
    <m/>
  </r>
  <r>
    <s v="2015-03-31"/>
    <s v="跨行转入"/>
    <m/>
    <x v="0"/>
    <n v="0"/>
    <n v="0"/>
    <n v="0"/>
    <n v="0"/>
    <n v="0"/>
    <n v="0"/>
    <n v="0"/>
    <n v="0"/>
    <n v="9161.11"/>
    <n v="9175.56"/>
    <m/>
    <n v="0"/>
    <n v="0"/>
    <m/>
    <s v="301719094322"/>
    <s v="人民币"/>
    <m/>
  </r>
  <r>
    <s v="2015-03-31"/>
    <s v="证券卖出清算"/>
    <s v="002252"/>
    <x v="18"/>
    <n v="55.9"/>
    <n v="500"/>
    <n v="27950"/>
    <n v="0"/>
    <n v="5.59"/>
    <n v="27.95"/>
    <n v="0"/>
    <n v="0"/>
    <n v="27916.46"/>
    <n v="37092.019999999997"/>
    <s v="SW291662"/>
    <n v="55.25"/>
    <n v="500"/>
    <s v="0103988319"/>
    <s v="301719094322"/>
    <s v="人民币"/>
    <m/>
  </r>
  <r>
    <s v="2015-03-31"/>
    <s v="基金申购"/>
    <s v="A40006"/>
    <x v="2"/>
    <n v="1"/>
    <n v="37092.019999999997"/>
    <n v="37092.019999999997"/>
    <n v="517841"/>
    <n v="0"/>
    <n v="0"/>
    <n v="0"/>
    <n v="0"/>
    <n v="-37092.019999999997"/>
    <n v="0"/>
    <m/>
    <n v="0"/>
    <n v="0"/>
    <s v="99F625223328"/>
    <s v="301719094322"/>
    <s v="人民币"/>
    <m/>
  </r>
  <r>
    <s v="2015-04-13"/>
    <s v="银证转入"/>
    <m/>
    <x v="0"/>
    <n v="0"/>
    <n v="0"/>
    <n v="0"/>
    <n v="0"/>
    <n v="0"/>
    <n v="0"/>
    <n v="0"/>
    <n v="0"/>
    <n v="2.2599999999999998"/>
    <n v="2.2599999999999998"/>
    <m/>
    <n v="0"/>
    <n v="0"/>
    <m/>
    <s v="301719094322"/>
    <s v="人民币"/>
    <m/>
  </r>
  <r>
    <s v="2015-04-13"/>
    <s v="基金赎回"/>
    <s v="A40006"/>
    <x v="2"/>
    <n v="1"/>
    <n v="124317.74"/>
    <n v="124317.74"/>
    <n v="393523"/>
    <n v="0"/>
    <n v="0"/>
    <n v="0"/>
    <n v="0"/>
    <n v="124317.74"/>
    <n v="124320"/>
    <m/>
    <n v="0"/>
    <n v="0"/>
    <s v="99F625223328"/>
    <s v="301719094322"/>
    <s v="人民币"/>
    <m/>
  </r>
  <r>
    <s v="2015-04-13"/>
    <s v="新股申购"/>
    <s v="300449"/>
    <x v="19"/>
    <n v="17.760000000000002"/>
    <n v="7000"/>
    <n v="124320"/>
    <n v="7000"/>
    <n v="0"/>
    <n v="0"/>
    <n v="0"/>
    <n v="0"/>
    <n v="-124320"/>
    <n v="0"/>
    <s v="SW302578"/>
    <n v="17.760000000000002"/>
    <n v="7000"/>
    <s v="0103988319"/>
    <s v="301719094322"/>
    <s v="人民币"/>
    <m/>
  </r>
  <r>
    <s v="2015-04-14"/>
    <s v="银证转入"/>
    <m/>
    <x v="0"/>
    <n v="0"/>
    <n v="0"/>
    <n v="0"/>
    <n v="0"/>
    <n v="0"/>
    <n v="0"/>
    <n v="0"/>
    <n v="0"/>
    <n v="1935"/>
    <n v="1935"/>
    <m/>
    <n v="0"/>
    <n v="0"/>
    <m/>
    <s v="301719094322"/>
    <s v="人民币"/>
    <m/>
  </r>
  <r>
    <s v="2015-04-14"/>
    <s v="基金赎回"/>
    <s v="A40006"/>
    <x v="2"/>
    <n v="1"/>
    <n v="303740"/>
    <n v="303740"/>
    <n v="89783"/>
    <n v="0"/>
    <n v="0"/>
    <n v="0"/>
    <n v="0"/>
    <n v="303740"/>
    <n v="305675"/>
    <m/>
    <n v="0"/>
    <n v="0"/>
    <s v="99F625223328"/>
    <s v="301719094322"/>
    <s v="人民币"/>
    <m/>
  </r>
  <r>
    <s v="2015-04-14"/>
    <s v="新股申购"/>
    <s v="300436"/>
    <x v="20"/>
    <n v="21.47"/>
    <n v="2500"/>
    <n v="53675"/>
    <n v="2500"/>
    <n v="0"/>
    <n v="0"/>
    <n v="0"/>
    <n v="0"/>
    <n v="-53675"/>
    <n v="252000"/>
    <s v="SW467958"/>
    <n v="21.47"/>
    <n v="2500"/>
    <s v="0103988319"/>
    <s v="301719094322"/>
    <s v="人民币"/>
    <m/>
  </r>
  <r>
    <s v="2015-04-14"/>
    <s v="新股申购"/>
    <s v="300424"/>
    <x v="21"/>
    <n v="11.68"/>
    <n v="1500"/>
    <n v="17520"/>
    <n v="1500"/>
    <n v="0"/>
    <n v="0"/>
    <n v="0"/>
    <n v="0"/>
    <n v="-17520"/>
    <n v="234480"/>
    <s v="SW468066"/>
    <n v="11.68"/>
    <n v="1500"/>
    <s v="0103988319"/>
    <s v="301719094322"/>
    <s v="人民币"/>
    <m/>
  </r>
  <r>
    <s v="2015-04-14"/>
    <s v="新股申购"/>
    <s v="300447"/>
    <x v="22"/>
    <n v="12.91"/>
    <n v="2500"/>
    <n v="32275"/>
    <n v="2500"/>
    <n v="0"/>
    <n v="0"/>
    <n v="0"/>
    <n v="0"/>
    <n v="-32275"/>
    <n v="202205"/>
    <s v="SW468158"/>
    <n v="12.91"/>
    <n v="2500"/>
    <s v="0103988319"/>
    <s v="301719094322"/>
    <s v="人民币"/>
    <m/>
  </r>
  <r>
    <s v="2015-04-14"/>
    <s v="新股申购"/>
    <s v="300439"/>
    <x v="23"/>
    <n v="27.51"/>
    <n v="1500"/>
    <n v="41265"/>
    <n v="1500"/>
    <n v="0"/>
    <n v="0"/>
    <n v="0"/>
    <n v="0"/>
    <n v="-41265"/>
    <n v="160940"/>
    <s v="SW468311"/>
    <n v="27.51"/>
    <n v="1500"/>
    <s v="0103988319"/>
    <s v="301719094322"/>
    <s v="人民币"/>
    <m/>
  </r>
  <r>
    <s v="2015-04-14"/>
    <s v="新股申购"/>
    <s v="300445"/>
    <x v="24"/>
    <n v="18.12"/>
    <n v="4000"/>
    <n v="72480"/>
    <n v="4000"/>
    <n v="0"/>
    <n v="0"/>
    <n v="0"/>
    <n v="0"/>
    <n v="-72480"/>
    <n v="88460"/>
    <s v="SW468378"/>
    <n v="18.12"/>
    <n v="4000"/>
    <s v="0103988319"/>
    <s v="301719094322"/>
    <s v="人民币"/>
    <m/>
  </r>
  <r>
    <s v="2015-04-14"/>
    <s v="新股申购"/>
    <s v="300443"/>
    <x v="25"/>
    <n v="31.94"/>
    <n v="2500"/>
    <n v="79850"/>
    <n v="2500"/>
    <n v="0"/>
    <n v="0"/>
    <n v="0"/>
    <n v="0"/>
    <n v="-79850"/>
    <n v="8610"/>
    <s v="SW468490"/>
    <n v="31.94"/>
    <n v="2500"/>
    <s v="0103988319"/>
    <s v="301719094322"/>
    <s v="人民币"/>
    <m/>
  </r>
  <r>
    <s v="2015-04-14"/>
    <s v="新股申购"/>
    <s v="002752"/>
    <x v="26"/>
    <n v="5.74"/>
    <n v="1500"/>
    <n v="8610"/>
    <n v="1500"/>
    <n v="0"/>
    <n v="0"/>
    <n v="0"/>
    <n v="0"/>
    <n v="-8610"/>
    <n v="0"/>
    <s v="SW468603"/>
    <n v="5.74"/>
    <n v="1500"/>
    <s v="0103988319"/>
    <s v="301719094322"/>
    <s v="人民币"/>
    <m/>
  </r>
  <r>
    <s v="2015-04-15"/>
    <s v="银证转入"/>
    <m/>
    <x v="0"/>
    <n v="0"/>
    <n v="0"/>
    <n v="0"/>
    <n v="0"/>
    <n v="0"/>
    <n v="0"/>
    <n v="0"/>
    <n v="0"/>
    <n v="3641.23"/>
    <n v="3641.23"/>
    <m/>
    <n v="0"/>
    <n v="0"/>
    <m/>
    <s v="301719094322"/>
    <s v="人民币"/>
    <m/>
  </r>
  <r>
    <s v="2015-04-15"/>
    <s v="银证转入"/>
    <m/>
    <x v="0"/>
    <n v="0"/>
    <n v="0"/>
    <n v="0"/>
    <n v="0"/>
    <n v="0"/>
    <n v="0"/>
    <n v="0"/>
    <n v="0"/>
    <n v="117145.21"/>
    <n v="117145.21"/>
    <m/>
    <n v="0"/>
    <n v="0"/>
    <m/>
    <s v="301719093195"/>
    <s v="人民币"/>
    <m/>
  </r>
  <r>
    <s v="2015-04-15"/>
    <s v="跨行转出"/>
    <m/>
    <x v="0"/>
    <n v="0"/>
    <n v="0"/>
    <n v="0"/>
    <n v="0"/>
    <n v="0"/>
    <n v="0"/>
    <n v="0"/>
    <n v="0"/>
    <n v="-117145.21"/>
    <n v="0"/>
    <m/>
    <n v="0"/>
    <n v="0"/>
    <m/>
    <s v="301719093195"/>
    <s v="人民币"/>
    <m/>
  </r>
  <r>
    <s v="2015-04-15"/>
    <s v="跨行转入"/>
    <m/>
    <x v="0"/>
    <n v="0"/>
    <n v="0"/>
    <n v="0"/>
    <n v="0"/>
    <n v="0"/>
    <n v="0"/>
    <n v="0"/>
    <n v="0"/>
    <n v="117145.21"/>
    <n v="120786.44"/>
    <m/>
    <n v="0"/>
    <n v="0"/>
    <m/>
    <s v="301719094322"/>
    <s v="人民币"/>
    <m/>
  </r>
  <r>
    <s v="2015-04-15"/>
    <s v="基金赎回"/>
    <s v="A40006"/>
    <x v="2"/>
    <n v="1"/>
    <n v="84638.56"/>
    <n v="84638.56"/>
    <n v="5145"/>
    <n v="0"/>
    <n v="0"/>
    <n v="0"/>
    <n v="0"/>
    <n v="84638.56"/>
    <n v="205425"/>
    <m/>
    <n v="0"/>
    <n v="0"/>
    <s v="99F625223328"/>
    <s v="301719094322"/>
    <s v="人民币"/>
    <m/>
  </r>
  <r>
    <s v="2015-04-15"/>
    <s v="申购还款"/>
    <s v="300449"/>
    <x v="19"/>
    <n v="17.760000000000002"/>
    <n v="7000"/>
    <n v="124320"/>
    <n v="0"/>
    <n v="0"/>
    <n v="0"/>
    <n v="0"/>
    <n v="0"/>
    <n v="124320"/>
    <n v="329745"/>
    <s v="SW302578"/>
    <n v="17.760000000000002"/>
    <n v="7000"/>
    <s v="0103988319"/>
    <s v="301719094322"/>
    <s v="人民币"/>
    <m/>
  </r>
  <r>
    <s v="2015-04-15"/>
    <s v="新股申购"/>
    <s v="300446"/>
    <x v="27"/>
    <n v="8.85"/>
    <n v="6000"/>
    <n v="53100"/>
    <n v="6000"/>
    <n v="0"/>
    <n v="0"/>
    <n v="0"/>
    <n v="0"/>
    <n v="-53100"/>
    <n v="276645"/>
    <s v="SW202140"/>
    <n v="8.85"/>
    <n v="6000"/>
    <s v="0103988319"/>
    <s v="301719094322"/>
    <s v="人民币"/>
    <m/>
  </r>
  <r>
    <s v="2015-04-15"/>
    <s v="新股申购"/>
    <s v="300437"/>
    <x v="28"/>
    <n v="10.53"/>
    <n v="6000"/>
    <n v="63180"/>
    <n v="6000"/>
    <n v="0"/>
    <n v="0"/>
    <n v="0"/>
    <n v="0"/>
    <n v="-63180"/>
    <n v="213465"/>
    <s v="SW202152"/>
    <n v="10.53"/>
    <n v="6000"/>
    <s v="0103988319"/>
    <s v="301719094322"/>
    <s v="人民币"/>
    <m/>
  </r>
  <r>
    <s v="2015-04-15"/>
    <s v="新股申购"/>
    <s v="300448"/>
    <x v="29"/>
    <n v="15.79"/>
    <n v="1500"/>
    <n v="23685"/>
    <n v="1500"/>
    <n v="0"/>
    <n v="0"/>
    <n v="0"/>
    <n v="0"/>
    <n v="-23685"/>
    <n v="189780"/>
    <s v="SW202172"/>
    <n v="15.79"/>
    <n v="1500"/>
    <s v="0103988319"/>
    <s v="301719094322"/>
    <s v="人民币"/>
    <m/>
  </r>
  <r>
    <s v="2015-04-15"/>
    <s v="新股申购"/>
    <s v="300441"/>
    <x v="30"/>
    <n v="9.81"/>
    <n v="1500"/>
    <n v="14715"/>
    <n v="1500"/>
    <n v="0"/>
    <n v="0"/>
    <n v="0"/>
    <n v="0"/>
    <n v="-14715"/>
    <n v="175065"/>
    <s v="SW202174"/>
    <n v="9.81"/>
    <n v="1500"/>
    <s v="0103988319"/>
    <s v="301719094322"/>
    <s v="人民币"/>
    <m/>
  </r>
  <r>
    <s v="2015-04-15"/>
    <s v="新股申购"/>
    <s v="300440"/>
    <x v="31"/>
    <n v="21.7"/>
    <n v="1500"/>
    <n v="32550"/>
    <n v="1500"/>
    <n v="0"/>
    <n v="0"/>
    <n v="0"/>
    <n v="0"/>
    <n v="-32550"/>
    <n v="142515"/>
    <s v="SW202185"/>
    <n v="21.7"/>
    <n v="1500"/>
    <s v="0103988319"/>
    <s v="301719094322"/>
    <s v="人民币"/>
    <m/>
  </r>
  <r>
    <s v="2015-04-15"/>
    <s v="新股申购"/>
    <s v="300444"/>
    <x v="32"/>
    <n v="12.13"/>
    <n v="1500"/>
    <n v="18195"/>
    <n v="1500"/>
    <n v="0"/>
    <n v="0"/>
    <n v="0"/>
    <n v="0"/>
    <n v="-18195"/>
    <n v="124320"/>
    <s v="SW202191"/>
    <n v="12.13"/>
    <n v="1500"/>
    <s v="0103988319"/>
    <s v="301719094322"/>
    <s v="人民币"/>
    <m/>
  </r>
  <r>
    <s v="2015-04-16"/>
    <s v="银证转入"/>
    <m/>
    <x v="0"/>
    <n v="0"/>
    <n v="0"/>
    <n v="0"/>
    <n v="0"/>
    <n v="0"/>
    <n v="0"/>
    <n v="0"/>
    <n v="0"/>
    <n v="3572"/>
    <n v="3572"/>
    <m/>
    <n v="0"/>
    <n v="0"/>
    <m/>
    <s v="301719094323"/>
    <s v="人民币"/>
    <m/>
  </r>
  <r>
    <s v="2015-04-16"/>
    <s v="跨行转出"/>
    <m/>
    <x v="0"/>
    <n v="0"/>
    <n v="0"/>
    <n v="0"/>
    <n v="0"/>
    <n v="0"/>
    <n v="0"/>
    <n v="0"/>
    <n v="0"/>
    <n v="-3572"/>
    <n v="0"/>
    <m/>
    <n v="0"/>
    <n v="0"/>
    <m/>
    <s v="301719094323"/>
    <s v="人民币"/>
    <m/>
  </r>
  <r>
    <s v="2015-04-16"/>
    <s v="跨行转入"/>
    <m/>
    <x v="0"/>
    <n v="0"/>
    <n v="0"/>
    <n v="0"/>
    <n v="0"/>
    <n v="0"/>
    <n v="0"/>
    <n v="0"/>
    <n v="0"/>
    <n v="3572"/>
    <n v="127892"/>
    <m/>
    <n v="0"/>
    <n v="0"/>
    <m/>
    <s v="301719094322"/>
    <s v="人民币"/>
    <m/>
  </r>
  <r>
    <s v="2015-04-16"/>
    <s v="银证转入"/>
    <m/>
    <x v="0"/>
    <n v="0"/>
    <n v="0"/>
    <n v="0"/>
    <n v="0"/>
    <n v="0"/>
    <n v="0"/>
    <n v="0"/>
    <n v="0"/>
    <n v="180"/>
    <n v="180"/>
    <m/>
    <n v="0"/>
    <n v="0"/>
    <m/>
    <s v="301719094323"/>
    <s v="人民币"/>
    <m/>
  </r>
  <r>
    <s v="2015-04-16"/>
    <s v="跨行转出"/>
    <m/>
    <x v="0"/>
    <n v="0"/>
    <n v="0"/>
    <n v="0"/>
    <n v="0"/>
    <n v="0"/>
    <n v="0"/>
    <n v="0"/>
    <n v="0"/>
    <n v="-180"/>
    <n v="0"/>
    <m/>
    <n v="0"/>
    <n v="0"/>
    <m/>
    <s v="301719094323"/>
    <s v="人民币"/>
    <m/>
  </r>
  <r>
    <s v="2015-04-16"/>
    <s v="跨行转入"/>
    <m/>
    <x v="0"/>
    <n v="0"/>
    <n v="0"/>
    <n v="0"/>
    <n v="0"/>
    <n v="0"/>
    <n v="0"/>
    <n v="0"/>
    <n v="0"/>
    <n v="180"/>
    <n v="128072"/>
    <m/>
    <n v="0"/>
    <n v="0"/>
    <m/>
    <s v="301719094322"/>
    <s v="人民币"/>
    <m/>
  </r>
  <r>
    <s v="2015-04-16"/>
    <s v="银证转入"/>
    <m/>
    <x v="0"/>
    <n v="0"/>
    <n v="0"/>
    <n v="0"/>
    <n v="0"/>
    <n v="0"/>
    <n v="0"/>
    <n v="0"/>
    <n v="0"/>
    <n v="33436.18"/>
    <n v="33436.18"/>
    <m/>
    <n v="0"/>
    <n v="0"/>
    <m/>
    <s v="301719094323"/>
    <s v="人民币"/>
    <m/>
  </r>
  <r>
    <s v="2015-04-16"/>
    <s v="跨行转出"/>
    <m/>
    <x v="0"/>
    <n v="0"/>
    <n v="0"/>
    <n v="0"/>
    <n v="0"/>
    <n v="0"/>
    <n v="0"/>
    <n v="0"/>
    <n v="0"/>
    <n v="-33436.18"/>
    <n v="0"/>
    <m/>
    <n v="0"/>
    <n v="0"/>
    <m/>
    <s v="301719094323"/>
    <s v="人民币"/>
    <m/>
  </r>
  <r>
    <s v="2015-04-16"/>
    <s v="跨行转入"/>
    <m/>
    <x v="0"/>
    <n v="0"/>
    <n v="0"/>
    <n v="0"/>
    <n v="0"/>
    <n v="0"/>
    <n v="0"/>
    <n v="0"/>
    <n v="0"/>
    <n v="33436.18"/>
    <n v="161508.18"/>
    <m/>
    <n v="0"/>
    <n v="0"/>
    <m/>
    <s v="301719094322"/>
    <s v="人民币"/>
    <m/>
  </r>
  <r>
    <s v="2015-04-16"/>
    <s v="基金赎回"/>
    <s v="A40006"/>
    <x v="2"/>
    <n v="1"/>
    <n v="5145"/>
    <n v="5145"/>
    <n v="0"/>
    <n v="0"/>
    <n v="0"/>
    <n v="0"/>
    <n v="0"/>
    <n v="5145"/>
    <n v="166653.18"/>
    <m/>
    <n v="0"/>
    <n v="0"/>
    <s v="99F625223328"/>
    <s v="301719094322"/>
    <s v="人民币"/>
    <m/>
  </r>
  <r>
    <s v="2015-04-16"/>
    <s v="申购还款"/>
    <s v="300436"/>
    <x v="20"/>
    <n v="21.47"/>
    <n v="2500"/>
    <n v="53675"/>
    <n v="0"/>
    <n v="0"/>
    <n v="0"/>
    <n v="0"/>
    <n v="0"/>
    <n v="53675"/>
    <n v="220328.18"/>
    <s v="SW467958"/>
    <n v="21.47"/>
    <n v="2500"/>
    <s v="0103988319"/>
    <s v="301719094322"/>
    <s v="人民币"/>
    <m/>
  </r>
  <r>
    <s v="2015-04-16"/>
    <s v="申购还款"/>
    <s v="300424"/>
    <x v="21"/>
    <n v="11.68"/>
    <n v="1500"/>
    <n v="17520"/>
    <n v="0"/>
    <n v="0"/>
    <n v="0"/>
    <n v="0"/>
    <n v="0"/>
    <n v="17520"/>
    <n v="237848.18"/>
    <s v="SW468066"/>
    <n v="11.68"/>
    <n v="1500"/>
    <s v="0103988319"/>
    <s v="301719094322"/>
    <s v="人民币"/>
    <m/>
  </r>
  <r>
    <s v="2015-04-16"/>
    <s v="申购还款"/>
    <s v="300447"/>
    <x v="22"/>
    <n v="12.91"/>
    <n v="2500"/>
    <n v="32275"/>
    <n v="0"/>
    <n v="0"/>
    <n v="0"/>
    <n v="0"/>
    <n v="0"/>
    <n v="32275"/>
    <n v="270123.18"/>
    <s v="SW468158"/>
    <n v="12.91"/>
    <n v="2500"/>
    <s v="0103988319"/>
    <s v="301719094322"/>
    <s v="人民币"/>
    <m/>
  </r>
  <r>
    <s v="2015-04-16"/>
    <s v="申购还款"/>
    <s v="300439"/>
    <x v="23"/>
    <n v="27.51"/>
    <n v="1500"/>
    <n v="41265"/>
    <n v="0"/>
    <n v="0"/>
    <n v="0"/>
    <n v="0"/>
    <n v="0"/>
    <n v="41265"/>
    <n v="311388.18"/>
    <s v="SW468311"/>
    <n v="27.51"/>
    <n v="1500"/>
    <s v="0103988319"/>
    <s v="301719094322"/>
    <s v="人民币"/>
    <m/>
  </r>
  <r>
    <s v="2015-04-16"/>
    <s v="申购还款"/>
    <s v="300445"/>
    <x v="24"/>
    <n v="18.12"/>
    <n v="4000"/>
    <n v="72480"/>
    <n v="0"/>
    <n v="0"/>
    <n v="0"/>
    <n v="0"/>
    <n v="0"/>
    <n v="72480"/>
    <n v="383868.18"/>
    <s v="SW468378"/>
    <n v="18.12"/>
    <n v="4000"/>
    <s v="0103988319"/>
    <s v="301719094322"/>
    <s v="人民币"/>
    <m/>
  </r>
  <r>
    <s v="2015-04-16"/>
    <s v="申购还款"/>
    <s v="300443"/>
    <x v="25"/>
    <n v="31.94"/>
    <n v="2500"/>
    <n v="79850"/>
    <n v="0"/>
    <n v="0"/>
    <n v="0"/>
    <n v="0"/>
    <n v="0"/>
    <n v="79850"/>
    <n v="463718.18"/>
    <s v="SW468490"/>
    <n v="31.94"/>
    <n v="2500"/>
    <s v="0103988319"/>
    <s v="301719094322"/>
    <s v="人民币"/>
    <m/>
  </r>
  <r>
    <s v="2015-04-16"/>
    <s v="申购还款"/>
    <s v="002752"/>
    <x v="26"/>
    <n v="5.74"/>
    <n v="1500"/>
    <n v="8610"/>
    <n v="0"/>
    <n v="0"/>
    <n v="0"/>
    <n v="0"/>
    <n v="0"/>
    <n v="8610"/>
    <n v="472328.18"/>
    <s v="SW468603"/>
    <n v="5.74"/>
    <n v="1500"/>
    <s v="0103988319"/>
    <s v="301719094322"/>
    <s v="人民币"/>
    <m/>
  </r>
  <r>
    <s v="2015-04-16"/>
    <s v="新股申购"/>
    <s v="300434"/>
    <x v="33"/>
    <n v="10.57"/>
    <n v="1500"/>
    <n v="15855"/>
    <n v="1500"/>
    <n v="0"/>
    <n v="0"/>
    <n v="0"/>
    <n v="0"/>
    <n v="-15855"/>
    <n v="456473.18"/>
    <s v="SW324994"/>
    <n v="10.57"/>
    <n v="1500"/>
    <s v="0103988319"/>
    <s v="301719094322"/>
    <s v="人民币"/>
    <m/>
  </r>
  <r>
    <s v="2015-04-16"/>
    <s v="新股申购"/>
    <s v="300404"/>
    <x v="34"/>
    <n v="12.87"/>
    <n v="5000"/>
    <n v="64350"/>
    <n v="5000"/>
    <n v="0"/>
    <n v="0"/>
    <n v="0"/>
    <n v="0"/>
    <n v="-64350"/>
    <n v="392123.18"/>
    <s v="SW325794"/>
    <n v="12.87"/>
    <n v="5000"/>
    <s v="0103988319"/>
    <s v="301719094322"/>
    <s v="人民币"/>
    <m/>
  </r>
  <r>
    <s v="2015-04-16"/>
    <s v="新股申购"/>
    <s v="002751"/>
    <x v="35"/>
    <n v="10.48"/>
    <n v="5000"/>
    <n v="52400"/>
    <n v="5000"/>
    <n v="0"/>
    <n v="0"/>
    <n v="0"/>
    <n v="0"/>
    <n v="-52400"/>
    <n v="339723.18"/>
    <s v="SW325886"/>
    <n v="10.48"/>
    <n v="5000"/>
    <s v="0103988319"/>
    <s v="301719094322"/>
    <s v="人民币"/>
    <m/>
  </r>
  <r>
    <s v="2015-04-16"/>
    <s v="新股申购"/>
    <s v="300438"/>
    <x v="36"/>
    <n v="14.87"/>
    <n v="1000"/>
    <n v="14870"/>
    <n v="1000"/>
    <n v="0"/>
    <n v="0"/>
    <n v="0"/>
    <n v="0"/>
    <n v="-14870"/>
    <n v="324853.18"/>
    <s v="SW325962"/>
    <n v="14.87"/>
    <n v="1000"/>
    <s v="0103988319"/>
    <s v="301719094322"/>
    <s v="人民币"/>
    <m/>
  </r>
  <r>
    <s v="2015-04-16"/>
    <s v="新股申购"/>
    <s v="300442"/>
    <x v="37"/>
    <n v="19.170000000000002"/>
    <n v="1000"/>
    <n v="19170"/>
    <n v="1000"/>
    <n v="0"/>
    <n v="0"/>
    <n v="0"/>
    <n v="0"/>
    <n v="-19170"/>
    <n v="305683.18"/>
    <s v="SW352954"/>
    <n v="19.170000000000002"/>
    <n v="1000"/>
    <s v="0103988319"/>
    <s v="301719094322"/>
    <s v="人民币"/>
    <m/>
  </r>
  <r>
    <s v="2015-04-17"/>
    <s v="银证转出"/>
    <m/>
    <x v="0"/>
    <n v="0"/>
    <n v="0"/>
    <n v="0"/>
    <n v="0"/>
    <n v="0"/>
    <n v="0"/>
    <n v="0"/>
    <n v="0"/>
    <n v="-200000"/>
    <n v="105683.18"/>
    <m/>
    <n v="0"/>
    <n v="0"/>
    <m/>
    <s v="301719094322"/>
    <s v="人民币"/>
    <m/>
  </r>
  <r>
    <s v="2015-04-17"/>
    <s v="申购还款"/>
    <s v="300446"/>
    <x v="27"/>
    <n v="8.85"/>
    <n v="6000"/>
    <n v="53100"/>
    <n v="0"/>
    <n v="0"/>
    <n v="0"/>
    <n v="0"/>
    <n v="0"/>
    <n v="53100"/>
    <n v="158783.18"/>
    <s v="SW202140"/>
    <n v="8.85"/>
    <n v="6000"/>
    <s v="0103988319"/>
    <s v="301719094322"/>
    <s v="人民币"/>
    <m/>
  </r>
  <r>
    <s v="2015-04-17"/>
    <s v="申购还款"/>
    <s v="300437"/>
    <x v="28"/>
    <n v="10.53"/>
    <n v="6000"/>
    <n v="63180"/>
    <n v="0"/>
    <n v="0"/>
    <n v="0"/>
    <n v="0"/>
    <n v="0"/>
    <n v="63180"/>
    <n v="221963.18"/>
    <s v="SW202152"/>
    <n v="10.53"/>
    <n v="6000"/>
    <s v="0103988319"/>
    <s v="301719094322"/>
    <s v="人民币"/>
    <m/>
  </r>
  <r>
    <s v="2015-04-17"/>
    <s v="申购还款"/>
    <s v="300448"/>
    <x v="29"/>
    <n v="15.79"/>
    <n v="1500"/>
    <n v="23685"/>
    <n v="0"/>
    <n v="0"/>
    <n v="0"/>
    <n v="0"/>
    <n v="0"/>
    <n v="23685"/>
    <n v="245648.18"/>
    <s v="SW202172"/>
    <n v="15.79"/>
    <n v="1500"/>
    <s v="0103988319"/>
    <s v="301719094322"/>
    <s v="人民币"/>
    <m/>
  </r>
  <r>
    <s v="2015-04-17"/>
    <s v="申购还款"/>
    <s v="300441"/>
    <x v="30"/>
    <n v="9.81"/>
    <n v="1500"/>
    <n v="14715"/>
    <n v="0"/>
    <n v="0"/>
    <n v="0"/>
    <n v="0"/>
    <n v="0"/>
    <n v="14715"/>
    <n v="260363.18"/>
    <s v="SW202174"/>
    <n v="9.81"/>
    <n v="1500"/>
    <s v="0103988319"/>
    <s v="301719094322"/>
    <s v="人民币"/>
    <m/>
  </r>
  <r>
    <s v="2015-04-17"/>
    <s v="申购还款"/>
    <s v="300440"/>
    <x v="31"/>
    <n v="21.7"/>
    <n v="1500"/>
    <n v="32550"/>
    <n v="0"/>
    <n v="0"/>
    <n v="0"/>
    <n v="0"/>
    <n v="0"/>
    <n v="32550"/>
    <n v="292913.18"/>
    <s v="SW202185"/>
    <n v="21.7"/>
    <n v="1500"/>
    <s v="0103988319"/>
    <s v="301719094322"/>
    <s v="人民币"/>
    <m/>
  </r>
  <r>
    <s v="2015-04-17"/>
    <s v="申购还款"/>
    <s v="300444"/>
    <x v="32"/>
    <n v="12.13"/>
    <n v="1500"/>
    <n v="18195"/>
    <n v="0"/>
    <n v="0"/>
    <n v="0"/>
    <n v="0"/>
    <n v="0"/>
    <n v="18195"/>
    <n v="311108.18"/>
    <s v="SW202191"/>
    <n v="12.13"/>
    <n v="1500"/>
    <s v="0103988319"/>
    <s v="301719094322"/>
    <s v="人民币"/>
    <m/>
  </r>
  <r>
    <s v="2015-04-17"/>
    <s v="证券卖出清算"/>
    <s v="002239"/>
    <x v="16"/>
    <n v="11"/>
    <n v="4000"/>
    <n v="44000"/>
    <n v="0"/>
    <n v="8.8000000000000007"/>
    <n v="44"/>
    <n v="0"/>
    <n v="0"/>
    <n v="43947.199999999997"/>
    <n v="355055.38"/>
    <s v="SW434141"/>
    <n v="11"/>
    <n v="4000"/>
    <s v="0103988319"/>
    <s v="301719094322"/>
    <s v="人民币"/>
    <m/>
  </r>
  <r>
    <s v="2015-04-17"/>
    <s v="基金申购"/>
    <s v="A40006"/>
    <x v="2"/>
    <n v="1"/>
    <n v="149630.38"/>
    <n v="149630.38"/>
    <n v="149630"/>
    <n v="0"/>
    <n v="0"/>
    <n v="0"/>
    <n v="0"/>
    <n v="-149630.38"/>
    <n v="205425"/>
    <m/>
    <n v="0"/>
    <n v="0"/>
    <s v="99F625223328"/>
    <s v="301719094322"/>
    <s v="人民币"/>
    <m/>
  </r>
  <r>
    <s v="2015-04-20"/>
    <s v="申购还款"/>
    <s v="300434"/>
    <x v="33"/>
    <n v="10.57"/>
    <n v="1500"/>
    <n v="15855"/>
    <n v="0"/>
    <n v="0"/>
    <n v="0"/>
    <n v="0"/>
    <n v="0"/>
    <n v="15855"/>
    <n v="221280"/>
    <s v="SW324994"/>
    <n v="10.57"/>
    <n v="1500"/>
    <s v="0103988319"/>
    <s v="301719094322"/>
    <s v="人民币"/>
    <m/>
  </r>
  <r>
    <s v="2015-04-20"/>
    <s v="申购还款"/>
    <s v="300404"/>
    <x v="34"/>
    <n v="12.87"/>
    <n v="5000"/>
    <n v="64350"/>
    <n v="0"/>
    <n v="0"/>
    <n v="0"/>
    <n v="0"/>
    <n v="0"/>
    <n v="64350"/>
    <n v="285630"/>
    <s v="SW325794"/>
    <n v="12.87"/>
    <n v="5000"/>
    <s v="0103988319"/>
    <s v="301719094322"/>
    <s v="人民币"/>
    <m/>
  </r>
  <r>
    <s v="2015-04-20"/>
    <s v="申购还款"/>
    <s v="002751"/>
    <x v="35"/>
    <n v="10.48"/>
    <n v="5000"/>
    <n v="52400"/>
    <n v="0"/>
    <n v="0"/>
    <n v="0"/>
    <n v="0"/>
    <n v="0"/>
    <n v="52400"/>
    <n v="338030"/>
    <s v="SW325886"/>
    <n v="10.48"/>
    <n v="5000"/>
    <s v="0103988319"/>
    <s v="301719094322"/>
    <s v="人民币"/>
    <m/>
  </r>
  <r>
    <s v="2015-04-20"/>
    <s v="申购还款"/>
    <s v="300438"/>
    <x v="36"/>
    <n v="14.87"/>
    <n v="1000"/>
    <n v="14870"/>
    <n v="0"/>
    <n v="0"/>
    <n v="0"/>
    <n v="0"/>
    <n v="0"/>
    <n v="14870"/>
    <n v="352900"/>
    <s v="SW325962"/>
    <n v="14.87"/>
    <n v="1000"/>
    <s v="0103988319"/>
    <s v="301719094322"/>
    <s v="人民币"/>
    <m/>
  </r>
  <r>
    <s v="2015-04-20"/>
    <s v="申购还款"/>
    <s v="300442"/>
    <x v="37"/>
    <n v="19.170000000000002"/>
    <n v="1000"/>
    <n v="19170"/>
    <n v="0"/>
    <n v="0"/>
    <n v="0"/>
    <n v="0"/>
    <n v="0"/>
    <n v="19170"/>
    <n v="372070"/>
    <s v="SW352954"/>
    <n v="19.170000000000002"/>
    <n v="1000"/>
    <s v="0103988319"/>
    <s v="301719094322"/>
    <s v="人民币"/>
    <m/>
  </r>
  <r>
    <s v="2015-04-20"/>
    <s v="基金申购"/>
    <s v="A40006"/>
    <x v="2"/>
    <n v="1"/>
    <n v="205425"/>
    <n v="205425"/>
    <n v="355055"/>
    <n v="0"/>
    <n v="0"/>
    <n v="0"/>
    <n v="0"/>
    <n v="-205425"/>
    <n v="166645"/>
    <m/>
    <n v="0"/>
    <n v="0"/>
    <s v="99F625223328"/>
    <s v="301719094322"/>
    <s v="人民币"/>
    <m/>
  </r>
  <r>
    <s v="2015-04-21"/>
    <s v="银证转出"/>
    <m/>
    <x v="0"/>
    <n v="0"/>
    <n v="0"/>
    <n v="0"/>
    <n v="0"/>
    <n v="0"/>
    <n v="0"/>
    <n v="0"/>
    <n v="0"/>
    <n v="-16600"/>
    <n v="150045"/>
    <m/>
    <n v="0"/>
    <n v="0"/>
    <m/>
    <s v="301719094322"/>
    <s v="人民币"/>
    <m/>
  </r>
  <r>
    <s v="2015-04-21"/>
    <s v="银证转出"/>
    <m/>
    <x v="0"/>
    <n v="0"/>
    <n v="0"/>
    <n v="0"/>
    <n v="0"/>
    <n v="0"/>
    <n v="0"/>
    <n v="0"/>
    <n v="0"/>
    <n v="-150000"/>
    <n v="45"/>
    <m/>
    <n v="0"/>
    <n v="0"/>
    <m/>
    <s v="301719094322"/>
    <s v="人民币"/>
    <m/>
  </r>
  <r>
    <s v="2015-05-04"/>
    <s v="银证转入"/>
    <m/>
    <x v="0"/>
    <n v="0"/>
    <n v="0"/>
    <n v="0"/>
    <n v="0"/>
    <n v="0"/>
    <n v="0"/>
    <n v="0"/>
    <n v="0"/>
    <n v="9661.11"/>
    <n v="9661.11"/>
    <m/>
    <n v="0"/>
    <n v="0"/>
    <m/>
    <s v="301719093190"/>
    <s v="人民币"/>
    <m/>
  </r>
  <r>
    <s v="2015-05-04"/>
    <s v="银证转入"/>
    <m/>
    <x v="0"/>
    <n v="0"/>
    <n v="0"/>
    <n v="0"/>
    <n v="0"/>
    <n v="0"/>
    <n v="0"/>
    <n v="0"/>
    <n v="0"/>
    <n v="5000"/>
    <n v="5000"/>
    <m/>
    <n v="0"/>
    <n v="0"/>
    <m/>
    <s v="301719094323"/>
    <s v="人民币"/>
    <m/>
  </r>
  <r>
    <s v="2015-05-04"/>
    <s v="跨行转出"/>
    <m/>
    <x v="0"/>
    <n v="0"/>
    <n v="0"/>
    <n v="0"/>
    <n v="0"/>
    <n v="0"/>
    <n v="0"/>
    <n v="0"/>
    <n v="0"/>
    <n v="-9661.11"/>
    <n v="0"/>
    <m/>
    <n v="0"/>
    <n v="0"/>
    <m/>
    <s v="301719093190"/>
    <s v="人民币"/>
    <m/>
  </r>
  <r>
    <s v="2015-05-04"/>
    <s v="跨行转入"/>
    <m/>
    <x v="0"/>
    <n v="0"/>
    <n v="0"/>
    <n v="0"/>
    <n v="0"/>
    <n v="0"/>
    <n v="0"/>
    <n v="0"/>
    <n v="0"/>
    <n v="9661.11"/>
    <n v="9706.11"/>
    <m/>
    <n v="0"/>
    <n v="0"/>
    <m/>
    <s v="301719094322"/>
    <s v="人民币"/>
    <m/>
  </r>
  <r>
    <s v="2015-05-04"/>
    <s v="跨行转出"/>
    <m/>
    <x v="0"/>
    <n v="0"/>
    <n v="0"/>
    <n v="0"/>
    <n v="0"/>
    <n v="0"/>
    <n v="0"/>
    <n v="0"/>
    <n v="0"/>
    <n v="-5000"/>
    <n v="0"/>
    <m/>
    <n v="0"/>
    <n v="0"/>
    <m/>
    <s v="301719094323"/>
    <s v="人民币"/>
    <m/>
  </r>
  <r>
    <s v="2015-05-04"/>
    <s v="跨行转入"/>
    <m/>
    <x v="0"/>
    <n v="0"/>
    <n v="0"/>
    <n v="0"/>
    <n v="0"/>
    <n v="0"/>
    <n v="0"/>
    <n v="0"/>
    <n v="0"/>
    <n v="5000"/>
    <n v="14706.11"/>
    <m/>
    <n v="0"/>
    <n v="0"/>
    <m/>
    <s v="301719094322"/>
    <s v="人民币"/>
    <m/>
  </r>
  <r>
    <s v="2015-05-04"/>
    <s v="基金申购"/>
    <s v="A40006"/>
    <x v="2"/>
    <n v="1"/>
    <n v="14706.11"/>
    <n v="14706.11"/>
    <n v="369761"/>
    <n v="0"/>
    <n v="0"/>
    <n v="0"/>
    <n v="0"/>
    <n v="-14706.11"/>
    <n v="0"/>
    <m/>
    <n v="0"/>
    <n v="0"/>
    <s v="99F625223328"/>
    <s v="301719094322"/>
    <s v="人民币"/>
    <m/>
  </r>
  <r>
    <s v="2015-05-05"/>
    <s v="基金赎回"/>
    <s v="A40006"/>
    <x v="2"/>
    <n v="1"/>
    <n v="232230"/>
    <n v="232230"/>
    <n v="137531"/>
    <n v="0"/>
    <n v="0"/>
    <n v="0"/>
    <n v="0"/>
    <n v="232230"/>
    <n v="232230"/>
    <m/>
    <n v="0"/>
    <n v="0"/>
    <s v="99F625223328"/>
    <s v="301719094322"/>
    <s v="人民币"/>
    <m/>
  </r>
  <r>
    <s v="2015-05-05"/>
    <s v="新股申购"/>
    <s v="300414"/>
    <x v="38"/>
    <n v="14.74"/>
    <n v="3000"/>
    <n v="44220"/>
    <n v="3000"/>
    <n v="0"/>
    <n v="0"/>
    <n v="0"/>
    <n v="0"/>
    <n v="-44220"/>
    <n v="188010"/>
    <s v="SW548195"/>
    <n v="14.74"/>
    <n v="3000"/>
    <s v="0103988319"/>
    <s v="301719094322"/>
    <s v="人民币"/>
    <m/>
  </r>
  <r>
    <s v="2015-05-05"/>
    <s v="新股申购"/>
    <s v="300451"/>
    <x v="39"/>
    <n v="14.02"/>
    <n v="4500"/>
    <n v="63090"/>
    <n v="4500"/>
    <n v="0"/>
    <n v="0"/>
    <n v="0"/>
    <n v="0"/>
    <n v="-63090"/>
    <n v="124920"/>
    <s v="SW548305"/>
    <n v="14.02"/>
    <n v="4500"/>
    <s v="0103988319"/>
    <s v="301719094322"/>
    <s v="人民币"/>
    <m/>
  </r>
  <r>
    <s v="2015-05-05"/>
    <s v="新股申购"/>
    <s v="300452"/>
    <x v="40"/>
    <n v="14.96"/>
    <n v="3000"/>
    <n v="44880"/>
    <n v="3000"/>
    <n v="0"/>
    <n v="0"/>
    <n v="0"/>
    <n v="0"/>
    <n v="-44880"/>
    <n v="80040"/>
    <s v="SW548393"/>
    <n v="14.96"/>
    <n v="3000"/>
    <s v="0103988319"/>
    <s v="301719094322"/>
    <s v="人民币"/>
    <m/>
  </r>
  <r>
    <s v="2015-05-05"/>
    <s v="新股申购"/>
    <s v="300457"/>
    <x v="41"/>
    <n v="12.41"/>
    <n v="3000"/>
    <n v="37230"/>
    <n v="3000"/>
    <n v="0"/>
    <n v="0"/>
    <n v="0"/>
    <n v="0"/>
    <n v="-37230"/>
    <n v="42810"/>
    <s v="SW548517"/>
    <n v="12.41"/>
    <n v="3000"/>
    <s v="0103988319"/>
    <s v="301719094322"/>
    <s v="人民币"/>
    <m/>
  </r>
  <r>
    <s v="2015-05-05"/>
    <s v="新股申购"/>
    <s v="300459"/>
    <x v="42"/>
    <n v="7.84"/>
    <n v="3000"/>
    <n v="23520"/>
    <n v="3000"/>
    <n v="0"/>
    <n v="0"/>
    <n v="0"/>
    <n v="0"/>
    <n v="-23520"/>
    <n v="19290"/>
    <s v="SW548657"/>
    <n v="7.84"/>
    <n v="3000"/>
    <s v="0103988319"/>
    <s v="301719094322"/>
    <s v="人民币"/>
    <m/>
  </r>
  <r>
    <s v="2015-05-05"/>
    <s v="新股申购"/>
    <s v="300460"/>
    <x v="43"/>
    <n v="6.43"/>
    <n v="3000"/>
    <n v="19290"/>
    <n v="3000"/>
    <n v="0"/>
    <n v="0"/>
    <n v="0"/>
    <n v="0"/>
    <n v="-19290"/>
    <n v="0"/>
    <s v="SW548744"/>
    <n v="6.43"/>
    <n v="3000"/>
    <s v="0103988319"/>
    <s v="301719094322"/>
    <s v="人民币"/>
    <m/>
  </r>
  <r>
    <s v="2015-05-06"/>
    <s v="银证转入"/>
    <m/>
    <x v="0"/>
    <n v="0"/>
    <n v="0"/>
    <n v="0"/>
    <n v="0"/>
    <n v="0"/>
    <n v="0"/>
    <n v="0"/>
    <n v="0"/>
    <n v="200000"/>
    <n v="200000"/>
    <m/>
    <n v="0"/>
    <n v="0"/>
    <m/>
    <s v="301719094323"/>
    <s v="人民币"/>
    <m/>
  </r>
  <r>
    <s v="2015-05-06"/>
    <s v="跨行转出"/>
    <m/>
    <x v="0"/>
    <n v="0"/>
    <n v="0"/>
    <n v="0"/>
    <n v="0"/>
    <n v="0"/>
    <n v="0"/>
    <n v="0"/>
    <n v="0"/>
    <n v="-200000"/>
    <n v="0"/>
    <m/>
    <n v="0"/>
    <n v="0"/>
    <m/>
    <s v="301719094323"/>
    <s v="人民币"/>
    <m/>
  </r>
  <r>
    <s v="2015-05-06"/>
    <s v="跨行转入"/>
    <m/>
    <x v="0"/>
    <n v="0"/>
    <n v="0"/>
    <n v="0"/>
    <n v="0"/>
    <n v="0"/>
    <n v="0"/>
    <n v="0"/>
    <n v="0"/>
    <n v="200000"/>
    <n v="200000"/>
    <m/>
    <n v="0"/>
    <n v="0"/>
    <m/>
    <s v="301719094322"/>
    <s v="人民币"/>
    <m/>
  </r>
  <r>
    <s v="2015-05-06"/>
    <s v="银证转入"/>
    <m/>
    <x v="0"/>
    <n v="0"/>
    <n v="0"/>
    <n v="0"/>
    <n v="0"/>
    <n v="0"/>
    <n v="0"/>
    <n v="0"/>
    <n v="0"/>
    <n v="11.24"/>
    <n v="11.24"/>
    <m/>
    <n v="0"/>
    <n v="0"/>
    <m/>
    <s v="301719093190"/>
    <s v="人民币"/>
    <m/>
  </r>
  <r>
    <s v="2015-05-06"/>
    <s v="银证转入"/>
    <m/>
    <x v="0"/>
    <n v="0"/>
    <n v="0"/>
    <n v="0"/>
    <n v="0"/>
    <n v="0"/>
    <n v="0"/>
    <n v="0"/>
    <n v="0"/>
    <n v="96022.57"/>
    <n v="96022.57"/>
    <m/>
    <n v="0"/>
    <n v="0"/>
    <m/>
    <s v="301719094323"/>
    <s v="人民币"/>
    <m/>
  </r>
  <r>
    <s v="2015-05-06"/>
    <s v="跨行转出"/>
    <m/>
    <x v="0"/>
    <n v="0"/>
    <n v="0"/>
    <n v="0"/>
    <n v="0"/>
    <n v="0"/>
    <n v="0"/>
    <n v="0"/>
    <n v="0"/>
    <n v="-11.24"/>
    <n v="0"/>
    <m/>
    <n v="0"/>
    <n v="0"/>
    <m/>
    <s v="301719093190"/>
    <s v="人民币"/>
    <m/>
  </r>
  <r>
    <s v="2015-05-06"/>
    <s v="跨行转入"/>
    <m/>
    <x v="0"/>
    <n v="0"/>
    <n v="0"/>
    <n v="0"/>
    <n v="0"/>
    <n v="0"/>
    <n v="0"/>
    <n v="0"/>
    <n v="0"/>
    <n v="11.24"/>
    <n v="200011.24"/>
    <m/>
    <n v="0"/>
    <n v="0"/>
    <m/>
    <s v="301719094322"/>
    <s v="人民币"/>
    <m/>
  </r>
  <r>
    <s v="2015-05-06"/>
    <s v="跨行转出"/>
    <m/>
    <x v="0"/>
    <n v="0"/>
    <n v="0"/>
    <n v="0"/>
    <n v="0"/>
    <n v="0"/>
    <n v="0"/>
    <n v="0"/>
    <n v="0"/>
    <n v="-96022.57"/>
    <n v="0"/>
    <m/>
    <n v="0"/>
    <n v="0"/>
    <m/>
    <s v="301719094323"/>
    <s v="人民币"/>
    <m/>
  </r>
  <r>
    <s v="2015-05-06"/>
    <s v="跨行转入"/>
    <m/>
    <x v="0"/>
    <n v="0"/>
    <n v="0"/>
    <n v="0"/>
    <n v="0"/>
    <n v="0"/>
    <n v="0"/>
    <n v="0"/>
    <n v="0"/>
    <n v="96022.57"/>
    <n v="296033.81"/>
    <m/>
    <n v="0"/>
    <n v="0"/>
    <m/>
    <s v="301719094322"/>
    <s v="人民币"/>
    <m/>
  </r>
  <r>
    <s v="2015-05-06"/>
    <s v="基金赎回"/>
    <s v="A40006"/>
    <x v="2"/>
    <n v="1"/>
    <n v="66386.19"/>
    <n v="66386.19"/>
    <n v="71145"/>
    <n v="0"/>
    <n v="0"/>
    <n v="0"/>
    <n v="0"/>
    <n v="66386.19"/>
    <n v="362420"/>
    <m/>
    <n v="0"/>
    <n v="0"/>
    <s v="99F625223328"/>
    <s v="301719094322"/>
    <s v="人民币"/>
    <m/>
  </r>
  <r>
    <s v="2015-05-07"/>
    <s v="新股申购"/>
    <s v="002755"/>
    <x v="44"/>
    <n v="7.49"/>
    <n v="4500"/>
    <n v="33705"/>
    <n v="4500"/>
    <n v="0"/>
    <n v="0"/>
    <n v="0"/>
    <n v="0"/>
    <n v="-33705"/>
    <n v="328715"/>
    <s v="SW144325"/>
    <n v="7.49"/>
    <n v="4500"/>
    <s v="0103988319"/>
    <s v="301719094322"/>
    <s v="人民币"/>
    <m/>
  </r>
  <r>
    <s v="2015-05-07"/>
    <s v="新股申购"/>
    <s v="300450"/>
    <x v="45"/>
    <n v="21.21"/>
    <n v="4500"/>
    <n v="95445"/>
    <n v="4500"/>
    <n v="0"/>
    <n v="0"/>
    <n v="0"/>
    <n v="0"/>
    <n v="-95445"/>
    <n v="233270"/>
    <s v="SW144331"/>
    <n v="21.21"/>
    <n v="4500"/>
    <s v="0103988319"/>
    <s v="301719094322"/>
    <s v="人民币"/>
    <m/>
  </r>
  <r>
    <s v="2015-05-07"/>
    <s v="新股申购"/>
    <s v="300453"/>
    <x v="46"/>
    <n v="12.87"/>
    <n v="4500"/>
    <n v="57915"/>
    <n v="4500"/>
    <n v="0"/>
    <n v="0"/>
    <n v="0"/>
    <n v="0"/>
    <n v="-57915"/>
    <n v="175355"/>
    <s v="SW144341"/>
    <n v="12.87"/>
    <n v="4500"/>
    <s v="0103988319"/>
    <s v="301719094322"/>
    <s v="人民币"/>
    <m/>
  </r>
  <r>
    <s v="2015-05-07"/>
    <s v="新股申购"/>
    <s v="300455"/>
    <x v="47"/>
    <n v="6.88"/>
    <n v="4500"/>
    <n v="30960"/>
    <n v="4500"/>
    <n v="0"/>
    <n v="0"/>
    <n v="0"/>
    <n v="0"/>
    <n v="-30960"/>
    <n v="144395"/>
    <s v="SW144351"/>
    <n v="6.88"/>
    <n v="4500"/>
    <s v="0103988319"/>
    <s v="301719094322"/>
    <s v="人民币"/>
    <m/>
  </r>
  <r>
    <s v="2015-05-07"/>
    <s v="新股申购"/>
    <s v="300456"/>
    <x v="48"/>
    <n v="14.01"/>
    <n v="4500"/>
    <n v="63045"/>
    <n v="4500"/>
    <n v="0"/>
    <n v="0"/>
    <n v="0"/>
    <n v="0"/>
    <n v="-63045"/>
    <n v="81350"/>
    <s v="SW144361"/>
    <n v="14.01"/>
    <n v="4500"/>
    <s v="0103988319"/>
    <s v="301719094322"/>
    <s v="人民币"/>
    <m/>
  </r>
  <r>
    <s v="2015-05-07"/>
    <s v="新股申购"/>
    <s v="300458"/>
    <x v="49"/>
    <n v="12.73"/>
    <n v="4500"/>
    <n v="57285"/>
    <n v="4500"/>
    <n v="0"/>
    <n v="0"/>
    <n v="0"/>
    <n v="0"/>
    <n v="-57285"/>
    <n v="24065"/>
    <s v="SW144382"/>
    <n v="12.73"/>
    <n v="4500"/>
    <s v="0103988319"/>
    <s v="301719094322"/>
    <s v="人民币"/>
    <m/>
  </r>
  <r>
    <s v="2015-05-07"/>
    <s v="证券买入清算"/>
    <s v="184721"/>
    <x v="50"/>
    <n v="1.2030000000000001"/>
    <n v="20000"/>
    <n v="24060"/>
    <n v="20000"/>
    <n v="5"/>
    <n v="0"/>
    <n v="0"/>
    <n v="0"/>
    <n v="-24065"/>
    <n v="0"/>
    <s v="SW149754"/>
    <n v="1.2030000000000001"/>
    <n v="20000"/>
    <s v="0103988319"/>
    <s v="301719094322"/>
    <s v="人民币"/>
    <m/>
  </r>
  <r>
    <s v="2015-05-07"/>
    <s v="基金赎回"/>
    <s v="A40006"/>
    <x v="2"/>
    <n v="1"/>
    <n v="70013"/>
    <n v="70013"/>
    <n v="1132"/>
    <n v="0"/>
    <n v="0"/>
    <n v="0"/>
    <n v="0"/>
    <n v="70013"/>
    <n v="70013"/>
    <m/>
    <n v="0"/>
    <n v="0"/>
    <s v="99F625223328"/>
    <s v="301719094322"/>
    <s v="人民币"/>
    <m/>
  </r>
  <r>
    <s v="2015-05-07"/>
    <s v="申购还款"/>
    <s v="300414"/>
    <x v="38"/>
    <n v="14.74"/>
    <n v="3000"/>
    <n v="44220"/>
    <n v="0"/>
    <n v="0"/>
    <n v="0"/>
    <n v="0"/>
    <n v="0"/>
    <n v="44220"/>
    <n v="114233"/>
    <s v="SW548195"/>
    <n v="14.74"/>
    <n v="3000"/>
    <s v="0103988319"/>
    <s v="301719094322"/>
    <s v="人民币"/>
    <m/>
  </r>
  <r>
    <s v="2015-05-07"/>
    <s v="申购还款"/>
    <s v="300451"/>
    <x v="39"/>
    <n v="14.02"/>
    <n v="4500"/>
    <n v="63090"/>
    <n v="0"/>
    <n v="0"/>
    <n v="0"/>
    <n v="0"/>
    <n v="0"/>
    <n v="63090"/>
    <n v="177323"/>
    <s v="SW548305"/>
    <n v="14.02"/>
    <n v="4500"/>
    <s v="0103988319"/>
    <s v="301719094322"/>
    <s v="人民币"/>
    <m/>
  </r>
  <r>
    <s v="2015-05-07"/>
    <s v="申购还款"/>
    <s v="300452"/>
    <x v="40"/>
    <n v="14.96"/>
    <n v="3000"/>
    <n v="44880"/>
    <n v="0"/>
    <n v="0"/>
    <n v="0"/>
    <n v="0"/>
    <n v="0"/>
    <n v="44880"/>
    <n v="222203"/>
    <s v="SW548393"/>
    <n v="14.96"/>
    <n v="3000"/>
    <s v="0103988319"/>
    <s v="301719094322"/>
    <s v="人民币"/>
    <m/>
  </r>
  <r>
    <s v="2015-05-07"/>
    <s v="申购还款"/>
    <s v="300457"/>
    <x v="41"/>
    <n v="12.41"/>
    <n v="3000"/>
    <n v="37230"/>
    <n v="0"/>
    <n v="0"/>
    <n v="0"/>
    <n v="0"/>
    <n v="0"/>
    <n v="37230"/>
    <n v="259433"/>
    <s v="SW548517"/>
    <n v="12.41"/>
    <n v="3000"/>
    <s v="0103988319"/>
    <s v="301719094322"/>
    <s v="人民币"/>
    <m/>
  </r>
  <r>
    <s v="2015-05-07"/>
    <s v="申购还款"/>
    <s v="300459"/>
    <x v="42"/>
    <n v="7.84"/>
    <n v="3000"/>
    <n v="23520"/>
    <n v="0"/>
    <n v="0"/>
    <n v="0"/>
    <n v="0"/>
    <n v="0"/>
    <n v="23520"/>
    <n v="282953"/>
    <s v="SW548657"/>
    <n v="7.84"/>
    <n v="3000"/>
    <s v="0103988319"/>
    <s v="301719094322"/>
    <s v="人民币"/>
    <m/>
  </r>
  <r>
    <s v="2015-05-07"/>
    <s v="申购还款"/>
    <s v="300460"/>
    <x v="43"/>
    <n v="6.43"/>
    <n v="3000"/>
    <n v="19290"/>
    <n v="0"/>
    <n v="0"/>
    <n v="0"/>
    <n v="0"/>
    <n v="0"/>
    <n v="19290"/>
    <n v="302243"/>
    <s v="SW548744"/>
    <n v="6.43"/>
    <n v="3000"/>
    <s v="0103988319"/>
    <s v="301719094322"/>
    <s v="人民币"/>
    <m/>
  </r>
  <r>
    <s v="2015-05-07"/>
    <s v="新股申购"/>
    <s v="002753"/>
    <x v="51"/>
    <n v="13.56"/>
    <n v="4500"/>
    <n v="61020"/>
    <n v="4500"/>
    <n v="0"/>
    <n v="0"/>
    <n v="0"/>
    <n v="0"/>
    <n v="-61020"/>
    <n v="241223"/>
    <s v="SW320162"/>
    <n v="13.56"/>
    <n v="4500"/>
    <s v="0103988319"/>
    <s v="301719094322"/>
    <s v="人民币"/>
    <m/>
  </r>
  <r>
    <s v="2015-05-07"/>
    <s v="证券买入清算"/>
    <s v="002498"/>
    <x v="52"/>
    <n v="14.98"/>
    <n v="600"/>
    <n v="8988"/>
    <n v="600"/>
    <n v="5"/>
    <n v="0"/>
    <n v="0"/>
    <n v="0"/>
    <n v="-8993"/>
    <n v="232230"/>
    <s v="SW321565"/>
    <n v="14.98"/>
    <n v="600"/>
    <s v="0103988319"/>
    <s v="301719094322"/>
    <s v="人民币"/>
    <m/>
  </r>
  <r>
    <s v="2015-05-08"/>
    <s v="银证转出"/>
    <m/>
    <x v="0"/>
    <n v="0"/>
    <n v="0"/>
    <n v="0"/>
    <n v="0"/>
    <n v="0"/>
    <n v="0"/>
    <n v="0"/>
    <n v="0"/>
    <n v="-202000"/>
    <n v="30230"/>
    <m/>
    <n v="0"/>
    <n v="0"/>
    <m/>
    <s v="301719094322"/>
    <s v="人民币"/>
    <m/>
  </r>
  <r>
    <s v="2015-05-08"/>
    <s v="银证转出"/>
    <m/>
    <x v="0"/>
    <n v="0"/>
    <n v="0"/>
    <n v="0"/>
    <n v="0"/>
    <n v="0"/>
    <n v="0"/>
    <n v="0"/>
    <n v="0"/>
    <n v="-30000"/>
    <n v="230"/>
    <m/>
    <n v="0"/>
    <n v="0"/>
    <m/>
    <s v="301719094322"/>
    <s v="人民币"/>
    <m/>
  </r>
  <r>
    <s v="2015-05-08"/>
    <s v="申购还款"/>
    <s v="002755"/>
    <x v="44"/>
    <n v="7.49"/>
    <n v="4500"/>
    <n v="33705"/>
    <n v="0"/>
    <n v="0"/>
    <n v="0"/>
    <n v="0"/>
    <n v="0"/>
    <n v="33705"/>
    <n v="33935"/>
    <s v="SW144325"/>
    <n v="7.49"/>
    <n v="4500"/>
    <s v="0103988319"/>
    <s v="301719094322"/>
    <s v="人民币"/>
    <m/>
  </r>
  <r>
    <s v="2015-05-08"/>
    <s v="申购还款"/>
    <s v="300450"/>
    <x v="45"/>
    <n v="21.21"/>
    <n v="4500"/>
    <n v="95445"/>
    <n v="0"/>
    <n v="0"/>
    <n v="0"/>
    <n v="0"/>
    <n v="0"/>
    <n v="95445"/>
    <n v="129380"/>
    <s v="SW144331"/>
    <n v="21.21"/>
    <n v="4500"/>
    <s v="0103988319"/>
    <s v="301719094322"/>
    <s v="人民币"/>
    <m/>
  </r>
  <r>
    <s v="2015-05-08"/>
    <s v="申购还款"/>
    <s v="300453"/>
    <x v="46"/>
    <n v="12.87"/>
    <n v="4500"/>
    <n v="57915"/>
    <n v="0"/>
    <n v="0"/>
    <n v="0"/>
    <n v="0"/>
    <n v="0"/>
    <n v="57915"/>
    <n v="187295"/>
    <s v="SW144341"/>
    <n v="12.87"/>
    <n v="4500"/>
    <s v="0103988319"/>
    <s v="301719094322"/>
    <s v="人民币"/>
    <m/>
  </r>
  <r>
    <s v="2015-05-08"/>
    <s v="申购还款"/>
    <s v="300455"/>
    <x v="47"/>
    <n v="6.88"/>
    <n v="4500"/>
    <n v="30960"/>
    <n v="0"/>
    <n v="0"/>
    <n v="0"/>
    <n v="0"/>
    <n v="0"/>
    <n v="30960"/>
    <n v="218255"/>
    <s v="SW144351"/>
    <n v="6.88"/>
    <n v="4500"/>
    <s v="0103988319"/>
    <s v="301719094322"/>
    <s v="人民币"/>
    <m/>
  </r>
  <r>
    <s v="2015-05-08"/>
    <s v="申购还款"/>
    <s v="300456"/>
    <x v="48"/>
    <n v="14.01"/>
    <n v="4500"/>
    <n v="63045"/>
    <n v="0"/>
    <n v="0"/>
    <n v="0"/>
    <n v="0"/>
    <n v="0"/>
    <n v="63045"/>
    <n v="281300"/>
    <s v="SW144361"/>
    <n v="14.01"/>
    <n v="4500"/>
    <s v="0103988319"/>
    <s v="301719094322"/>
    <s v="人民币"/>
    <m/>
  </r>
  <r>
    <s v="2015-05-08"/>
    <s v="申购还款"/>
    <s v="300458"/>
    <x v="49"/>
    <n v="12.73"/>
    <n v="4500"/>
    <n v="57285"/>
    <n v="0"/>
    <n v="0"/>
    <n v="0"/>
    <n v="0"/>
    <n v="0"/>
    <n v="57285"/>
    <n v="338585"/>
    <s v="SW144382"/>
    <n v="12.73"/>
    <n v="4500"/>
    <s v="0103988319"/>
    <s v="301719094322"/>
    <s v="人民币"/>
    <m/>
  </r>
  <r>
    <s v="2015-05-08"/>
    <s v="证券卖出清算"/>
    <s v="002125"/>
    <x v="4"/>
    <n v="20.92"/>
    <n v="2000"/>
    <n v="41840"/>
    <n v="0"/>
    <n v="8.3699999999999992"/>
    <n v="41.84"/>
    <n v="0"/>
    <n v="0"/>
    <n v="41789.79"/>
    <n v="380374.79"/>
    <s v="SW380720"/>
    <n v="20.92"/>
    <n v="2000"/>
    <s v="0103988319"/>
    <s v="301719094322"/>
    <s v="人民币"/>
    <m/>
  </r>
  <r>
    <s v="2015-05-08"/>
    <s v="基金申购"/>
    <s v="A40006"/>
    <x v="2"/>
    <n v="1"/>
    <n v="42019.79"/>
    <n v="42019.79"/>
    <n v="43152"/>
    <n v="0"/>
    <n v="0"/>
    <n v="0"/>
    <n v="0"/>
    <n v="-42019.79"/>
    <n v="338355"/>
    <m/>
    <n v="0"/>
    <n v="0"/>
    <s v="99F625223328"/>
    <s v="301719094322"/>
    <s v="人民币"/>
    <m/>
  </r>
  <r>
    <s v="2015-05-11"/>
    <s v="银证转出"/>
    <m/>
    <x v="0"/>
    <n v="0"/>
    <n v="0"/>
    <n v="0"/>
    <n v="0"/>
    <n v="0"/>
    <n v="0"/>
    <n v="0"/>
    <n v="0"/>
    <n v="-180000"/>
    <n v="158355"/>
    <m/>
    <n v="0"/>
    <n v="0"/>
    <m/>
    <s v="301719094322"/>
    <s v="人民币"/>
    <m/>
  </r>
  <r>
    <s v="2015-05-11"/>
    <s v="银证转入"/>
    <m/>
    <x v="0"/>
    <n v="0"/>
    <n v="0"/>
    <n v="0"/>
    <n v="0"/>
    <n v="0"/>
    <n v="0"/>
    <n v="0"/>
    <n v="0"/>
    <n v="105000"/>
    <n v="263355"/>
    <m/>
    <n v="0"/>
    <n v="0"/>
    <m/>
    <s v="301719094322"/>
    <s v="人民币"/>
    <m/>
  </r>
  <r>
    <s v="2015-05-11"/>
    <s v="申购还款"/>
    <s v="002753"/>
    <x v="51"/>
    <n v="13.56"/>
    <n v="4500"/>
    <n v="61020"/>
    <n v="0"/>
    <n v="0"/>
    <n v="0"/>
    <n v="0"/>
    <n v="0"/>
    <n v="61020"/>
    <n v="324375"/>
    <s v="SW320162"/>
    <n v="13.56"/>
    <n v="4500"/>
    <s v="0103988319"/>
    <s v="301719094322"/>
    <s v="人民币"/>
    <m/>
  </r>
  <r>
    <s v="2015-05-11"/>
    <s v="证券卖出清算"/>
    <s v="002498"/>
    <x v="52"/>
    <n v="15.16"/>
    <n v="600"/>
    <n v="9096"/>
    <n v="0"/>
    <n v="5"/>
    <n v="9.1"/>
    <n v="0"/>
    <n v="0"/>
    <n v="9081.9"/>
    <n v="333456.90000000002"/>
    <s v="SW513848"/>
    <n v="15.16"/>
    <n v="600"/>
    <s v="0103988319"/>
    <s v="301719094322"/>
    <s v="人民币"/>
    <m/>
  </r>
  <r>
    <s v="2015-05-11"/>
    <s v="新股申购"/>
    <s v="300461"/>
    <x v="53"/>
    <n v="7.92"/>
    <n v="4000"/>
    <n v="31680"/>
    <n v="4000"/>
    <n v="0"/>
    <n v="0"/>
    <n v="0"/>
    <n v="0"/>
    <n v="-31680"/>
    <n v="301776.90000000002"/>
    <s v="SW587808"/>
    <n v="7.92"/>
    <n v="4000"/>
    <s v="0103988319"/>
    <s v="301719094322"/>
    <s v="人民币"/>
    <m/>
  </r>
  <r>
    <s v="2015-05-11"/>
    <s v="基金申购"/>
    <s v="A40006"/>
    <x v="2"/>
    <n v="1"/>
    <n v="240756.9"/>
    <n v="240756.9"/>
    <n v="283908"/>
    <n v="0"/>
    <n v="0"/>
    <n v="0"/>
    <n v="0"/>
    <n v="-240756.9"/>
    <n v="61020"/>
    <m/>
    <n v="0"/>
    <n v="0"/>
    <s v="99F625223328"/>
    <s v="301719094322"/>
    <s v="人民币"/>
    <m/>
  </r>
  <r>
    <s v="2015-05-12"/>
    <s v="基金申购"/>
    <s v="A40006"/>
    <x v="2"/>
    <n v="1"/>
    <n v="61020"/>
    <n v="61020"/>
    <n v="344928"/>
    <n v="0"/>
    <n v="0"/>
    <n v="0"/>
    <n v="0"/>
    <n v="-61020"/>
    <n v="0"/>
    <m/>
    <n v="0"/>
    <n v="0"/>
    <s v="99F625223328"/>
    <s v="301719094322"/>
    <s v="人民币"/>
    <m/>
  </r>
  <r>
    <s v="2015-05-13"/>
    <s v="申购还款"/>
    <s v="300461"/>
    <x v="53"/>
    <n v="7.92"/>
    <n v="4000"/>
    <n v="31680"/>
    <n v="0"/>
    <n v="0"/>
    <n v="0"/>
    <n v="0"/>
    <n v="0"/>
    <n v="31680"/>
    <n v="31680"/>
    <s v="SW587808"/>
    <n v="7.92"/>
    <n v="4000"/>
    <s v="0103988319"/>
    <s v="301719094322"/>
    <s v="人民币"/>
    <m/>
  </r>
  <r>
    <s v="2015-05-14"/>
    <s v="基金申购"/>
    <s v="A40006"/>
    <x v="2"/>
    <n v="1"/>
    <n v="31680"/>
    <n v="31680"/>
    <n v="376608"/>
    <n v="0"/>
    <n v="0"/>
    <n v="0"/>
    <n v="0"/>
    <n v="-31680"/>
    <n v="0"/>
    <m/>
    <n v="0"/>
    <n v="0"/>
    <s v="99F625223328"/>
    <s v="301719094322"/>
    <s v="人民币"/>
    <m/>
  </r>
  <r>
    <s v="2015-05-15"/>
    <s v="银证转入"/>
    <m/>
    <x v="0"/>
    <n v="0"/>
    <n v="0"/>
    <n v="0"/>
    <n v="0"/>
    <n v="0"/>
    <n v="0"/>
    <n v="0"/>
    <n v="0"/>
    <n v="3752"/>
    <n v="3752"/>
    <m/>
    <n v="0"/>
    <n v="0"/>
    <m/>
    <s v="301719094323"/>
    <s v="人民币"/>
    <m/>
  </r>
  <r>
    <s v="2015-05-15"/>
    <s v="跨行转出"/>
    <m/>
    <x v="0"/>
    <n v="0"/>
    <n v="0"/>
    <n v="0"/>
    <n v="0"/>
    <n v="0"/>
    <n v="0"/>
    <n v="0"/>
    <n v="0"/>
    <n v="-3752"/>
    <n v="0"/>
    <m/>
    <n v="0"/>
    <n v="0"/>
    <m/>
    <s v="301719094323"/>
    <s v="人民币"/>
    <m/>
  </r>
  <r>
    <s v="2015-05-15"/>
    <s v="跨行转入"/>
    <m/>
    <x v="0"/>
    <n v="0"/>
    <n v="0"/>
    <n v="0"/>
    <n v="0"/>
    <n v="0"/>
    <n v="0"/>
    <n v="0"/>
    <n v="0"/>
    <n v="3752"/>
    <n v="3752"/>
    <m/>
    <n v="0"/>
    <n v="0"/>
    <m/>
    <s v="301719094322"/>
    <s v="人民币"/>
    <m/>
  </r>
  <r>
    <s v="2015-05-15"/>
    <s v="基金申购"/>
    <s v="A40006"/>
    <x v="2"/>
    <n v="1"/>
    <n v="3752"/>
    <n v="3752"/>
    <n v="380360"/>
    <n v="0"/>
    <n v="0"/>
    <n v="0"/>
    <n v="0"/>
    <n v="-3752"/>
    <n v="0"/>
    <m/>
    <n v="0"/>
    <n v="0"/>
    <s v="99F625223328"/>
    <s v="301719094322"/>
    <s v="人民币"/>
    <m/>
  </r>
  <r>
    <s v="2015-05-19"/>
    <s v="基金赎回"/>
    <s v="A40006"/>
    <x v="2"/>
    <n v="1"/>
    <n v="284530.27"/>
    <n v="284530.27"/>
    <n v="95830"/>
    <n v="0"/>
    <n v="0"/>
    <n v="0"/>
    <n v="0"/>
    <n v="284530.27"/>
    <n v="284530.27"/>
    <m/>
    <n v="0"/>
    <n v="0"/>
    <s v="99F625223328"/>
    <s v="301719094322"/>
    <s v="人民币"/>
    <m/>
  </r>
  <r>
    <s v="2015-05-19"/>
    <s v="新股申购"/>
    <s v="002757"/>
    <x v="54"/>
    <n v="12.94"/>
    <n v="2000"/>
    <n v="25880"/>
    <n v="2000"/>
    <n v="0"/>
    <n v="0"/>
    <n v="0"/>
    <n v="0"/>
    <n v="-25880"/>
    <n v="258650.27"/>
    <s v="SW514136"/>
    <n v="12.94"/>
    <n v="2000"/>
    <s v="0103988319"/>
    <s v="301719094322"/>
    <s v="人民币"/>
    <m/>
  </r>
  <r>
    <s v="2015-05-19"/>
    <s v="新股申购"/>
    <s v="002758"/>
    <x v="55"/>
    <n v="18.04"/>
    <n v="2000"/>
    <n v="36080"/>
    <n v="2000"/>
    <n v="0"/>
    <n v="0"/>
    <n v="0"/>
    <n v="0"/>
    <n v="-36080"/>
    <n v="222570.27"/>
    <s v="SW514149"/>
    <n v="18.04"/>
    <n v="2000"/>
    <s v="0103988319"/>
    <s v="301719094322"/>
    <s v="人民币"/>
    <m/>
  </r>
  <r>
    <s v="2015-05-19"/>
    <s v="新股申购"/>
    <s v="002759"/>
    <x v="56"/>
    <n v="12.02"/>
    <n v="2000"/>
    <n v="24040"/>
    <n v="2000"/>
    <n v="0"/>
    <n v="0"/>
    <n v="0"/>
    <n v="0"/>
    <n v="-24040"/>
    <n v="198530.27"/>
    <s v="SW514163"/>
    <n v="12.02"/>
    <n v="2000"/>
    <s v="0103988319"/>
    <s v="301719094322"/>
    <s v="人民币"/>
    <m/>
  </r>
  <r>
    <s v="2015-05-19"/>
    <s v="新股申购"/>
    <s v="300462"/>
    <x v="57"/>
    <n v="14.25"/>
    <n v="2000"/>
    <n v="28500"/>
    <n v="2000"/>
    <n v="0"/>
    <n v="0"/>
    <n v="0"/>
    <n v="0"/>
    <n v="-28500"/>
    <n v="170030.27"/>
    <s v="SW514211"/>
    <n v="14.25"/>
    <n v="2000"/>
    <s v="0103988319"/>
    <s v="301719094322"/>
    <s v="人民币"/>
    <m/>
  </r>
  <r>
    <s v="2015-05-19"/>
    <s v="新股申购"/>
    <s v="300463"/>
    <x v="58"/>
    <n v="27.96"/>
    <n v="2000"/>
    <n v="55920"/>
    <n v="2000"/>
    <n v="0"/>
    <n v="0"/>
    <n v="0"/>
    <n v="0"/>
    <n v="-55920"/>
    <n v="114110.27"/>
    <s v="SW514224"/>
    <n v="27.96"/>
    <n v="2000"/>
    <s v="0103988319"/>
    <s v="301719094322"/>
    <s v="人民币"/>
    <m/>
  </r>
  <r>
    <s v="2015-05-19"/>
    <s v="新股申购"/>
    <s v="300466"/>
    <x v="59"/>
    <n v="10.25"/>
    <n v="2000"/>
    <n v="20500"/>
    <n v="2000"/>
    <n v="0"/>
    <n v="0"/>
    <n v="0"/>
    <n v="0"/>
    <n v="-20500"/>
    <n v="93610.27"/>
    <s v="SW514239"/>
    <n v="10.25"/>
    <n v="2000"/>
    <s v="0103988319"/>
    <s v="301719094322"/>
    <s v="人民币"/>
    <m/>
  </r>
  <r>
    <s v="2015-05-19"/>
    <s v="新股申购"/>
    <s v="300467"/>
    <x v="60"/>
    <n v="33.75"/>
    <n v="2000"/>
    <n v="67500"/>
    <n v="2000"/>
    <n v="0"/>
    <n v="0"/>
    <n v="0"/>
    <n v="0"/>
    <n v="-67500"/>
    <n v="26110.27"/>
    <s v="SW514262"/>
    <n v="33.75"/>
    <n v="2000"/>
    <s v="0103988319"/>
    <s v="301719094322"/>
    <s v="人民币"/>
    <m/>
  </r>
  <r>
    <s v="2015-05-19"/>
    <s v="新股申购"/>
    <s v="300468"/>
    <x v="61"/>
    <n v="18.760000000000002"/>
    <n v="2000"/>
    <n v="37520"/>
    <n v="2000"/>
    <n v="0"/>
    <n v="0"/>
    <n v="0"/>
    <n v="0"/>
    <n v="-37520"/>
    <n v="-11409.73"/>
    <s v="SW514285"/>
    <n v="18.760000000000002"/>
    <n v="2000"/>
    <s v="0103988319"/>
    <s v="301719094322"/>
    <s v="人民币"/>
    <m/>
  </r>
  <r>
    <s v="2015-05-19"/>
    <s v="证券卖出清算"/>
    <s v="184721"/>
    <x v="50"/>
    <n v="1.3180000000000001"/>
    <n v="20000"/>
    <n v="26360"/>
    <n v="0"/>
    <n v="5.27"/>
    <n v="0"/>
    <n v="0"/>
    <n v="0"/>
    <n v="26354.73"/>
    <n v="14945"/>
    <s v="SW606630"/>
    <n v="1.3180000000000001"/>
    <n v="20000"/>
    <s v="0103988319"/>
    <s v="301719094322"/>
    <s v="人民币"/>
    <m/>
  </r>
  <r>
    <s v="2015-05-19"/>
    <s v="证券买入清算"/>
    <s v="002457"/>
    <x v="62"/>
    <n v="14.94"/>
    <n v="1000"/>
    <n v="14940"/>
    <n v="1000"/>
    <n v="5"/>
    <n v="0"/>
    <n v="0"/>
    <n v="0"/>
    <n v="-14945"/>
    <n v="0"/>
    <s v="SW614253"/>
    <n v="14.94"/>
    <n v="1000"/>
    <s v="0103988319"/>
    <s v="301719094322"/>
    <s v="人民币"/>
    <m/>
  </r>
  <r>
    <s v="2015-05-19"/>
    <s v="红股派息"/>
    <s v="002457"/>
    <x v="62"/>
    <n v="0"/>
    <n v="0"/>
    <n v="19"/>
    <n v="0"/>
    <n v="0"/>
    <n v="0"/>
    <n v="0"/>
    <n v="0"/>
    <n v="19"/>
    <n v="19"/>
    <m/>
    <n v="0"/>
    <n v="0"/>
    <s v="0103988319"/>
    <s v="301719094322"/>
    <s v="人民币"/>
    <m/>
  </r>
  <r>
    <s v="2015-05-20"/>
    <s v="基金赎回"/>
    <s v="A40006"/>
    <x v="2"/>
    <n v="1"/>
    <n v="95830.720000000001"/>
    <n v="95830.720000000001"/>
    <n v="0"/>
    <n v="0"/>
    <n v="0"/>
    <n v="0"/>
    <n v="0"/>
    <n v="95830.720000000001"/>
    <n v="95849.72"/>
    <m/>
    <n v="0"/>
    <n v="0"/>
    <s v="99F625223328"/>
    <s v="301719094322"/>
    <s v="人民币"/>
    <m/>
  </r>
  <r>
    <s v="2015-05-20"/>
    <s v="新股申购"/>
    <s v="300465"/>
    <x v="63"/>
    <n v="11.26"/>
    <n v="2000"/>
    <n v="22520"/>
    <n v="2000"/>
    <n v="0"/>
    <n v="0"/>
    <n v="0"/>
    <n v="0"/>
    <n v="-22520"/>
    <n v="73329.72"/>
    <s v="SW180409"/>
    <n v="11.26"/>
    <n v="2000"/>
    <s v="0103988319"/>
    <s v="301719094322"/>
    <s v="人民币"/>
    <m/>
  </r>
  <r>
    <s v="2015-05-20"/>
    <s v="证券买入清算"/>
    <s v="002457"/>
    <x v="62"/>
    <n v="15.27"/>
    <n v="4800"/>
    <n v="73296"/>
    <n v="5800"/>
    <n v="14.66"/>
    <n v="0"/>
    <n v="0"/>
    <n v="0"/>
    <n v="-73310.66"/>
    <n v="19.059999999999999"/>
    <s v="SW213932"/>
    <n v="15.27"/>
    <n v="4800"/>
    <s v="0103988319"/>
    <s v="301719094322"/>
    <s v="人民币"/>
    <m/>
  </r>
  <r>
    <s v="2015-05-21"/>
    <s v="申购还款"/>
    <s v="002757"/>
    <x v="54"/>
    <n v="12.94"/>
    <n v="2000"/>
    <n v="25880"/>
    <n v="0"/>
    <n v="0"/>
    <n v="0"/>
    <n v="0"/>
    <n v="0"/>
    <n v="25880"/>
    <n v="25899.06"/>
    <s v="SW514136"/>
    <n v="12.94"/>
    <n v="2000"/>
    <s v="0103988319"/>
    <s v="301719094322"/>
    <s v="人民币"/>
    <m/>
  </r>
  <r>
    <s v="2015-05-21"/>
    <s v="申购还款"/>
    <s v="002758"/>
    <x v="55"/>
    <n v="18.04"/>
    <n v="2000"/>
    <n v="36080"/>
    <n v="0"/>
    <n v="0"/>
    <n v="0"/>
    <n v="0"/>
    <n v="0"/>
    <n v="36080"/>
    <n v="61979.06"/>
    <s v="SW514149"/>
    <n v="18.04"/>
    <n v="2000"/>
    <s v="0103988319"/>
    <s v="301719094322"/>
    <s v="人民币"/>
    <m/>
  </r>
  <r>
    <s v="2015-05-21"/>
    <s v="申购还款"/>
    <s v="002759"/>
    <x v="56"/>
    <n v="12.02"/>
    <n v="2000"/>
    <n v="24040"/>
    <n v="0"/>
    <n v="0"/>
    <n v="0"/>
    <n v="0"/>
    <n v="0"/>
    <n v="24040"/>
    <n v="86019.06"/>
    <s v="SW514163"/>
    <n v="12.02"/>
    <n v="2000"/>
    <s v="0103988319"/>
    <s v="301719094322"/>
    <s v="人民币"/>
    <m/>
  </r>
  <r>
    <s v="2015-05-21"/>
    <s v="申购还款"/>
    <s v="300462"/>
    <x v="57"/>
    <n v="14.25"/>
    <n v="2000"/>
    <n v="28500"/>
    <n v="0"/>
    <n v="0"/>
    <n v="0"/>
    <n v="0"/>
    <n v="0"/>
    <n v="28500"/>
    <n v="114519.06"/>
    <s v="SW514211"/>
    <n v="14.25"/>
    <n v="2000"/>
    <s v="0103988319"/>
    <s v="301719094322"/>
    <s v="人民币"/>
    <m/>
  </r>
  <r>
    <s v="2015-05-21"/>
    <s v="申购还款"/>
    <s v="300463"/>
    <x v="58"/>
    <n v="27.96"/>
    <n v="2000"/>
    <n v="55920"/>
    <n v="0"/>
    <n v="0"/>
    <n v="0"/>
    <n v="0"/>
    <n v="0"/>
    <n v="55920"/>
    <n v="170439.06"/>
    <s v="SW514224"/>
    <n v="27.96"/>
    <n v="2000"/>
    <s v="0103988319"/>
    <s v="301719094322"/>
    <s v="人民币"/>
    <m/>
  </r>
  <r>
    <s v="2015-05-21"/>
    <s v="申购还款"/>
    <s v="300466"/>
    <x v="59"/>
    <n v="10.25"/>
    <n v="2000"/>
    <n v="20500"/>
    <n v="0"/>
    <n v="0"/>
    <n v="0"/>
    <n v="0"/>
    <n v="0"/>
    <n v="20500"/>
    <n v="190939.06"/>
    <s v="SW514239"/>
    <n v="10.25"/>
    <n v="2000"/>
    <s v="0103988319"/>
    <s v="301719094322"/>
    <s v="人民币"/>
    <m/>
  </r>
  <r>
    <s v="2015-05-21"/>
    <s v="申购还款"/>
    <s v="300467"/>
    <x v="60"/>
    <n v="33.75"/>
    <n v="2000"/>
    <n v="67500"/>
    <n v="0"/>
    <n v="0"/>
    <n v="0"/>
    <n v="0"/>
    <n v="0"/>
    <n v="67500"/>
    <n v="258439.06"/>
    <s v="SW514262"/>
    <n v="33.75"/>
    <n v="2000"/>
    <s v="0103988319"/>
    <s v="301719094322"/>
    <s v="人民币"/>
    <m/>
  </r>
  <r>
    <s v="2015-05-21"/>
    <s v="申购还款"/>
    <s v="300468"/>
    <x v="61"/>
    <n v="18.760000000000002"/>
    <n v="2000"/>
    <n v="37520"/>
    <n v="0"/>
    <n v="0"/>
    <n v="0"/>
    <n v="0"/>
    <n v="0"/>
    <n v="37520"/>
    <n v="295959.06"/>
    <s v="SW514285"/>
    <n v="18.760000000000002"/>
    <n v="2000"/>
    <s v="0103988319"/>
    <s v="301719094322"/>
    <s v="人民币"/>
    <m/>
  </r>
  <r>
    <s v="2015-05-22"/>
    <s v="银证转出"/>
    <m/>
    <x v="0"/>
    <n v="0"/>
    <n v="0"/>
    <n v="0"/>
    <n v="0"/>
    <n v="0"/>
    <n v="0"/>
    <n v="0"/>
    <n v="0"/>
    <n v="-100000"/>
    <n v="195959.06"/>
    <m/>
    <n v="0"/>
    <n v="0"/>
    <m/>
    <s v="301719094322"/>
    <s v="人民币"/>
    <m/>
  </r>
  <r>
    <s v="2015-05-22"/>
    <s v="申购还款"/>
    <s v="300465"/>
    <x v="63"/>
    <n v="11.26"/>
    <n v="2000"/>
    <n v="22520"/>
    <n v="0"/>
    <n v="0"/>
    <n v="0"/>
    <n v="0"/>
    <n v="0"/>
    <n v="22520"/>
    <n v="218479.06"/>
    <s v="SW180409"/>
    <n v="11.26"/>
    <n v="2000"/>
    <s v="0103988319"/>
    <s v="301719094322"/>
    <s v="人民币"/>
    <m/>
  </r>
  <r>
    <s v="2015-05-22"/>
    <s v="基金申购"/>
    <s v="A40006"/>
    <x v="2"/>
    <n v="1"/>
    <n v="195959.06"/>
    <n v="195959.06"/>
    <n v="195959"/>
    <n v="0"/>
    <n v="0"/>
    <n v="0"/>
    <n v="0"/>
    <n v="-195959.06"/>
    <n v="22520"/>
    <m/>
    <n v="0"/>
    <n v="0"/>
    <s v="99F625223328"/>
    <s v="301719094322"/>
    <s v="人民币"/>
    <m/>
  </r>
  <r>
    <s v="2015-05-25"/>
    <s v="基金申购"/>
    <s v="A40006"/>
    <x v="2"/>
    <n v="1"/>
    <n v="22520"/>
    <n v="22520"/>
    <n v="218479"/>
    <n v="0"/>
    <n v="0"/>
    <n v="0"/>
    <n v="0"/>
    <n v="-22520"/>
    <n v="0"/>
    <m/>
    <n v="0"/>
    <n v="0"/>
    <s v="99F625223328"/>
    <s v="301719094322"/>
    <s v="人民币"/>
    <m/>
  </r>
  <r>
    <s v="2015-05-26"/>
    <s v="证券卖出清算"/>
    <s v="002457"/>
    <x v="62"/>
    <n v="15.96"/>
    <n v="2800"/>
    <n v="44688"/>
    <n v="3000"/>
    <n v="8.94"/>
    <n v="44.69"/>
    <n v="0"/>
    <n v="0"/>
    <n v="44634.37"/>
    <n v="44634.37"/>
    <s v="SW371849"/>
    <n v="15.96"/>
    <n v="2800"/>
    <s v="0103988319"/>
    <s v="301719094322"/>
    <s v="人民币"/>
    <m/>
  </r>
  <r>
    <s v="2015-05-26"/>
    <s v="证券卖出清算"/>
    <s v="002457"/>
    <x v="62"/>
    <n v="15.98"/>
    <n v="3000"/>
    <n v="47940"/>
    <n v="0"/>
    <n v="9.59"/>
    <n v="47.94"/>
    <n v="0"/>
    <n v="0"/>
    <n v="47882.47"/>
    <n v="92516.84"/>
    <s v="SW372180"/>
    <n v="15.98"/>
    <n v="3000"/>
    <s v="0103988319"/>
    <s v="301719094322"/>
    <s v="人民币"/>
    <m/>
  </r>
  <r>
    <s v="2015-05-26"/>
    <s v="证券买入清算"/>
    <s v="184721"/>
    <x v="50"/>
    <n v="1.417"/>
    <n v="20000"/>
    <n v="28340"/>
    <n v="20000"/>
    <n v="5.67"/>
    <n v="0"/>
    <n v="0"/>
    <n v="0"/>
    <n v="-28345.67"/>
    <n v="64171.17"/>
    <s v="SW605818"/>
    <n v="1.417"/>
    <n v="20000"/>
    <s v="0103988319"/>
    <s v="301719094322"/>
    <s v="人民币"/>
    <m/>
  </r>
  <r>
    <s v="2015-05-26"/>
    <s v="基金申购"/>
    <s v="A40006"/>
    <x v="2"/>
    <n v="1"/>
    <n v="17103.759999999998"/>
    <n v="17103.759999999998"/>
    <n v="235582"/>
    <n v="0"/>
    <n v="0"/>
    <n v="0"/>
    <n v="0"/>
    <n v="-17103.759999999998"/>
    <n v="47067.41"/>
    <m/>
    <n v="0"/>
    <n v="0"/>
    <s v="99F625223328"/>
    <s v="301719094322"/>
    <s v="人民币"/>
    <m/>
  </r>
  <r>
    <s v="2015-05-27"/>
    <s v="银证转出"/>
    <m/>
    <x v="0"/>
    <n v="0"/>
    <n v="0"/>
    <n v="0"/>
    <n v="0"/>
    <n v="0"/>
    <n v="0"/>
    <n v="0"/>
    <n v="0"/>
    <n v="-46451"/>
    <n v="616.41"/>
    <m/>
    <n v="0"/>
    <n v="0"/>
    <m/>
    <s v="301719094322"/>
    <s v="人民币"/>
    <m/>
  </r>
  <r>
    <s v="2015-05-27"/>
    <s v="深圳市场股息红利个人所得税扣款"/>
    <m/>
    <x v="0"/>
    <n v="0"/>
    <n v="0"/>
    <n v="0"/>
    <n v="0"/>
    <n v="0"/>
    <n v="0"/>
    <n v="0"/>
    <n v="0"/>
    <n v="-3"/>
    <n v="613.41"/>
    <m/>
    <n v="0"/>
    <n v="0"/>
    <m/>
    <s v="301719094322"/>
    <s v="人民币"/>
    <m/>
  </r>
  <r>
    <s v="2015-05-27"/>
    <s v="基金赎回"/>
    <s v="A40006"/>
    <x v="2"/>
    <n v="1"/>
    <n v="32496.59"/>
    <n v="32496.59"/>
    <n v="203086"/>
    <n v="0"/>
    <n v="0"/>
    <n v="0"/>
    <n v="0"/>
    <n v="32496.59"/>
    <n v="33110"/>
    <m/>
    <n v="0"/>
    <n v="0"/>
    <s v="99F625223328"/>
    <s v="301719094322"/>
    <s v="人民币"/>
    <m/>
  </r>
  <r>
    <s v="2015-05-27"/>
    <s v="证券买入清算"/>
    <s v="002237"/>
    <x v="64"/>
    <n v="16.489999999999998"/>
    <n v="1000"/>
    <n v="16490"/>
    <n v="1000"/>
    <n v="5"/>
    <n v="0"/>
    <n v="0"/>
    <n v="0"/>
    <n v="-16495"/>
    <n v="16615"/>
    <s v="SW343281"/>
    <n v="16.489999999999998"/>
    <n v="1000"/>
    <s v="0103988319"/>
    <s v="301719094322"/>
    <s v="人民币"/>
    <m/>
  </r>
  <r>
    <s v="2015-05-27"/>
    <s v="证券买入清算"/>
    <s v="002237"/>
    <x v="64"/>
    <n v="16.61"/>
    <n v="1000"/>
    <n v="16610"/>
    <n v="2000"/>
    <n v="5"/>
    <n v="0"/>
    <n v="0"/>
    <n v="0"/>
    <n v="-16615"/>
    <n v="0"/>
    <s v="SW387633"/>
    <n v="16.61"/>
    <n v="1000"/>
    <s v="0103988319"/>
    <s v="301719094322"/>
    <s v="人民币"/>
    <m/>
  </r>
  <r>
    <s v="2015-05-28"/>
    <s v="基金赎回"/>
    <s v="A40006"/>
    <x v="2"/>
    <n v="1"/>
    <n v="32026.400000000001"/>
    <n v="32026.400000000001"/>
    <n v="171059"/>
    <n v="0"/>
    <n v="0"/>
    <n v="0"/>
    <n v="0"/>
    <n v="32026.400000000001"/>
    <n v="32026.400000000001"/>
    <m/>
    <n v="0"/>
    <n v="0"/>
    <s v="99F625223328"/>
    <s v="301719094322"/>
    <s v="人民币"/>
    <m/>
  </r>
  <r>
    <s v="2015-05-28"/>
    <s v="证券买入清算"/>
    <s v="002237"/>
    <x v="64"/>
    <n v="16.010000000000002"/>
    <n v="2000"/>
    <n v="32020"/>
    <n v="4000"/>
    <n v="6.4"/>
    <n v="0"/>
    <n v="0"/>
    <n v="0"/>
    <n v="-32026.400000000001"/>
    <n v="0"/>
    <s v="SW569115"/>
    <n v="16.010000000000002"/>
    <n v="2000"/>
    <s v="0103988319"/>
    <s v="301719094322"/>
    <s v="人民币"/>
    <m/>
  </r>
  <r>
    <s v="2015-05-29"/>
    <s v="银证转入"/>
    <m/>
    <x v="0"/>
    <n v="0"/>
    <n v="0"/>
    <n v="0"/>
    <n v="0"/>
    <n v="0"/>
    <n v="0"/>
    <n v="0"/>
    <n v="0"/>
    <n v="10961.11"/>
    <n v="10961.11"/>
    <m/>
    <n v="0"/>
    <n v="0"/>
    <m/>
    <s v="301719093190"/>
    <s v="人民币"/>
    <m/>
  </r>
  <r>
    <s v="2015-05-29"/>
    <s v="跨行转出"/>
    <m/>
    <x v="0"/>
    <n v="0"/>
    <n v="0"/>
    <n v="0"/>
    <n v="0"/>
    <n v="0"/>
    <n v="0"/>
    <n v="0"/>
    <n v="0"/>
    <n v="-10961.11"/>
    <n v="0"/>
    <m/>
    <n v="0"/>
    <n v="0"/>
    <m/>
    <s v="301719093190"/>
    <s v="人民币"/>
    <m/>
  </r>
  <r>
    <s v="2015-05-29"/>
    <s v="跨行转入"/>
    <m/>
    <x v="0"/>
    <n v="0"/>
    <n v="0"/>
    <n v="0"/>
    <n v="0"/>
    <n v="0"/>
    <n v="0"/>
    <n v="0"/>
    <n v="0"/>
    <n v="10961.11"/>
    <n v="10961.11"/>
    <m/>
    <n v="0"/>
    <n v="0"/>
    <m/>
    <s v="301719094322"/>
    <s v="人民币"/>
    <m/>
  </r>
  <r>
    <s v="2015-05-29"/>
    <s v="基金赎回"/>
    <s v="A40006"/>
    <x v="2"/>
    <n v="1"/>
    <n v="31033.89"/>
    <n v="31033.89"/>
    <n v="140025"/>
    <n v="0"/>
    <n v="0"/>
    <n v="0"/>
    <n v="0"/>
    <n v="31033.89"/>
    <n v="41995"/>
    <m/>
    <n v="0"/>
    <n v="0"/>
    <s v="99F625223328"/>
    <s v="301719094322"/>
    <s v="人民币"/>
    <m/>
  </r>
  <r>
    <s v="2015-05-29"/>
    <s v="证券买入清算"/>
    <s v="002457"/>
    <x v="62"/>
    <n v="15.16"/>
    <n v="1000"/>
    <n v="15160"/>
    <n v="1000"/>
    <n v="5"/>
    <n v="0"/>
    <n v="0"/>
    <n v="0"/>
    <n v="-15165"/>
    <n v="26830"/>
    <s v="SW808339"/>
    <n v="15.16"/>
    <n v="1000"/>
    <s v="0103988319"/>
    <s v="301719094322"/>
    <s v="人民币"/>
    <m/>
  </r>
  <r>
    <s v="2015-05-29"/>
    <s v="证券买入清算"/>
    <s v="184721"/>
    <x v="50"/>
    <n v="1.33"/>
    <n v="10000"/>
    <n v="13300"/>
    <n v="30000"/>
    <n v="5"/>
    <n v="0"/>
    <n v="0"/>
    <n v="0"/>
    <n v="-13305"/>
    <n v="13525"/>
    <s v="SW902484"/>
    <n v="1.33"/>
    <n v="10000"/>
    <s v="0103988319"/>
    <s v="301719094322"/>
    <s v="人民币"/>
    <m/>
  </r>
  <r>
    <s v="2015-05-29"/>
    <s v="证券买入清算"/>
    <s v="184721"/>
    <x v="50"/>
    <n v="1.3520000000000001"/>
    <n v="10000"/>
    <n v="13520"/>
    <n v="40000"/>
    <n v="5"/>
    <n v="0"/>
    <n v="0"/>
    <n v="0"/>
    <n v="-13525"/>
    <n v="0"/>
    <s v="SW923263"/>
    <n v="1.3520000000000001"/>
    <n v="10000"/>
    <s v="0103988319"/>
    <s v="301719094322"/>
    <s v="人民币"/>
    <m/>
  </r>
  <r>
    <s v="2015-06-02"/>
    <s v="银证转入"/>
    <m/>
    <x v="0"/>
    <n v="0"/>
    <n v="0"/>
    <n v="0"/>
    <n v="0"/>
    <n v="0"/>
    <n v="0"/>
    <n v="0"/>
    <n v="0"/>
    <n v="111098.4"/>
    <n v="111098.4"/>
    <m/>
    <n v="0"/>
    <n v="0"/>
    <m/>
    <s v="301719093195"/>
    <s v="人民币"/>
    <m/>
  </r>
  <r>
    <s v="2015-06-02"/>
    <s v="跨行转出"/>
    <m/>
    <x v="0"/>
    <n v="0"/>
    <n v="0"/>
    <n v="0"/>
    <n v="0"/>
    <n v="0"/>
    <n v="0"/>
    <n v="0"/>
    <n v="0"/>
    <n v="-111098.4"/>
    <n v="0"/>
    <m/>
    <n v="0"/>
    <n v="0"/>
    <m/>
    <s v="301719093195"/>
    <s v="人民币"/>
    <m/>
  </r>
  <r>
    <s v="2015-06-02"/>
    <s v="跨行转入"/>
    <m/>
    <x v="0"/>
    <n v="0"/>
    <n v="0"/>
    <n v="0"/>
    <n v="0"/>
    <n v="0"/>
    <n v="0"/>
    <n v="0"/>
    <n v="0"/>
    <n v="111098.4"/>
    <n v="111098.4"/>
    <m/>
    <n v="0"/>
    <n v="0"/>
    <m/>
    <s v="301719094322"/>
    <s v="人民币"/>
    <m/>
  </r>
  <r>
    <s v="2015-06-02"/>
    <s v="基金赎回"/>
    <s v="A40006"/>
    <x v="2"/>
    <n v="1"/>
    <n v="106401.60000000001"/>
    <n v="106401.60000000001"/>
    <n v="33624"/>
    <n v="0"/>
    <n v="0"/>
    <n v="0"/>
    <n v="0"/>
    <n v="106401.60000000001"/>
    <n v="217500"/>
    <m/>
    <n v="0"/>
    <n v="0"/>
    <s v="99F625223328"/>
    <s v="301719094322"/>
    <s v="人民币"/>
    <m/>
  </r>
  <r>
    <s v="2015-06-02"/>
    <s v="新股申购"/>
    <s v="002761"/>
    <x v="65"/>
    <n v="7.28"/>
    <n v="3000"/>
    <n v="21840"/>
    <n v="3000"/>
    <n v="0"/>
    <n v="0"/>
    <n v="0"/>
    <n v="0"/>
    <n v="-21840"/>
    <n v="195660"/>
    <s v="SW829439"/>
    <n v="7.28"/>
    <n v="3000"/>
    <s v="0103988319"/>
    <s v="301719094322"/>
    <s v="人民币"/>
    <m/>
  </r>
  <r>
    <s v="2015-06-02"/>
    <s v="新股申购"/>
    <s v="002765"/>
    <x v="66"/>
    <n v="7.67"/>
    <n v="3000"/>
    <n v="23010"/>
    <n v="3000"/>
    <n v="0"/>
    <n v="0"/>
    <n v="0"/>
    <n v="0"/>
    <n v="-23010"/>
    <n v="172650"/>
    <s v="SW829654"/>
    <n v="7.67"/>
    <n v="3000"/>
    <s v="0103988319"/>
    <s v="301719094322"/>
    <s v="人民币"/>
    <m/>
  </r>
  <r>
    <s v="2015-06-02"/>
    <s v="新股申购"/>
    <s v="300475"/>
    <x v="67"/>
    <n v="8.8000000000000007"/>
    <n v="3000"/>
    <n v="26400"/>
    <n v="3000"/>
    <n v="0"/>
    <n v="0"/>
    <n v="0"/>
    <n v="0"/>
    <n v="-26400"/>
    <n v="146250"/>
    <s v="SW829879"/>
    <n v="8.8000000000000007"/>
    <n v="3000"/>
    <s v="0103988319"/>
    <s v="301719094322"/>
    <s v="人民币"/>
    <m/>
  </r>
  <r>
    <s v="2015-06-02"/>
    <s v="新股申购"/>
    <s v="300464"/>
    <x v="68"/>
    <n v="10.199999999999999"/>
    <n v="3000"/>
    <n v="30600"/>
    <n v="3000"/>
    <n v="0"/>
    <n v="0"/>
    <n v="0"/>
    <n v="0"/>
    <n v="-30600"/>
    <n v="115650"/>
    <s v="SW830128"/>
    <n v="10.199999999999999"/>
    <n v="3000"/>
    <s v="0103988319"/>
    <s v="301719094322"/>
    <s v="人民币"/>
    <m/>
  </r>
  <r>
    <s v="2015-06-02"/>
    <s v="新股申购"/>
    <s v="300477"/>
    <x v="69"/>
    <n v="10.61"/>
    <n v="3000"/>
    <n v="31830"/>
    <n v="3000"/>
    <n v="0"/>
    <n v="0"/>
    <n v="0"/>
    <n v="0"/>
    <n v="-31830"/>
    <n v="83820"/>
    <s v="SW844194"/>
    <n v="10.61"/>
    <n v="3000"/>
    <s v="0103988319"/>
    <s v="301719094322"/>
    <s v="人民币"/>
    <m/>
  </r>
  <r>
    <s v="2015-06-02"/>
    <s v="新股申购"/>
    <s v="002763"/>
    <x v="70"/>
    <n v="13.1"/>
    <n v="3000"/>
    <n v="39300"/>
    <n v="3000"/>
    <n v="0"/>
    <n v="0"/>
    <n v="0"/>
    <n v="0"/>
    <n v="-39300"/>
    <n v="44520"/>
    <s v="SW844377"/>
    <n v="13.1"/>
    <n v="3000"/>
    <s v="0103988319"/>
    <s v="301719094322"/>
    <s v="人民币"/>
    <m/>
  </r>
  <r>
    <s v="2015-06-02"/>
    <s v="新股申购"/>
    <s v="300478"/>
    <x v="71"/>
    <n v="14.84"/>
    <n v="3000"/>
    <n v="44520"/>
    <n v="3000"/>
    <n v="0"/>
    <n v="0"/>
    <n v="0"/>
    <n v="0"/>
    <n v="-44520"/>
    <n v="0"/>
    <s v="SW844564"/>
    <n v="14.84"/>
    <n v="3000"/>
    <s v="0103988319"/>
    <s v="301719094322"/>
    <s v="人民币"/>
    <m/>
  </r>
  <r>
    <s v="2015-06-03"/>
    <s v="银证转入"/>
    <m/>
    <x v="0"/>
    <n v="0"/>
    <n v="0"/>
    <n v="0"/>
    <n v="0"/>
    <n v="0"/>
    <n v="0"/>
    <n v="0"/>
    <n v="0"/>
    <n v="137851.37"/>
    <n v="137851.37"/>
    <m/>
    <n v="0"/>
    <n v="0"/>
    <m/>
    <s v="301719094322"/>
    <s v="人民币"/>
    <m/>
  </r>
  <r>
    <s v="2015-06-03"/>
    <s v="基金赎回"/>
    <s v="A40006"/>
    <x v="2"/>
    <n v="1"/>
    <n v="31513.63"/>
    <n v="31513.63"/>
    <n v="2110"/>
    <n v="0"/>
    <n v="0"/>
    <n v="0"/>
    <n v="0"/>
    <n v="31513.63"/>
    <n v="169365"/>
    <m/>
    <n v="0"/>
    <n v="0"/>
    <s v="99F625223328"/>
    <s v="301719094322"/>
    <s v="人民币"/>
    <m/>
  </r>
  <r>
    <s v="2015-06-03"/>
    <s v="新股申购"/>
    <s v="002760"/>
    <x v="72"/>
    <n v="8.31"/>
    <n v="3500"/>
    <n v="29085"/>
    <n v="3500"/>
    <n v="0"/>
    <n v="0"/>
    <n v="0"/>
    <n v="0"/>
    <n v="-29085"/>
    <n v="140280"/>
    <s v="SW137309"/>
    <n v="8.31"/>
    <n v="3500"/>
    <s v="0103988319"/>
    <s v="301719094322"/>
    <s v="人民币"/>
    <m/>
  </r>
  <r>
    <s v="2015-06-03"/>
    <s v="新股申购"/>
    <s v="002766"/>
    <x v="73"/>
    <n v="7.53"/>
    <n v="3500"/>
    <n v="26355"/>
    <n v="3500"/>
    <n v="0"/>
    <n v="0"/>
    <n v="0"/>
    <n v="0"/>
    <n v="-26355"/>
    <n v="113925"/>
    <s v="SW137641"/>
    <n v="7.53"/>
    <n v="3500"/>
    <s v="0103988319"/>
    <s v="301719094322"/>
    <s v="人民币"/>
    <m/>
  </r>
  <r>
    <s v="2015-06-03"/>
    <s v="新股申购"/>
    <s v="300469"/>
    <x v="74"/>
    <n v="10.14"/>
    <n v="3500"/>
    <n v="35490"/>
    <n v="3500"/>
    <n v="0"/>
    <n v="0"/>
    <n v="0"/>
    <n v="0"/>
    <n v="-35490"/>
    <n v="78435"/>
    <s v="SW139141"/>
    <n v="10.14"/>
    <n v="3500"/>
    <s v="0103988319"/>
    <s v="301719094322"/>
    <s v="人民币"/>
    <m/>
  </r>
  <r>
    <s v="2015-06-03"/>
    <s v="新股申购"/>
    <s v="300472"/>
    <x v="75"/>
    <n v="11.39"/>
    <n v="3500"/>
    <n v="39865"/>
    <n v="3500"/>
    <n v="0"/>
    <n v="0"/>
    <n v="0"/>
    <n v="0"/>
    <n v="-39865"/>
    <n v="38570"/>
    <s v="SW139700"/>
    <n v="11.39"/>
    <n v="3500"/>
    <s v="0103988319"/>
    <s v="301719094322"/>
    <s v="人民币"/>
    <m/>
  </r>
  <r>
    <s v="2015-06-03"/>
    <s v="新股申购"/>
    <s v="300479"/>
    <x v="76"/>
    <n v="11.02"/>
    <n v="3500"/>
    <n v="38570"/>
    <n v="3500"/>
    <n v="0"/>
    <n v="0"/>
    <n v="0"/>
    <n v="0"/>
    <n v="-38570"/>
    <n v="0"/>
    <s v="SW140343"/>
    <n v="11.02"/>
    <n v="3500"/>
    <s v="0103988319"/>
    <s v="301719094322"/>
    <s v="人民币"/>
    <m/>
  </r>
  <r>
    <s v="2015-06-04"/>
    <s v="申购还款"/>
    <s v="002761"/>
    <x v="65"/>
    <n v="7.28"/>
    <n v="3000"/>
    <n v="21840"/>
    <n v="0"/>
    <n v="0"/>
    <n v="0"/>
    <n v="0"/>
    <n v="0"/>
    <n v="21840"/>
    <n v="21840"/>
    <s v="SW829439"/>
    <n v="7.28"/>
    <n v="3000"/>
    <s v="0103988319"/>
    <s v="301719094322"/>
    <s v="人民币"/>
    <m/>
  </r>
  <r>
    <s v="2015-06-04"/>
    <s v="申购还款"/>
    <s v="002765"/>
    <x v="66"/>
    <n v="7.67"/>
    <n v="3000"/>
    <n v="23010"/>
    <n v="0"/>
    <n v="0"/>
    <n v="0"/>
    <n v="0"/>
    <n v="0"/>
    <n v="23010"/>
    <n v="44850"/>
    <s v="SW829654"/>
    <n v="7.67"/>
    <n v="3000"/>
    <s v="0103988319"/>
    <s v="301719094322"/>
    <s v="人民币"/>
    <m/>
  </r>
  <r>
    <s v="2015-06-04"/>
    <s v="申购还款"/>
    <s v="300475"/>
    <x v="67"/>
    <n v="8.8000000000000007"/>
    <n v="3000"/>
    <n v="26400"/>
    <n v="0"/>
    <n v="0"/>
    <n v="0"/>
    <n v="0"/>
    <n v="0"/>
    <n v="26400"/>
    <n v="71250"/>
    <s v="SW829879"/>
    <n v="8.8000000000000007"/>
    <n v="3000"/>
    <s v="0103988319"/>
    <s v="301719094322"/>
    <s v="人民币"/>
    <m/>
  </r>
  <r>
    <s v="2015-06-04"/>
    <s v="申购还款"/>
    <s v="300464"/>
    <x v="68"/>
    <n v="10.199999999999999"/>
    <n v="3000"/>
    <n v="30600"/>
    <n v="0"/>
    <n v="0"/>
    <n v="0"/>
    <n v="0"/>
    <n v="0"/>
    <n v="30600"/>
    <n v="101850"/>
    <s v="SW830128"/>
    <n v="10.199999999999999"/>
    <n v="3000"/>
    <s v="0103988319"/>
    <s v="301719094322"/>
    <s v="人民币"/>
    <m/>
  </r>
  <r>
    <s v="2015-06-04"/>
    <s v="申购还款"/>
    <s v="300477"/>
    <x v="69"/>
    <n v="10.61"/>
    <n v="3000"/>
    <n v="31830"/>
    <n v="0"/>
    <n v="0"/>
    <n v="0"/>
    <n v="0"/>
    <n v="0"/>
    <n v="31830"/>
    <n v="133680"/>
    <s v="SW844194"/>
    <n v="10.61"/>
    <n v="3000"/>
    <s v="0103988319"/>
    <s v="301719094322"/>
    <s v="人民币"/>
    <m/>
  </r>
  <r>
    <s v="2015-06-04"/>
    <s v="申购还款"/>
    <s v="002763"/>
    <x v="70"/>
    <n v="13.1"/>
    <n v="3000"/>
    <n v="39300"/>
    <n v="0"/>
    <n v="0"/>
    <n v="0"/>
    <n v="0"/>
    <n v="0"/>
    <n v="39300"/>
    <n v="172980"/>
    <s v="SW844377"/>
    <n v="13.1"/>
    <n v="3000"/>
    <s v="0103988319"/>
    <s v="301719094322"/>
    <s v="人民币"/>
    <m/>
  </r>
  <r>
    <s v="2015-06-04"/>
    <s v="申购还款"/>
    <s v="300478"/>
    <x v="71"/>
    <n v="14.84"/>
    <n v="3000"/>
    <n v="44520"/>
    <n v="0"/>
    <n v="0"/>
    <n v="0"/>
    <n v="0"/>
    <n v="0"/>
    <n v="44520"/>
    <n v="217500"/>
    <s v="SW844564"/>
    <n v="14.84"/>
    <n v="3000"/>
    <s v="0103988319"/>
    <s v="301719094322"/>
    <s v="人民币"/>
    <m/>
  </r>
  <r>
    <s v="2015-06-05"/>
    <s v="申购还款"/>
    <s v="002760"/>
    <x v="72"/>
    <n v="8.31"/>
    <n v="3500"/>
    <n v="29085"/>
    <n v="0"/>
    <n v="0"/>
    <n v="0"/>
    <n v="0"/>
    <n v="0"/>
    <n v="29085"/>
    <n v="246585"/>
    <s v="SW137309"/>
    <n v="8.31"/>
    <n v="3500"/>
    <s v="0103988319"/>
    <s v="301719094322"/>
    <s v="人民币"/>
    <m/>
  </r>
  <r>
    <s v="2015-06-05"/>
    <s v="申购还款"/>
    <s v="002766"/>
    <x v="73"/>
    <n v="7.53"/>
    <n v="3500"/>
    <n v="26355"/>
    <n v="0"/>
    <n v="0"/>
    <n v="0"/>
    <n v="0"/>
    <n v="0"/>
    <n v="26355"/>
    <n v="272940"/>
    <s v="SW137641"/>
    <n v="7.53"/>
    <n v="3500"/>
    <s v="0103988319"/>
    <s v="301719094322"/>
    <s v="人民币"/>
    <m/>
  </r>
  <r>
    <s v="2015-06-05"/>
    <s v="申购还款"/>
    <s v="300469"/>
    <x v="74"/>
    <n v="10.14"/>
    <n v="3500"/>
    <n v="35490"/>
    <n v="0"/>
    <n v="0"/>
    <n v="0"/>
    <n v="0"/>
    <n v="0"/>
    <n v="35490"/>
    <n v="308430"/>
    <s v="SW139141"/>
    <n v="10.14"/>
    <n v="3500"/>
    <s v="0103988319"/>
    <s v="301719094322"/>
    <s v="人民币"/>
    <m/>
  </r>
  <r>
    <s v="2015-06-05"/>
    <s v="申购还款"/>
    <s v="300472"/>
    <x v="75"/>
    <n v="11.39"/>
    <n v="3500"/>
    <n v="39865"/>
    <n v="0"/>
    <n v="0"/>
    <n v="0"/>
    <n v="0"/>
    <n v="0"/>
    <n v="39865"/>
    <n v="348295"/>
    <s v="SW139700"/>
    <n v="11.39"/>
    <n v="3500"/>
    <s v="0103988319"/>
    <s v="301719094322"/>
    <s v="人民币"/>
    <m/>
  </r>
  <r>
    <s v="2015-06-05"/>
    <s v="申购还款"/>
    <s v="300479"/>
    <x v="76"/>
    <n v="11.02"/>
    <n v="3500"/>
    <n v="38570"/>
    <n v="0"/>
    <n v="0"/>
    <n v="0"/>
    <n v="0"/>
    <n v="0"/>
    <n v="38570"/>
    <n v="386865"/>
    <s v="SW140343"/>
    <n v="11.02"/>
    <n v="3500"/>
    <s v="0103988319"/>
    <s v="301719094322"/>
    <s v="人民币"/>
    <m/>
  </r>
  <r>
    <s v="2015-06-05"/>
    <s v="基金申购"/>
    <s v="A40006"/>
    <x v="2"/>
    <n v="1"/>
    <n v="217500"/>
    <n v="217500"/>
    <n v="219610"/>
    <n v="0"/>
    <n v="0"/>
    <n v="0"/>
    <n v="0"/>
    <n v="-217500"/>
    <n v="169365"/>
    <m/>
    <n v="0"/>
    <n v="0"/>
    <s v="99F625223328"/>
    <s v="301719094322"/>
    <s v="人民币"/>
    <m/>
  </r>
  <r>
    <s v="2015-06-08"/>
    <s v="银证转出"/>
    <m/>
    <x v="0"/>
    <n v="0"/>
    <n v="0"/>
    <n v="0"/>
    <n v="0"/>
    <n v="0"/>
    <n v="0"/>
    <n v="0"/>
    <n v="0"/>
    <n v="-150000"/>
    <n v="19365"/>
    <m/>
    <n v="0"/>
    <n v="0"/>
    <m/>
    <s v="301719094322"/>
    <s v="人民币"/>
    <m/>
  </r>
  <r>
    <s v="2015-06-08"/>
    <s v="证券卖出清算"/>
    <s v="002457"/>
    <x v="62"/>
    <n v="17.43"/>
    <n v="1000"/>
    <n v="17430"/>
    <n v="0"/>
    <n v="5"/>
    <n v="17.43"/>
    <n v="0"/>
    <n v="0"/>
    <n v="17407.57"/>
    <n v="36772.57"/>
    <s v="SW145842"/>
    <n v="17.399999999999999"/>
    <n v="1000"/>
    <s v="0103988319"/>
    <s v="301719094322"/>
    <s v="人民币"/>
    <m/>
  </r>
  <r>
    <s v="2015-06-08"/>
    <s v="证券卖出清算"/>
    <s v="184721"/>
    <x v="50"/>
    <n v="1.4239999999999999"/>
    <n v="20000"/>
    <n v="28480"/>
    <n v="20000"/>
    <n v="5.7"/>
    <n v="0"/>
    <n v="0"/>
    <n v="0"/>
    <n v="28474.3"/>
    <n v="65246.87"/>
    <s v="SW148156"/>
    <n v="1.42"/>
    <n v="20000"/>
    <s v="0103988319"/>
    <s v="301719094322"/>
    <s v="人民币"/>
    <m/>
  </r>
  <r>
    <s v="2015-06-08"/>
    <s v="证券卖出清算"/>
    <s v="184721"/>
    <x v="50"/>
    <n v="1.4239999999999999"/>
    <n v="20000"/>
    <n v="28480"/>
    <n v="0"/>
    <n v="5.7"/>
    <n v="0"/>
    <n v="0"/>
    <n v="0"/>
    <n v="28474.3"/>
    <n v="93721.17"/>
    <s v="SW148306"/>
    <n v="1.421"/>
    <n v="20000"/>
    <s v="0103988319"/>
    <s v="301719094322"/>
    <s v="人民币"/>
    <m/>
  </r>
  <r>
    <s v="2015-06-08"/>
    <s v="基金申购"/>
    <s v="A40006"/>
    <x v="2"/>
    <n v="1"/>
    <n v="93721.17"/>
    <n v="93721.17"/>
    <n v="313331"/>
    <n v="0"/>
    <n v="0"/>
    <n v="0"/>
    <n v="0"/>
    <n v="-93721.17"/>
    <n v="0"/>
    <m/>
    <n v="0"/>
    <n v="0"/>
    <s v="99F625223328"/>
    <s v="301719094322"/>
    <s v="人民币"/>
    <m/>
  </r>
  <r>
    <s v="2015-06-17"/>
    <s v="银证转入"/>
    <m/>
    <x v="0"/>
    <n v="0"/>
    <n v="0"/>
    <n v="0"/>
    <n v="0"/>
    <n v="0"/>
    <n v="0"/>
    <n v="0"/>
    <n v="0"/>
    <n v="3752"/>
    <n v="3752"/>
    <m/>
    <n v="0"/>
    <n v="0"/>
    <m/>
    <s v="301719094323"/>
    <s v="人民币"/>
    <m/>
  </r>
  <r>
    <s v="2015-06-17"/>
    <s v="跨行转出"/>
    <m/>
    <x v="0"/>
    <n v="0"/>
    <n v="0"/>
    <n v="0"/>
    <n v="0"/>
    <n v="0"/>
    <n v="0"/>
    <n v="0"/>
    <n v="0"/>
    <n v="-3752"/>
    <n v="0"/>
    <m/>
    <n v="0"/>
    <n v="0"/>
    <m/>
    <s v="301719094323"/>
    <s v="人民币"/>
    <m/>
  </r>
  <r>
    <s v="2015-06-17"/>
    <s v="跨行转入"/>
    <m/>
    <x v="0"/>
    <n v="0"/>
    <n v="0"/>
    <n v="0"/>
    <n v="0"/>
    <n v="0"/>
    <n v="0"/>
    <n v="0"/>
    <n v="0"/>
    <n v="3752"/>
    <n v="3752"/>
    <m/>
    <n v="0"/>
    <n v="0"/>
    <m/>
    <s v="301719094322"/>
    <s v="人民币"/>
    <m/>
  </r>
  <r>
    <s v="2015-06-17"/>
    <s v="基金赎回"/>
    <s v="A40006"/>
    <x v="2"/>
    <n v="1"/>
    <n v="22813.31"/>
    <n v="22813.31"/>
    <n v="290518"/>
    <n v="0"/>
    <n v="0"/>
    <n v="0"/>
    <n v="0"/>
    <n v="22813.31"/>
    <n v="26565.31"/>
    <m/>
    <n v="0"/>
    <n v="0"/>
    <s v="99F625223328"/>
    <s v="301719094322"/>
    <s v="人民币"/>
    <m/>
  </r>
  <r>
    <s v="2015-06-17"/>
    <s v="证券买入清算"/>
    <s v="184721"/>
    <x v="50"/>
    <n v="1.3280000000000001"/>
    <n v="20000"/>
    <n v="26560"/>
    <n v="20000"/>
    <n v="5.31"/>
    <n v="0"/>
    <n v="0"/>
    <n v="0"/>
    <n v="-26565.31"/>
    <n v="0"/>
    <s v="SW582308"/>
    <n v="1.3280000000000001"/>
    <n v="20000"/>
    <s v="0103988319"/>
    <s v="301719094322"/>
    <s v="人民币"/>
    <m/>
  </r>
  <r>
    <s v="2015-06-19"/>
    <s v="银证转入"/>
    <m/>
    <x v="0"/>
    <n v="0"/>
    <n v="0"/>
    <n v="0"/>
    <n v="0"/>
    <n v="0"/>
    <n v="0"/>
    <n v="0"/>
    <n v="0"/>
    <n v="100000"/>
    <n v="100000"/>
    <m/>
    <n v="0"/>
    <n v="0"/>
    <m/>
    <s v="301719093195"/>
    <s v="人民币"/>
    <m/>
  </r>
  <r>
    <s v="2015-06-19"/>
    <s v="跨行转出"/>
    <m/>
    <x v="0"/>
    <n v="0"/>
    <n v="0"/>
    <n v="0"/>
    <n v="0"/>
    <n v="0"/>
    <n v="0"/>
    <n v="0"/>
    <n v="0"/>
    <n v="-100000"/>
    <n v="0"/>
    <m/>
    <n v="0"/>
    <n v="0"/>
    <m/>
    <s v="301719093195"/>
    <s v="人民币"/>
    <m/>
  </r>
  <r>
    <s v="2015-06-19"/>
    <s v="跨行转入"/>
    <m/>
    <x v="0"/>
    <n v="0"/>
    <n v="0"/>
    <n v="0"/>
    <n v="0"/>
    <n v="0"/>
    <n v="0"/>
    <n v="0"/>
    <n v="0"/>
    <n v="100000"/>
    <n v="100000"/>
    <m/>
    <n v="0"/>
    <n v="0"/>
    <m/>
    <s v="301719094322"/>
    <s v="人民币"/>
    <m/>
  </r>
  <r>
    <s v="2015-06-19"/>
    <s v="基金赎回"/>
    <s v="A40006"/>
    <x v="2"/>
    <n v="1"/>
    <n v="287755"/>
    <n v="287755"/>
    <n v="2763"/>
    <n v="0"/>
    <n v="0"/>
    <n v="0"/>
    <n v="0"/>
    <n v="287755"/>
    <n v="387755"/>
    <m/>
    <n v="0"/>
    <n v="0"/>
    <s v="99F625223328"/>
    <s v="301719094322"/>
    <s v="人民币"/>
    <m/>
  </r>
  <r>
    <s v="2015-06-19"/>
    <s v="新股申购"/>
    <s v="300489"/>
    <x v="77"/>
    <n v="17.559999999999999"/>
    <n v="4500"/>
    <n v="79020"/>
    <n v="4500"/>
    <n v="0"/>
    <n v="0"/>
    <n v="0"/>
    <n v="0"/>
    <n v="-79020"/>
    <n v="308735"/>
    <s v="SW340103"/>
    <n v="17.559999999999999"/>
    <n v="4500"/>
    <s v="0103988319"/>
    <s v="301719094322"/>
    <s v="人民币"/>
    <m/>
  </r>
  <r>
    <s v="2015-06-19"/>
    <s v="新股申购"/>
    <s v="300487"/>
    <x v="78"/>
    <n v="14.83"/>
    <n v="6500"/>
    <n v="96395"/>
    <n v="6500"/>
    <n v="0"/>
    <n v="0"/>
    <n v="0"/>
    <n v="0"/>
    <n v="-96395"/>
    <n v="212340"/>
    <s v="SW340139"/>
    <n v="14.83"/>
    <n v="6500"/>
    <s v="0103988319"/>
    <s v="301719094322"/>
    <s v="人民币"/>
    <m/>
  </r>
  <r>
    <s v="2015-06-19"/>
    <s v="新股申购"/>
    <s v="300482"/>
    <x v="79"/>
    <n v="16"/>
    <n v="6500"/>
    <n v="104000"/>
    <n v="6500"/>
    <n v="0"/>
    <n v="0"/>
    <n v="0"/>
    <n v="0"/>
    <n v="-104000"/>
    <n v="108340"/>
    <s v="SW340148"/>
    <n v="16"/>
    <n v="6500"/>
    <s v="0103988319"/>
    <s v="301719094322"/>
    <s v="人民币"/>
    <m/>
  </r>
  <r>
    <s v="2015-06-19"/>
    <s v="新股申购"/>
    <s v="300481"/>
    <x v="80"/>
    <n v="9.1300000000000008"/>
    <n v="6500"/>
    <n v="59345"/>
    <n v="6500"/>
    <n v="0"/>
    <n v="0"/>
    <n v="0"/>
    <n v="0"/>
    <n v="-59345"/>
    <n v="48995"/>
    <s v="SW343853"/>
    <n v="9.1300000000000008"/>
    <n v="6500"/>
    <s v="0103988319"/>
    <s v="301719094322"/>
    <s v="人民币"/>
    <m/>
  </r>
  <r>
    <s v="2015-06-19"/>
    <s v="新股申购"/>
    <s v="002770"/>
    <x v="81"/>
    <n v="6.85"/>
    <n v="6500"/>
    <n v="44525"/>
    <n v="6500"/>
    <n v="0"/>
    <n v="0"/>
    <n v="0"/>
    <n v="0"/>
    <n v="-44525"/>
    <n v="4470"/>
    <s v="SW344152"/>
    <n v="6.85"/>
    <n v="6500"/>
    <s v="0103988319"/>
    <s v="301719094322"/>
    <s v="人民币"/>
    <m/>
  </r>
  <r>
    <s v="2015-06-19"/>
    <s v="新股申购"/>
    <s v="300486"/>
    <x v="82"/>
    <n v="8.94"/>
    <n v="500"/>
    <n v="4470"/>
    <n v="500"/>
    <n v="0"/>
    <n v="0"/>
    <n v="0"/>
    <n v="0"/>
    <n v="-4470"/>
    <n v="0"/>
    <s v="SW344621"/>
    <n v="8.94"/>
    <n v="500"/>
    <s v="0103988319"/>
    <s v="301719094322"/>
    <s v="人民币"/>
    <m/>
  </r>
  <r>
    <s v="2015-06-23"/>
    <s v="利息归本"/>
    <m/>
    <x v="0"/>
    <n v="0"/>
    <n v="0"/>
    <n v="0"/>
    <n v="0"/>
    <n v="0"/>
    <n v="0"/>
    <n v="0"/>
    <n v="0"/>
    <n v="39"/>
    <n v="39"/>
    <m/>
    <n v="0"/>
    <n v="0"/>
    <m/>
    <s v="301719094322"/>
    <s v="人民币"/>
    <m/>
  </r>
  <r>
    <s v="2015-06-24"/>
    <s v="红利发放"/>
    <s v="A40006"/>
    <x v="2"/>
    <n v="1"/>
    <n v="0"/>
    <n v="1589.46"/>
    <n v="2763"/>
    <n v="0"/>
    <n v="0"/>
    <n v="0"/>
    <n v="0"/>
    <n v="1589.46"/>
    <n v="2357.06"/>
    <m/>
    <n v="8.4000000000000005E-2"/>
    <n v="0"/>
    <s v="99F625223328"/>
    <s v="301719094322"/>
    <s v="人民币"/>
    <m/>
  </r>
  <r>
    <s v="2015-06-24"/>
    <s v="申购还款"/>
    <s v="300489"/>
    <x v="77"/>
    <n v="17.559999999999999"/>
    <n v="4500"/>
    <n v="79020"/>
    <n v="0"/>
    <n v="0"/>
    <n v="0"/>
    <n v="0"/>
    <n v="0"/>
    <n v="79020"/>
    <n v="81377.06"/>
    <s v="SW340103"/>
    <n v="17.559999999999999"/>
    <n v="4500"/>
    <s v="0103988319"/>
    <s v="301719094322"/>
    <s v="人民币"/>
    <m/>
  </r>
  <r>
    <s v="2015-06-24"/>
    <s v="申购还款"/>
    <s v="300487"/>
    <x v="78"/>
    <n v="14.83"/>
    <n v="6500"/>
    <n v="96395"/>
    <n v="0"/>
    <n v="0"/>
    <n v="0"/>
    <n v="0"/>
    <n v="0"/>
    <n v="96395"/>
    <n v="177772.06"/>
    <s v="SW340139"/>
    <n v="14.83"/>
    <n v="6500"/>
    <s v="0103988319"/>
    <s v="301719094322"/>
    <s v="人民币"/>
    <m/>
  </r>
  <r>
    <s v="2015-06-24"/>
    <s v="申购还款"/>
    <s v="300482"/>
    <x v="79"/>
    <n v="16"/>
    <n v="6500"/>
    <n v="104000"/>
    <n v="0"/>
    <n v="0"/>
    <n v="0"/>
    <n v="0"/>
    <n v="0"/>
    <n v="104000"/>
    <n v="281772.06"/>
    <s v="SW340148"/>
    <n v="16"/>
    <n v="6500"/>
    <s v="0103988319"/>
    <s v="301719094322"/>
    <s v="人民币"/>
    <m/>
  </r>
  <r>
    <s v="2015-06-24"/>
    <s v="申购还款"/>
    <s v="300481"/>
    <x v="80"/>
    <n v="9.1300000000000008"/>
    <n v="6500"/>
    <n v="59345"/>
    <n v="0"/>
    <n v="0"/>
    <n v="0"/>
    <n v="0"/>
    <n v="0"/>
    <n v="59345"/>
    <n v="341117.06"/>
    <s v="SW343853"/>
    <n v="9.1300000000000008"/>
    <n v="6500"/>
    <s v="0103988319"/>
    <s v="301719094322"/>
    <s v="人民币"/>
    <m/>
  </r>
  <r>
    <s v="2015-06-24"/>
    <s v="申购中签"/>
    <s v="002770"/>
    <x v="81"/>
    <n v="6.85"/>
    <n v="500"/>
    <n v="3425"/>
    <n v="7000"/>
    <n v="0"/>
    <n v="0"/>
    <n v="0"/>
    <n v="0"/>
    <n v="-3425"/>
    <n v="337692.06"/>
    <s v="SW344152"/>
    <n v="6.85"/>
    <n v="6500"/>
    <s v="0103988319"/>
    <s v="301719094322"/>
    <s v="人民币"/>
    <m/>
  </r>
  <r>
    <s v="2015-06-24"/>
    <s v="申购还款"/>
    <s v="002770"/>
    <x v="81"/>
    <n v="6.85"/>
    <n v="6500"/>
    <n v="44525"/>
    <n v="500"/>
    <n v="0"/>
    <n v="0"/>
    <n v="0"/>
    <n v="0"/>
    <n v="44525"/>
    <n v="382217.06"/>
    <s v="SW344152"/>
    <n v="6.85"/>
    <n v="6500"/>
    <s v="0103988319"/>
    <s v="301719094322"/>
    <s v="人民币"/>
    <m/>
  </r>
  <r>
    <s v="2015-06-24"/>
    <s v="申购还款"/>
    <s v="300486"/>
    <x v="82"/>
    <n v="8.94"/>
    <n v="500"/>
    <n v="4470"/>
    <n v="0"/>
    <n v="0"/>
    <n v="0"/>
    <n v="0"/>
    <n v="0"/>
    <n v="4470"/>
    <n v="386687.06"/>
    <s v="SW344621"/>
    <n v="8.94"/>
    <n v="500"/>
    <s v="0103988319"/>
    <s v="301719094322"/>
    <s v="人民币"/>
    <m/>
  </r>
  <r>
    <s v="2015-06-25"/>
    <s v="证券买入清算"/>
    <s v="002014"/>
    <x v="83"/>
    <n v="30.2"/>
    <n v="500"/>
    <n v="15100"/>
    <n v="500"/>
    <n v="5"/>
    <n v="0"/>
    <n v="0"/>
    <n v="0"/>
    <n v="-15105"/>
    <n v="370853.46"/>
    <s v="SW338397"/>
    <n v="30.2"/>
    <n v="500"/>
    <s v="0103988319"/>
    <s v="301719094322"/>
    <s v="人民币"/>
    <m/>
  </r>
  <r>
    <s v="2015-06-25"/>
    <s v="基金申购"/>
    <s v="A40006"/>
    <x v="2"/>
    <n v="1"/>
    <n v="370853.46"/>
    <n v="370853.46"/>
    <n v="373617"/>
    <n v="0"/>
    <n v="0"/>
    <n v="0"/>
    <n v="0"/>
    <n v="-370853.46"/>
    <n v="0"/>
    <m/>
    <n v="0"/>
    <n v="0"/>
    <s v="99F625223328"/>
    <s v="301719094322"/>
    <s v="人民币"/>
    <m/>
  </r>
  <r>
    <s v="2015-06-26"/>
    <s v="红利发放"/>
    <s v="A40006"/>
    <x v="2"/>
    <n v="1"/>
    <n v="0"/>
    <n v="424.58"/>
    <n v="373617"/>
    <n v="0"/>
    <n v="0"/>
    <n v="0"/>
    <n v="0"/>
    <n v="424.58"/>
    <n v="424.58"/>
    <m/>
    <n v="1.4999999999999999E-2"/>
    <n v="0"/>
    <s v="99F625223328"/>
    <s v="301719094322"/>
    <s v="人民币"/>
    <m/>
  </r>
  <r>
    <s v="2015-06-26"/>
    <s v="基金赎回"/>
    <s v="A40006"/>
    <x v="2"/>
    <n v="1"/>
    <n v="63735"/>
    <n v="63735"/>
    <n v="309882"/>
    <n v="0"/>
    <n v="0"/>
    <n v="0"/>
    <n v="0"/>
    <n v="63735"/>
    <n v="64159.58"/>
    <m/>
    <n v="0"/>
    <n v="0"/>
    <s v="99F625223328"/>
    <s v="301719094322"/>
    <s v="人民币"/>
    <m/>
  </r>
  <r>
    <s v="2015-06-26"/>
    <s v="证券买入清算"/>
    <s v="002457"/>
    <x v="62"/>
    <n v="17.989999999999998"/>
    <n v="1000"/>
    <n v="17990"/>
    <n v="1000"/>
    <n v="5"/>
    <n v="0"/>
    <n v="0"/>
    <n v="0"/>
    <n v="-17995"/>
    <n v="46164.58"/>
    <s v="SW358229"/>
    <n v="19.16"/>
    <n v="1000"/>
    <s v="0103988319"/>
    <s v="301719094322"/>
    <s v="人民币"/>
    <m/>
  </r>
  <r>
    <s v="2015-06-26"/>
    <s v="证券买入清算"/>
    <s v="002014"/>
    <x v="83"/>
    <n v="28.16"/>
    <n v="500"/>
    <n v="14080"/>
    <n v="1000"/>
    <n v="5"/>
    <n v="0"/>
    <n v="0"/>
    <n v="0"/>
    <n v="-14085"/>
    <n v="32079.58"/>
    <s v="SW360158"/>
    <n v="28.16"/>
    <n v="500"/>
    <s v="0103988319"/>
    <s v="301719094322"/>
    <s v="人民币"/>
    <m/>
  </r>
  <r>
    <s v="2015-06-26"/>
    <s v="证券买入清算"/>
    <s v="184721"/>
    <x v="50"/>
    <n v="1.2010000000000001"/>
    <n v="10000"/>
    <n v="12010"/>
    <n v="30000"/>
    <n v="5"/>
    <n v="0"/>
    <n v="0"/>
    <n v="0"/>
    <n v="-12015"/>
    <n v="20064.580000000002"/>
    <s v="SW393557"/>
    <n v="1.2010000000000001"/>
    <n v="10000"/>
    <s v="0103988319"/>
    <s v="301719094322"/>
    <s v="人民币"/>
    <m/>
  </r>
  <r>
    <s v="2015-06-26"/>
    <s v="证券买入清算"/>
    <s v="002457"/>
    <x v="62"/>
    <n v="16.559999999999999"/>
    <n v="500"/>
    <n v="8280"/>
    <n v="1500"/>
    <n v="5"/>
    <n v="0"/>
    <n v="0"/>
    <n v="0"/>
    <n v="-8285"/>
    <n v="11779.58"/>
    <s v="SW532439"/>
    <n v="16.559999999999999"/>
    <n v="500"/>
    <s v="0103988319"/>
    <s v="301719094322"/>
    <s v="人民币"/>
    <m/>
  </r>
  <r>
    <s v="2015-06-26"/>
    <s v="证券买入清算"/>
    <s v="184721"/>
    <x v="50"/>
    <n v="1.135"/>
    <n v="10000"/>
    <n v="11350"/>
    <n v="40000"/>
    <n v="5"/>
    <n v="0"/>
    <n v="0"/>
    <n v="0"/>
    <n v="-11355"/>
    <n v="424.58"/>
    <s v="SW549786"/>
    <n v="1.135"/>
    <n v="10000"/>
    <s v="0103988319"/>
    <s v="301719094322"/>
    <s v="人民币"/>
    <m/>
  </r>
  <r>
    <s v="2015-06-30"/>
    <s v="证券卖出清算"/>
    <s v="002014"/>
    <x v="83"/>
    <n v="23.899000000000001"/>
    <n v="1000"/>
    <n v="23899"/>
    <n v="0"/>
    <n v="5"/>
    <n v="23.9"/>
    <n v="0"/>
    <n v="0"/>
    <n v="23870.1"/>
    <n v="24294.68"/>
    <s v="SW203958"/>
    <n v="23"/>
    <n v="1000"/>
    <s v="0103988319"/>
    <s v="301719094322"/>
    <s v="人民币"/>
    <m/>
  </r>
  <r>
    <s v="2015-06-30"/>
    <s v="基金申购"/>
    <s v="A40006"/>
    <x v="2"/>
    <n v="1"/>
    <n v="24294.68"/>
    <n v="24294.68"/>
    <n v="334176"/>
    <n v="0"/>
    <n v="0"/>
    <n v="0"/>
    <n v="0"/>
    <n v="-24294.68"/>
    <n v="0"/>
    <m/>
    <n v="0"/>
    <n v="0"/>
    <s v="99F625223328"/>
    <s v="301719094322"/>
    <s v="人民币"/>
    <m/>
  </r>
  <r>
    <s v="2015-07-02"/>
    <s v="基金赎回"/>
    <s v="A40006"/>
    <x v="2"/>
    <n v="1"/>
    <n v="10000"/>
    <n v="10000"/>
    <n v="324176"/>
    <n v="0"/>
    <n v="0"/>
    <n v="0"/>
    <n v="0"/>
    <n v="10000"/>
    <n v="10000"/>
    <m/>
    <n v="0"/>
    <n v="0"/>
    <s v="99F625223328"/>
    <s v="301719094322"/>
    <s v="人民币"/>
    <m/>
  </r>
  <r>
    <s v="2015-07-03"/>
    <s v="银证转出"/>
    <m/>
    <x v="0"/>
    <n v="0"/>
    <n v="0"/>
    <n v="0"/>
    <n v="0"/>
    <n v="0"/>
    <n v="0"/>
    <n v="0"/>
    <n v="0"/>
    <n v="-10000"/>
    <n v="0"/>
    <m/>
    <n v="0"/>
    <n v="0"/>
    <m/>
    <s v="301719094322"/>
    <s v="人民币"/>
    <m/>
  </r>
  <r>
    <s v="2015-07-03"/>
    <s v="基金赎回"/>
    <s v="A40006"/>
    <x v="2"/>
    <n v="1"/>
    <n v="322075"/>
    <n v="322075"/>
    <n v="2101"/>
    <n v="0"/>
    <n v="0"/>
    <n v="0"/>
    <n v="0"/>
    <n v="322075"/>
    <n v="322075"/>
    <m/>
    <n v="0"/>
    <n v="0"/>
    <s v="99F625223328"/>
    <s v="301719094322"/>
    <s v="人民币"/>
    <m/>
  </r>
  <r>
    <s v="2015-07-03"/>
    <s v="新股申购"/>
    <s v="002779"/>
    <x v="84"/>
    <n v="12.11"/>
    <n v="7000"/>
    <n v="84770"/>
    <n v="7000"/>
    <n v="0"/>
    <n v="0"/>
    <n v="0"/>
    <n v="0"/>
    <n v="-84770"/>
    <n v="237305"/>
    <s v="SW857341"/>
    <n v="12.11"/>
    <n v="7000"/>
    <s v="0103988319"/>
    <s v="301719094322"/>
    <s v="人民币"/>
    <m/>
  </r>
  <r>
    <s v="2015-07-03"/>
    <s v="新股申购"/>
    <s v="002780"/>
    <x v="85"/>
    <n v="9.42"/>
    <n v="6500"/>
    <n v="61230"/>
    <n v="6500"/>
    <n v="0"/>
    <n v="0"/>
    <n v="0"/>
    <n v="0"/>
    <n v="-61230"/>
    <n v="176075"/>
    <s v="SW857503"/>
    <n v="9.42"/>
    <n v="6500"/>
    <s v="0103988319"/>
    <s v="301719094322"/>
    <s v="人民币"/>
    <m/>
  </r>
  <r>
    <s v="2015-07-03"/>
    <s v="新股申购"/>
    <s v="300493"/>
    <x v="86"/>
    <n v="6.87"/>
    <n v="7000"/>
    <n v="48090"/>
    <n v="7000"/>
    <n v="0"/>
    <n v="0"/>
    <n v="0"/>
    <n v="0"/>
    <n v="-48090"/>
    <n v="127985"/>
    <s v="SW857718"/>
    <n v="6.87"/>
    <n v="7000"/>
    <s v="0103988319"/>
    <s v="301719094322"/>
    <s v="人民币"/>
    <m/>
  </r>
  <r>
    <s v="2015-07-03"/>
    <s v="新股申购"/>
    <s v="300496"/>
    <x v="87"/>
    <n v="23.27"/>
    <n v="5500"/>
    <n v="127985"/>
    <n v="5500"/>
    <n v="0"/>
    <n v="0"/>
    <n v="0"/>
    <n v="0"/>
    <n v="-127985"/>
    <n v="0"/>
    <s v="SW860854"/>
    <n v="23.27"/>
    <n v="5500"/>
    <s v="0103988319"/>
    <s v="301719094322"/>
    <s v="人民币"/>
    <m/>
  </r>
  <r>
    <s v="2015-07-05"/>
    <s v="10900-资金调加+"/>
    <m/>
    <x v="84"/>
    <n v="0"/>
    <n v="0"/>
    <n v="0"/>
    <n v="0"/>
    <n v="0"/>
    <n v="0"/>
    <n v="0"/>
    <n v="0"/>
    <n v="84770"/>
    <n v="84770"/>
    <m/>
    <n v="0"/>
    <n v="0"/>
    <m/>
    <s v="301719094322"/>
    <s v="人民币"/>
    <m/>
  </r>
  <r>
    <s v="2015-07-05"/>
    <s v="10900-资金调加+"/>
    <m/>
    <x v="85"/>
    <n v="0"/>
    <n v="0"/>
    <n v="0"/>
    <n v="0"/>
    <n v="0"/>
    <n v="0"/>
    <n v="0"/>
    <n v="0"/>
    <n v="61230"/>
    <n v="146000"/>
    <m/>
    <n v="0"/>
    <n v="0"/>
    <m/>
    <s v="301719094322"/>
    <s v="人民币"/>
    <m/>
  </r>
  <r>
    <s v="2015-07-05"/>
    <s v="10900-资金调加+"/>
    <m/>
    <x v="86"/>
    <n v="0"/>
    <n v="0"/>
    <n v="0"/>
    <n v="0"/>
    <n v="0"/>
    <n v="0"/>
    <n v="0"/>
    <n v="0"/>
    <n v="48090"/>
    <n v="194090"/>
    <m/>
    <n v="0"/>
    <n v="0"/>
    <m/>
    <s v="301719094322"/>
    <s v="人民币"/>
    <m/>
  </r>
  <r>
    <s v="2015-07-05"/>
    <s v="10900-资金调加+"/>
    <m/>
    <x v="87"/>
    <n v="0"/>
    <n v="0"/>
    <n v="0"/>
    <n v="0"/>
    <n v="0"/>
    <n v="0"/>
    <n v="0"/>
    <n v="0"/>
    <n v="127985"/>
    <n v="322075"/>
    <m/>
    <n v="0"/>
    <n v="0"/>
    <m/>
    <s v="301719094322"/>
    <s v="人民币"/>
    <m/>
  </r>
  <r>
    <s v="2015-07-06"/>
    <s v="银证转出"/>
    <m/>
    <x v="0"/>
    <n v="0"/>
    <n v="0"/>
    <n v="0"/>
    <n v="0"/>
    <n v="0"/>
    <n v="0"/>
    <n v="0"/>
    <n v="0"/>
    <n v="-200000"/>
    <n v="122075"/>
    <m/>
    <n v="0"/>
    <n v="0"/>
    <m/>
    <s v="301719094322"/>
    <s v="人民币"/>
    <m/>
  </r>
  <r>
    <s v="2015-07-06"/>
    <s v="银证转出"/>
    <m/>
    <x v="0"/>
    <n v="0"/>
    <n v="0"/>
    <n v="0"/>
    <n v="0"/>
    <n v="0"/>
    <n v="0"/>
    <n v="0"/>
    <n v="0"/>
    <n v="-122000"/>
    <n v="75"/>
    <m/>
    <n v="0"/>
    <n v="0"/>
    <m/>
    <s v="301719094322"/>
    <s v="人民币"/>
    <m/>
  </r>
  <r>
    <s v="2015-07-06"/>
    <s v="证券卖出清算"/>
    <s v="002237"/>
    <x v="64"/>
    <n v="9.5892999999999997"/>
    <n v="4000"/>
    <n v="38357.360000000001"/>
    <n v="0"/>
    <n v="7.67"/>
    <n v="38.35"/>
    <n v="0"/>
    <n v="0"/>
    <n v="38311.339999999997"/>
    <n v="38386.339999999997"/>
    <s v="SW209282"/>
    <n v="9.58"/>
    <n v="4000"/>
    <s v="0103988319"/>
    <s v="301719094322"/>
    <s v="人民币"/>
    <m/>
  </r>
  <r>
    <s v="2015-07-06"/>
    <s v="证券卖出清算"/>
    <s v="002457"/>
    <x v="62"/>
    <n v="10.87"/>
    <n v="1500"/>
    <n v="16305"/>
    <n v="0"/>
    <n v="5"/>
    <n v="16.309999999999999"/>
    <n v="0"/>
    <n v="0"/>
    <n v="16283.69"/>
    <n v="54670.03"/>
    <s v="SW209447"/>
    <n v="10.75"/>
    <n v="1500"/>
    <s v="0103988319"/>
    <s v="301719094322"/>
    <s v="人民币"/>
    <m/>
  </r>
  <r>
    <s v="2015-07-06"/>
    <s v="证券卖出清算"/>
    <s v="184721"/>
    <x v="50"/>
    <n v="1.0509999999999999"/>
    <n v="40000"/>
    <n v="42040"/>
    <n v="0"/>
    <n v="8.41"/>
    <n v="0"/>
    <n v="0"/>
    <n v="0"/>
    <n v="42031.59"/>
    <n v="96701.62"/>
    <s v="SW209910"/>
    <n v="1.0509999999999999"/>
    <n v="40000"/>
    <s v="0103988319"/>
    <s v="301719094322"/>
    <s v="人民币"/>
    <m/>
  </r>
  <r>
    <s v="2015-07-06"/>
    <s v="基金申购"/>
    <s v="A40006"/>
    <x v="2"/>
    <n v="1"/>
    <n v="96701.61"/>
    <n v="96701.61"/>
    <n v="98803"/>
    <n v="0"/>
    <n v="0"/>
    <n v="0"/>
    <n v="0"/>
    <n v="-96701.61"/>
    <n v="0.01"/>
    <m/>
    <n v="0"/>
    <n v="0"/>
    <s v="99F625223328"/>
    <s v="301719094322"/>
    <s v="人民币"/>
    <m/>
  </r>
  <r>
    <s v="2015-07-08"/>
    <s v="基金赎回"/>
    <s v="A40006"/>
    <x v="2"/>
    <n v="1"/>
    <n v="18879.990000000002"/>
    <n v="18879.990000000002"/>
    <n v="79923"/>
    <n v="0"/>
    <n v="0"/>
    <n v="0"/>
    <n v="0"/>
    <n v="18879.990000000002"/>
    <n v="18880"/>
    <m/>
    <n v="0"/>
    <n v="0"/>
    <s v="99F625223328"/>
    <s v="301719094322"/>
    <s v="人民币"/>
    <m/>
  </r>
  <r>
    <s v="2015-07-08"/>
    <s v="证券买入清算"/>
    <s v="002770"/>
    <x v="81"/>
    <n v="12.63"/>
    <n v="500"/>
    <n v="6315"/>
    <n v="1000"/>
    <n v="5"/>
    <n v="0"/>
    <n v="0"/>
    <n v="0"/>
    <n v="-6320"/>
    <n v="12560"/>
    <s v="SW455188"/>
    <n v="12.63"/>
    <n v="500"/>
    <s v="0103988319"/>
    <s v="301719094322"/>
    <s v="人民币"/>
    <m/>
  </r>
  <r>
    <s v="2015-07-08"/>
    <s v="证券买入清算"/>
    <s v="510050"/>
    <x v="88"/>
    <n v="2.5110000000000001"/>
    <n v="5000"/>
    <n v="12555"/>
    <n v="5000"/>
    <n v="5"/>
    <n v="0"/>
    <n v="0"/>
    <n v="0"/>
    <n v="-12560"/>
    <n v="0"/>
    <s v="17258856"/>
    <n v="2.5110000000000001"/>
    <n v="5000"/>
    <s v="A761486897"/>
    <s v="301719094322"/>
    <s v="人民币"/>
    <m/>
  </r>
  <r>
    <s v="2015-07-09"/>
    <s v="证券卖出清算"/>
    <s v="002770"/>
    <x v="81"/>
    <n v="13.89"/>
    <n v="500"/>
    <n v="6945"/>
    <n v="500"/>
    <n v="5"/>
    <n v="6.95"/>
    <n v="0"/>
    <n v="0"/>
    <n v="6933.05"/>
    <n v="6933.05"/>
    <s v="SW565954"/>
    <n v="13.89"/>
    <n v="500"/>
    <s v="0103988319"/>
    <s v="301719094322"/>
    <s v="人民币"/>
    <m/>
  </r>
  <r>
    <s v="2015-07-09"/>
    <s v="证券买入清算"/>
    <s v="159915"/>
    <x v="89"/>
    <n v="1.9870000000000001"/>
    <n v="10000"/>
    <n v="19870"/>
    <n v="10000"/>
    <n v="5"/>
    <n v="0"/>
    <n v="0"/>
    <n v="0"/>
    <n v="-19875"/>
    <n v="-12941.95"/>
    <s v="SW581802"/>
    <n v="1.9870000000000001"/>
    <n v="10000"/>
    <s v="0103988319"/>
    <s v="301719094322"/>
    <s v="人民币"/>
    <m/>
  </r>
  <r>
    <s v="2015-07-09"/>
    <s v="证券卖出清算"/>
    <s v="510050"/>
    <x v="88"/>
    <n v="2.7650000000000001"/>
    <n v="5000"/>
    <n v="13825"/>
    <n v="0"/>
    <n v="5"/>
    <n v="0"/>
    <n v="0"/>
    <n v="0"/>
    <n v="13820"/>
    <n v="878.05"/>
    <s v="17750206"/>
    <n v="2.7650000000000001"/>
    <n v="5000"/>
    <s v="A761486897"/>
    <s v="301719094322"/>
    <s v="人民币"/>
    <m/>
  </r>
  <r>
    <s v="2015-07-10"/>
    <s v="证券卖出清算"/>
    <s v="159915"/>
    <x v="89"/>
    <n v="2.29"/>
    <n v="10000"/>
    <n v="22900"/>
    <n v="0"/>
    <n v="5"/>
    <n v="0"/>
    <n v="0"/>
    <n v="0"/>
    <n v="22895"/>
    <n v="23773.05"/>
    <s v="SW709762"/>
    <n v="1.88"/>
    <n v="10000"/>
    <s v="0103988319"/>
    <s v="301719094322"/>
    <s v="人民币"/>
    <m/>
  </r>
  <r>
    <s v="2015-07-10"/>
    <s v="证券卖出清算"/>
    <s v="002770"/>
    <x v="81"/>
    <n v="15.28"/>
    <n v="500"/>
    <n v="7640"/>
    <n v="0"/>
    <n v="5"/>
    <n v="7.64"/>
    <n v="0"/>
    <n v="0"/>
    <n v="7627.36"/>
    <n v="31400.41"/>
    <s v="SW709790"/>
    <n v="12.5"/>
    <n v="500"/>
    <s v="0103988319"/>
    <s v="301719094322"/>
    <s v="人民币"/>
    <m/>
  </r>
  <r>
    <s v="2015-07-10"/>
    <s v="基金申购"/>
    <s v="A40006"/>
    <x v="2"/>
    <n v="1"/>
    <n v="31400.41"/>
    <n v="31400.41"/>
    <n v="111323"/>
    <n v="0"/>
    <n v="0"/>
    <n v="0"/>
    <n v="0"/>
    <n v="-31400.41"/>
    <n v="0"/>
    <m/>
    <n v="0"/>
    <n v="0"/>
    <s v="99F625223328"/>
    <s v="301719094322"/>
    <s v="人民币"/>
    <m/>
  </r>
  <r>
    <s v="2015-07-20"/>
    <s v="银证转入"/>
    <m/>
    <x v="0"/>
    <n v="0"/>
    <n v="0"/>
    <n v="0"/>
    <n v="0"/>
    <n v="0"/>
    <n v="0"/>
    <n v="0"/>
    <n v="0"/>
    <n v="6196.03"/>
    <n v="6196.03"/>
    <m/>
    <n v="0"/>
    <n v="0"/>
    <m/>
    <s v="301719094323"/>
    <s v="人民币"/>
    <m/>
  </r>
  <r>
    <s v="2015-07-20"/>
    <s v="跨行转出"/>
    <m/>
    <x v="0"/>
    <n v="0"/>
    <n v="0"/>
    <n v="0"/>
    <n v="0"/>
    <n v="0"/>
    <n v="0"/>
    <n v="0"/>
    <n v="0"/>
    <n v="-6196.03"/>
    <n v="0"/>
    <m/>
    <n v="0"/>
    <n v="0"/>
    <m/>
    <s v="301719094323"/>
    <s v="人民币"/>
    <m/>
  </r>
  <r>
    <s v="2015-07-20"/>
    <s v="跨行转入"/>
    <m/>
    <x v="0"/>
    <n v="0"/>
    <n v="0"/>
    <n v="0"/>
    <n v="0"/>
    <n v="0"/>
    <n v="0"/>
    <n v="0"/>
    <n v="0"/>
    <n v="6196.03"/>
    <n v="6196.03"/>
    <m/>
    <n v="0"/>
    <n v="0"/>
    <m/>
    <s v="301719094322"/>
    <s v="人民币"/>
    <m/>
  </r>
  <r>
    <s v="2015-07-20"/>
    <s v="基金申购"/>
    <s v="A40006"/>
    <x v="2"/>
    <n v="1"/>
    <n v="6196.03"/>
    <n v="6196.03"/>
    <n v="117519"/>
    <n v="0"/>
    <n v="0"/>
    <n v="0"/>
    <n v="0"/>
    <n v="-6196.03"/>
    <n v="0"/>
    <m/>
    <n v="0"/>
    <n v="0"/>
    <s v="99F625223328"/>
    <s v="301719094322"/>
    <s v="人民币"/>
    <m/>
  </r>
  <r>
    <s v="2015-09-21"/>
    <s v="利息归本"/>
    <m/>
    <x v="0"/>
    <n v="0"/>
    <n v="0"/>
    <n v="0"/>
    <n v="0"/>
    <n v="0"/>
    <n v="0"/>
    <n v="0"/>
    <n v="0"/>
    <n v="11.69"/>
    <n v="11.69"/>
    <m/>
    <n v="0"/>
    <n v="0"/>
    <m/>
    <s v="301719094322"/>
    <s v="人民币"/>
    <m/>
  </r>
  <r>
    <s v="2015-09-24"/>
    <s v="红利发放"/>
    <s v="A40006"/>
    <x v="2"/>
    <n v="1"/>
    <n v="0"/>
    <n v="772.25"/>
    <n v="117519"/>
    <n v="0"/>
    <n v="0"/>
    <n v="0"/>
    <n v="0"/>
    <n v="772.25"/>
    <n v="783.94"/>
    <m/>
    <n v="1E-3"/>
    <n v="0"/>
    <s v="99F625223328"/>
    <s v="301719094322"/>
    <s v="人民币"/>
    <m/>
  </r>
  <r>
    <s v="2015-11-06"/>
    <s v="基金赎回"/>
    <s v="A40006"/>
    <x v="2"/>
    <n v="1"/>
    <n v="46349.48"/>
    <n v="46349.48"/>
    <n v="71170"/>
    <n v="0"/>
    <n v="0"/>
    <n v="0"/>
    <n v="0"/>
    <n v="46349.48"/>
    <n v="47133.42"/>
    <m/>
    <n v="0"/>
    <n v="0"/>
    <s v="99F625223328"/>
    <s v="301719094322"/>
    <s v="人民币"/>
    <m/>
  </r>
  <r>
    <s v="2015-11-09"/>
    <s v="基金申购"/>
    <s v="A40006"/>
    <x v="2"/>
    <n v="1"/>
    <n v="47133.42"/>
    <n v="47133.42"/>
    <n v="118303"/>
    <n v="0"/>
    <n v="0"/>
    <n v="0"/>
    <n v="0"/>
    <n v="-47133.42"/>
    <n v="0"/>
    <m/>
    <n v="0"/>
    <n v="0"/>
    <s v="99F625223328"/>
    <s v="301719094322"/>
    <s v="人民币"/>
    <m/>
  </r>
  <r>
    <s v="2015-11-27"/>
    <s v="基金赎回"/>
    <s v="A40006"/>
    <x v="2"/>
    <n v="1"/>
    <n v="25715.14"/>
    <n v="25715.14"/>
    <n v="92588"/>
    <n v="0"/>
    <n v="0"/>
    <n v="0"/>
    <n v="0"/>
    <n v="25715.14"/>
    <n v="25715.14"/>
    <m/>
    <n v="0"/>
    <n v="0"/>
    <s v="99F625223328"/>
    <s v="301719094322"/>
    <s v="人民币"/>
    <m/>
  </r>
  <r>
    <s v="2015-11-27"/>
    <s v="证券买入清算"/>
    <s v="159915"/>
    <x v="89"/>
    <n v="2.5710000000000002"/>
    <n v="10000"/>
    <n v="25710"/>
    <n v="10000"/>
    <n v="5.14"/>
    <n v="0"/>
    <n v="0"/>
    <n v="0"/>
    <n v="-25715.14"/>
    <n v="0"/>
    <s v="SW271532"/>
    <n v="2.5710000000000002"/>
    <n v="10000"/>
    <s v="0103988319"/>
    <s v="301719094322"/>
    <s v="人民币"/>
    <m/>
  </r>
  <r>
    <s v="2015-12-04"/>
    <s v="证券卖出清算"/>
    <s v="159915"/>
    <x v="89"/>
    <n v="2.58"/>
    <n v="10000"/>
    <n v="25800"/>
    <n v="0"/>
    <n v="5.16"/>
    <n v="0"/>
    <n v="0"/>
    <n v="0"/>
    <n v="25794.84"/>
    <n v="25794.84"/>
    <s v="SW332143"/>
    <n v="2.58"/>
    <n v="10000"/>
    <s v="0103988319"/>
    <s v="301719094322"/>
    <s v="人民币"/>
    <m/>
  </r>
  <r>
    <s v="2015-12-04"/>
    <s v="基金申购"/>
    <s v="A40006"/>
    <x v="2"/>
    <n v="1"/>
    <n v="25794.84"/>
    <n v="25794.84"/>
    <n v="118383"/>
    <n v="0"/>
    <n v="0"/>
    <n v="0"/>
    <n v="0"/>
    <n v="-25794.84"/>
    <n v="0"/>
    <m/>
    <n v="0"/>
    <n v="0"/>
    <s v="99F625223328"/>
    <s v="301719094322"/>
    <s v="人民币"/>
    <m/>
  </r>
  <r>
    <s v="2015-12-14"/>
    <s v="基金赎回"/>
    <s v="A40006"/>
    <x v="2"/>
    <n v="1"/>
    <n v="26213.24"/>
    <n v="26213.24"/>
    <n v="92170"/>
    <n v="0"/>
    <n v="0"/>
    <n v="0"/>
    <n v="0"/>
    <n v="26213.24"/>
    <n v="26213.24"/>
    <m/>
    <n v="0"/>
    <n v="0"/>
    <s v="99F625223328"/>
    <s v="301719094322"/>
    <s v="人民币"/>
    <m/>
  </r>
  <r>
    <s v="2015-12-14"/>
    <s v="证券买入清算"/>
    <s v="510300"/>
    <x v="1"/>
    <n v="3.7440000000000002"/>
    <n v="7000"/>
    <n v="26208"/>
    <n v="7000"/>
    <n v="5.24"/>
    <n v="0"/>
    <n v="0"/>
    <n v="0"/>
    <n v="-26213.24"/>
    <n v="0"/>
    <s v="17679803"/>
    <n v="3.7440000000000002"/>
    <n v="7000"/>
    <s v="A761486897"/>
    <s v="301719094322"/>
    <s v="人民币"/>
    <m/>
  </r>
  <r>
    <s v="2015-12-15"/>
    <s v="银证转入"/>
    <m/>
    <x v="0"/>
    <n v="0"/>
    <n v="0"/>
    <n v="0"/>
    <n v="0"/>
    <n v="0"/>
    <n v="0"/>
    <n v="0"/>
    <n v="0"/>
    <n v="2000"/>
    <n v="2000"/>
    <m/>
    <n v="0"/>
    <n v="0"/>
    <m/>
    <s v="301719094323"/>
    <s v="人民币"/>
    <m/>
  </r>
  <r>
    <s v="2015-12-15"/>
    <s v="银证转入"/>
    <m/>
    <x v="0"/>
    <n v="0"/>
    <n v="0"/>
    <n v="0"/>
    <n v="0"/>
    <n v="0"/>
    <n v="0"/>
    <n v="0"/>
    <n v="0"/>
    <n v="505"/>
    <n v="505"/>
    <m/>
    <n v="0"/>
    <n v="0"/>
    <m/>
    <s v="301719093190"/>
    <s v="人民币"/>
    <m/>
  </r>
  <r>
    <s v="2015-12-15"/>
    <s v="跨行转出"/>
    <m/>
    <x v="0"/>
    <n v="0"/>
    <n v="0"/>
    <n v="0"/>
    <n v="0"/>
    <n v="0"/>
    <n v="0"/>
    <n v="0"/>
    <n v="0"/>
    <n v="-505"/>
    <n v="0"/>
    <m/>
    <n v="0"/>
    <n v="0"/>
    <m/>
    <s v="301719093190"/>
    <s v="人民币"/>
    <m/>
  </r>
  <r>
    <s v="2015-12-15"/>
    <s v="跨行转入"/>
    <m/>
    <x v="0"/>
    <n v="0"/>
    <n v="0"/>
    <n v="0"/>
    <n v="0"/>
    <n v="0"/>
    <n v="0"/>
    <n v="0"/>
    <n v="0"/>
    <n v="505"/>
    <n v="505"/>
    <m/>
    <n v="0"/>
    <n v="0"/>
    <m/>
    <s v="301719094322"/>
    <s v="人民币"/>
    <m/>
  </r>
  <r>
    <s v="2015-12-15"/>
    <s v="跨行转出"/>
    <m/>
    <x v="0"/>
    <n v="0"/>
    <n v="0"/>
    <n v="0"/>
    <n v="0"/>
    <n v="0"/>
    <n v="0"/>
    <n v="0"/>
    <n v="0"/>
    <n v="-2000"/>
    <n v="0"/>
    <m/>
    <n v="0"/>
    <n v="0"/>
    <m/>
    <s v="301719094323"/>
    <s v="人民币"/>
    <m/>
  </r>
  <r>
    <s v="2015-12-15"/>
    <s v="跨行转入"/>
    <m/>
    <x v="0"/>
    <n v="0"/>
    <n v="0"/>
    <n v="0"/>
    <n v="0"/>
    <n v="0"/>
    <n v="0"/>
    <n v="0"/>
    <n v="0"/>
    <n v="2000"/>
    <n v="2505"/>
    <m/>
    <n v="0"/>
    <n v="0"/>
    <m/>
    <s v="301719094322"/>
    <s v="人民币"/>
    <m/>
  </r>
  <r>
    <s v="2015-12-15"/>
    <s v="证券卖出清算"/>
    <s v="510300"/>
    <x v="1"/>
    <n v="3.7679999999999998"/>
    <n v="7000"/>
    <n v="26376"/>
    <n v="0"/>
    <n v="5.28"/>
    <n v="0"/>
    <n v="0"/>
    <n v="0"/>
    <n v="26370.720000000001"/>
    <n v="28875.72"/>
    <s v="17707467"/>
    <n v="3.3959999999999999"/>
    <n v="7000"/>
    <s v="A761486897"/>
    <s v="301719094322"/>
    <s v="人民币"/>
    <m/>
  </r>
  <r>
    <s v="2015-12-15"/>
    <s v="基金申购"/>
    <s v="A40006"/>
    <x v="2"/>
    <n v="1"/>
    <n v="3665.08"/>
    <n v="3665.08"/>
    <n v="95835"/>
    <n v="0"/>
    <n v="0"/>
    <n v="0"/>
    <n v="0"/>
    <n v="-3665.08"/>
    <n v="25210.639999999999"/>
    <m/>
    <n v="0"/>
    <n v="0"/>
    <s v="99F625223328"/>
    <s v="301719094322"/>
    <s v="人民币"/>
    <m/>
  </r>
  <r>
    <s v="2015-12-16"/>
    <s v="基金申购"/>
    <s v="A40006"/>
    <x v="2"/>
    <n v="1"/>
    <n v="25210.639999999999"/>
    <n v="25210.639999999999"/>
    <n v="121045"/>
    <n v="0"/>
    <n v="0"/>
    <n v="0"/>
    <n v="0"/>
    <n v="-25210.639999999999"/>
    <n v="0"/>
    <m/>
    <n v="0"/>
    <n v="0"/>
    <s v="99F625223328"/>
    <s v="301719094322"/>
    <s v="人民币"/>
    <m/>
  </r>
  <r>
    <s v="2015-12-18"/>
    <s v="红利发放"/>
    <s v="A40006"/>
    <x v="2"/>
    <n v="1"/>
    <n v="0"/>
    <n v="599.02"/>
    <n v="121045"/>
    <n v="0"/>
    <n v="0"/>
    <n v="0"/>
    <n v="0"/>
    <n v="599.02"/>
    <n v="599.02"/>
    <m/>
    <n v="4.8999999999999998E-3"/>
    <n v="0"/>
    <s v="99F625223328"/>
    <s v="301719094322"/>
    <s v="人民币"/>
    <m/>
  </r>
  <r>
    <s v="2015-12-21"/>
    <s v="利息归本"/>
    <m/>
    <x v="0"/>
    <n v="0"/>
    <n v="0"/>
    <n v="0"/>
    <n v="0"/>
    <n v="0"/>
    <n v="0"/>
    <n v="0"/>
    <n v="0"/>
    <n v="2.69"/>
    <n v="601.71"/>
    <m/>
    <n v="0"/>
    <n v="0"/>
    <m/>
    <s v="301719094322"/>
    <s v="人民币"/>
    <m/>
  </r>
  <r>
    <s v="2015-12-21"/>
    <s v="基金赎回"/>
    <s v="A40006"/>
    <x v="2"/>
    <n v="1"/>
    <n v="25926.28"/>
    <n v="25926.28"/>
    <n v="95119"/>
    <n v="0"/>
    <n v="0"/>
    <n v="0"/>
    <n v="0"/>
    <n v="25926.28"/>
    <n v="26527.99"/>
    <m/>
    <n v="0"/>
    <n v="0"/>
    <s v="99F625223328"/>
    <s v="301719094322"/>
    <s v="人民币"/>
    <m/>
  </r>
  <r>
    <s v="2015-12-21"/>
    <s v="证券买入清算"/>
    <s v="159915"/>
    <x v="89"/>
    <n v="2.6520000000000001"/>
    <n v="10000"/>
    <n v="26520"/>
    <n v="10000"/>
    <n v="5.3"/>
    <n v="0"/>
    <n v="0"/>
    <n v="0"/>
    <n v="-26525.3"/>
    <n v="2.69"/>
    <s v="SW870510"/>
    <n v="2.6520000000000001"/>
    <n v="10000"/>
    <s v="0103988319"/>
    <s v="301719094322"/>
    <s v="人民币"/>
    <m/>
  </r>
  <r>
    <s v="2015-12-23"/>
    <s v="基金赎回"/>
    <s v="A40006"/>
    <x v="2"/>
    <n v="1"/>
    <n v="25743.119999999999"/>
    <n v="25743.119999999999"/>
    <n v="69376"/>
    <n v="0"/>
    <n v="0"/>
    <n v="0"/>
    <n v="0"/>
    <n v="25743.119999999999"/>
    <n v="25745.81"/>
    <m/>
    <n v="0"/>
    <n v="0"/>
    <s v="99F625223328"/>
    <s v="301719094322"/>
    <s v="人民币"/>
    <m/>
  </r>
  <r>
    <s v="2015-12-23"/>
    <s v="证券卖出清算"/>
    <s v="159915"/>
    <x v="89"/>
    <n v="2.665"/>
    <n v="10000"/>
    <n v="26650"/>
    <n v="0"/>
    <n v="5.33"/>
    <n v="0"/>
    <n v="0"/>
    <n v="0"/>
    <n v="26644.67"/>
    <n v="52390.48"/>
    <s v="SW263440"/>
    <n v="2.665"/>
    <n v="10000"/>
    <s v="0103988319"/>
    <s v="301719094322"/>
    <s v="人民币"/>
    <m/>
  </r>
  <r>
    <s v="2015-12-23"/>
    <s v="证券买入清算"/>
    <s v="159915"/>
    <x v="89"/>
    <n v="2.6150000000000002"/>
    <n v="10000"/>
    <n v="26150"/>
    <n v="10000"/>
    <n v="5.23"/>
    <n v="0"/>
    <n v="0"/>
    <n v="0"/>
    <n v="-26155.23"/>
    <n v="26235.25"/>
    <s v="SW344394"/>
    <n v="2.6150000000000002"/>
    <n v="10000"/>
    <s v="0103988319"/>
    <s v="301719094322"/>
    <s v="人民币"/>
    <m/>
  </r>
  <r>
    <s v="2015-12-23"/>
    <s v="证券买入清算"/>
    <s v="159915"/>
    <x v="89"/>
    <n v="2.6230000000000002"/>
    <n v="10000"/>
    <n v="26230"/>
    <n v="20000"/>
    <n v="5.25"/>
    <n v="0"/>
    <n v="0"/>
    <n v="0"/>
    <n v="-26235.25"/>
    <n v="0"/>
    <s v="SW490176"/>
    <n v="2.6230000000000002"/>
    <n v="10000"/>
    <s v="0103988319"/>
    <s v="301719094322"/>
    <s v="人民币"/>
    <m/>
  </r>
  <r>
    <s v="2015-12-25"/>
    <s v="证券卖出清算"/>
    <s v="159915"/>
    <x v="89"/>
    <n v="2.6309999999999998"/>
    <n v="10000"/>
    <n v="26310"/>
    <n v="10000"/>
    <n v="5.26"/>
    <n v="0"/>
    <n v="0"/>
    <n v="0"/>
    <n v="26304.74"/>
    <n v="26304.74"/>
    <s v="SW713013"/>
    <n v="2.6309999999999998"/>
    <n v="10000"/>
    <s v="0103988319"/>
    <s v="301719094322"/>
    <s v="人民币"/>
    <m/>
  </r>
  <r>
    <s v="2015-12-25"/>
    <s v="基金申购"/>
    <s v="A40006"/>
    <x v="2"/>
    <n v="1"/>
    <n v="26304.74"/>
    <n v="26304.74"/>
    <n v="95681"/>
    <n v="0"/>
    <n v="0"/>
    <n v="0"/>
    <n v="0"/>
    <n v="-26304.74"/>
    <n v="0"/>
    <m/>
    <n v="0"/>
    <n v="0"/>
    <s v="99F625223328"/>
    <s v="301719094322"/>
    <s v="人民币"/>
    <m/>
  </r>
  <r>
    <s v="2015-12-28"/>
    <s v="证券卖出清算"/>
    <s v="159915"/>
    <x v="89"/>
    <n v="2.6389999999999998"/>
    <n v="10000"/>
    <n v="26390"/>
    <n v="0"/>
    <n v="5.28"/>
    <n v="0"/>
    <n v="0"/>
    <n v="0"/>
    <n v="26384.720000000001"/>
    <n v="26384.720000000001"/>
    <s v="SW939574"/>
    <n v="2.6389999999999998"/>
    <n v="10000"/>
    <s v="0103988319"/>
    <s v="301719094322"/>
    <s v="人民币"/>
    <m/>
  </r>
  <r>
    <s v="2015-12-28"/>
    <s v="基金申购"/>
    <s v="A40006"/>
    <x v="2"/>
    <n v="1"/>
    <n v="26384.720000000001"/>
    <n v="26384.720000000001"/>
    <n v="122065"/>
    <n v="0"/>
    <n v="0"/>
    <n v="0"/>
    <n v="0"/>
    <n v="-26384.720000000001"/>
    <n v="0"/>
    <m/>
    <n v="0"/>
    <n v="0"/>
    <s v="99F625223328"/>
    <s v="301719094322"/>
    <s v="人民币"/>
    <m/>
  </r>
  <r>
    <s v="2016-01-14"/>
    <s v="基金赎回"/>
    <s v="A40006"/>
    <x v="2"/>
    <n v="1"/>
    <n v="60957.39"/>
    <n v="60957.39"/>
    <n v="61108"/>
    <n v="0"/>
    <n v="0"/>
    <n v="0"/>
    <n v="0"/>
    <n v="60957.39"/>
    <n v="60957.39"/>
    <m/>
    <n v="0"/>
    <n v="0"/>
    <s v="99F625223328"/>
    <s v="301719094322"/>
    <s v="人民币"/>
    <m/>
  </r>
  <r>
    <s v="2016-01-14"/>
    <s v="证券买入清算"/>
    <s v="159915"/>
    <x v="89"/>
    <n v="1.9045000000000001"/>
    <n v="32000"/>
    <n v="60945.2"/>
    <n v="32000"/>
    <n v="12.19"/>
    <n v="0"/>
    <n v="0"/>
    <n v="0"/>
    <n v="-60957.39"/>
    <n v="0"/>
    <s v="SW146742"/>
    <n v="1.905"/>
    <n v="32000"/>
    <s v="0103988319"/>
    <s v="301719094322"/>
    <s v="人民币"/>
    <m/>
  </r>
  <r>
    <s v="2016-01-15"/>
    <s v="证券卖出清算"/>
    <s v="159915"/>
    <x v="89"/>
    <n v="2.0409999999999999"/>
    <n v="32000"/>
    <n v="65312"/>
    <n v="0"/>
    <n v="13.06"/>
    <n v="0"/>
    <n v="0"/>
    <n v="0"/>
    <n v="65298.94"/>
    <n v="65298.94"/>
    <s v="SWZO3E68"/>
    <n v="1.865"/>
    <n v="32000"/>
    <s v="0103988319"/>
    <s v="301719094322"/>
    <s v="人民币"/>
    <m/>
  </r>
  <r>
    <s v="2016-01-15"/>
    <s v="基金申购"/>
    <s v="A40006"/>
    <x v="2"/>
    <n v="1"/>
    <n v="65298.94"/>
    <n v="65298.94"/>
    <n v="126407"/>
    <n v="0"/>
    <n v="0"/>
    <n v="0"/>
    <n v="0"/>
    <n v="-65298.94"/>
    <n v="0"/>
    <m/>
    <n v="0"/>
    <n v="0"/>
    <s v="99F625223328"/>
    <s v="301719094322"/>
    <s v="人民币"/>
    <m/>
  </r>
  <r>
    <s v="2016-02-16"/>
    <s v="基金赎回"/>
    <s v="A40006"/>
    <x v="2"/>
    <n v="1"/>
    <n v="42068.41"/>
    <n v="42068.41"/>
    <n v="84339"/>
    <n v="0"/>
    <n v="0"/>
    <n v="0"/>
    <n v="0"/>
    <n v="42068.41"/>
    <n v="42068.41"/>
    <m/>
    <n v="0"/>
    <n v="0"/>
    <s v="99F625223328"/>
    <s v="301719094322"/>
    <s v="人民币"/>
    <m/>
  </r>
  <r>
    <s v="2016-02-16"/>
    <s v="证券买入清算"/>
    <s v="159915"/>
    <x v="89"/>
    <n v="2.1030000000000002"/>
    <n v="20000"/>
    <n v="42060"/>
    <n v="20000"/>
    <n v="8.41"/>
    <n v="0"/>
    <n v="0"/>
    <n v="0"/>
    <n v="-42068.41"/>
    <n v="0"/>
    <s v="SWZPJVQI"/>
    <n v="2.1030000000000002"/>
    <n v="20000"/>
    <s v="0103988319"/>
    <s v="301719094322"/>
    <s v="人民币"/>
    <m/>
  </r>
  <r>
    <s v="2016-02-17"/>
    <s v="证券卖出清算"/>
    <s v="159915"/>
    <x v="89"/>
    <n v="2.1059999999999999"/>
    <n v="20000"/>
    <n v="42120"/>
    <n v="0"/>
    <n v="8.42"/>
    <n v="0"/>
    <n v="0"/>
    <n v="0"/>
    <n v="42111.58"/>
    <n v="42111.58"/>
    <s v="SWZPMJKJ"/>
    <n v="2.1059999999999999"/>
    <n v="20000"/>
    <s v="0103988319"/>
    <s v="301719094322"/>
    <s v="人民币"/>
    <m/>
  </r>
  <r>
    <s v="2016-02-17"/>
    <s v="基金申购"/>
    <s v="A40006"/>
    <x v="2"/>
    <n v="1"/>
    <n v="42111.58"/>
    <n v="42111.58"/>
    <n v="126450"/>
    <n v="0"/>
    <n v="0"/>
    <n v="0"/>
    <n v="0"/>
    <n v="-42111.58"/>
    <n v="0"/>
    <m/>
    <n v="0"/>
    <n v="0"/>
    <s v="99F625223328"/>
    <s v="301719094322"/>
    <s v="人民币"/>
    <m/>
  </r>
  <r>
    <s v="2016-02-18"/>
    <s v="基金赎回"/>
    <s v="A40006"/>
    <x v="2"/>
    <n v="1"/>
    <n v="41808.36"/>
    <n v="41808.36"/>
    <n v="84642"/>
    <n v="0"/>
    <n v="0"/>
    <n v="0"/>
    <n v="0"/>
    <n v="41808.36"/>
    <n v="41808.36"/>
    <m/>
    <n v="0"/>
    <n v="0"/>
    <s v="99F625223328"/>
    <s v="301719094322"/>
    <s v="人民币"/>
    <m/>
  </r>
  <r>
    <s v="2016-02-18"/>
    <s v="证券买入清算"/>
    <s v="159915"/>
    <x v="89"/>
    <n v="2.09"/>
    <n v="20000"/>
    <n v="41800"/>
    <n v="20000"/>
    <n v="8.36"/>
    <n v="0"/>
    <n v="0"/>
    <n v="0"/>
    <n v="-41808.36"/>
    <n v="0"/>
    <s v="SWZPQ419"/>
    <n v="2.1070000000000002"/>
    <n v="20000"/>
    <s v="0103988319"/>
    <s v="301719094322"/>
    <s v="人民币"/>
    <m/>
  </r>
  <r>
    <s v="2016-02-22"/>
    <s v="证券卖出清算"/>
    <s v="159915"/>
    <x v="89"/>
    <n v="2.1389999999999998"/>
    <n v="20000"/>
    <n v="42780"/>
    <n v="0"/>
    <n v="8.56"/>
    <n v="0"/>
    <n v="0"/>
    <n v="0"/>
    <n v="42771.44"/>
    <n v="42771.44"/>
    <s v="SWZPUQSD"/>
    <n v="2.1389999999999998"/>
    <n v="20000"/>
    <s v="0103988319"/>
    <s v="301719094322"/>
    <s v="人民币"/>
    <m/>
  </r>
  <r>
    <s v="2016-02-22"/>
    <s v="基金申购"/>
    <s v="A40006"/>
    <x v="2"/>
    <n v="1"/>
    <n v="42771.44"/>
    <n v="42771.44"/>
    <n v="127413"/>
    <n v="0"/>
    <n v="0"/>
    <n v="0"/>
    <n v="0"/>
    <n v="-42771.44"/>
    <n v="0"/>
    <m/>
    <n v="0"/>
    <n v="0"/>
    <s v="99F625223328"/>
    <s v="301719094322"/>
    <s v="人民币"/>
    <m/>
  </r>
  <r>
    <s v="2016-02-23"/>
    <s v="基金赎回"/>
    <s v="A40006"/>
    <x v="2"/>
    <n v="1"/>
    <n v="127413.75"/>
    <n v="127413.75"/>
    <n v="0"/>
    <n v="0"/>
    <n v="0"/>
    <n v="0"/>
    <n v="0"/>
    <n v="127413.75"/>
    <n v="127413.75"/>
    <m/>
    <n v="0"/>
    <n v="0"/>
    <s v="99F625223328"/>
    <s v="301719094322"/>
    <s v="人民币"/>
    <m/>
  </r>
  <r>
    <s v="2016-02-23"/>
    <s v="证券买入清算"/>
    <s v="159915"/>
    <x v="89"/>
    <n v="2.1"/>
    <n v="30300"/>
    <n v="63630"/>
    <n v="30300"/>
    <n v="12.73"/>
    <n v="0"/>
    <n v="0"/>
    <n v="0"/>
    <n v="-63642.73"/>
    <n v="63771.02"/>
    <s v="SWZPYQA0"/>
    <n v="2.1"/>
    <n v="30300"/>
    <s v="0103988319"/>
    <s v="301719094322"/>
    <s v="人民币"/>
    <m/>
  </r>
  <r>
    <s v="2016-02-23"/>
    <s v="证券买入清算"/>
    <s v="159915"/>
    <x v="89"/>
    <n v="2.0990000000000002"/>
    <n v="30300"/>
    <n v="63599.7"/>
    <n v="60600"/>
    <n v="12.72"/>
    <n v="0"/>
    <n v="0"/>
    <n v="0"/>
    <n v="-63612.42"/>
    <n v="158.6"/>
    <s v="SWZPYYT5"/>
    <n v="2.0990000000000002"/>
    <n v="30300"/>
    <s v="0103988319"/>
    <s v="301719094322"/>
    <s v="人民币"/>
    <m/>
  </r>
  <r>
    <s v="2016-02-26"/>
    <s v="证券卖出清算"/>
    <s v="159915"/>
    <x v="89"/>
    <n v="1.9239999999999999"/>
    <n v="20200"/>
    <n v="38864.800000000003"/>
    <n v="40400"/>
    <n v="7.77"/>
    <n v="0"/>
    <n v="0"/>
    <n v="0"/>
    <n v="38857.03"/>
    <n v="39015.629999999997"/>
    <s v="SWZQ8T8K"/>
    <n v="1.9239999999999999"/>
    <n v="20200"/>
    <s v="0103988319"/>
    <s v="301719094322"/>
    <s v="人民币"/>
    <m/>
  </r>
  <r>
    <s v="2016-02-26"/>
    <s v="证券卖出清算"/>
    <s v="159915"/>
    <x v="89"/>
    <n v="1.92"/>
    <n v="20200"/>
    <n v="38784"/>
    <n v="20200"/>
    <n v="7.76"/>
    <n v="0"/>
    <n v="0"/>
    <n v="0"/>
    <n v="38776.239999999998"/>
    <n v="77791.87"/>
    <s v="SWZQ8TBH"/>
    <n v="1.919"/>
    <n v="20200"/>
    <s v="0103988319"/>
    <s v="301719094322"/>
    <s v="人民币"/>
    <m/>
  </r>
  <r>
    <s v="2016-02-26"/>
    <s v="基金申购"/>
    <s v="A40006"/>
    <x v="2"/>
    <n v="1"/>
    <n v="77791.87"/>
    <n v="77791.87"/>
    <n v="77791"/>
    <n v="0"/>
    <n v="0"/>
    <n v="0"/>
    <n v="0"/>
    <n v="-77791.87"/>
    <n v="0"/>
    <m/>
    <n v="0"/>
    <n v="0"/>
    <s v="99F625223328"/>
    <s v="301719094322"/>
    <s v="人民币"/>
    <m/>
  </r>
  <r>
    <s v="2016-03-01"/>
    <s v="证券卖出清算"/>
    <s v="159915"/>
    <x v="89"/>
    <n v="1.8360000000000001"/>
    <n v="20100"/>
    <n v="36903.599999999999"/>
    <n v="100"/>
    <n v="7.38"/>
    <n v="0"/>
    <n v="0"/>
    <n v="0"/>
    <n v="36896.22"/>
    <n v="36896.22"/>
    <s v="SWZQDE5D"/>
    <n v="1.8360000000000001"/>
    <n v="20100"/>
    <s v="0103988319"/>
    <s v="301719094322"/>
    <s v="人民币"/>
    <m/>
  </r>
  <r>
    <s v="2016-03-01"/>
    <s v="基金申购"/>
    <s v="A40006"/>
    <x v="2"/>
    <n v="1"/>
    <n v="36896.22"/>
    <n v="36896.22"/>
    <n v="114688"/>
    <n v="0"/>
    <n v="0"/>
    <n v="0"/>
    <n v="0"/>
    <n v="-36896.22"/>
    <n v="0"/>
    <m/>
    <n v="0"/>
    <n v="0"/>
    <s v="99F625223328"/>
    <s v="301719094322"/>
    <s v="人民币"/>
    <m/>
  </r>
  <r>
    <s v="2016-03-02"/>
    <s v="基金赎回"/>
    <s v="A40006"/>
    <x v="2"/>
    <n v="1"/>
    <n v="36131.22"/>
    <n v="36131.22"/>
    <n v="78556"/>
    <n v="0"/>
    <n v="0"/>
    <n v="0"/>
    <n v="0"/>
    <n v="36131.22"/>
    <n v="36131.22"/>
    <m/>
    <n v="0"/>
    <n v="0"/>
    <s v="99F625223328"/>
    <s v="301719094322"/>
    <s v="人民币"/>
    <m/>
  </r>
  <r>
    <s v="2016-03-03"/>
    <s v="基金申购"/>
    <s v="A40006"/>
    <x v="2"/>
    <n v="1"/>
    <n v="36131.22"/>
    <n v="36131.22"/>
    <n v="114688"/>
    <n v="0"/>
    <n v="0"/>
    <n v="0"/>
    <n v="0"/>
    <n v="-36131.22"/>
    <n v="0"/>
    <m/>
    <n v="0"/>
    <n v="0"/>
    <s v="99F625223328"/>
    <s v="301719094322"/>
    <s v="人民币"/>
    <m/>
  </r>
  <r>
    <s v="2016-03-18"/>
    <s v="基金赎回"/>
    <s v="A40006"/>
    <x v="2"/>
    <n v="1"/>
    <n v="114688.09"/>
    <n v="114688.09"/>
    <n v="0"/>
    <n v="0"/>
    <n v="0"/>
    <n v="0"/>
    <n v="0"/>
    <n v="114688.09"/>
    <n v="114688.09"/>
    <m/>
    <n v="0"/>
    <n v="0"/>
    <s v="99F625223328"/>
    <s v="301719094322"/>
    <s v="人民币"/>
    <m/>
  </r>
  <r>
    <s v="2016-03-21"/>
    <s v="银证转出"/>
    <m/>
    <x v="0"/>
    <n v="0"/>
    <n v="0"/>
    <n v="0"/>
    <n v="0"/>
    <n v="0"/>
    <n v="0"/>
    <n v="0"/>
    <n v="0"/>
    <n v="-114688.09"/>
    <n v="0"/>
    <m/>
    <n v="0"/>
    <n v="0"/>
    <m/>
    <s v="301719094322"/>
    <s v="人民币"/>
    <m/>
  </r>
  <r>
    <s v="2016-03-21"/>
    <s v="利息归本"/>
    <m/>
    <x v="0"/>
    <n v="0"/>
    <n v="0"/>
    <n v="0"/>
    <n v="0"/>
    <n v="0"/>
    <n v="0"/>
    <n v="0"/>
    <n v="0"/>
    <n v="6.85"/>
    <n v="6.85"/>
    <m/>
    <n v="0"/>
    <n v="0"/>
    <m/>
    <s v="301719094322"/>
    <s v="人民币"/>
    <m/>
  </r>
  <r>
    <s v="2016-03-21"/>
    <s v="证券卖出清算"/>
    <s v="159915"/>
    <x v="89"/>
    <n v="2.1110000000000002"/>
    <n v="100"/>
    <n v="211.1"/>
    <n v="0"/>
    <n v="5"/>
    <n v="0"/>
    <n v="0"/>
    <n v="0"/>
    <n v="206.1"/>
    <n v="212.95"/>
    <s v="SWZS74TX"/>
    <n v="2.11"/>
    <n v="100"/>
    <s v="0103988319"/>
    <s v="301719094322"/>
    <s v="人民币"/>
    <m/>
  </r>
  <r>
    <s v="2016-03-22"/>
    <s v="银证转出"/>
    <m/>
    <x v="0"/>
    <n v="0"/>
    <n v="0"/>
    <n v="0"/>
    <n v="0"/>
    <n v="0"/>
    <n v="0"/>
    <n v="0"/>
    <n v="0"/>
    <n v="-212.95"/>
    <n v="0"/>
    <m/>
    <n v="0"/>
    <n v="0"/>
    <m/>
    <s v="301719094322"/>
    <s v="人民币"/>
    <m/>
  </r>
  <r>
    <s v="2016-03-29"/>
    <s v="红利发放"/>
    <s v="A40006"/>
    <x v="2"/>
    <n v="1"/>
    <n v="0"/>
    <n v="608.35"/>
    <n v="0"/>
    <n v="0"/>
    <n v="0"/>
    <n v="0"/>
    <n v="0"/>
    <n v="608.35"/>
    <n v="608.35"/>
    <m/>
    <n v="0"/>
    <n v="0"/>
    <s v="99F625223328"/>
    <s v="301719094322"/>
    <s v="人民币"/>
    <m/>
  </r>
  <r>
    <s v="2016-03-30"/>
    <s v="银证转出"/>
    <m/>
    <x v="0"/>
    <n v="0"/>
    <n v="0"/>
    <n v="0"/>
    <n v="0"/>
    <n v="0"/>
    <n v="0"/>
    <n v="0"/>
    <n v="0"/>
    <n v="-608.35"/>
    <n v="0"/>
    <m/>
    <n v="0"/>
    <n v="0"/>
    <m/>
    <s v="301719094322"/>
    <s v="人民币"/>
    <m/>
  </r>
  <r>
    <m/>
    <m/>
    <m/>
    <x v="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平安证券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A1:B17" firstHeaderRow="1" firstDataRow="1" firstDataCol="1"/>
  <pivotFields count="21">
    <pivotField showAll="0"/>
    <pivotField showAll="0"/>
    <pivotField showAll="0"/>
    <pivotField axis="axisRow" showAll="0" measureFilter="1" sortType="descending">
      <items count="91">
        <item x="1"/>
        <item x="88"/>
        <item x="11"/>
        <item x="30"/>
        <item x="13"/>
        <item x="34"/>
        <item x="10"/>
        <item x="89"/>
        <item x="39"/>
        <item x="44"/>
        <item x="82"/>
        <item x="65"/>
        <item x="72"/>
        <item x="6"/>
        <item x="63"/>
        <item x="20"/>
        <item x="14"/>
        <item x="19"/>
        <item x="52"/>
        <item x="71"/>
        <item x="21"/>
        <item x="29"/>
        <item x="69"/>
        <item x="64"/>
        <item x="9"/>
        <item x="3"/>
        <item x="57"/>
        <item x="55"/>
        <item x="70"/>
        <item x="43"/>
        <item x="50"/>
        <item x="16"/>
        <item x="25"/>
        <item x="33"/>
        <item x="67"/>
        <item x="24"/>
        <item x="47"/>
        <item x="81"/>
        <item x="66"/>
        <item x="5"/>
        <item x="78"/>
        <item x="27"/>
        <item x="15"/>
        <item x="58"/>
        <item x="23"/>
        <item x="48"/>
        <item x="54"/>
        <item x="36"/>
        <item x="80"/>
        <item x="37"/>
        <item x="12"/>
        <item x="62"/>
        <item x="28"/>
        <item x="22"/>
        <item x="49"/>
        <item x="86"/>
        <item x="59"/>
        <item x="85"/>
        <item x="46"/>
        <item x="40"/>
        <item x="18"/>
        <item x="76"/>
        <item x="26"/>
        <item x="8"/>
        <item x="32"/>
        <item x="61"/>
        <item x="7"/>
        <item x="73"/>
        <item x="56"/>
        <item x="53"/>
        <item x="79"/>
        <item x="45"/>
        <item x="2"/>
        <item x="4"/>
        <item x="75"/>
        <item x="74"/>
        <item x="68"/>
        <item x="60"/>
        <item x="35"/>
        <item x="41"/>
        <item x="51"/>
        <item x="83"/>
        <item x="31"/>
        <item x="42"/>
        <item x="77"/>
        <item x="38"/>
        <item x="84"/>
        <item x="87"/>
        <item x="1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 v="73"/>
    </i>
    <i>
      <x v="31"/>
    </i>
    <i>
      <x v="72"/>
    </i>
    <i>
      <x v="25"/>
    </i>
    <i>
      <x v="37"/>
    </i>
    <i>
      <x v="1"/>
    </i>
    <i>
      <x v="60"/>
    </i>
    <i>
      <x v="18"/>
    </i>
    <i>
      <x/>
    </i>
    <i>
      <x v="89"/>
    </i>
    <i>
      <x v="51"/>
    </i>
    <i>
      <x v="7"/>
    </i>
    <i>
      <x v="30"/>
    </i>
    <i>
      <x v="81"/>
    </i>
    <i>
      <x v="23"/>
    </i>
    <i t="grand">
      <x/>
    </i>
  </rowItems>
  <colItems count="1">
    <i/>
  </colItems>
  <dataFields count="1">
    <dataField name="求和项:发生金额" fld="12" baseField="0" baseItem="0" numFmtId="17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NotEqual" evalOrder="-1" id="4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>
        <v>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9" sqref="F39"/>
    </sheetView>
  </sheetViews>
  <sheetFormatPr defaultRowHeight="13.5" x14ac:dyDescent="0.15"/>
  <sheetData>
    <row r="1" spans="1:1" x14ac:dyDescent="0.15">
      <c r="A1">
        <v>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2"/>
  <sheetViews>
    <sheetView topLeftCell="A202" workbookViewId="0">
      <selection activeCell="G493" sqref="G493"/>
    </sheetView>
  </sheetViews>
  <sheetFormatPr defaultColWidth="10.375" defaultRowHeight="11.25" x14ac:dyDescent="0.15"/>
  <cols>
    <col min="1" max="1" width="10.375" style="2"/>
    <col min="2" max="2" width="18.75" style="2" customWidth="1"/>
    <col min="3" max="16384" width="10.375" style="2"/>
  </cols>
  <sheetData>
    <row r="1" spans="1:2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15">
      <c r="A2" s="3" t="s">
        <v>21</v>
      </c>
      <c r="B2" s="3" t="s">
        <v>22</v>
      </c>
      <c r="C2" s="3"/>
      <c r="D2" s="3"/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/>
      <c r="P2" s="3">
        <v>0</v>
      </c>
      <c r="Q2" s="3">
        <v>0</v>
      </c>
      <c r="R2" s="3"/>
      <c r="S2" s="3" t="s">
        <v>23</v>
      </c>
      <c r="T2" s="3" t="s">
        <v>24</v>
      </c>
      <c r="U2" s="3"/>
    </row>
    <row r="3" spans="1:21" x14ac:dyDescent="0.15">
      <c r="A3" s="3" t="s">
        <v>21</v>
      </c>
      <c r="B3" s="3" t="s">
        <v>25</v>
      </c>
      <c r="C3" s="3"/>
      <c r="D3" s="3"/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/>
      <c r="P3" s="3">
        <v>0</v>
      </c>
      <c r="Q3" s="3">
        <v>0</v>
      </c>
      <c r="R3" s="3"/>
      <c r="S3" s="3" t="s">
        <v>23</v>
      </c>
      <c r="T3" s="3" t="s">
        <v>24</v>
      </c>
      <c r="U3" s="3"/>
    </row>
    <row r="4" spans="1:21" x14ac:dyDescent="0.15">
      <c r="A4" s="3" t="s">
        <v>26</v>
      </c>
      <c r="B4" s="3" t="s">
        <v>22</v>
      </c>
      <c r="C4" s="3"/>
      <c r="D4" s="3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/>
      <c r="P4" s="3">
        <v>0</v>
      </c>
      <c r="Q4" s="3">
        <v>0</v>
      </c>
      <c r="R4" s="3"/>
      <c r="S4" s="3" t="s">
        <v>27</v>
      </c>
      <c r="T4" s="3" t="s">
        <v>24</v>
      </c>
      <c r="U4" s="3"/>
    </row>
    <row r="5" spans="1:21" x14ac:dyDescent="0.15">
      <c r="A5" s="3" t="s">
        <v>26</v>
      </c>
      <c r="B5" s="3" t="s">
        <v>25</v>
      </c>
      <c r="C5" s="3"/>
      <c r="D5" s="3"/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/>
      <c r="P5" s="3">
        <v>0</v>
      </c>
      <c r="Q5" s="3">
        <v>0</v>
      </c>
      <c r="R5" s="3"/>
      <c r="S5" s="3" t="s">
        <v>27</v>
      </c>
      <c r="T5" s="3" t="s">
        <v>24</v>
      </c>
      <c r="U5" s="3"/>
    </row>
    <row r="6" spans="1:21" x14ac:dyDescent="0.15">
      <c r="A6" s="3" t="s">
        <v>26</v>
      </c>
      <c r="B6" s="3" t="s">
        <v>22</v>
      </c>
      <c r="C6" s="3"/>
      <c r="D6" s="3"/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/>
      <c r="P6" s="3">
        <v>0</v>
      </c>
      <c r="Q6" s="3">
        <v>0</v>
      </c>
      <c r="R6" s="3"/>
      <c r="S6" s="3" t="s">
        <v>28</v>
      </c>
      <c r="T6" s="3" t="s">
        <v>24</v>
      </c>
      <c r="U6" s="3"/>
    </row>
    <row r="7" spans="1:21" x14ac:dyDescent="0.15">
      <c r="A7" s="3" t="s">
        <v>26</v>
      </c>
      <c r="B7" s="3" t="s">
        <v>25</v>
      </c>
      <c r="C7" s="3"/>
      <c r="D7" s="3"/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/>
      <c r="P7" s="3">
        <v>0</v>
      </c>
      <c r="Q7" s="3">
        <v>0</v>
      </c>
      <c r="R7" s="3"/>
      <c r="S7" s="3" t="s">
        <v>28</v>
      </c>
      <c r="T7" s="3" t="s">
        <v>24</v>
      </c>
      <c r="U7" s="3"/>
    </row>
    <row r="8" spans="1:21" x14ac:dyDescent="0.15">
      <c r="A8" s="3" t="s">
        <v>26</v>
      </c>
      <c r="B8" s="3" t="s">
        <v>29</v>
      </c>
      <c r="C8" s="3"/>
      <c r="D8" s="3"/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0.04</v>
      </c>
      <c r="N8" s="3">
        <v>0.04</v>
      </c>
      <c r="O8" s="3"/>
      <c r="P8" s="3">
        <v>0</v>
      </c>
      <c r="Q8" s="3">
        <v>0</v>
      </c>
      <c r="R8" s="3"/>
      <c r="S8" s="3" t="s">
        <v>28</v>
      </c>
      <c r="T8" s="3" t="s">
        <v>24</v>
      </c>
      <c r="U8" s="3"/>
    </row>
    <row r="9" spans="1:21" x14ac:dyDescent="0.15">
      <c r="A9" s="3" t="s">
        <v>26</v>
      </c>
      <c r="B9" s="3" t="s">
        <v>30</v>
      </c>
      <c r="C9" s="3"/>
      <c r="D9" s="3"/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-0.04</v>
      </c>
      <c r="N9" s="3">
        <v>0</v>
      </c>
      <c r="O9" s="3"/>
      <c r="P9" s="3">
        <v>0</v>
      </c>
      <c r="Q9" s="3">
        <v>0</v>
      </c>
      <c r="R9" s="3"/>
      <c r="S9" s="3" t="s">
        <v>28</v>
      </c>
      <c r="T9" s="3" t="s">
        <v>24</v>
      </c>
      <c r="U9" s="3"/>
    </row>
    <row r="10" spans="1:21" x14ac:dyDescent="0.15">
      <c r="A10" s="3" t="s">
        <v>26</v>
      </c>
      <c r="B10" s="3" t="s">
        <v>31</v>
      </c>
      <c r="C10" s="3"/>
      <c r="D10" s="3"/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0.04</v>
      </c>
      <c r="N10" s="3">
        <v>0.04</v>
      </c>
      <c r="O10" s="3"/>
      <c r="P10" s="3">
        <v>0</v>
      </c>
      <c r="Q10" s="3">
        <v>0</v>
      </c>
      <c r="R10" s="3"/>
      <c r="S10" s="3" t="s">
        <v>23</v>
      </c>
      <c r="T10" s="3" t="s">
        <v>24</v>
      </c>
      <c r="U10" s="3"/>
    </row>
    <row r="11" spans="1:21" x14ac:dyDescent="0.15">
      <c r="A11" s="3" t="s">
        <v>26</v>
      </c>
      <c r="B11" s="3" t="s">
        <v>22</v>
      </c>
      <c r="C11" s="3"/>
      <c r="D11" s="3"/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/>
      <c r="P11" s="3">
        <v>0</v>
      </c>
      <c r="Q11" s="3">
        <v>0</v>
      </c>
      <c r="R11" s="3"/>
      <c r="S11" s="3" t="s">
        <v>32</v>
      </c>
      <c r="T11" s="3" t="s">
        <v>24</v>
      </c>
      <c r="U11" s="3"/>
    </row>
    <row r="12" spans="1:21" x14ac:dyDescent="0.15">
      <c r="A12" s="3" t="s">
        <v>26</v>
      </c>
      <c r="B12" s="3" t="s">
        <v>33</v>
      </c>
      <c r="C12" s="3"/>
      <c r="D12" s="3"/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/>
      <c r="P12" s="3">
        <v>0</v>
      </c>
      <c r="Q12" s="3">
        <v>0</v>
      </c>
      <c r="R12" s="3"/>
      <c r="S12" s="3" t="s">
        <v>32</v>
      </c>
      <c r="T12" s="3" t="s">
        <v>24</v>
      </c>
      <c r="U12" s="3"/>
    </row>
    <row r="13" spans="1:21" x14ac:dyDescent="0.15">
      <c r="A13" s="3" t="s">
        <v>26</v>
      </c>
      <c r="B13" s="3" t="s">
        <v>30</v>
      </c>
      <c r="C13" s="3"/>
      <c r="D13" s="3"/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-0.04</v>
      </c>
      <c r="N13" s="3">
        <v>0</v>
      </c>
      <c r="O13" s="3"/>
      <c r="P13" s="3">
        <v>0</v>
      </c>
      <c r="Q13" s="3">
        <v>0</v>
      </c>
      <c r="R13" s="3"/>
      <c r="S13" s="3" t="s">
        <v>23</v>
      </c>
      <c r="T13" s="3" t="s">
        <v>24</v>
      </c>
      <c r="U13" s="3"/>
    </row>
    <row r="14" spans="1:21" x14ac:dyDescent="0.15">
      <c r="A14" s="3" t="s">
        <v>26</v>
      </c>
      <c r="B14" s="3" t="s">
        <v>31</v>
      </c>
      <c r="C14" s="3"/>
      <c r="D14" s="3"/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0.04</v>
      </c>
      <c r="N14" s="3">
        <v>0.04</v>
      </c>
      <c r="O14" s="3"/>
      <c r="P14" s="3">
        <v>0</v>
      </c>
      <c r="Q14" s="3">
        <v>0</v>
      </c>
      <c r="R14" s="3"/>
      <c r="S14" s="3" t="s">
        <v>28</v>
      </c>
      <c r="T14" s="3" t="s">
        <v>24</v>
      </c>
      <c r="U14" s="3"/>
    </row>
    <row r="15" spans="1:21" x14ac:dyDescent="0.15">
      <c r="A15" s="3" t="s">
        <v>34</v>
      </c>
      <c r="B15" s="3" t="s">
        <v>22</v>
      </c>
      <c r="C15" s="3"/>
      <c r="D15" s="3"/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/>
      <c r="P15" s="3">
        <v>0</v>
      </c>
      <c r="Q15" s="3">
        <v>0</v>
      </c>
      <c r="R15" s="3"/>
      <c r="S15" s="3" t="s">
        <v>35</v>
      </c>
      <c r="T15" s="3" t="s">
        <v>24</v>
      </c>
      <c r="U15" s="3"/>
    </row>
    <row r="16" spans="1:21" x14ac:dyDescent="0.15">
      <c r="A16" s="3" t="s">
        <v>34</v>
      </c>
      <c r="B16" s="3" t="s">
        <v>22</v>
      </c>
      <c r="C16" s="3"/>
      <c r="D16" s="3"/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/>
      <c r="P16" s="3">
        <v>0</v>
      </c>
      <c r="Q16" s="3">
        <v>0</v>
      </c>
      <c r="R16" s="3"/>
      <c r="S16" s="3" t="s">
        <v>36</v>
      </c>
      <c r="T16" s="3" t="s">
        <v>24</v>
      </c>
      <c r="U16" s="3"/>
    </row>
    <row r="17" spans="1:20" x14ac:dyDescent="0.15">
      <c r="A17" s="3" t="s">
        <v>34</v>
      </c>
      <c r="B17" s="3" t="s">
        <v>25</v>
      </c>
      <c r="C17" s="3"/>
      <c r="D17" s="3"/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/>
      <c r="P17" s="3">
        <v>0</v>
      </c>
      <c r="Q17" s="3">
        <v>0</v>
      </c>
      <c r="R17" s="3"/>
      <c r="S17" s="3" t="s">
        <v>35</v>
      </c>
      <c r="T17" s="3" t="s">
        <v>24</v>
      </c>
    </row>
    <row r="18" spans="1:20" x14ac:dyDescent="0.15">
      <c r="A18" s="3" t="s">
        <v>34</v>
      </c>
      <c r="B18" s="3" t="s">
        <v>25</v>
      </c>
      <c r="C18" s="3"/>
      <c r="D18" s="3"/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/>
      <c r="P18" s="3">
        <v>0</v>
      </c>
      <c r="Q18" s="3">
        <v>0</v>
      </c>
      <c r="R18" s="3"/>
      <c r="S18" s="3" t="s">
        <v>36</v>
      </c>
      <c r="T18" s="3" t="s">
        <v>24</v>
      </c>
    </row>
    <row r="19" spans="1:20" x14ac:dyDescent="0.15">
      <c r="A19" s="3" t="s">
        <v>37</v>
      </c>
      <c r="B19" s="3" t="s">
        <v>30</v>
      </c>
      <c r="C19" s="3"/>
      <c r="D19" s="3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-0.04</v>
      </c>
      <c r="N19" s="3">
        <v>0</v>
      </c>
      <c r="O19" s="3"/>
      <c r="P19" s="3">
        <v>0</v>
      </c>
      <c r="Q19" s="3">
        <v>0</v>
      </c>
      <c r="R19" s="3"/>
      <c r="S19" s="3" t="s">
        <v>28</v>
      </c>
      <c r="T19" s="3" t="s">
        <v>24</v>
      </c>
    </row>
    <row r="20" spans="1:20" x14ac:dyDescent="0.15">
      <c r="A20" s="3" t="s">
        <v>37</v>
      </c>
      <c r="B20" s="3" t="s">
        <v>31</v>
      </c>
      <c r="C20" s="3"/>
      <c r="D20" s="3"/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0.04</v>
      </c>
      <c r="N20" s="3">
        <v>0.04</v>
      </c>
      <c r="O20" s="3"/>
      <c r="P20" s="3">
        <v>0</v>
      </c>
      <c r="Q20" s="3">
        <v>0</v>
      </c>
      <c r="R20" s="3"/>
      <c r="S20" s="3" t="s">
        <v>35</v>
      </c>
      <c r="T20" s="3" t="s">
        <v>24</v>
      </c>
    </row>
    <row r="21" spans="1:20" x14ac:dyDescent="0.15">
      <c r="A21" s="3" t="s">
        <v>38</v>
      </c>
      <c r="B21" s="3" t="s">
        <v>29</v>
      </c>
      <c r="C21" s="3"/>
      <c r="D21" s="3"/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178014</v>
      </c>
      <c r="N21" s="3">
        <v>178014.04</v>
      </c>
      <c r="O21" s="3"/>
      <c r="P21" s="3">
        <v>0</v>
      </c>
      <c r="Q21" s="3">
        <v>0</v>
      </c>
      <c r="R21" s="3"/>
      <c r="S21" s="3" t="s">
        <v>35</v>
      </c>
      <c r="T21" s="3" t="s">
        <v>24</v>
      </c>
    </row>
    <row r="22" spans="1:20" x14ac:dyDescent="0.15">
      <c r="A22" s="3" t="s">
        <v>38</v>
      </c>
      <c r="B22" s="3" t="s">
        <v>29</v>
      </c>
      <c r="C22" s="3"/>
      <c r="D22" s="3"/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280</v>
      </c>
      <c r="N22" s="3">
        <v>178294.04</v>
      </c>
      <c r="O22" s="3"/>
      <c r="P22" s="3">
        <v>0</v>
      </c>
      <c r="Q22" s="3">
        <v>0</v>
      </c>
      <c r="R22" s="3"/>
      <c r="S22" s="3" t="s">
        <v>35</v>
      </c>
      <c r="T22" s="3" t="s">
        <v>24</v>
      </c>
    </row>
    <row r="23" spans="1:20" x14ac:dyDescent="0.15">
      <c r="A23" s="3" t="s">
        <v>38</v>
      </c>
      <c r="B23" s="3" t="s">
        <v>39</v>
      </c>
      <c r="C23" s="3" t="s">
        <v>40</v>
      </c>
      <c r="D23" s="3" t="s">
        <v>41</v>
      </c>
      <c r="E23" s="3">
        <v>3.7509999999999999</v>
      </c>
      <c r="F23" s="3">
        <v>8000</v>
      </c>
      <c r="G23" s="3">
        <v>30008</v>
      </c>
      <c r="H23" s="3">
        <v>8000</v>
      </c>
      <c r="I23" s="3">
        <v>6</v>
      </c>
      <c r="J23" s="3">
        <v>0</v>
      </c>
      <c r="K23" s="3">
        <v>0</v>
      </c>
      <c r="L23" s="3">
        <v>0</v>
      </c>
      <c r="M23" s="3">
        <v>-30014</v>
      </c>
      <c r="N23" s="3">
        <v>148280.04</v>
      </c>
      <c r="O23" s="3" t="s">
        <v>42</v>
      </c>
      <c r="P23" s="3">
        <v>3.7519999999999998</v>
      </c>
      <c r="Q23" s="3">
        <v>8000</v>
      </c>
      <c r="R23" s="3" t="s">
        <v>43</v>
      </c>
      <c r="S23" s="3" t="s">
        <v>35</v>
      </c>
      <c r="T23" s="3" t="s">
        <v>24</v>
      </c>
    </row>
    <row r="24" spans="1:20" x14ac:dyDescent="0.15">
      <c r="A24" s="3" t="s">
        <v>38</v>
      </c>
      <c r="B24" s="3" t="s">
        <v>44</v>
      </c>
      <c r="C24" s="3" t="s">
        <v>45</v>
      </c>
      <c r="D24" s="3" t="s">
        <v>46</v>
      </c>
      <c r="E24" s="3">
        <v>1</v>
      </c>
      <c r="F24" s="3">
        <v>148280.04</v>
      </c>
      <c r="G24" s="3">
        <v>148280.04</v>
      </c>
      <c r="H24" s="3">
        <v>148280</v>
      </c>
      <c r="I24" s="3">
        <v>0</v>
      </c>
      <c r="J24" s="3">
        <v>0</v>
      </c>
      <c r="K24" s="3">
        <v>0</v>
      </c>
      <c r="L24" s="3">
        <v>0</v>
      </c>
      <c r="M24" s="3">
        <v>-148280.04</v>
      </c>
      <c r="N24" s="3">
        <v>0</v>
      </c>
      <c r="O24" s="3"/>
      <c r="P24" s="3">
        <v>0</v>
      </c>
      <c r="Q24" s="3">
        <v>0</v>
      </c>
      <c r="R24" s="3" t="s">
        <v>47</v>
      </c>
      <c r="S24" s="3" t="s">
        <v>35</v>
      </c>
      <c r="T24" s="3" t="s">
        <v>24</v>
      </c>
    </row>
    <row r="25" spans="1:20" x14ac:dyDescent="0.15">
      <c r="A25" s="3" t="s">
        <v>38</v>
      </c>
      <c r="B25" s="3" t="s">
        <v>48</v>
      </c>
      <c r="C25" s="3"/>
      <c r="D25" s="3"/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/>
      <c r="P25" s="3">
        <v>0</v>
      </c>
      <c r="Q25" s="3">
        <v>0</v>
      </c>
      <c r="R25" s="3"/>
      <c r="S25" s="3" t="s">
        <v>35</v>
      </c>
      <c r="T25" s="3" t="s">
        <v>24</v>
      </c>
    </row>
    <row r="26" spans="1:20" x14ac:dyDescent="0.15">
      <c r="A26" s="3" t="s">
        <v>38</v>
      </c>
      <c r="B26" s="3" t="s">
        <v>48</v>
      </c>
      <c r="C26" s="3"/>
      <c r="D26" s="3"/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/>
      <c r="P26" s="3">
        <v>0</v>
      </c>
      <c r="Q26" s="3">
        <v>0</v>
      </c>
      <c r="R26" s="3"/>
      <c r="S26" s="3" t="s">
        <v>23</v>
      </c>
      <c r="T26" s="3" t="s">
        <v>24</v>
      </c>
    </row>
    <row r="27" spans="1:20" x14ac:dyDescent="0.15">
      <c r="A27" s="3" t="s">
        <v>38</v>
      </c>
      <c r="B27" s="3" t="s">
        <v>48</v>
      </c>
      <c r="C27" s="3"/>
      <c r="D27" s="3"/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/>
      <c r="P27" s="3">
        <v>0</v>
      </c>
      <c r="Q27" s="3">
        <v>0</v>
      </c>
      <c r="R27" s="3"/>
      <c r="S27" s="3" t="s">
        <v>23</v>
      </c>
      <c r="T27" s="3" t="s">
        <v>24</v>
      </c>
    </row>
    <row r="28" spans="1:20" x14ac:dyDescent="0.15">
      <c r="A28" s="3" t="s">
        <v>38</v>
      </c>
      <c r="B28" s="3" t="s">
        <v>48</v>
      </c>
      <c r="C28" s="3"/>
      <c r="D28" s="3"/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/>
      <c r="P28" s="3">
        <v>0</v>
      </c>
      <c r="Q28" s="3">
        <v>0</v>
      </c>
      <c r="R28" s="3"/>
      <c r="S28" s="3" t="s">
        <v>35</v>
      </c>
      <c r="T28" s="3" t="s">
        <v>24</v>
      </c>
    </row>
    <row r="29" spans="1:20" x14ac:dyDescent="0.15">
      <c r="A29" s="3" t="s">
        <v>49</v>
      </c>
      <c r="B29" s="3" t="s">
        <v>50</v>
      </c>
      <c r="C29" s="3" t="s">
        <v>45</v>
      </c>
      <c r="D29" s="3" t="s">
        <v>46</v>
      </c>
      <c r="E29" s="3">
        <v>1</v>
      </c>
      <c r="F29" s="3">
        <v>29701.22</v>
      </c>
      <c r="G29" s="3">
        <v>29701.22</v>
      </c>
      <c r="H29" s="3">
        <v>118578</v>
      </c>
      <c r="I29" s="3">
        <v>0</v>
      </c>
      <c r="J29" s="3">
        <v>0</v>
      </c>
      <c r="K29" s="3">
        <v>0</v>
      </c>
      <c r="L29" s="3">
        <v>0</v>
      </c>
      <c r="M29" s="3">
        <v>29701.22</v>
      </c>
      <c r="N29" s="3">
        <v>29701.22</v>
      </c>
      <c r="O29" s="3"/>
      <c r="P29" s="3">
        <v>0</v>
      </c>
      <c r="Q29" s="3">
        <v>0</v>
      </c>
      <c r="R29" s="3" t="s">
        <v>47</v>
      </c>
      <c r="S29" s="3" t="s">
        <v>35</v>
      </c>
      <c r="T29" s="3" t="s">
        <v>24</v>
      </c>
    </row>
    <row r="30" spans="1:20" x14ac:dyDescent="0.15">
      <c r="A30" s="3" t="s">
        <v>49</v>
      </c>
      <c r="B30" s="3" t="s">
        <v>39</v>
      </c>
      <c r="C30" s="3" t="s">
        <v>40</v>
      </c>
      <c r="D30" s="3" t="s">
        <v>41</v>
      </c>
      <c r="E30" s="3">
        <v>3.7010000000000001</v>
      </c>
      <c r="F30" s="3">
        <v>8000</v>
      </c>
      <c r="G30" s="3">
        <v>29608</v>
      </c>
      <c r="H30" s="3">
        <v>16000</v>
      </c>
      <c r="I30" s="3">
        <v>5.92</v>
      </c>
      <c r="J30" s="3">
        <v>0</v>
      </c>
      <c r="K30" s="3">
        <v>0</v>
      </c>
      <c r="L30" s="3">
        <v>0</v>
      </c>
      <c r="M30" s="3">
        <v>-29613.919999999998</v>
      </c>
      <c r="N30" s="3">
        <v>87.3</v>
      </c>
      <c r="O30" s="3" t="s">
        <v>51</v>
      </c>
      <c r="P30" s="3">
        <v>3.7010000000000001</v>
      </c>
      <c r="Q30" s="3">
        <v>8000</v>
      </c>
      <c r="R30" s="3" t="s">
        <v>43</v>
      </c>
      <c r="S30" s="3" t="s">
        <v>35</v>
      </c>
      <c r="T30" s="3" t="s">
        <v>24</v>
      </c>
    </row>
    <row r="31" spans="1:20" x14ac:dyDescent="0.15">
      <c r="A31" s="3" t="s">
        <v>52</v>
      </c>
      <c r="B31" s="3" t="s">
        <v>29</v>
      </c>
      <c r="C31" s="3"/>
      <c r="D31" s="3"/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137490.84</v>
      </c>
      <c r="N31" s="3">
        <v>137578.14000000001</v>
      </c>
      <c r="O31" s="3"/>
      <c r="P31" s="3">
        <v>0</v>
      </c>
      <c r="Q31" s="3">
        <v>0</v>
      </c>
      <c r="R31" s="3"/>
      <c r="S31" s="3" t="s">
        <v>35</v>
      </c>
      <c r="T31" s="3" t="s">
        <v>24</v>
      </c>
    </row>
    <row r="32" spans="1:20" x14ac:dyDescent="0.15">
      <c r="A32" s="3" t="s">
        <v>52</v>
      </c>
      <c r="B32" s="3" t="s">
        <v>44</v>
      </c>
      <c r="C32" s="3" t="s">
        <v>45</v>
      </c>
      <c r="D32" s="3" t="s">
        <v>46</v>
      </c>
      <c r="E32" s="3">
        <v>1</v>
      </c>
      <c r="F32" s="3">
        <v>137578.14000000001</v>
      </c>
      <c r="G32" s="3">
        <v>137578.14000000001</v>
      </c>
      <c r="H32" s="3">
        <v>256156</v>
      </c>
      <c r="I32" s="3">
        <v>0</v>
      </c>
      <c r="J32" s="3">
        <v>0</v>
      </c>
      <c r="K32" s="3">
        <v>0</v>
      </c>
      <c r="L32" s="3">
        <v>0</v>
      </c>
      <c r="M32" s="3">
        <v>-137578.14000000001</v>
      </c>
      <c r="N32" s="3">
        <v>0</v>
      </c>
      <c r="O32" s="3"/>
      <c r="P32" s="3">
        <v>0</v>
      </c>
      <c r="Q32" s="3">
        <v>0</v>
      </c>
      <c r="R32" s="3" t="s">
        <v>47</v>
      </c>
      <c r="S32" s="3" t="s">
        <v>35</v>
      </c>
      <c r="T32" s="3" t="s">
        <v>24</v>
      </c>
    </row>
    <row r="33" spans="1:20" x14ac:dyDescent="0.15">
      <c r="A33" s="3" t="s">
        <v>53</v>
      </c>
      <c r="B33" s="3" t="s">
        <v>29</v>
      </c>
      <c r="C33" s="3"/>
      <c r="D33" s="3"/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200000.01</v>
      </c>
      <c r="N33" s="3">
        <v>200000.01</v>
      </c>
      <c r="O33" s="3"/>
      <c r="P33" s="3">
        <v>0</v>
      </c>
      <c r="Q33" s="3">
        <v>0</v>
      </c>
      <c r="R33" s="3"/>
      <c r="S33" s="3" t="s">
        <v>36</v>
      </c>
      <c r="T33" s="3" t="s">
        <v>24</v>
      </c>
    </row>
    <row r="34" spans="1:20" x14ac:dyDescent="0.15">
      <c r="A34" s="3" t="s">
        <v>53</v>
      </c>
      <c r="B34" s="3" t="s">
        <v>30</v>
      </c>
      <c r="C34" s="3"/>
      <c r="D34" s="3"/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-200000.01</v>
      </c>
      <c r="N34" s="3">
        <v>0</v>
      </c>
      <c r="O34" s="3"/>
      <c r="P34" s="3">
        <v>0</v>
      </c>
      <c r="Q34" s="3">
        <v>0</v>
      </c>
      <c r="R34" s="3"/>
      <c r="S34" s="3" t="s">
        <v>36</v>
      </c>
      <c r="T34" s="3" t="s">
        <v>24</v>
      </c>
    </row>
    <row r="35" spans="1:20" x14ac:dyDescent="0.15">
      <c r="A35" s="3" t="s">
        <v>53</v>
      </c>
      <c r="B35" s="3" t="s">
        <v>31</v>
      </c>
      <c r="C35" s="3"/>
      <c r="D35" s="3"/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200000.01</v>
      </c>
      <c r="N35" s="3">
        <v>200000.01</v>
      </c>
      <c r="O35" s="3"/>
      <c r="P35" s="3">
        <v>0</v>
      </c>
      <c r="Q35" s="3">
        <v>0</v>
      </c>
      <c r="R35" s="3"/>
      <c r="S35" s="3" t="s">
        <v>35</v>
      </c>
      <c r="T35" s="3" t="s">
        <v>24</v>
      </c>
    </row>
    <row r="36" spans="1:20" x14ac:dyDescent="0.15">
      <c r="A36" s="3" t="s">
        <v>53</v>
      </c>
      <c r="B36" s="3" t="s">
        <v>39</v>
      </c>
      <c r="C36" s="3" t="s">
        <v>40</v>
      </c>
      <c r="D36" s="3" t="s">
        <v>41</v>
      </c>
      <c r="E36" s="3">
        <v>3.601</v>
      </c>
      <c r="F36" s="3">
        <v>4000</v>
      </c>
      <c r="G36" s="3">
        <v>14404</v>
      </c>
      <c r="H36" s="3">
        <v>20000</v>
      </c>
      <c r="I36" s="3">
        <v>5</v>
      </c>
      <c r="J36" s="3">
        <v>0</v>
      </c>
      <c r="K36" s="3">
        <v>0</v>
      </c>
      <c r="L36" s="3">
        <v>0</v>
      </c>
      <c r="M36" s="3">
        <v>-14409</v>
      </c>
      <c r="N36" s="3">
        <v>185591.01</v>
      </c>
      <c r="O36" s="3" t="s">
        <v>54</v>
      </c>
      <c r="P36" s="3">
        <v>3.601</v>
      </c>
      <c r="Q36" s="3">
        <v>4000</v>
      </c>
      <c r="R36" s="3" t="s">
        <v>43</v>
      </c>
      <c r="S36" s="3" t="s">
        <v>35</v>
      </c>
      <c r="T36" s="3" t="s">
        <v>24</v>
      </c>
    </row>
    <row r="37" spans="1:20" x14ac:dyDescent="0.15">
      <c r="A37" s="3" t="s">
        <v>53</v>
      </c>
      <c r="B37" s="3" t="s">
        <v>55</v>
      </c>
      <c r="C37" s="3" t="s">
        <v>40</v>
      </c>
      <c r="D37" s="3" t="s">
        <v>41</v>
      </c>
      <c r="E37" s="3">
        <v>3.629</v>
      </c>
      <c r="F37" s="3">
        <v>4000</v>
      </c>
      <c r="G37" s="3">
        <v>14516</v>
      </c>
      <c r="H37" s="3">
        <v>16000</v>
      </c>
      <c r="I37" s="3">
        <v>5</v>
      </c>
      <c r="J37" s="3">
        <v>0</v>
      </c>
      <c r="K37" s="3">
        <v>0</v>
      </c>
      <c r="L37" s="3">
        <v>0</v>
      </c>
      <c r="M37" s="3">
        <v>14511</v>
      </c>
      <c r="N37" s="3">
        <v>200102.01</v>
      </c>
      <c r="O37" s="3" t="s">
        <v>56</v>
      </c>
      <c r="P37" s="3">
        <v>3.629</v>
      </c>
      <c r="Q37" s="3">
        <v>4000</v>
      </c>
      <c r="R37" s="3" t="s">
        <v>43</v>
      </c>
      <c r="S37" s="3" t="s">
        <v>35</v>
      </c>
      <c r="T37" s="3" t="s">
        <v>24</v>
      </c>
    </row>
    <row r="38" spans="1:20" x14ac:dyDescent="0.15">
      <c r="A38" s="3" t="s">
        <v>53</v>
      </c>
      <c r="B38" s="3" t="s">
        <v>44</v>
      </c>
      <c r="C38" s="3" t="s">
        <v>45</v>
      </c>
      <c r="D38" s="3" t="s">
        <v>46</v>
      </c>
      <c r="E38" s="3">
        <v>1</v>
      </c>
      <c r="F38" s="3">
        <v>200102.01</v>
      </c>
      <c r="G38" s="3">
        <v>200102.01</v>
      </c>
      <c r="H38" s="3">
        <v>456258</v>
      </c>
      <c r="I38" s="3">
        <v>0</v>
      </c>
      <c r="J38" s="3">
        <v>0</v>
      </c>
      <c r="K38" s="3">
        <v>0</v>
      </c>
      <c r="L38" s="3">
        <v>0</v>
      </c>
      <c r="M38" s="3">
        <v>-200102.01</v>
      </c>
      <c r="N38" s="3">
        <v>0</v>
      </c>
      <c r="O38" s="3"/>
      <c r="P38" s="3">
        <v>0</v>
      </c>
      <c r="Q38" s="3">
        <v>0</v>
      </c>
      <c r="R38" s="3" t="s">
        <v>47</v>
      </c>
      <c r="S38" s="3" t="s">
        <v>35</v>
      </c>
      <c r="T38" s="3" t="s">
        <v>24</v>
      </c>
    </row>
    <row r="39" spans="1:20" s="3" customFormat="1" x14ac:dyDescent="0.15">
      <c r="A39" s="3" t="str">
        <f>"2015-02-02"</f>
        <v>2015-02-02</v>
      </c>
      <c r="B39" s="3" t="str">
        <f>"银证转入"</f>
        <v>银证转入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10000</v>
      </c>
      <c r="N39" s="3">
        <v>10000</v>
      </c>
      <c r="P39" s="3">
        <v>0</v>
      </c>
      <c r="Q39" s="3">
        <v>0</v>
      </c>
      <c r="S39" s="3" t="str">
        <f>"301719094323"</f>
        <v>301719094323</v>
      </c>
      <c r="T39" s="3" t="str">
        <f t="shared" ref="T39:T102" si="0">"人民币"</f>
        <v>人民币</v>
      </c>
    </row>
    <row r="40" spans="1:20" s="3" customFormat="1" x14ac:dyDescent="0.15">
      <c r="A40" s="3" t="str">
        <f t="shared" ref="A40:A45" si="1">"2015-02-03"</f>
        <v>2015-02-03</v>
      </c>
      <c r="B40" s="3" t="str">
        <f>"银证转入"</f>
        <v>银证转入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21.11</v>
      </c>
      <c r="N40" s="3">
        <v>21.11</v>
      </c>
      <c r="P40" s="3">
        <v>0</v>
      </c>
      <c r="Q40" s="3">
        <v>0</v>
      </c>
      <c r="S40" s="3" t="str">
        <f>"301719093190"</f>
        <v>301719093190</v>
      </c>
      <c r="T40" s="3" t="str">
        <f t="shared" si="0"/>
        <v>人民币</v>
      </c>
    </row>
    <row r="41" spans="1:20" s="3" customFormat="1" x14ac:dyDescent="0.15">
      <c r="A41" s="3" t="str">
        <f t="shared" si="1"/>
        <v>2015-02-03</v>
      </c>
      <c r="B41" s="3" t="str">
        <f>"跨行转出"</f>
        <v>跨行转出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-21.11</v>
      </c>
      <c r="N41" s="3">
        <v>0</v>
      </c>
      <c r="P41" s="3">
        <v>0</v>
      </c>
      <c r="Q41" s="3">
        <v>0</v>
      </c>
      <c r="S41" s="3" t="str">
        <f>"301719093190"</f>
        <v>301719093190</v>
      </c>
      <c r="T41" s="3" t="str">
        <f t="shared" si="0"/>
        <v>人民币</v>
      </c>
    </row>
    <row r="42" spans="1:20" s="3" customFormat="1" x14ac:dyDescent="0.15">
      <c r="A42" s="3" t="str">
        <f t="shared" si="1"/>
        <v>2015-02-03</v>
      </c>
      <c r="B42" s="3" t="str">
        <f>"跨行转入"</f>
        <v>跨行转入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21.11</v>
      </c>
      <c r="N42" s="3">
        <v>21.11</v>
      </c>
      <c r="P42" s="3">
        <v>0</v>
      </c>
      <c r="Q42" s="3">
        <v>0</v>
      </c>
      <c r="S42" s="3" t="str">
        <f>"301719094322"</f>
        <v>301719094322</v>
      </c>
      <c r="T42" s="3" t="str">
        <f t="shared" si="0"/>
        <v>人民币</v>
      </c>
    </row>
    <row r="43" spans="1:20" s="3" customFormat="1" x14ac:dyDescent="0.15">
      <c r="A43" s="3" t="str">
        <f t="shared" si="1"/>
        <v>2015-02-03</v>
      </c>
      <c r="B43" s="3" t="str">
        <f>"跨行转出"</f>
        <v>跨行转出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-10000</v>
      </c>
      <c r="N43" s="3">
        <v>0</v>
      </c>
      <c r="P43" s="3">
        <v>0</v>
      </c>
      <c r="Q43" s="3">
        <v>0</v>
      </c>
      <c r="S43" s="3" t="str">
        <f>"301719094323"</f>
        <v>301719094323</v>
      </c>
      <c r="T43" s="3" t="str">
        <f t="shared" si="0"/>
        <v>人民币</v>
      </c>
    </row>
    <row r="44" spans="1:20" s="3" customFormat="1" x14ac:dyDescent="0.15">
      <c r="A44" s="3" t="str">
        <f t="shared" si="1"/>
        <v>2015-02-03</v>
      </c>
      <c r="B44" s="3" t="str">
        <f>"跨行转入"</f>
        <v>跨行转入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10000</v>
      </c>
      <c r="N44" s="3">
        <v>10021.11</v>
      </c>
      <c r="P44" s="3">
        <v>0</v>
      </c>
      <c r="Q44" s="3">
        <v>0</v>
      </c>
      <c r="S44" s="3" t="str">
        <f t="shared" ref="S44:S53" si="2">"301719094322"</f>
        <v>301719094322</v>
      </c>
      <c r="T44" s="3" t="str">
        <f t="shared" si="0"/>
        <v>人民币</v>
      </c>
    </row>
    <row r="45" spans="1:20" s="3" customFormat="1" x14ac:dyDescent="0.15">
      <c r="A45" s="3" t="str">
        <f t="shared" si="1"/>
        <v>2015-02-03</v>
      </c>
      <c r="B45" s="3" t="str">
        <f>"基金申购"</f>
        <v>基金申购</v>
      </c>
      <c r="C45" s="3" t="str">
        <f>"A40006"</f>
        <v>A40006</v>
      </c>
      <c r="D45" s="3" t="str">
        <f>"现金宝"</f>
        <v>现金宝</v>
      </c>
      <c r="E45" s="3">
        <v>1</v>
      </c>
      <c r="F45" s="3">
        <v>10021.11</v>
      </c>
      <c r="G45" s="3">
        <v>10021.11</v>
      </c>
      <c r="H45" s="3">
        <v>466280</v>
      </c>
      <c r="I45" s="3">
        <v>0</v>
      </c>
      <c r="J45" s="3">
        <v>0</v>
      </c>
      <c r="K45" s="3">
        <v>0</v>
      </c>
      <c r="L45" s="3">
        <v>0</v>
      </c>
      <c r="M45" s="3">
        <v>-10021.11</v>
      </c>
      <c r="N45" s="3">
        <v>0</v>
      </c>
      <c r="P45" s="3">
        <v>0</v>
      </c>
      <c r="Q45" s="3">
        <v>0</v>
      </c>
      <c r="R45" s="3" t="str">
        <f>"99F625223328"</f>
        <v>99F625223328</v>
      </c>
      <c r="S45" s="3" t="str">
        <f t="shared" si="2"/>
        <v>301719094322</v>
      </c>
      <c r="T45" s="3" t="str">
        <f t="shared" si="0"/>
        <v>人民币</v>
      </c>
    </row>
    <row r="46" spans="1:20" s="3" customFormat="1" x14ac:dyDescent="0.15">
      <c r="A46" s="3" t="str">
        <f>"2015-02-04"</f>
        <v>2015-02-04</v>
      </c>
      <c r="B46" s="3" t="str">
        <f>"基金赎回"</f>
        <v>基金赎回</v>
      </c>
      <c r="C46" s="3" t="str">
        <f>"A40006"</f>
        <v>A40006</v>
      </c>
      <c r="D46" s="3" t="str">
        <f>"现金宝"</f>
        <v>现金宝</v>
      </c>
      <c r="E46" s="3">
        <v>1</v>
      </c>
      <c r="F46" s="3">
        <v>72032.399999999994</v>
      </c>
      <c r="G46" s="3">
        <v>72032.399999999994</v>
      </c>
      <c r="H46" s="3">
        <v>394247</v>
      </c>
      <c r="I46" s="3">
        <v>0</v>
      </c>
      <c r="J46" s="3">
        <v>0</v>
      </c>
      <c r="K46" s="3">
        <v>0</v>
      </c>
      <c r="L46" s="3">
        <v>0</v>
      </c>
      <c r="M46" s="3">
        <v>72032.399999999994</v>
      </c>
      <c r="N46" s="3">
        <v>72032.399999999994</v>
      </c>
      <c r="P46" s="3">
        <v>0</v>
      </c>
      <c r="Q46" s="3">
        <v>0</v>
      </c>
      <c r="R46" s="3" t="str">
        <f>"99F625223328"</f>
        <v>99F625223328</v>
      </c>
      <c r="S46" s="3" t="str">
        <f t="shared" si="2"/>
        <v>301719094322</v>
      </c>
      <c r="T46" s="3" t="str">
        <f t="shared" si="0"/>
        <v>人民币</v>
      </c>
    </row>
    <row r="47" spans="1:20" s="3" customFormat="1" x14ac:dyDescent="0.15">
      <c r="A47" s="3" t="str">
        <f>"2015-02-05"</f>
        <v>2015-02-05</v>
      </c>
      <c r="B47" s="3" t="str">
        <f>"证券卖出清算"</f>
        <v>证券卖出清算</v>
      </c>
      <c r="C47" s="3" t="str">
        <f>"159919"</f>
        <v>159919</v>
      </c>
      <c r="D47" s="3" t="str">
        <f>"300ETF"</f>
        <v>300ETF</v>
      </c>
      <c r="E47" s="3">
        <v>3.6259999999999999</v>
      </c>
      <c r="F47" s="3">
        <v>8000</v>
      </c>
      <c r="G47" s="3">
        <v>29008</v>
      </c>
      <c r="H47" s="3">
        <v>8000</v>
      </c>
      <c r="I47" s="3">
        <v>5.8</v>
      </c>
      <c r="J47" s="3">
        <v>0</v>
      </c>
      <c r="K47" s="3">
        <v>0</v>
      </c>
      <c r="L47" s="3">
        <v>0</v>
      </c>
      <c r="M47" s="3">
        <v>29002.2</v>
      </c>
      <c r="N47" s="3">
        <v>101034.6</v>
      </c>
      <c r="O47" s="3" t="str">
        <f>"SW336674"</f>
        <v>SW336674</v>
      </c>
      <c r="P47" s="3">
        <v>3.6150000000000002</v>
      </c>
      <c r="Q47" s="3">
        <v>8000</v>
      </c>
      <c r="R47" s="3" t="str">
        <f>"0103988319"</f>
        <v>0103988319</v>
      </c>
      <c r="S47" s="3" t="str">
        <f t="shared" si="2"/>
        <v>301719094322</v>
      </c>
      <c r="T47" s="3" t="str">
        <f t="shared" si="0"/>
        <v>人民币</v>
      </c>
    </row>
    <row r="48" spans="1:20" s="3" customFormat="1" x14ac:dyDescent="0.15">
      <c r="A48" s="3" t="str">
        <f>"2015-02-05"</f>
        <v>2015-02-05</v>
      </c>
      <c r="B48" s="3" t="str">
        <f>"基金申购"</f>
        <v>基金申购</v>
      </c>
      <c r="C48" s="3" t="str">
        <f>"A40006"</f>
        <v>A40006</v>
      </c>
      <c r="D48" s="3" t="str">
        <f>"现金宝"</f>
        <v>现金宝</v>
      </c>
      <c r="E48" s="3">
        <v>1</v>
      </c>
      <c r="F48" s="3">
        <v>101034.6</v>
      </c>
      <c r="G48" s="3">
        <v>101034.6</v>
      </c>
      <c r="H48" s="3">
        <v>495282</v>
      </c>
      <c r="I48" s="3">
        <v>0</v>
      </c>
      <c r="J48" s="3">
        <v>0</v>
      </c>
      <c r="K48" s="3">
        <v>0</v>
      </c>
      <c r="L48" s="3">
        <v>0</v>
      </c>
      <c r="M48" s="3">
        <v>-101034.6</v>
      </c>
      <c r="N48" s="3">
        <v>0</v>
      </c>
      <c r="P48" s="3">
        <v>0</v>
      </c>
      <c r="Q48" s="3">
        <v>0</v>
      </c>
      <c r="R48" s="3" t="str">
        <f>"99F625223328"</f>
        <v>99F625223328</v>
      </c>
      <c r="S48" s="3" t="str">
        <f t="shared" si="2"/>
        <v>301719094322</v>
      </c>
      <c r="T48" s="3" t="str">
        <f t="shared" si="0"/>
        <v>人民币</v>
      </c>
    </row>
    <row r="49" spans="1:20" s="3" customFormat="1" x14ac:dyDescent="0.15">
      <c r="A49" s="3" t="str">
        <f>"2015-02-06"</f>
        <v>2015-02-06</v>
      </c>
      <c r="B49" s="3" t="str">
        <f>"证券买入清算"</f>
        <v>证券买入清算</v>
      </c>
      <c r="C49" s="3" t="str">
        <f>"159919"</f>
        <v>159919</v>
      </c>
      <c r="D49" s="3" t="str">
        <f>"300ETF"</f>
        <v>300ETF</v>
      </c>
      <c r="E49" s="3">
        <v>3.456</v>
      </c>
      <c r="F49" s="3">
        <v>8000</v>
      </c>
      <c r="G49" s="3">
        <v>27648</v>
      </c>
      <c r="H49" s="3">
        <v>16000</v>
      </c>
      <c r="I49" s="3">
        <v>5.53</v>
      </c>
      <c r="J49" s="3">
        <v>0</v>
      </c>
      <c r="K49" s="3">
        <v>0</v>
      </c>
      <c r="L49" s="3">
        <v>0</v>
      </c>
      <c r="M49" s="3">
        <v>-27653.53</v>
      </c>
      <c r="N49" s="3">
        <v>-27653.53</v>
      </c>
      <c r="O49" s="3" t="str">
        <f>"SW352730"</f>
        <v>SW352730</v>
      </c>
      <c r="P49" s="3">
        <v>3.456</v>
      </c>
      <c r="Q49" s="3">
        <v>8000</v>
      </c>
      <c r="R49" s="3" t="str">
        <f>"0103988319"</f>
        <v>0103988319</v>
      </c>
      <c r="S49" s="3" t="str">
        <f t="shared" si="2"/>
        <v>301719094322</v>
      </c>
      <c r="T49" s="3" t="str">
        <f t="shared" si="0"/>
        <v>人民币</v>
      </c>
    </row>
    <row r="50" spans="1:20" s="3" customFormat="1" x14ac:dyDescent="0.15">
      <c r="A50" s="3" t="str">
        <f>"2015-02-06"</f>
        <v>2015-02-06</v>
      </c>
      <c r="B50" s="3" t="str">
        <f>"证券卖出清算"</f>
        <v>证券卖出清算</v>
      </c>
      <c r="C50" s="3" t="str">
        <f>"159919"</f>
        <v>159919</v>
      </c>
      <c r="D50" s="3" t="str">
        <f>"300ETF"</f>
        <v>300ETF</v>
      </c>
      <c r="E50" s="3">
        <v>3.4889999999999999</v>
      </c>
      <c r="F50" s="3">
        <v>8000</v>
      </c>
      <c r="G50" s="3">
        <v>27912</v>
      </c>
      <c r="H50" s="3">
        <v>8000</v>
      </c>
      <c r="I50" s="3">
        <v>5.58</v>
      </c>
      <c r="J50" s="3">
        <v>0</v>
      </c>
      <c r="K50" s="3">
        <v>0</v>
      </c>
      <c r="L50" s="3">
        <v>0</v>
      </c>
      <c r="M50" s="3">
        <v>27906.42</v>
      </c>
      <c r="N50" s="3">
        <v>252.89</v>
      </c>
      <c r="O50" s="3" t="str">
        <f>"SW361006"</f>
        <v>SW361006</v>
      </c>
      <c r="P50" s="3">
        <v>3.4889999999999999</v>
      </c>
      <c r="Q50" s="3">
        <v>8000</v>
      </c>
      <c r="R50" s="3" t="str">
        <f>"0103988319"</f>
        <v>0103988319</v>
      </c>
      <c r="S50" s="3" t="str">
        <f t="shared" si="2"/>
        <v>301719094322</v>
      </c>
      <c r="T50" s="3" t="str">
        <f t="shared" si="0"/>
        <v>人民币</v>
      </c>
    </row>
    <row r="51" spans="1:20" s="3" customFormat="1" x14ac:dyDescent="0.15">
      <c r="A51" s="3" t="str">
        <f>"2015-02-09"</f>
        <v>2015-02-09</v>
      </c>
      <c r="B51" s="3" t="str">
        <f>"证券卖出清算"</f>
        <v>证券卖出清算</v>
      </c>
      <c r="C51" s="3" t="str">
        <f>"159919"</f>
        <v>159919</v>
      </c>
      <c r="D51" s="3" t="str">
        <f>"300ETF"</f>
        <v>300ETF</v>
      </c>
      <c r="E51" s="3">
        <v>3.4990000000000001</v>
      </c>
      <c r="F51" s="3">
        <v>7900</v>
      </c>
      <c r="G51" s="3">
        <v>27642.1</v>
      </c>
      <c r="H51" s="3">
        <v>100</v>
      </c>
      <c r="I51" s="3">
        <v>5.53</v>
      </c>
      <c r="J51" s="3">
        <v>0</v>
      </c>
      <c r="K51" s="3">
        <v>0</v>
      </c>
      <c r="L51" s="3">
        <v>0</v>
      </c>
      <c r="M51" s="3">
        <v>27636.57</v>
      </c>
      <c r="N51" s="3">
        <v>27889.46</v>
      </c>
      <c r="O51" s="3" t="str">
        <f>"SW373351"</f>
        <v>SW373351</v>
      </c>
      <c r="P51" s="3">
        <v>3.4990000000000001</v>
      </c>
      <c r="Q51" s="3">
        <v>7900</v>
      </c>
      <c r="R51" s="3" t="str">
        <f>"0103988319"</f>
        <v>0103988319</v>
      </c>
      <c r="S51" s="3" t="str">
        <f t="shared" si="2"/>
        <v>301719094322</v>
      </c>
      <c r="T51" s="3" t="str">
        <f t="shared" si="0"/>
        <v>人民币</v>
      </c>
    </row>
    <row r="52" spans="1:20" s="3" customFormat="1" x14ac:dyDescent="0.15">
      <c r="A52" s="3" t="str">
        <f>"2015-02-09"</f>
        <v>2015-02-09</v>
      </c>
      <c r="B52" s="3" t="str">
        <f>"基金申购"</f>
        <v>基金申购</v>
      </c>
      <c r="C52" s="3" t="str">
        <f>"A40006"</f>
        <v>A40006</v>
      </c>
      <c r="D52" s="3" t="str">
        <f>"现金宝"</f>
        <v>现金宝</v>
      </c>
      <c r="E52" s="3">
        <v>1</v>
      </c>
      <c r="F52" s="3">
        <v>27889.46</v>
      </c>
      <c r="G52" s="3">
        <v>27889.46</v>
      </c>
      <c r="H52" s="3">
        <v>523171</v>
      </c>
      <c r="I52" s="3">
        <v>0</v>
      </c>
      <c r="J52" s="3">
        <v>0</v>
      </c>
      <c r="K52" s="3">
        <v>0</v>
      </c>
      <c r="L52" s="3">
        <v>0</v>
      </c>
      <c r="M52" s="3">
        <v>-27889.46</v>
      </c>
      <c r="N52" s="3">
        <v>0</v>
      </c>
      <c r="P52" s="3">
        <v>0</v>
      </c>
      <c r="Q52" s="3">
        <v>0</v>
      </c>
      <c r="R52" s="3" t="str">
        <f>"99F625223328"</f>
        <v>99F625223328</v>
      </c>
      <c r="S52" s="3" t="str">
        <f t="shared" si="2"/>
        <v>301719094322</v>
      </c>
      <c r="T52" s="3" t="str">
        <f t="shared" si="0"/>
        <v>人民币</v>
      </c>
    </row>
    <row r="53" spans="1:20" s="3" customFormat="1" x14ac:dyDescent="0.15">
      <c r="A53" s="3" t="str">
        <f>"2015-02-10"</f>
        <v>2015-02-10</v>
      </c>
      <c r="B53" s="3" t="str">
        <f>"基金赎回"</f>
        <v>基金赎回</v>
      </c>
      <c r="C53" s="3" t="str">
        <f>"A40006"</f>
        <v>A40006</v>
      </c>
      <c r="D53" s="3" t="str">
        <f>"现金宝"</f>
        <v>现金宝</v>
      </c>
      <c r="E53" s="3">
        <v>1</v>
      </c>
      <c r="F53" s="3">
        <v>27932.09</v>
      </c>
      <c r="G53" s="3">
        <v>27932.09</v>
      </c>
      <c r="H53" s="3">
        <v>495239</v>
      </c>
      <c r="I53" s="3">
        <v>0</v>
      </c>
      <c r="J53" s="3">
        <v>0</v>
      </c>
      <c r="K53" s="3">
        <v>0</v>
      </c>
      <c r="L53" s="3">
        <v>0</v>
      </c>
      <c r="M53" s="3">
        <v>27932.09</v>
      </c>
      <c r="N53" s="3">
        <v>27932.09</v>
      </c>
      <c r="P53" s="3">
        <v>0</v>
      </c>
      <c r="Q53" s="3">
        <v>0</v>
      </c>
      <c r="R53" s="3" t="str">
        <f>"99F625223328"</f>
        <v>99F625223328</v>
      </c>
      <c r="S53" s="3" t="str">
        <f t="shared" si="2"/>
        <v>301719094322</v>
      </c>
      <c r="T53" s="3" t="str">
        <f t="shared" si="0"/>
        <v>人民币</v>
      </c>
    </row>
    <row r="54" spans="1:20" s="3" customFormat="1" x14ac:dyDescent="0.15">
      <c r="A54" s="3" t="str">
        <f t="shared" ref="A54:A59" si="3">"2015-02-11"</f>
        <v>2015-02-11</v>
      </c>
      <c r="B54" s="3" t="str">
        <f>"银证转入"</f>
        <v>银证转入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5116</v>
      </c>
      <c r="N54" s="3">
        <v>5116</v>
      </c>
      <c r="P54" s="3">
        <v>0</v>
      </c>
      <c r="Q54" s="3">
        <v>0</v>
      </c>
      <c r="S54" s="3" t="str">
        <f>"301719093190"</f>
        <v>301719093190</v>
      </c>
      <c r="T54" s="3" t="str">
        <f t="shared" si="0"/>
        <v>人民币</v>
      </c>
    </row>
    <row r="55" spans="1:20" s="3" customFormat="1" x14ac:dyDescent="0.15">
      <c r="A55" s="3" t="str">
        <f t="shared" si="3"/>
        <v>2015-02-11</v>
      </c>
      <c r="B55" s="3" t="str">
        <f>"跨行转出"</f>
        <v>跨行转出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-5116</v>
      </c>
      <c r="N55" s="3">
        <v>0</v>
      </c>
      <c r="P55" s="3">
        <v>0</v>
      </c>
      <c r="Q55" s="3">
        <v>0</v>
      </c>
      <c r="S55" s="3" t="str">
        <f>"301719093190"</f>
        <v>301719093190</v>
      </c>
      <c r="T55" s="3" t="str">
        <f t="shared" si="0"/>
        <v>人民币</v>
      </c>
    </row>
    <row r="56" spans="1:20" s="3" customFormat="1" x14ac:dyDescent="0.15">
      <c r="A56" s="3" t="str">
        <f t="shared" si="3"/>
        <v>2015-02-11</v>
      </c>
      <c r="B56" s="3" t="str">
        <f>"跨行转入"</f>
        <v>跨行转入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5116</v>
      </c>
      <c r="N56" s="3">
        <v>33048.089999999997</v>
      </c>
      <c r="P56" s="3">
        <v>0</v>
      </c>
      <c r="Q56" s="3">
        <v>0</v>
      </c>
      <c r="S56" s="3" t="str">
        <f t="shared" ref="S56:S64" si="4">"301719094322"</f>
        <v>301719094322</v>
      </c>
      <c r="T56" s="3" t="str">
        <f t="shared" si="0"/>
        <v>人民币</v>
      </c>
    </row>
    <row r="57" spans="1:20" s="3" customFormat="1" x14ac:dyDescent="0.15">
      <c r="A57" s="3" t="str">
        <f t="shared" si="3"/>
        <v>2015-02-11</v>
      </c>
      <c r="B57" s="3" t="str">
        <f>"基金赎回"</f>
        <v>基金赎回</v>
      </c>
      <c r="C57" s="3" t="str">
        <f>"A40006"</f>
        <v>A40006</v>
      </c>
      <c r="D57" s="3" t="str">
        <f>"现金宝"</f>
        <v>现金宝</v>
      </c>
      <c r="E57" s="3">
        <v>1</v>
      </c>
      <c r="F57" s="3">
        <v>13482.61</v>
      </c>
      <c r="G57" s="3">
        <v>13482.61</v>
      </c>
      <c r="H57" s="3">
        <v>481757</v>
      </c>
      <c r="I57" s="3">
        <v>0</v>
      </c>
      <c r="J57" s="3">
        <v>0</v>
      </c>
      <c r="K57" s="3">
        <v>0</v>
      </c>
      <c r="L57" s="3">
        <v>0</v>
      </c>
      <c r="M57" s="3">
        <v>13482.61</v>
      </c>
      <c r="N57" s="3">
        <v>46530.7</v>
      </c>
      <c r="P57" s="3">
        <v>0</v>
      </c>
      <c r="Q57" s="3">
        <v>0</v>
      </c>
      <c r="R57" s="3" t="str">
        <f>"99F625223328"</f>
        <v>99F625223328</v>
      </c>
      <c r="S57" s="3" t="str">
        <f t="shared" si="4"/>
        <v>301719094322</v>
      </c>
      <c r="T57" s="3" t="str">
        <f t="shared" si="0"/>
        <v>人民币</v>
      </c>
    </row>
    <row r="58" spans="1:20" s="3" customFormat="1" x14ac:dyDescent="0.15">
      <c r="A58" s="3" t="str">
        <f t="shared" si="3"/>
        <v>2015-02-11</v>
      </c>
      <c r="B58" s="3" t="str">
        <f>"证券买入清算"</f>
        <v>证券买入清算</v>
      </c>
      <c r="C58" s="3" t="str">
        <f>"002697"</f>
        <v>002697</v>
      </c>
      <c r="D58" s="3" t="str">
        <f>"红旗连锁"</f>
        <v>红旗连锁</v>
      </c>
      <c r="E58" s="3">
        <v>9</v>
      </c>
      <c r="F58" s="3">
        <v>2000</v>
      </c>
      <c r="G58" s="3">
        <v>18000</v>
      </c>
      <c r="H58" s="3">
        <v>2000</v>
      </c>
      <c r="I58" s="3">
        <v>5</v>
      </c>
      <c r="J58" s="3">
        <v>0</v>
      </c>
      <c r="K58" s="3">
        <v>0</v>
      </c>
      <c r="L58" s="3">
        <v>0</v>
      </c>
      <c r="M58" s="3">
        <v>-18005</v>
      </c>
      <c r="N58" s="3">
        <v>28525.7</v>
      </c>
      <c r="O58" s="3" t="str">
        <f>"SW408411"</f>
        <v>SW408411</v>
      </c>
      <c r="P58" s="3">
        <v>9</v>
      </c>
      <c r="Q58" s="3">
        <v>2000</v>
      </c>
      <c r="R58" s="3" t="str">
        <f>"0103988319"</f>
        <v>0103988319</v>
      </c>
      <c r="S58" s="3" t="str">
        <f t="shared" si="4"/>
        <v>301719094322</v>
      </c>
      <c r="T58" s="3" t="str">
        <f t="shared" si="0"/>
        <v>人民币</v>
      </c>
    </row>
    <row r="59" spans="1:20" s="3" customFormat="1" x14ac:dyDescent="0.15">
      <c r="A59" s="3" t="str">
        <f t="shared" si="3"/>
        <v>2015-02-11</v>
      </c>
      <c r="B59" s="3" t="str">
        <f>"证券买入清算"</f>
        <v>证券买入清算</v>
      </c>
      <c r="C59" s="3" t="str">
        <f>"159919"</f>
        <v>159919</v>
      </c>
      <c r="D59" s="3" t="str">
        <f>"300ETF"</f>
        <v>300ETF</v>
      </c>
      <c r="E59" s="3">
        <v>3.5649999999999999</v>
      </c>
      <c r="F59" s="3">
        <v>8000</v>
      </c>
      <c r="G59" s="3">
        <v>28520</v>
      </c>
      <c r="H59" s="3">
        <v>8100</v>
      </c>
      <c r="I59" s="3">
        <v>5.7</v>
      </c>
      <c r="J59" s="3">
        <v>0</v>
      </c>
      <c r="K59" s="3">
        <v>0</v>
      </c>
      <c r="L59" s="3">
        <v>0</v>
      </c>
      <c r="M59" s="3">
        <v>-28525.7</v>
      </c>
      <c r="N59" s="3">
        <v>0</v>
      </c>
      <c r="O59" s="3" t="str">
        <f>"SW409105"</f>
        <v>SW409105</v>
      </c>
      <c r="P59" s="3">
        <v>3.5649999999999999</v>
      </c>
      <c r="Q59" s="3">
        <v>8000</v>
      </c>
      <c r="R59" s="3" t="str">
        <f>"0103988319"</f>
        <v>0103988319</v>
      </c>
      <c r="S59" s="3" t="str">
        <f t="shared" si="4"/>
        <v>301719094322</v>
      </c>
      <c r="T59" s="3" t="str">
        <f t="shared" si="0"/>
        <v>人民币</v>
      </c>
    </row>
    <row r="60" spans="1:20" s="3" customFormat="1" x14ac:dyDescent="0.15">
      <c r="A60" s="3" t="str">
        <f>"2015-02-12"</f>
        <v>2015-02-12</v>
      </c>
      <c r="B60" s="3" t="str">
        <f>"证券卖出清算"</f>
        <v>证券卖出清算</v>
      </c>
      <c r="C60" s="3" t="str">
        <f>"159919"</f>
        <v>159919</v>
      </c>
      <c r="D60" s="3" t="str">
        <f>"300ETF"</f>
        <v>300ETF</v>
      </c>
      <c r="E60" s="3">
        <v>3.5790000000000002</v>
      </c>
      <c r="F60" s="3">
        <v>8000</v>
      </c>
      <c r="G60" s="3">
        <v>28632</v>
      </c>
      <c r="H60" s="3">
        <v>100</v>
      </c>
      <c r="I60" s="3">
        <v>5.73</v>
      </c>
      <c r="J60" s="3">
        <v>0</v>
      </c>
      <c r="K60" s="3">
        <v>0</v>
      </c>
      <c r="L60" s="3">
        <v>0</v>
      </c>
      <c r="M60" s="3">
        <v>28626.27</v>
      </c>
      <c r="N60" s="3">
        <v>28626.27</v>
      </c>
      <c r="O60" s="3" t="str">
        <f>"SW411257"</f>
        <v>SW411257</v>
      </c>
      <c r="P60" s="3">
        <v>3.5790000000000002</v>
      </c>
      <c r="Q60" s="3">
        <v>8000</v>
      </c>
      <c r="R60" s="3" t="str">
        <f>"0103988319"</f>
        <v>0103988319</v>
      </c>
      <c r="S60" s="3" t="str">
        <f t="shared" si="4"/>
        <v>301719094322</v>
      </c>
      <c r="T60" s="3" t="str">
        <f t="shared" si="0"/>
        <v>人民币</v>
      </c>
    </row>
    <row r="61" spans="1:20" s="3" customFormat="1" x14ac:dyDescent="0.15">
      <c r="A61" s="3" t="str">
        <f>"2015-02-12"</f>
        <v>2015-02-12</v>
      </c>
      <c r="B61" s="3" t="str">
        <f>"基金申购"</f>
        <v>基金申购</v>
      </c>
      <c r="C61" s="3" t="str">
        <f>"A40006"</f>
        <v>A40006</v>
      </c>
      <c r="D61" s="3" t="str">
        <f>"现金宝"</f>
        <v>现金宝</v>
      </c>
      <c r="E61" s="3">
        <v>1</v>
      </c>
      <c r="F61" s="3">
        <v>28626.27</v>
      </c>
      <c r="G61" s="3">
        <v>28626.27</v>
      </c>
      <c r="H61" s="3">
        <v>510383</v>
      </c>
      <c r="I61" s="3">
        <v>0</v>
      </c>
      <c r="J61" s="3">
        <v>0</v>
      </c>
      <c r="K61" s="3">
        <v>0</v>
      </c>
      <c r="L61" s="3">
        <v>0</v>
      </c>
      <c r="M61" s="3">
        <v>-28626.27</v>
      </c>
      <c r="N61" s="3">
        <v>0</v>
      </c>
      <c r="P61" s="3">
        <v>0</v>
      </c>
      <c r="Q61" s="3">
        <v>0</v>
      </c>
      <c r="R61" s="3" t="str">
        <f>"99F625223328"</f>
        <v>99F625223328</v>
      </c>
      <c r="S61" s="3" t="str">
        <f t="shared" si="4"/>
        <v>301719094322</v>
      </c>
      <c r="T61" s="3" t="str">
        <f t="shared" si="0"/>
        <v>人民币</v>
      </c>
    </row>
    <row r="62" spans="1:20" s="3" customFormat="1" x14ac:dyDescent="0.15">
      <c r="A62" s="3" t="str">
        <f>"2015-02-13"</f>
        <v>2015-02-13</v>
      </c>
      <c r="B62" s="3" t="str">
        <f>"基金赎回"</f>
        <v>基金赎回</v>
      </c>
      <c r="C62" s="3" t="str">
        <f>"A40006"</f>
        <v>A40006</v>
      </c>
      <c r="D62" s="3" t="str">
        <f>"现金宝"</f>
        <v>现金宝</v>
      </c>
      <c r="E62" s="3">
        <v>1</v>
      </c>
      <c r="F62" s="3">
        <v>57545.71</v>
      </c>
      <c r="G62" s="3">
        <v>57545.71</v>
      </c>
      <c r="H62" s="3">
        <v>452837</v>
      </c>
      <c r="I62" s="3">
        <v>0</v>
      </c>
      <c r="J62" s="3">
        <v>0</v>
      </c>
      <c r="K62" s="3">
        <v>0</v>
      </c>
      <c r="L62" s="3">
        <v>0</v>
      </c>
      <c r="M62" s="3">
        <v>57545.71</v>
      </c>
      <c r="N62" s="3">
        <v>57545.71</v>
      </c>
      <c r="P62" s="3">
        <v>0</v>
      </c>
      <c r="Q62" s="3">
        <v>0</v>
      </c>
      <c r="R62" s="3" t="str">
        <f>"99F625223328"</f>
        <v>99F625223328</v>
      </c>
      <c r="S62" s="3" t="str">
        <f t="shared" si="4"/>
        <v>301719094322</v>
      </c>
      <c r="T62" s="3" t="str">
        <f t="shared" si="0"/>
        <v>人民币</v>
      </c>
    </row>
    <row r="63" spans="1:20" s="3" customFormat="1" x14ac:dyDescent="0.15">
      <c r="A63" s="3" t="str">
        <f>"2015-02-13"</f>
        <v>2015-02-13</v>
      </c>
      <c r="B63" s="3" t="str">
        <f>"证券买入清算"</f>
        <v>证券买入清算</v>
      </c>
      <c r="C63" s="3" t="str">
        <f>"159919"</f>
        <v>159919</v>
      </c>
      <c r="D63" s="3" t="str">
        <f>"300ETF"</f>
        <v>300ETF</v>
      </c>
      <c r="E63" s="3">
        <v>3.6179999999999999</v>
      </c>
      <c r="F63" s="3">
        <v>7900</v>
      </c>
      <c r="G63" s="3">
        <v>28582.2</v>
      </c>
      <c r="H63" s="3">
        <v>8000</v>
      </c>
      <c r="I63" s="3">
        <v>5.72</v>
      </c>
      <c r="J63" s="3">
        <v>0</v>
      </c>
      <c r="K63" s="3">
        <v>0</v>
      </c>
      <c r="L63" s="3">
        <v>0</v>
      </c>
      <c r="M63" s="3">
        <v>-28587.919999999998</v>
      </c>
      <c r="N63" s="3">
        <v>28957.79</v>
      </c>
      <c r="O63" s="3" t="str">
        <f>"SW431139"</f>
        <v>SW431139</v>
      </c>
      <c r="P63" s="3">
        <v>3.6179999999999999</v>
      </c>
      <c r="Q63" s="3">
        <v>7900</v>
      </c>
      <c r="R63" s="3" t="str">
        <f>"0103988319"</f>
        <v>0103988319</v>
      </c>
      <c r="S63" s="3" t="str">
        <f t="shared" si="4"/>
        <v>301719094322</v>
      </c>
      <c r="T63" s="3" t="str">
        <f t="shared" si="0"/>
        <v>人民币</v>
      </c>
    </row>
    <row r="64" spans="1:20" s="3" customFormat="1" x14ac:dyDescent="0.15">
      <c r="A64" s="3" t="str">
        <f>"2015-02-13"</f>
        <v>2015-02-13</v>
      </c>
      <c r="B64" s="3" t="str">
        <f>"证券买入清算"</f>
        <v>证券买入清算</v>
      </c>
      <c r="C64" s="3" t="str">
        <f>"159919"</f>
        <v>159919</v>
      </c>
      <c r="D64" s="3" t="str">
        <f>"300ETF"</f>
        <v>300ETF</v>
      </c>
      <c r="E64" s="3">
        <v>3.6190000000000002</v>
      </c>
      <c r="F64" s="3">
        <v>8000</v>
      </c>
      <c r="G64" s="3">
        <v>28952</v>
      </c>
      <c r="H64" s="3">
        <v>16000</v>
      </c>
      <c r="I64" s="3">
        <v>5.79</v>
      </c>
      <c r="J64" s="3">
        <v>0</v>
      </c>
      <c r="K64" s="3">
        <v>0</v>
      </c>
      <c r="L64" s="3">
        <v>0</v>
      </c>
      <c r="M64" s="3">
        <v>-28957.79</v>
      </c>
      <c r="N64" s="3">
        <v>0</v>
      </c>
      <c r="O64" s="3" t="str">
        <f>"SW431450"</f>
        <v>SW431450</v>
      </c>
      <c r="P64" s="3">
        <v>3.6190000000000002</v>
      </c>
      <c r="Q64" s="3">
        <v>8000</v>
      </c>
      <c r="R64" s="3" t="str">
        <f>"0103988319"</f>
        <v>0103988319</v>
      </c>
      <c r="S64" s="3" t="str">
        <f t="shared" si="4"/>
        <v>301719094322</v>
      </c>
      <c r="T64" s="3" t="str">
        <f t="shared" si="0"/>
        <v>人民币</v>
      </c>
    </row>
    <row r="65" spans="1:20" s="3" customFormat="1" x14ac:dyDescent="0.15">
      <c r="A65" s="3" t="str">
        <f>"2015-02-16"</f>
        <v>2015-02-16</v>
      </c>
      <c r="B65" s="3" t="str">
        <f>"银证转入"</f>
        <v>银证转入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3752</v>
      </c>
      <c r="N65" s="3">
        <v>3752</v>
      </c>
      <c r="P65" s="3">
        <v>0</v>
      </c>
      <c r="Q65" s="3">
        <v>0</v>
      </c>
      <c r="S65" s="3" t="str">
        <f>"301719094323"</f>
        <v>301719094323</v>
      </c>
      <c r="T65" s="3" t="str">
        <f t="shared" si="0"/>
        <v>人民币</v>
      </c>
    </row>
    <row r="66" spans="1:20" s="3" customFormat="1" x14ac:dyDescent="0.15">
      <c r="A66" s="3" t="str">
        <f>"2015-02-16"</f>
        <v>2015-02-16</v>
      </c>
      <c r="B66" s="3" t="str">
        <f>"跨行转出"</f>
        <v>跨行转出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-3752</v>
      </c>
      <c r="N66" s="3">
        <v>0</v>
      </c>
      <c r="P66" s="3">
        <v>0</v>
      </c>
      <c r="Q66" s="3">
        <v>0</v>
      </c>
      <c r="S66" s="3" t="str">
        <f>"301719094323"</f>
        <v>301719094323</v>
      </c>
      <c r="T66" s="3" t="str">
        <f t="shared" si="0"/>
        <v>人民币</v>
      </c>
    </row>
    <row r="67" spans="1:20" s="3" customFormat="1" x14ac:dyDescent="0.15">
      <c r="A67" s="3" t="str">
        <f>"2015-02-16"</f>
        <v>2015-02-16</v>
      </c>
      <c r="B67" s="3" t="str">
        <f>"跨行转入"</f>
        <v>跨行转入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3752</v>
      </c>
      <c r="N67" s="3">
        <v>3752</v>
      </c>
      <c r="P67" s="3">
        <v>0</v>
      </c>
      <c r="Q67" s="3">
        <v>0</v>
      </c>
      <c r="S67" s="3" t="str">
        <f t="shared" ref="S67:S80" si="5">"301719094322"</f>
        <v>301719094322</v>
      </c>
      <c r="T67" s="3" t="str">
        <f t="shared" si="0"/>
        <v>人民币</v>
      </c>
    </row>
    <row r="68" spans="1:20" s="3" customFormat="1" x14ac:dyDescent="0.15">
      <c r="A68" s="3" t="str">
        <f>"2015-02-16"</f>
        <v>2015-02-16</v>
      </c>
      <c r="B68" s="3" t="str">
        <f>"基金申购"</f>
        <v>基金申购</v>
      </c>
      <c r="C68" s="3" t="str">
        <f>"A40006"</f>
        <v>A40006</v>
      </c>
      <c r="D68" s="3" t="str">
        <f>"现金宝"</f>
        <v>现金宝</v>
      </c>
      <c r="E68" s="3">
        <v>1</v>
      </c>
      <c r="F68" s="3">
        <v>3752</v>
      </c>
      <c r="G68" s="3">
        <v>3752</v>
      </c>
      <c r="H68" s="3">
        <v>456589</v>
      </c>
      <c r="I68" s="3">
        <v>0</v>
      </c>
      <c r="J68" s="3">
        <v>0</v>
      </c>
      <c r="K68" s="3">
        <v>0</v>
      </c>
      <c r="L68" s="3">
        <v>0</v>
      </c>
      <c r="M68" s="3">
        <v>-3752</v>
      </c>
      <c r="N68" s="3">
        <v>0</v>
      </c>
      <c r="P68" s="3">
        <v>0</v>
      </c>
      <c r="Q68" s="3">
        <v>0</v>
      </c>
      <c r="R68" s="3" t="str">
        <f>"99F625223328"</f>
        <v>99F625223328</v>
      </c>
      <c r="S68" s="3" t="str">
        <f t="shared" si="5"/>
        <v>301719094322</v>
      </c>
      <c r="T68" s="3" t="str">
        <f t="shared" si="0"/>
        <v>人民币</v>
      </c>
    </row>
    <row r="69" spans="1:20" s="3" customFormat="1" x14ac:dyDescent="0.15">
      <c r="A69" s="3" t="str">
        <f>"2015-02-17"</f>
        <v>2015-02-17</v>
      </c>
      <c r="B69" s="3" t="str">
        <f>"基金赎回"</f>
        <v>基金赎回</v>
      </c>
      <c r="C69" s="3" t="str">
        <f>"A40006"</f>
        <v>A40006</v>
      </c>
      <c r="D69" s="3" t="str">
        <f>"现金宝"</f>
        <v>现金宝</v>
      </c>
      <c r="E69" s="3">
        <v>1</v>
      </c>
      <c r="F69" s="3">
        <v>23285</v>
      </c>
      <c r="G69" s="3">
        <v>23285</v>
      </c>
      <c r="H69" s="3">
        <v>433304</v>
      </c>
      <c r="I69" s="3">
        <v>0</v>
      </c>
      <c r="J69" s="3">
        <v>0</v>
      </c>
      <c r="K69" s="3">
        <v>0</v>
      </c>
      <c r="L69" s="3">
        <v>0</v>
      </c>
      <c r="M69" s="3">
        <v>23285</v>
      </c>
      <c r="N69" s="3">
        <v>23285</v>
      </c>
      <c r="P69" s="3">
        <v>0</v>
      </c>
      <c r="Q69" s="3">
        <v>0</v>
      </c>
      <c r="R69" s="3" t="str">
        <f>"99F625223328"</f>
        <v>99F625223328</v>
      </c>
      <c r="S69" s="3" t="str">
        <f t="shared" si="5"/>
        <v>301719094322</v>
      </c>
      <c r="T69" s="3" t="str">
        <f t="shared" si="0"/>
        <v>人民币</v>
      </c>
    </row>
    <row r="70" spans="1:20" s="3" customFormat="1" x14ac:dyDescent="0.15">
      <c r="A70" s="3" t="str">
        <f>"2015-02-17"</f>
        <v>2015-02-17</v>
      </c>
      <c r="B70" s="3" t="str">
        <f>"证券买入清算"</f>
        <v>证券买入清算</v>
      </c>
      <c r="C70" s="3" t="str">
        <f>"002125"</f>
        <v>002125</v>
      </c>
      <c r="D70" s="3" t="str">
        <f>"湘潭电化"</f>
        <v>湘潭电化</v>
      </c>
      <c r="E70" s="3">
        <v>11.64</v>
      </c>
      <c r="F70" s="3">
        <v>2000</v>
      </c>
      <c r="G70" s="3">
        <v>23280</v>
      </c>
      <c r="H70" s="3">
        <v>2000</v>
      </c>
      <c r="I70" s="3">
        <v>5</v>
      </c>
      <c r="J70" s="3">
        <v>0</v>
      </c>
      <c r="K70" s="3">
        <v>0</v>
      </c>
      <c r="L70" s="3">
        <v>0</v>
      </c>
      <c r="M70" s="3">
        <v>-23285</v>
      </c>
      <c r="N70" s="3">
        <v>0</v>
      </c>
      <c r="O70" s="3" t="str">
        <f>"SW467904"</f>
        <v>SW467904</v>
      </c>
      <c r="P70" s="3">
        <v>11.64</v>
      </c>
      <c r="Q70" s="3">
        <v>2000</v>
      </c>
      <c r="R70" s="3" t="str">
        <f>"0103988319"</f>
        <v>0103988319</v>
      </c>
      <c r="S70" s="3" t="str">
        <f t="shared" si="5"/>
        <v>301719094322</v>
      </c>
      <c r="T70" s="3" t="str">
        <f t="shared" si="0"/>
        <v>人民币</v>
      </c>
    </row>
    <row r="71" spans="1:20" s="3" customFormat="1" x14ac:dyDescent="0.15">
      <c r="A71" s="3" t="str">
        <f>"2015-02-25"</f>
        <v>2015-02-25</v>
      </c>
      <c r="B71" s="3" t="str">
        <f>"基金赎回"</f>
        <v>基金赎回</v>
      </c>
      <c r="C71" s="3" t="str">
        <f>"A40006"</f>
        <v>A40006</v>
      </c>
      <c r="D71" s="3" t="str">
        <f>"现金宝"</f>
        <v>现金宝</v>
      </c>
      <c r="E71" s="3">
        <v>1</v>
      </c>
      <c r="F71" s="3">
        <v>217223.48</v>
      </c>
      <c r="G71" s="3">
        <v>217223.48</v>
      </c>
      <c r="H71" s="3">
        <v>216081</v>
      </c>
      <c r="I71" s="3">
        <v>0</v>
      </c>
      <c r="J71" s="3">
        <v>0</v>
      </c>
      <c r="K71" s="3">
        <v>0</v>
      </c>
      <c r="L71" s="3">
        <v>0</v>
      </c>
      <c r="M71" s="3">
        <v>217223.48</v>
      </c>
      <c r="N71" s="3">
        <v>217223.48</v>
      </c>
      <c r="P71" s="3">
        <v>0</v>
      </c>
      <c r="Q71" s="3">
        <v>0</v>
      </c>
      <c r="R71" s="3" t="str">
        <f>"99F625223328"</f>
        <v>99F625223328</v>
      </c>
      <c r="S71" s="3" t="str">
        <f t="shared" si="5"/>
        <v>301719094322</v>
      </c>
      <c r="T71" s="3" t="str">
        <f t="shared" si="0"/>
        <v>人民币</v>
      </c>
    </row>
    <row r="72" spans="1:20" s="3" customFormat="1" x14ac:dyDescent="0.15">
      <c r="A72" s="3" t="str">
        <f>"2015-02-25"</f>
        <v>2015-02-25</v>
      </c>
      <c r="B72" s="3" t="str">
        <f>"证券买入清算"</f>
        <v>证券买入清算</v>
      </c>
      <c r="C72" s="3" t="str">
        <f>"510300"</f>
        <v>510300</v>
      </c>
      <c r="D72" s="3" t="str">
        <f>"300ETF"</f>
        <v>300ETF</v>
      </c>
      <c r="E72" s="3">
        <v>3.484</v>
      </c>
      <c r="F72" s="3">
        <v>5000</v>
      </c>
      <c r="G72" s="3">
        <v>17420</v>
      </c>
      <c r="H72" s="3">
        <v>5000</v>
      </c>
      <c r="I72" s="3">
        <v>3.48</v>
      </c>
      <c r="J72" s="3">
        <v>0</v>
      </c>
      <c r="K72" s="3">
        <v>0</v>
      </c>
      <c r="L72" s="3">
        <v>0</v>
      </c>
      <c r="M72" s="3">
        <v>-17423.48</v>
      </c>
      <c r="N72" s="3">
        <v>199800</v>
      </c>
      <c r="O72" s="3" t="str">
        <f>"17358770"</f>
        <v>17358770</v>
      </c>
      <c r="P72" s="3">
        <v>3.484</v>
      </c>
      <c r="Q72" s="3">
        <v>5000</v>
      </c>
      <c r="R72" s="3" t="str">
        <f>"A761486897"</f>
        <v>A761486897</v>
      </c>
      <c r="S72" s="3" t="str">
        <f t="shared" si="5"/>
        <v>301719094322</v>
      </c>
      <c r="T72" s="3" t="str">
        <f t="shared" si="0"/>
        <v>人民币</v>
      </c>
    </row>
    <row r="73" spans="1:20" s="3" customFormat="1" x14ac:dyDescent="0.15">
      <c r="A73" s="3" t="str">
        <f t="shared" ref="A73:A80" si="6">"2015-02-26"</f>
        <v>2015-02-26</v>
      </c>
      <c r="B73" s="3" t="str">
        <f>"银证转出"</f>
        <v>银证转出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-199800</v>
      </c>
      <c r="N73" s="3">
        <v>0</v>
      </c>
      <c r="P73" s="3">
        <v>0</v>
      </c>
      <c r="Q73" s="3">
        <v>0</v>
      </c>
      <c r="S73" s="3" t="str">
        <f t="shared" si="5"/>
        <v>301719094322</v>
      </c>
      <c r="T73" s="3" t="str">
        <f t="shared" si="0"/>
        <v>人民币</v>
      </c>
    </row>
    <row r="74" spans="1:20" s="3" customFormat="1" x14ac:dyDescent="0.15">
      <c r="A74" s="3" t="str">
        <f t="shared" si="6"/>
        <v>2015-02-26</v>
      </c>
      <c r="B74" s="3" t="str">
        <f>"基金赎回"</f>
        <v>基金赎回</v>
      </c>
      <c r="C74" s="3" t="str">
        <f>"A40006"</f>
        <v>A40006</v>
      </c>
      <c r="D74" s="3" t="str">
        <f>"现金宝"</f>
        <v>现金宝</v>
      </c>
      <c r="E74" s="3">
        <v>1</v>
      </c>
      <c r="F74" s="3">
        <v>15069.53</v>
      </c>
      <c r="G74" s="3">
        <v>15069.53</v>
      </c>
      <c r="H74" s="3">
        <v>201011</v>
      </c>
      <c r="I74" s="3">
        <v>0</v>
      </c>
      <c r="J74" s="3">
        <v>0</v>
      </c>
      <c r="K74" s="3">
        <v>0</v>
      </c>
      <c r="L74" s="3">
        <v>0</v>
      </c>
      <c r="M74" s="3">
        <v>15069.53</v>
      </c>
      <c r="N74" s="3">
        <v>15069.53</v>
      </c>
      <c r="P74" s="3">
        <v>0</v>
      </c>
      <c r="Q74" s="3">
        <v>0</v>
      </c>
      <c r="R74" s="3" t="str">
        <f>"99F625223328"</f>
        <v>99F625223328</v>
      </c>
      <c r="S74" s="3" t="str">
        <f t="shared" si="5"/>
        <v>301719094322</v>
      </c>
      <c r="T74" s="3" t="str">
        <f t="shared" si="0"/>
        <v>人民币</v>
      </c>
    </row>
    <row r="75" spans="1:20" s="3" customFormat="1" x14ac:dyDescent="0.15">
      <c r="A75" s="3" t="str">
        <f t="shared" si="6"/>
        <v>2015-02-26</v>
      </c>
      <c r="B75" s="3" t="str">
        <f>"证券卖出清算"</f>
        <v>证券卖出清算</v>
      </c>
      <c r="C75" s="3" t="str">
        <f>"159919"</f>
        <v>159919</v>
      </c>
      <c r="D75" s="3" t="str">
        <f t="shared" ref="D75:D80" si="7">"300ETF"</f>
        <v>300ETF</v>
      </c>
      <c r="E75" s="3">
        <v>3.6659999999999999</v>
      </c>
      <c r="F75" s="3">
        <v>8000</v>
      </c>
      <c r="G75" s="3">
        <v>29328</v>
      </c>
      <c r="H75" s="3">
        <v>8000</v>
      </c>
      <c r="I75" s="3">
        <v>5.87</v>
      </c>
      <c r="J75" s="3">
        <v>0</v>
      </c>
      <c r="K75" s="3">
        <v>0</v>
      </c>
      <c r="L75" s="3">
        <v>0</v>
      </c>
      <c r="M75" s="3">
        <v>29322.13</v>
      </c>
      <c r="N75" s="3">
        <v>44391.66</v>
      </c>
      <c r="O75" s="3" t="str">
        <f>"SW487069"</f>
        <v>SW487069</v>
      </c>
      <c r="P75" s="3">
        <v>3.6659999999999999</v>
      </c>
      <c r="Q75" s="3">
        <v>8000</v>
      </c>
      <c r="R75" s="3" t="str">
        <f>"0103988319"</f>
        <v>0103988319</v>
      </c>
      <c r="S75" s="3" t="str">
        <f t="shared" si="5"/>
        <v>301719094322</v>
      </c>
      <c r="T75" s="3" t="str">
        <f t="shared" si="0"/>
        <v>人民币</v>
      </c>
    </row>
    <row r="76" spans="1:20" s="3" customFormat="1" x14ac:dyDescent="0.15">
      <c r="A76" s="3" t="str">
        <f t="shared" si="6"/>
        <v>2015-02-26</v>
      </c>
      <c r="B76" s="3" t="str">
        <f>"证券卖出清算"</f>
        <v>证券卖出清算</v>
      </c>
      <c r="C76" s="3" t="str">
        <f>"159919"</f>
        <v>159919</v>
      </c>
      <c r="D76" s="3" t="str">
        <f t="shared" si="7"/>
        <v>300ETF</v>
      </c>
      <c r="E76" s="3">
        <v>3.6520000000000001</v>
      </c>
      <c r="F76" s="3">
        <v>8000</v>
      </c>
      <c r="G76" s="3">
        <v>29216</v>
      </c>
      <c r="H76" s="3">
        <v>0</v>
      </c>
      <c r="I76" s="3">
        <v>5.84</v>
      </c>
      <c r="J76" s="3">
        <v>0</v>
      </c>
      <c r="K76" s="3">
        <v>0</v>
      </c>
      <c r="L76" s="3">
        <v>0</v>
      </c>
      <c r="M76" s="3">
        <v>29210.16</v>
      </c>
      <c r="N76" s="3">
        <v>73601.820000000007</v>
      </c>
      <c r="O76" s="3" t="str">
        <f>"SW487070"</f>
        <v>SW487070</v>
      </c>
      <c r="P76" s="3">
        <v>3.6520000000000001</v>
      </c>
      <c r="Q76" s="3">
        <v>8000</v>
      </c>
      <c r="R76" s="3" t="str">
        <f>"0103988319"</f>
        <v>0103988319</v>
      </c>
      <c r="S76" s="3" t="str">
        <f t="shared" si="5"/>
        <v>301719094322</v>
      </c>
      <c r="T76" s="3" t="str">
        <f t="shared" si="0"/>
        <v>人民币</v>
      </c>
    </row>
    <row r="77" spans="1:20" s="3" customFormat="1" x14ac:dyDescent="0.15">
      <c r="A77" s="3" t="str">
        <f t="shared" si="6"/>
        <v>2015-02-26</v>
      </c>
      <c r="B77" s="3" t="str">
        <f>"证券买入清算"</f>
        <v>证券买入清算</v>
      </c>
      <c r="C77" s="3" t="str">
        <f>"510300"</f>
        <v>510300</v>
      </c>
      <c r="D77" s="3" t="str">
        <f t="shared" si="7"/>
        <v>300ETF</v>
      </c>
      <c r="E77" s="3">
        <v>3.5179999999999998</v>
      </c>
      <c r="F77" s="3">
        <v>5000</v>
      </c>
      <c r="G77" s="3">
        <v>17590</v>
      </c>
      <c r="H77" s="3">
        <v>10000</v>
      </c>
      <c r="I77" s="3">
        <v>3.52</v>
      </c>
      <c r="J77" s="3">
        <v>0</v>
      </c>
      <c r="K77" s="3">
        <v>0</v>
      </c>
      <c r="L77" s="3">
        <v>0</v>
      </c>
      <c r="M77" s="3">
        <v>-17593.52</v>
      </c>
      <c r="N77" s="3">
        <v>56008.3</v>
      </c>
      <c r="O77" s="3" t="str">
        <f>"17389632"</f>
        <v>17389632</v>
      </c>
      <c r="P77" s="3">
        <v>3.5179999999999998</v>
      </c>
      <c r="Q77" s="3">
        <v>5000</v>
      </c>
      <c r="R77" s="3" t="str">
        <f>"A761486897"</f>
        <v>A761486897</v>
      </c>
      <c r="S77" s="3" t="str">
        <f t="shared" si="5"/>
        <v>301719094322</v>
      </c>
      <c r="T77" s="3" t="str">
        <f t="shared" si="0"/>
        <v>人民币</v>
      </c>
    </row>
    <row r="78" spans="1:20" s="3" customFormat="1" x14ac:dyDescent="0.15">
      <c r="A78" s="3" t="str">
        <f t="shared" si="6"/>
        <v>2015-02-26</v>
      </c>
      <c r="B78" s="3" t="str">
        <f>"证券买入清算"</f>
        <v>证券买入清算</v>
      </c>
      <c r="C78" s="3" t="str">
        <f>"159919"</f>
        <v>159919</v>
      </c>
      <c r="D78" s="3" t="str">
        <f t="shared" si="7"/>
        <v>300ETF</v>
      </c>
      <c r="E78" s="3">
        <v>3.6789999999999998</v>
      </c>
      <c r="F78" s="3">
        <v>10000</v>
      </c>
      <c r="G78" s="3">
        <v>36790</v>
      </c>
      <c r="H78" s="3">
        <v>10000</v>
      </c>
      <c r="I78" s="3">
        <v>7.36</v>
      </c>
      <c r="J78" s="3">
        <v>0</v>
      </c>
      <c r="K78" s="3">
        <v>0</v>
      </c>
      <c r="L78" s="3">
        <v>0</v>
      </c>
      <c r="M78" s="3">
        <v>-36797.360000000001</v>
      </c>
      <c r="N78" s="3">
        <v>19210.939999999999</v>
      </c>
      <c r="O78" s="3" t="str">
        <f>"SW100131"</f>
        <v>SW100131</v>
      </c>
      <c r="P78" s="3">
        <v>3.6789999999999998</v>
      </c>
      <c r="Q78" s="3">
        <v>10000</v>
      </c>
      <c r="R78" s="3" t="str">
        <f>"0103988319"</f>
        <v>0103988319</v>
      </c>
      <c r="S78" s="3" t="str">
        <f t="shared" si="5"/>
        <v>301719094322</v>
      </c>
      <c r="T78" s="3" t="str">
        <f t="shared" si="0"/>
        <v>人民币</v>
      </c>
    </row>
    <row r="79" spans="1:20" s="3" customFormat="1" x14ac:dyDescent="0.15">
      <c r="A79" s="3" t="str">
        <f t="shared" si="6"/>
        <v>2015-02-26</v>
      </c>
      <c r="B79" s="3" t="str">
        <f>"证券买入清算"</f>
        <v>证券买入清算</v>
      </c>
      <c r="C79" s="3" t="str">
        <f>"159919"</f>
        <v>159919</v>
      </c>
      <c r="D79" s="3" t="str">
        <f t="shared" si="7"/>
        <v>300ETF</v>
      </c>
      <c r="E79" s="3">
        <v>3.6930000000000001</v>
      </c>
      <c r="F79" s="3">
        <v>10000</v>
      </c>
      <c r="G79" s="3">
        <v>36930</v>
      </c>
      <c r="H79" s="3">
        <v>20000</v>
      </c>
      <c r="I79" s="3">
        <v>7.39</v>
      </c>
      <c r="J79" s="3">
        <v>0</v>
      </c>
      <c r="K79" s="3">
        <v>0</v>
      </c>
      <c r="L79" s="3">
        <v>0</v>
      </c>
      <c r="M79" s="3">
        <v>-36937.39</v>
      </c>
      <c r="N79" s="3">
        <v>-17726.45</v>
      </c>
      <c r="O79" s="3" t="str">
        <f>"SW100868"</f>
        <v>SW100868</v>
      </c>
      <c r="P79" s="3">
        <v>3.6930000000000001</v>
      </c>
      <c r="Q79" s="3">
        <v>10000</v>
      </c>
      <c r="R79" s="3" t="str">
        <f>"0103988319"</f>
        <v>0103988319</v>
      </c>
      <c r="S79" s="3" t="str">
        <f t="shared" si="5"/>
        <v>301719094322</v>
      </c>
      <c r="T79" s="3" t="str">
        <f t="shared" si="0"/>
        <v>人民币</v>
      </c>
    </row>
    <row r="80" spans="1:20" s="3" customFormat="1" x14ac:dyDescent="0.15">
      <c r="A80" s="3" t="str">
        <f t="shared" si="6"/>
        <v>2015-02-26</v>
      </c>
      <c r="B80" s="3" t="str">
        <f>"证券卖出清算"</f>
        <v>证券卖出清算</v>
      </c>
      <c r="C80" s="3" t="str">
        <f>"510300"</f>
        <v>510300</v>
      </c>
      <c r="D80" s="3" t="str">
        <f t="shared" si="7"/>
        <v>300ETF</v>
      </c>
      <c r="E80" s="3">
        <v>3.5459999999999998</v>
      </c>
      <c r="F80" s="3">
        <v>5000</v>
      </c>
      <c r="G80" s="3">
        <v>17730</v>
      </c>
      <c r="H80" s="3">
        <v>5000</v>
      </c>
      <c r="I80" s="3">
        <v>3.55</v>
      </c>
      <c r="J80" s="3">
        <v>0</v>
      </c>
      <c r="K80" s="3">
        <v>0</v>
      </c>
      <c r="L80" s="3">
        <v>0</v>
      </c>
      <c r="M80" s="3">
        <v>17726.45</v>
      </c>
      <c r="N80" s="3">
        <v>0</v>
      </c>
      <c r="O80" s="3" t="str">
        <f>"17393508"</f>
        <v>17393508</v>
      </c>
      <c r="P80" s="3">
        <v>3.5459999999999998</v>
      </c>
      <c r="Q80" s="3">
        <v>5000</v>
      </c>
      <c r="R80" s="3" t="str">
        <f>"A761486897"</f>
        <v>A761486897</v>
      </c>
      <c r="S80" s="3" t="str">
        <f t="shared" si="5"/>
        <v>301719094322</v>
      </c>
      <c r="T80" s="3" t="str">
        <f t="shared" si="0"/>
        <v>人民币</v>
      </c>
    </row>
    <row r="81" spans="1:20" s="3" customFormat="1" x14ac:dyDescent="0.15">
      <c r="A81" s="3" t="str">
        <f t="shared" ref="A81:A86" si="8">"2015-03-02"</f>
        <v>2015-03-02</v>
      </c>
      <c r="B81" s="3" t="str">
        <f>"银证转入"</f>
        <v>银证转入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961.11</v>
      </c>
      <c r="N81" s="3">
        <v>961.11</v>
      </c>
      <c r="P81" s="3">
        <v>0</v>
      </c>
      <c r="Q81" s="3">
        <v>0</v>
      </c>
      <c r="S81" s="3" t="str">
        <f>"301719093190"</f>
        <v>301719093190</v>
      </c>
      <c r="T81" s="3" t="str">
        <f t="shared" si="0"/>
        <v>人民币</v>
      </c>
    </row>
    <row r="82" spans="1:20" s="3" customFormat="1" x14ac:dyDescent="0.15">
      <c r="A82" s="3" t="str">
        <f t="shared" si="8"/>
        <v>2015-03-02</v>
      </c>
      <c r="B82" s="3" t="str">
        <f>"跨行转出"</f>
        <v>跨行转出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-961.11</v>
      </c>
      <c r="N82" s="3">
        <v>0</v>
      </c>
      <c r="P82" s="3">
        <v>0</v>
      </c>
      <c r="Q82" s="3">
        <v>0</v>
      </c>
      <c r="S82" s="3" t="str">
        <f>"301719093190"</f>
        <v>301719093190</v>
      </c>
      <c r="T82" s="3" t="str">
        <f t="shared" si="0"/>
        <v>人民币</v>
      </c>
    </row>
    <row r="83" spans="1:20" s="3" customFormat="1" x14ac:dyDescent="0.15">
      <c r="A83" s="3" t="str">
        <f t="shared" si="8"/>
        <v>2015-03-02</v>
      </c>
      <c r="B83" s="3" t="str">
        <f>"跨行转入"</f>
        <v>跨行转入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961.11</v>
      </c>
      <c r="N83" s="3">
        <v>961.11</v>
      </c>
      <c r="P83" s="3">
        <v>0</v>
      </c>
      <c r="Q83" s="3">
        <v>0</v>
      </c>
      <c r="S83" s="3" t="str">
        <f>"301719094322"</f>
        <v>301719094322</v>
      </c>
      <c r="T83" s="3" t="str">
        <f t="shared" si="0"/>
        <v>人民币</v>
      </c>
    </row>
    <row r="84" spans="1:20" s="3" customFormat="1" x14ac:dyDescent="0.15">
      <c r="A84" s="3" t="str">
        <f t="shared" si="8"/>
        <v>2015-03-02</v>
      </c>
      <c r="B84" s="3" t="str">
        <f>"证券卖出清算"</f>
        <v>证券卖出清算</v>
      </c>
      <c r="C84" s="3" t="str">
        <f>"159919"</f>
        <v>159919</v>
      </c>
      <c r="D84" s="3" t="str">
        <f>"300ETF"</f>
        <v>300ETF</v>
      </c>
      <c r="E84" s="3">
        <v>3.7389999999999999</v>
      </c>
      <c r="F84" s="3">
        <v>10000</v>
      </c>
      <c r="G84" s="3">
        <v>37390</v>
      </c>
      <c r="H84" s="3">
        <v>10000</v>
      </c>
      <c r="I84" s="3">
        <v>7.48</v>
      </c>
      <c r="J84" s="3">
        <v>0</v>
      </c>
      <c r="K84" s="3">
        <v>0</v>
      </c>
      <c r="L84" s="3">
        <v>0</v>
      </c>
      <c r="M84" s="3">
        <v>37382.519999999997</v>
      </c>
      <c r="N84" s="3">
        <v>38343.629999999997</v>
      </c>
      <c r="O84" s="3" t="str">
        <f>"SW143311"</f>
        <v>SW143311</v>
      </c>
      <c r="P84" s="3">
        <v>3.7389999999999999</v>
      </c>
      <c r="Q84" s="3">
        <v>10000</v>
      </c>
      <c r="R84" s="3" t="str">
        <f>"0103988319"</f>
        <v>0103988319</v>
      </c>
      <c r="S84" s="3" t="str">
        <f>"301719094322"</f>
        <v>301719094322</v>
      </c>
      <c r="T84" s="3" t="str">
        <f t="shared" si="0"/>
        <v>人民币</v>
      </c>
    </row>
    <row r="85" spans="1:20" s="3" customFormat="1" x14ac:dyDescent="0.15">
      <c r="A85" s="3" t="str">
        <f t="shared" si="8"/>
        <v>2015-03-02</v>
      </c>
      <c r="B85" s="3" t="str">
        <f>"证券卖出清算"</f>
        <v>证券卖出清算</v>
      </c>
      <c r="C85" s="3" t="str">
        <f>"159919"</f>
        <v>159919</v>
      </c>
      <c r="D85" s="3" t="str">
        <f>"300ETF"</f>
        <v>300ETF</v>
      </c>
      <c r="E85" s="3">
        <v>3.73</v>
      </c>
      <c r="F85" s="3">
        <v>10000</v>
      </c>
      <c r="G85" s="3">
        <v>37300</v>
      </c>
      <c r="H85" s="3">
        <v>0</v>
      </c>
      <c r="I85" s="3">
        <v>7.46</v>
      </c>
      <c r="J85" s="3">
        <v>0</v>
      </c>
      <c r="K85" s="3">
        <v>0</v>
      </c>
      <c r="L85" s="3">
        <v>0</v>
      </c>
      <c r="M85" s="3">
        <v>37292.54</v>
      </c>
      <c r="N85" s="3">
        <v>75636.17</v>
      </c>
      <c r="O85" s="3" t="str">
        <f>"SW144664"</f>
        <v>SW144664</v>
      </c>
      <c r="P85" s="3">
        <v>3.73</v>
      </c>
      <c r="Q85" s="3">
        <v>10000</v>
      </c>
      <c r="R85" s="3" t="str">
        <f>"0103988319"</f>
        <v>0103988319</v>
      </c>
      <c r="S85" s="3" t="str">
        <f>"301719094322"</f>
        <v>301719094322</v>
      </c>
      <c r="T85" s="3" t="str">
        <f t="shared" si="0"/>
        <v>人民币</v>
      </c>
    </row>
    <row r="86" spans="1:20" s="3" customFormat="1" x14ac:dyDescent="0.15">
      <c r="A86" s="3" t="str">
        <f t="shared" si="8"/>
        <v>2015-03-02</v>
      </c>
      <c r="B86" s="3" t="str">
        <f>"基金申购"</f>
        <v>基金申购</v>
      </c>
      <c r="C86" s="3" t="str">
        <f>"A40006"</f>
        <v>A40006</v>
      </c>
      <c r="D86" s="3" t="str">
        <f>"现金宝"</f>
        <v>现金宝</v>
      </c>
      <c r="E86" s="3">
        <v>1</v>
      </c>
      <c r="F86" s="3">
        <v>75636.17</v>
      </c>
      <c r="G86" s="3">
        <v>75636.17</v>
      </c>
      <c r="H86" s="3">
        <v>276647</v>
      </c>
      <c r="I86" s="3">
        <v>0</v>
      </c>
      <c r="J86" s="3">
        <v>0</v>
      </c>
      <c r="K86" s="3">
        <v>0</v>
      </c>
      <c r="L86" s="3">
        <v>0</v>
      </c>
      <c r="M86" s="3">
        <v>-75636.17</v>
      </c>
      <c r="N86" s="3">
        <v>0</v>
      </c>
      <c r="P86" s="3">
        <v>0</v>
      </c>
      <c r="Q86" s="3">
        <v>0</v>
      </c>
      <c r="R86" s="3" t="str">
        <f>"99F625223328"</f>
        <v>99F625223328</v>
      </c>
      <c r="S86" s="3" t="str">
        <f>"301719094322"</f>
        <v>301719094322</v>
      </c>
      <c r="T86" s="3" t="str">
        <f t="shared" si="0"/>
        <v>人民币</v>
      </c>
    </row>
    <row r="87" spans="1:20" s="3" customFormat="1" x14ac:dyDescent="0.15">
      <c r="A87" s="3" t="str">
        <f t="shared" ref="A87:A94" si="9">"2015-03-04"</f>
        <v>2015-03-04</v>
      </c>
      <c r="B87" s="3" t="str">
        <f>"银证转入"</f>
        <v>银证转入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50000</v>
      </c>
      <c r="N87" s="3">
        <v>50000</v>
      </c>
      <c r="P87" s="3">
        <v>0</v>
      </c>
      <c r="Q87" s="3">
        <v>0</v>
      </c>
      <c r="S87" s="3" t="str">
        <f>"301719093190"</f>
        <v>301719093190</v>
      </c>
      <c r="T87" s="3" t="str">
        <f t="shared" si="0"/>
        <v>人民币</v>
      </c>
    </row>
    <row r="88" spans="1:20" s="3" customFormat="1" x14ac:dyDescent="0.15">
      <c r="A88" s="3" t="str">
        <f t="shared" si="9"/>
        <v>2015-03-04</v>
      </c>
      <c r="B88" s="3" t="str">
        <f>"跨行转出"</f>
        <v>跨行转出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-50000</v>
      </c>
      <c r="N88" s="3">
        <v>0</v>
      </c>
      <c r="P88" s="3">
        <v>0</v>
      </c>
      <c r="Q88" s="3">
        <v>0</v>
      </c>
      <c r="S88" s="3" t="str">
        <f>"301719093190"</f>
        <v>301719093190</v>
      </c>
      <c r="T88" s="3" t="str">
        <f t="shared" si="0"/>
        <v>人民币</v>
      </c>
    </row>
    <row r="89" spans="1:20" s="3" customFormat="1" x14ac:dyDescent="0.15">
      <c r="A89" s="3" t="str">
        <f t="shared" si="9"/>
        <v>2015-03-04</v>
      </c>
      <c r="B89" s="3" t="str">
        <f>"跨行转入"</f>
        <v>跨行转入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50000</v>
      </c>
      <c r="N89" s="3">
        <v>50000</v>
      </c>
      <c r="P89" s="3">
        <v>0</v>
      </c>
      <c r="Q89" s="3">
        <v>0</v>
      </c>
      <c r="S89" s="3" t="str">
        <f>"301719094322"</f>
        <v>301719094322</v>
      </c>
      <c r="T89" s="3" t="str">
        <f t="shared" si="0"/>
        <v>人民币</v>
      </c>
    </row>
    <row r="90" spans="1:20" s="3" customFormat="1" x14ac:dyDescent="0.15">
      <c r="A90" s="3" t="str">
        <f t="shared" si="9"/>
        <v>2015-03-04</v>
      </c>
      <c r="B90" s="3" t="str">
        <f>"银证转入"</f>
        <v>银证转入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5000</v>
      </c>
      <c r="N90" s="3">
        <v>5000</v>
      </c>
      <c r="P90" s="3">
        <v>0</v>
      </c>
      <c r="Q90" s="3">
        <v>0</v>
      </c>
      <c r="S90" s="3" t="str">
        <f>"301719093190"</f>
        <v>301719093190</v>
      </c>
      <c r="T90" s="3" t="str">
        <f t="shared" si="0"/>
        <v>人民币</v>
      </c>
    </row>
    <row r="91" spans="1:20" s="3" customFormat="1" x14ac:dyDescent="0.15">
      <c r="A91" s="3" t="str">
        <f t="shared" si="9"/>
        <v>2015-03-04</v>
      </c>
      <c r="B91" s="3" t="str">
        <f>"跨行转出"</f>
        <v>跨行转出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-5000</v>
      </c>
      <c r="N91" s="3">
        <v>0</v>
      </c>
      <c r="P91" s="3">
        <v>0</v>
      </c>
      <c r="Q91" s="3">
        <v>0</v>
      </c>
      <c r="S91" s="3" t="str">
        <f>"301719093190"</f>
        <v>301719093190</v>
      </c>
      <c r="T91" s="3" t="str">
        <f t="shared" si="0"/>
        <v>人民币</v>
      </c>
    </row>
    <row r="92" spans="1:20" s="3" customFormat="1" x14ac:dyDescent="0.15">
      <c r="A92" s="3" t="str">
        <f t="shared" si="9"/>
        <v>2015-03-04</v>
      </c>
      <c r="B92" s="3" t="str">
        <f>"跨行转入"</f>
        <v>跨行转入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5000</v>
      </c>
      <c r="N92" s="3">
        <v>55000</v>
      </c>
      <c r="P92" s="3">
        <v>0</v>
      </c>
      <c r="Q92" s="3">
        <v>0</v>
      </c>
      <c r="S92" s="3" t="str">
        <f>"301719094322"</f>
        <v>301719094322</v>
      </c>
      <c r="T92" s="3" t="str">
        <f t="shared" si="0"/>
        <v>人民币</v>
      </c>
    </row>
    <row r="93" spans="1:20" s="3" customFormat="1" x14ac:dyDescent="0.15">
      <c r="A93" s="3" t="str">
        <f t="shared" si="9"/>
        <v>2015-03-04</v>
      </c>
      <c r="B93" s="3" t="str">
        <f>"证券卖出清算"</f>
        <v>证券卖出清算</v>
      </c>
      <c r="C93" s="3" t="str">
        <f>"510300"</f>
        <v>510300</v>
      </c>
      <c r="D93" s="3" t="str">
        <f>"300ETF"</f>
        <v>300ETF</v>
      </c>
      <c r="E93" s="3">
        <v>3.5209999999999999</v>
      </c>
      <c r="F93" s="3">
        <v>5000</v>
      </c>
      <c r="G93" s="3">
        <v>17605</v>
      </c>
      <c r="H93" s="3">
        <v>0</v>
      </c>
      <c r="I93" s="3">
        <v>3.52</v>
      </c>
      <c r="J93" s="3">
        <v>0</v>
      </c>
      <c r="K93" s="3">
        <v>0</v>
      </c>
      <c r="L93" s="3">
        <v>0</v>
      </c>
      <c r="M93" s="3">
        <v>17601.48</v>
      </c>
      <c r="N93" s="3">
        <v>72601.48</v>
      </c>
      <c r="O93" s="3" t="str">
        <f>"17100652"</f>
        <v>17100652</v>
      </c>
      <c r="P93" s="3">
        <v>3.5209999999999999</v>
      </c>
      <c r="Q93" s="3">
        <v>5000</v>
      </c>
      <c r="R93" s="3" t="str">
        <f>"A761486897"</f>
        <v>A761486897</v>
      </c>
      <c r="S93" s="3" t="str">
        <f>"301719094322"</f>
        <v>301719094322</v>
      </c>
      <c r="T93" s="3" t="str">
        <f t="shared" si="0"/>
        <v>人民币</v>
      </c>
    </row>
    <row r="94" spans="1:20" s="3" customFormat="1" x14ac:dyDescent="0.15">
      <c r="A94" s="3" t="str">
        <f t="shared" si="9"/>
        <v>2015-03-04</v>
      </c>
      <c r="B94" s="3" t="str">
        <f>"基金申购"</f>
        <v>基金申购</v>
      </c>
      <c r="C94" s="3" t="str">
        <f>"A40006"</f>
        <v>A40006</v>
      </c>
      <c r="D94" s="3" t="str">
        <f>"现金宝"</f>
        <v>现金宝</v>
      </c>
      <c r="E94" s="3">
        <v>1</v>
      </c>
      <c r="F94" s="3">
        <v>72601.48</v>
      </c>
      <c r="G94" s="3">
        <v>72601.48</v>
      </c>
      <c r="H94" s="3">
        <v>349249</v>
      </c>
      <c r="I94" s="3">
        <v>0</v>
      </c>
      <c r="J94" s="3">
        <v>0</v>
      </c>
      <c r="K94" s="3">
        <v>0</v>
      </c>
      <c r="L94" s="3">
        <v>0</v>
      </c>
      <c r="M94" s="3">
        <v>-72601.48</v>
      </c>
      <c r="N94" s="3">
        <v>0</v>
      </c>
      <c r="P94" s="3">
        <v>0</v>
      </c>
      <c r="Q94" s="3">
        <v>0</v>
      </c>
      <c r="R94" s="3" t="str">
        <f>"99F625223328"</f>
        <v>99F625223328</v>
      </c>
      <c r="S94" s="3" t="str">
        <f>"301719094322"</f>
        <v>301719094322</v>
      </c>
      <c r="T94" s="3" t="str">
        <f t="shared" si="0"/>
        <v>人民币</v>
      </c>
    </row>
    <row r="95" spans="1:20" s="3" customFormat="1" x14ac:dyDescent="0.15">
      <c r="A95" s="3" t="str">
        <f>"2015-03-10"</f>
        <v>2015-03-10</v>
      </c>
      <c r="B95" s="3" t="str">
        <f>"银证转入"</f>
        <v>银证转入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309201.7</v>
      </c>
      <c r="N95" s="3">
        <v>309201.7</v>
      </c>
      <c r="P95" s="3">
        <v>0</v>
      </c>
      <c r="Q95" s="3">
        <v>0</v>
      </c>
      <c r="S95" s="3" t="str">
        <f>"301719093190"</f>
        <v>301719093190</v>
      </c>
      <c r="T95" s="3" t="str">
        <f t="shared" si="0"/>
        <v>人民币</v>
      </c>
    </row>
    <row r="96" spans="1:20" s="3" customFormat="1" x14ac:dyDescent="0.15">
      <c r="A96" s="3" t="str">
        <f>"2015-03-10"</f>
        <v>2015-03-10</v>
      </c>
      <c r="B96" s="3" t="str">
        <f>"跨行转出"</f>
        <v>跨行转出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-309201.7</v>
      </c>
      <c r="N96" s="3">
        <v>0</v>
      </c>
      <c r="P96" s="3">
        <v>0</v>
      </c>
      <c r="Q96" s="3">
        <v>0</v>
      </c>
      <c r="S96" s="3" t="str">
        <f>"301719093190"</f>
        <v>301719093190</v>
      </c>
      <c r="T96" s="3" t="str">
        <f t="shared" si="0"/>
        <v>人民币</v>
      </c>
    </row>
    <row r="97" spans="1:20" s="3" customFormat="1" x14ac:dyDescent="0.15">
      <c r="A97" s="3" t="str">
        <f>"2015-03-10"</f>
        <v>2015-03-10</v>
      </c>
      <c r="B97" s="3" t="str">
        <f>"跨行转入"</f>
        <v>跨行转入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309201.7</v>
      </c>
      <c r="N97" s="3">
        <v>309201.7</v>
      </c>
      <c r="P97" s="3">
        <v>0</v>
      </c>
      <c r="Q97" s="3">
        <v>0</v>
      </c>
      <c r="S97" s="3" t="str">
        <f t="shared" ref="S97:S128" si="10">"301719094322"</f>
        <v>301719094322</v>
      </c>
      <c r="T97" s="3" t="str">
        <f t="shared" si="0"/>
        <v>人民币</v>
      </c>
    </row>
    <row r="98" spans="1:20" s="3" customFormat="1" x14ac:dyDescent="0.15">
      <c r="A98" s="3" t="str">
        <f>"2015-03-10"</f>
        <v>2015-03-10</v>
      </c>
      <c r="B98" s="3" t="str">
        <f>"新股申购"</f>
        <v>新股申购</v>
      </c>
      <c r="C98" s="3" t="str">
        <f>"300433"</f>
        <v>300433</v>
      </c>
      <c r="D98" s="3" t="str">
        <f>"蓝思科技"</f>
        <v>蓝思科技</v>
      </c>
      <c r="E98" s="3">
        <v>22.99</v>
      </c>
      <c r="F98" s="3">
        <v>2000</v>
      </c>
      <c r="G98" s="3">
        <v>45980</v>
      </c>
      <c r="H98" s="3">
        <v>2000</v>
      </c>
      <c r="I98" s="3">
        <v>0</v>
      </c>
      <c r="J98" s="3">
        <v>0</v>
      </c>
      <c r="K98" s="3">
        <v>0</v>
      </c>
      <c r="L98" s="3">
        <v>0</v>
      </c>
      <c r="M98" s="3">
        <v>-45980</v>
      </c>
      <c r="N98" s="3">
        <v>263221.7</v>
      </c>
      <c r="O98" s="3" t="str">
        <f>"SW287130"</f>
        <v>SW287130</v>
      </c>
      <c r="P98" s="3">
        <v>22.99</v>
      </c>
      <c r="Q98" s="3">
        <v>2000</v>
      </c>
      <c r="R98" s="3" t="str">
        <f>"0103988319"</f>
        <v>0103988319</v>
      </c>
      <c r="S98" s="3" t="str">
        <f t="shared" si="10"/>
        <v>301719094322</v>
      </c>
      <c r="T98" s="3" t="str">
        <f t="shared" si="0"/>
        <v>人民币</v>
      </c>
    </row>
    <row r="99" spans="1:20" s="3" customFormat="1" x14ac:dyDescent="0.15">
      <c r="A99" s="3" t="str">
        <f>"2015-03-10"</f>
        <v>2015-03-10</v>
      </c>
      <c r="B99" s="3" t="str">
        <f>"基金申购"</f>
        <v>基金申购</v>
      </c>
      <c r="C99" s="3" t="str">
        <f>"A40006"</f>
        <v>A40006</v>
      </c>
      <c r="D99" s="3" t="str">
        <f>"现金宝"</f>
        <v>现金宝</v>
      </c>
      <c r="E99" s="3">
        <v>1</v>
      </c>
      <c r="F99" s="3">
        <v>263221.7</v>
      </c>
      <c r="G99" s="3">
        <v>263221.7</v>
      </c>
      <c r="H99" s="3">
        <v>612470</v>
      </c>
      <c r="I99" s="3">
        <v>0</v>
      </c>
      <c r="J99" s="3">
        <v>0</v>
      </c>
      <c r="K99" s="3">
        <v>0</v>
      </c>
      <c r="L99" s="3">
        <v>0</v>
      </c>
      <c r="M99" s="3">
        <v>-263221.7</v>
      </c>
      <c r="N99" s="3">
        <v>0</v>
      </c>
      <c r="P99" s="3">
        <v>0</v>
      </c>
      <c r="Q99" s="3">
        <v>0</v>
      </c>
      <c r="R99" s="3" t="str">
        <f>"99F625223328"</f>
        <v>99F625223328</v>
      </c>
      <c r="S99" s="3" t="str">
        <f t="shared" si="10"/>
        <v>301719094322</v>
      </c>
      <c r="T99" s="3" t="str">
        <f t="shared" si="0"/>
        <v>人民币</v>
      </c>
    </row>
    <row r="100" spans="1:20" s="3" customFormat="1" x14ac:dyDescent="0.15">
      <c r="A100" s="3" t="str">
        <f t="shared" ref="A100:A105" si="11">"2015-03-11"</f>
        <v>2015-03-11</v>
      </c>
      <c r="B100" s="3" t="str">
        <f>"基金赎回"</f>
        <v>基金赎回</v>
      </c>
      <c r="C100" s="3" t="str">
        <f>"A40006"</f>
        <v>A40006</v>
      </c>
      <c r="D100" s="3" t="str">
        <f>"现金宝"</f>
        <v>现金宝</v>
      </c>
      <c r="E100" s="3">
        <v>1</v>
      </c>
      <c r="F100" s="3">
        <v>152360</v>
      </c>
      <c r="G100" s="3">
        <v>152360</v>
      </c>
      <c r="H100" s="3">
        <v>460110</v>
      </c>
      <c r="I100" s="3">
        <v>0</v>
      </c>
      <c r="J100" s="3">
        <v>0</v>
      </c>
      <c r="K100" s="3">
        <v>0</v>
      </c>
      <c r="L100" s="3">
        <v>0</v>
      </c>
      <c r="M100" s="3">
        <v>152360</v>
      </c>
      <c r="N100" s="3">
        <v>152360</v>
      </c>
      <c r="P100" s="3">
        <v>0</v>
      </c>
      <c r="Q100" s="3">
        <v>0</v>
      </c>
      <c r="R100" s="3" t="str">
        <f>"99F625223328"</f>
        <v>99F625223328</v>
      </c>
      <c r="S100" s="3" t="str">
        <f t="shared" si="10"/>
        <v>301719094322</v>
      </c>
      <c r="T100" s="3" t="str">
        <f t="shared" si="0"/>
        <v>人民币</v>
      </c>
    </row>
    <row r="101" spans="1:20" s="3" customFormat="1" x14ac:dyDescent="0.15">
      <c r="A101" s="3" t="str">
        <f t="shared" si="11"/>
        <v>2015-03-11</v>
      </c>
      <c r="B101" s="3" t="str">
        <f>"新股申购"</f>
        <v>新股申购</v>
      </c>
      <c r="C101" s="3" t="str">
        <f>"300432"</f>
        <v>300432</v>
      </c>
      <c r="D101" s="3" t="str">
        <f>"富临精工"</f>
        <v>富临精工</v>
      </c>
      <c r="E101" s="3">
        <v>13.97</v>
      </c>
      <c r="F101" s="3">
        <v>2000</v>
      </c>
      <c r="G101" s="3">
        <v>27940</v>
      </c>
      <c r="H101" s="3">
        <v>2000</v>
      </c>
      <c r="I101" s="3">
        <v>0</v>
      </c>
      <c r="J101" s="3">
        <v>0</v>
      </c>
      <c r="K101" s="3">
        <v>0</v>
      </c>
      <c r="L101" s="3">
        <v>0</v>
      </c>
      <c r="M101" s="3">
        <v>-27940</v>
      </c>
      <c r="N101" s="3">
        <v>124420</v>
      </c>
      <c r="O101" s="3" t="str">
        <f>"SW325004"</f>
        <v>SW325004</v>
      </c>
      <c r="P101" s="3">
        <v>13.97</v>
      </c>
      <c r="Q101" s="3">
        <v>2000</v>
      </c>
      <c r="R101" s="3" t="str">
        <f>"0103988319"</f>
        <v>0103988319</v>
      </c>
      <c r="S101" s="3" t="str">
        <f t="shared" si="10"/>
        <v>301719094322</v>
      </c>
      <c r="T101" s="3" t="str">
        <f t="shared" si="0"/>
        <v>人民币</v>
      </c>
    </row>
    <row r="102" spans="1:20" s="3" customFormat="1" x14ac:dyDescent="0.15">
      <c r="A102" s="3" t="str">
        <f t="shared" si="11"/>
        <v>2015-03-11</v>
      </c>
      <c r="B102" s="3" t="str">
        <f>"新股申购"</f>
        <v>新股申购</v>
      </c>
      <c r="C102" s="3" t="str">
        <f>"300428"</f>
        <v>300428</v>
      </c>
      <c r="D102" s="3" t="str">
        <f>"四通新材"</f>
        <v>四通新材</v>
      </c>
      <c r="E102" s="3">
        <v>14.71</v>
      </c>
      <c r="F102" s="3">
        <v>2000</v>
      </c>
      <c r="G102" s="3">
        <v>29420</v>
      </c>
      <c r="H102" s="3">
        <v>2000</v>
      </c>
      <c r="I102" s="3">
        <v>0</v>
      </c>
      <c r="J102" s="3">
        <v>0</v>
      </c>
      <c r="K102" s="3">
        <v>0</v>
      </c>
      <c r="L102" s="3">
        <v>0</v>
      </c>
      <c r="M102" s="3">
        <v>-29420</v>
      </c>
      <c r="N102" s="3">
        <v>95000</v>
      </c>
      <c r="O102" s="3" t="str">
        <f>"SW325028"</f>
        <v>SW325028</v>
      </c>
      <c r="P102" s="3">
        <v>14.71</v>
      </c>
      <c r="Q102" s="3">
        <v>2000</v>
      </c>
      <c r="R102" s="3" t="str">
        <f>"0103988319"</f>
        <v>0103988319</v>
      </c>
      <c r="S102" s="3" t="str">
        <f t="shared" si="10"/>
        <v>301719094322</v>
      </c>
      <c r="T102" s="3" t="str">
        <f t="shared" si="0"/>
        <v>人民币</v>
      </c>
    </row>
    <row r="103" spans="1:20" s="3" customFormat="1" x14ac:dyDescent="0.15">
      <c r="A103" s="3" t="str">
        <f t="shared" si="11"/>
        <v>2015-03-11</v>
      </c>
      <c r="B103" s="3" t="str">
        <f>"新股申购"</f>
        <v>新股申购</v>
      </c>
      <c r="C103" s="3" t="str">
        <f>"002748"</f>
        <v>002748</v>
      </c>
      <c r="D103" s="3" t="str">
        <f>"世龙实业"</f>
        <v>世龙实业</v>
      </c>
      <c r="E103" s="3">
        <v>15.38</v>
      </c>
      <c r="F103" s="3">
        <v>2000</v>
      </c>
      <c r="G103" s="3">
        <v>30760</v>
      </c>
      <c r="H103" s="3">
        <v>2000</v>
      </c>
      <c r="I103" s="3">
        <v>0</v>
      </c>
      <c r="J103" s="3">
        <v>0</v>
      </c>
      <c r="K103" s="3">
        <v>0</v>
      </c>
      <c r="L103" s="3">
        <v>0</v>
      </c>
      <c r="M103" s="3">
        <v>-30760</v>
      </c>
      <c r="N103" s="3">
        <v>64240</v>
      </c>
      <c r="O103" s="3" t="str">
        <f>"SW325058"</f>
        <v>SW325058</v>
      </c>
      <c r="P103" s="3">
        <v>15.38</v>
      </c>
      <c r="Q103" s="3">
        <v>2000</v>
      </c>
      <c r="R103" s="3" t="str">
        <f>"0103988319"</f>
        <v>0103988319</v>
      </c>
      <c r="S103" s="3" t="str">
        <f t="shared" si="10"/>
        <v>301719094322</v>
      </c>
      <c r="T103" s="3" t="str">
        <f t="shared" ref="T103:T166" si="12">"人民币"</f>
        <v>人民币</v>
      </c>
    </row>
    <row r="104" spans="1:20" s="3" customFormat="1" x14ac:dyDescent="0.15">
      <c r="A104" s="3" t="str">
        <f t="shared" si="11"/>
        <v>2015-03-11</v>
      </c>
      <c r="B104" s="3" t="str">
        <f>"新股申购"</f>
        <v>新股申购</v>
      </c>
      <c r="C104" s="3" t="str">
        <f>"300374"</f>
        <v>300374</v>
      </c>
      <c r="D104" s="3" t="str">
        <f>"恒通科技"</f>
        <v>恒通科技</v>
      </c>
      <c r="E104" s="3">
        <v>13.21</v>
      </c>
      <c r="F104" s="3">
        <v>2000</v>
      </c>
      <c r="G104" s="3">
        <v>26420</v>
      </c>
      <c r="H104" s="3">
        <v>2000</v>
      </c>
      <c r="I104" s="3">
        <v>0</v>
      </c>
      <c r="J104" s="3">
        <v>0</v>
      </c>
      <c r="K104" s="3">
        <v>0</v>
      </c>
      <c r="L104" s="3">
        <v>0</v>
      </c>
      <c r="M104" s="3">
        <v>-26420</v>
      </c>
      <c r="N104" s="3">
        <v>37820</v>
      </c>
      <c r="O104" s="3" t="str">
        <f>"SW325072"</f>
        <v>SW325072</v>
      </c>
      <c r="P104" s="3">
        <v>13.21</v>
      </c>
      <c r="Q104" s="3">
        <v>2000</v>
      </c>
      <c r="R104" s="3" t="str">
        <f>"0103988319"</f>
        <v>0103988319</v>
      </c>
      <c r="S104" s="3" t="str">
        <f t="shared" si="10"/>
        <v>301719094322</v>
      </c>
      <c r="T104" s="3" t="str">
        <f t="shared" si="12"/>
        <v>人民币</v>
      </c>
    </row>
    <row r="105" spans="1:20" s="3" customFormat="1" x14ac:dyDescent="0.15">
      <c r="A105" s="3" t="str">
        <f t="shared" si="11"/>
        <v>2015-03-11</v>
      </c>
      <c r="B105" s="3" t="str">
        <f>"新股申购"</f>
        <v>新股申购</v>
      </c>
      <c r="C105" s="3" t="str">
        <f>"300430"</f>
        <v>300430</v>
      </c>
      <c r="D105" s="3" t="str">
        <f>"诚益通"</f>
        <v>诚益通</v>
      </c>
      <c r="E105" s="3">
        <v>18.91</v>
      </c>
      <c r="F105" s="3">
        <v>2000</v>
      </c>
      <c r="G105" s="3">
        <v>37820</v>
      </c>
      <c r="H105" s="3">
        <v>2000</v>
      </c>
      <c r="I105" s="3">
        <v>0</v>
      </c>
      <c r="J105" s="3">
        <v>0</v>
      </c>
      <c r="K105" s="3">
        <v>0</v>
      </c>
      <c r="L105" s="3">
        <v>0</v>
      </c>
      <c r="M105" s="3">
        <v>-37820</v>
      </c>
      <c r="N105" s="3">
        <v>0</v>
      </c>
      <c r="O105" s="3" t="str">
        <f>"SW325097"</f>
        <v>SW325097</v>
      </c>
      <c r="P105" s="3">
        <v>18.91</v>
      </c>
      <c r="Q105" s="3">
        <v>2000</v>
      </c>
      <c r="R105" s="3" t="str">
        <f>"0103988319"</f>
        <v>0103988319</v>
      </c>
      <c r="S105" s="3" t="str">
        <f t="shared" si="10"/>
        <v>301719094322</v>
      </c>
      <c r="T105" s="3" t="str">
        <f t="shared" si="12"/>
        <v>人民币</v>
      </c>
    </row>
    <row r="106" spans="1:20" s="3" customFormat="1" x14ac:dyDescent="0.15">
      <c r="A106" s="3" t="str">
        <f t="shared" ref="A106:A112" si="13">"2015-03-12"</f>
        <v>2015-03-12</v>
      </c>
      <c r="B106" s="3" t="str">
        <f>"基金赎回"</f>
        <v>基金赎回</v>
      </c>
      <c r="C106" s="3" t="str">
        <f>"A40006"</f>
        <v>A40006</v>
      </c>
      <c r="D106" s="3" t="str">
        <f>"现金宝"</f>
        <v>现金宝</v>
      </c>
      <c r="E106" s="3">
        <v>1</v>
      </c>
      <c r="F106" s="3">
        <v>194900</v>
      </c>
      <c r="G106" s="3">
        <v>194900</v>
      </c>
      <c r="H106" s="3">
        <v>265210</v>
      </c>
      <c r="I106" s="3">
        <v>0</v>
      </c>
      <c r="J106" s="3">
        <v>0</v>
      </c>
      <c r="K106" s="3">
        <v>0</v>
      </c>
      <c r="L106" s="3">
        <v>0</v>
      </c>
      <c r="M106" s="3">
        <v>194900</v>
      </c>
      <c r="N106" s="3">
        <v>194900</v>
      </c>
      <c r="P106" s="3">
        <v>0</v>
      </c>
      <c r="Q106" s="3">
        <v>0</v>
      </c>
      <c r="R106" s="3" t="str">
        <f>"99F625223328"</f>
        <v>99F625223328</v>
      </c>
      <c r="S106" s="3" t="str">
        <f t="shared" si="10"/>
        <v>301719094322</v>
      </c>
      <c r="T106" s="3" t="str">
        <f t="shared" si="12"/>
        <v>人民币</v>
      </c>
    </row>
    <row r="107" spans="1:20" s="3" customFormat="1" x14ac:dyDescent="0.15">
      <c r="A107" s="3" t="str">
        <f t="shared" si="13"/>
        <v>2015-03-12</v>
      </c>
      <c r="B107" s="3" t="str">
        <f>"申购还款"</f>
        <v>申购还款</v>
      </c>
      <c r="C107" s="3" t="str">
        <f>"300433"</f>
        <v>300433</v>
      </c>
      <c r="D107" s="3" t="str">
        <f>"蓝思科技"</f>
        <v>蓝思科技</v>
      </c>
      <c r="E107" s="3">
        <v>22.99</v>
      </c>
      <c r="F107" s="3">
        <v>2000</v>
      </c>
      <c r="G107" s="3">
        <v>45980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45980</v>
      </c>
      <c r="N107" s="3">
        <v>240880</v>
      </c>
      <c r="O107" s="3" t="str">
        <f>"SW287130"</f>
        <v>SW287130</v>
      </c>
      <c r="P107" s="3">
        <v>22.99</v>
      </c>
      <c r="Q107" s="3">
        <v>2000</v>
      </c>
      <c r="R107" s="3" t="str">
        <f t="shared" ref="R107:R117" si="14">"0103988319"</f>
        <v>0103988319</v>
      </c>
      <c r="S107" s="3" t="str">
        <f t="shared" si="10"/>
        <v>301719094322</v>
      </c>
      <c r="T107" s="3" t="str">
        <f t="shared" si="12"/>
        <v>人民币</v>
      </c>
    </row>
    <row r="108" spans="1:20" s="3" customFormat="1" x14ac:dyDescent="0.15">
      <c r="A108" s="3" t="str">
        <f t="shared" si="13"/>
        <v>2015-03-12</v>
      </c>
      <c r="B108" s="3" t="str">
        <f>"新股申购"</f>
        <v>新股申购</v>
      </c>
      <c r="C108" s="3" t="str">
        <f>"002747"</f>
        <v>002747</v>
      </c>
      <c r="D108" s="3" t="str">
        <f>"埃斯顿"</f>
        <v>埃斯顿</v>
      </c>
      <c r="E108" s="3">
        <v>6.8</v>
      </c>
      <c r="F108" s="3">
        <v>2500</v>
      </c>
      <c r="G108" s="3">
        <v>17000</v>
      </c>
      <c r="H108" s="3">
        <v>2500</v>
      </c>
      <c r="I108" s="3">
        <v>0</v>
      </c>
      <c r="J108" s="3">
        <v>0</v>
      </c>
      <c r="K108" s="3">
        <v>0</v>
      </c>
      <c r="L108" s="3">
        <v>0</v>
      </c>
      <c r="M108" s="3">
        <v>-17000</v>
      </c>
      <c r="N108" s="3">
        <v>223880</v>
      </c>
      <c r="O108" s="3" t="str">
        <f>"SW375681"</f>
        <v>SW375681</v>
      </c>
      <c r="P108" s="3">
        <v>6.8</v>
      </c>
      <c r="Q108" s="3">
        <v>2500</v>
      </c>
      <c r="R108" s="3" t="str">
        <f t="shared" si="14"/>
        <v>0103988319</v>
      </c>
      <c r="S108" s="3" t="str">
        <f t="shared" si="10"/>
        <v>301719094322</v>
      </c>
      <c r="T108" s="3" t="str">
        <f t="shared" si="12"/>
        <v>人民币</v>
      </c>
    </row>
    <row r="109" spans="1:20" s="3" customFormat="1" x14ac:dyDescent="0.15">
      <c r="A109" s="3" t="str">
        <f t="shared" si="13"/>
        <v>2015-03-12</v>
      </c>
      <c r="B109" s="3" t="str">
        <f>"新股申购"</f>
        <v>新股申购</v>
      </c>
      <c r="C109" s="3" t="str">
        <f>"300429"</f>
        <v>300429</v>
      </c>
      <c r="D109" s="3" t="str">
        <f>"强力新材"</f>
        <v>强力新材</v>
      </c>
      <c r="E109" s="3">
        <v>15.89</v>
      </c>
      <c r="F109" s="3">
        <v>2500</v>
      </c>
      <c r="G109" s="3">
        <v>39725</v>
      </c>
      <c r="H109" s="3">
        <v>2500</v>
      </c>
      <c r="I109" s="3">
        <v>0</v>
      </c>
      <c r="J109" s="3">
        <v>0</v>
      </c>
      <c r="K109" s="3">
        <v>0</v>
      </c>
      <c r="L109" s="3">
        <v>0</v>
      </c>
      <c r="M109" s="3">
        <v>-39725</v>
      </c>
      <c r="N109" s="3">
        <v>184155</v>
      </c>
      <c r="O109" s="3" t="str">
        <f>"SW375707"</f>
        <v>SW375707</v>
      </c>
      <c r="P109" s="3">
        <v>15.89</v>
      </c>
      <c r="Q109" s="3">
        <v>2500</v>
      </c>
      <c r="R109" s="3" t="str">
        <f t="shared" si="14"/>
        <v>0103988319</v>
      </c>
      <c r="S109" s="3" t="str">
        <f t="shared" si="10"/>
        <v>301719094322</v>
      </c>
      <c r="T109" s="3" t="str">
        <f t="shared" si="12"/>
        <v>人民币</v>
      </c>
    </row>
    <row r="110" spans="1:20" s="3" customFormat="1" x14ac:dyDescent="0.15">
      <c r="A110" s="3" t="str">
        <f t="shared" si="13"/>
        <v>2015-03-12</v>
      </c>
      <c r="B110" s="3" t="str">
        <f>"新股申购"</f>
        <v>新股申购</v>
      </c>
      <c r="C110" s="3" t="str">
        <f>"300431"</f>
        <v>300431</v>
      </c>
      <c r="D110" s="3" t="str">
        <f>"暴风科技"</f>
        <v>暴风科技</v>
      </c>
      <c r="E110" s="3">
        <v>7.14</v>
      </c>
      <c r="F110" s="3">
        <v>2500</v>
      </c>
      <c r="G110" s="3">
        <v>17850</v>
      </c>
      <c r="H110" s="3">
        <v>2500</v>
      </c>
      <c r="I110" s="3">
        <v>0</v>
      </c>
      <c r="J110" s="3">
        <v>0</v>
      </c>
      <c r="K110" s="3">
        <v>0</v>
      </c>
      <c r="L110" s="3">
        <v>0</v>
      </c>
      <c r="M110" s="3">
        <v>-17850</v>
      </c>
      <c r="N110" s="3">
        <v>166305</v>
      </c>
      <c r="O110" s="3" t="str">
        <f>"SW375806"</f>
        <v>SW375806</v>
      </c>
      <c r="P110" s="3">
        <v>7.14</v>
      </c>
      <c r="Q110" s="3">
        <v>2500</v>
      </c>
      <c r="R110" s="3" t="str">
        <f t="shared" si="14"/>
        <v>0103988319</v>
      </c>
      <c r="S110" s="3" t="str">
        <f t="shared" si="10"/>
        <v>301719094322</v>
      </c>
      <c r="T110" s="3" t="str">
        <f t="shared" si="12"/>
        <v>人民币</v>
      </c>
    </row>
    <row r="111" spans="1:20" s="3" customFormat="1" x14ac:dyDescent="0.15">
      <c r="A111" s="3" t="str">
        <f t="shared" si="13"/>
        <v>2015-03-12</v>
      </c>
      <c r="B111" s="3" t="str">
        <f>"新股申购"</f>
        <v>新股申购</v>
      </c>
      <c r="C111" s="3" t="str">
        <f>"002749"</f>
        <v>002749</v>
      </c>
      <c r="D111" s="3" t="str">
        <f>"国光股份"</f>
        <v>国光股份</v>
      </c>
      <c r="E111" s="3">
        <v>26.92</v>
      </c>
      <c r="F111" s="3">
        <v>2500</v>
      </c>
      <c r="G111" s="3">
        <v>67300</v>
      </c>
      <c r="H111" s="3">
        <v>2500</v>
      </c>
      <c r="I111" s="3">
        <v>0</v>
      </c>
      <c r="J111" s="3">
        <v>0</v>
      </c>
      <c r="K111" s="3">
        <v>0</v>
      </c>
      <c r="L111" s="3">
        <v>0</v>
      </c>
      <c r="M111" s="3">
        <v>-67300</v>
      </c>
      <c r="N111" s="3">
        <v>99005</v>
      </c>
      <c r="O111" s="3" t="str">
        <f>"SW375867"</f>
        <v>SW375867</v>
      </c>
      <c r="P111" s="3">
        <v>26.92</v>
      </c>
      <c r="Q111" s="3">
        <v>2500</v>
      </c>
      <c r="R111" s="3" t="str">
        <f t="shared" si="14"/>
        <v>0103988319</v>
      </c>
      <c r="S111" s="3" t="str">
        <f t="shared" si="10"/>
        <v>301719094322</v>
      </c>
      <c r="T111" s="3" t="str">
        <f t="shared" si="12"/>
        <v>人民币</v>
      </c>
    </row>
    <row r="112" spans="1:20" s="3" customFormat="1" x14ac:dyDescent="0.15">
      <c r="A112" s="3" t="str">
        <f t="shared" si="13"/>
        <v>2015-03-12</v>
      </c>
      <c r="B112" s="3" t="str">
        <f>"新股申购"</f>
        <v>新股申购</v>
      </c>
      <c r="C112" s="3" t="str">
        <f>"002750"</f>
        <v>002750</v>
      </c>
      <c r="D112" s="3" t="str">
        <f>"龙津药业"</f>
        <v>龙津药业</v>
      </c>
      <c r="E112" s="3">
        <v>21.21</v>
      </c>
      <c r="F112" s="3">
        <v>2500</v>
      </c>
      <c r="G112" s="3">
        <v>53025</v>
      </c>
      <c r="H112" s="3">
        <v>2500</v>
      </c>
      <c r="I112" s="3">
        <v>0</v>
      </c>
      <c r="J112" s="3">
        <v>0</v>
      </c>
      <c r="K112" s="3">
        <v>0</v>
      </c>
      <c r="L112" s="3">
        <v>0</v>
      </c>
      <c r="M112" s="3">
        <v>-53025</v>
      </c>
      <c r="N112" s="3">
        <v>45980</v>
      </c>
      <c r="O112" s="3" t="str">
        <f>"SW375886"</f>
        <v>SW375886</v>
      </c>
      <c r="P112" s="3">
        <v>21.21</v>
      </c>
      <c r="Q112" s="3">
        <v>2500</v>
      </c>
      <c r="R112" s="3" t="str">
        <f t="shared" si="14"/>
        <v>0103988319</v>
      </c>
      <c r="S112" s="3" t="str">
        <f t="shared" si="10"/>
        <v>301719094322</v>
      </c>
      <c r="T112" s="3" t="str">
        <f t="shared" si="12"/>
        <v>人民币</v>
      </c>
    </row>
    <row r="113" spans="1:20" s="3" customFormat="1" x14ac:dyDescent="0.15">
      <c r="A113" s="3" t="str">
        <f t="shared" ref="A113:A118" si="15">"2015-03-13"</f>
        <v>2015-03-13</v>
      </c>
      <c r="B113" s="3" t="str">
        <f>"申购还款"</f>
        <v>申购还款</v>
      </c>
      <c r="C113" s="3" t="str">
        <f>"300432"</f>
        <v>300432</v>
      </c>
      <c r="D113" s="3" t="str">
        <f>"富临精工"</f>
        <v>富临精工</v>
      </c>
      <c r="E113" s="3">
        <v>13.97</v>
      </c>
      <c r="F113" s="3">
        <v>2000</v>
      </c>
      <c r="G113" s="3">
        <v>27940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27940</v>
      </c>
      <c r="N113" s="3">
        <v>73920</v>
      </c>
      <c r="O113" s="3" t="str">
        <f>"SW325004"</f>
        <v>SW325004</v>
      </c>
      <c r="P113" s="3">
        <v>13.97</v>
      </c>
      <c r="Q113" s="3">
        <v>2000</v>
      </c>
      <c r="R113" s="3" t="str">
        <f t="shared" si="14"/>
        <v>0103988319</v>
      </c>
      <c r="S113" s="3" t="str">
        <f t="shared" si="10"/>
        <v>301719094322</v>
      </c>
      <c r="T113" s="3" t="str">
        <f t="shared" si="12"/>
        <v>人民币</v>
      </c>
    </row>
    <row r="114" spans="1:20" s="3" customFormat="1" x14ac:dyDescent="0.15">
      <c r="A114" s="3" t="str">
        <f t="shared" si="15"/>
        <v>2015-03-13</v>
      </c>
      <c r="B114" s="3" t="str">
        <f>"申购还款"</f>
        <v>申购还款</v>
      </c>
      <c r="C114" s="3" t="str">
        <f>"300428"</f>
        <v>300428</v>
      </c>
      <c r="D114" s="3" t="str">
        <f>"四通新材"</f>
        <v>四通新材</v>
      </c>
      <c r="E114" s="3">
        <v>14.71</v>
      </c>
      <c r="F114" s="3">
        <v>2000</v>
      </c>
      <c r="G114" s="3">
        <v>29420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29420</v>
      </c>
      <c r="N114" s="3">
        <v>103340</v>
      </c>
      <c r="O114" s="3" t="str">
        <f>"SW325028"</f>
        <v>SW325028</v>
      </c>
      <c r="P114" s="3">
        <v>14.71</v>
      </c>
      <c r="Q114" s="3">
        <v>2000</v>
      </c>
      <c r="R114" s="3" t="str">
        <f t="shared" si="14"/>
        <v>0103988319</v>
      </c>
      <c r="S114" s="3" t="str">
        <f t="shared" si="10"/>
        <v>301719094322</v>
      </c>
      <c r="T114" s="3" t="str">
        <f t="shared" si="12"/>
        <v>人民币</v>
      </c>
    </row>
    <row r="115" spans="1:20" s="3" customFormat="1" x14ac:dyDescent="0.15">
      <c r="A115" s="3" t="str">
        <f t="shared" si="15"/>
        <v>2015-03-13</v>
      </c>
      <c r="B115" s="3" t="str">
        <f>"申购还款"</f>
        <v>申购还款</v>
      </c>
      <c r="C115" s="3" t="str">
        <f>"002748"</f>
        <v>002748</v>
      </c>
      <c r="D115" s="3" t="str">
        <f>"世龙实业"</f>
        <v>世龙实业</v>
      </c>
      <c r="E115" s="3">
        <v>15.38</v>
      </c>
      <c r="F115" s="3">
        <v>2000</v>
      </c>
      <c r="G115" s="3">
        <v>30760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30760</v>
      </c>
      <c r="N115" s="3">
        <v>134100</v>
      </c>
      <c r="O115" s="3" t="str">
        <f>"SW325058"</f>
        <v>SW325058</v>
      </c>
      <c r="P115" s="3">
        <v>15.38</v>
      </c>
      <c r="Q115" s="3">
        <v>2000</v>
      </c>
      <c r="R115" s="3" t="str">
        <f t="shared" si="14"/>
        <v>0103988319</v>
      </c>
      <c r="S115" s="3" t="str">
        <f t="shared" si="10"/>
        <v>301719094322</v>
      </c>
      <c r="T115" s="3" t="str">
        <f t="shared" si="12"/>
        <v>人民币</v>
      </c>
    </row>
    <row r="116" spans="1:20" s="3" customFormat="1" x14ac:dyDescent="0.15">
      <c r="A116" s="3" t="str">
        <f t="shared" si="15"/>
        <v>2015-03-13</v>
      </c>
      <c r="B116" s="3" t="str">
        <f>"申购还款"</f>
        <v>申购还款</v>
      </c>
      <c r="C116" s="3" t="str">
        <f>"300374"</f>
        <v>300374</v>
      </c>
      <c r="D116" s="3" t="str">
        <f>"恒通科技"</f>
        <v>恒通科技</v>
      </c>
      <c r="E116" s="3">
        <v>13.21</v>
      </c>
      <c r="F116" s="3">
        <v>2000</v>
      </c>
      <c r="G116" s="3">
        <v>26420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26420</v>
      </c>
      <c r="N116" s="3">
        <v>160520</v>
      </c>
      <c r="O116" s="3" t="str">
        <f>"SW325072"</f>
        <v>SW325072</v>
      </c>
      <c r="P116" s="3">
        <v>13.21</v>
      </c>
      <c r="Q116" s="3">
        <v>2000</v>
      </c>
      <c r="R116" s="3" t="str">
        <f t="shared" si="14"/>
        <v>0103988319</v>
      </c>
      <c r="S116" s="3" t="str">
        <f t="shared" si="10"/>
        <v>301719094322</v>
      </c>
      <c r="T116" s="3" t="str">
        <f t="shared" si="12"/>
        <v>人民币</v>
      </c>
    </row>
    <row r="117" spans="1:20" s="3" customFormat="1" x14ac:dyDescent="0.15">
      <c r="A117" s="3" t="str">
        <f t="shared" si="15"/>
        <v>2015-03-13</v>
      </c>
      <c r="B117" s="3" t="str">
        <f>"申购还款"</f>
        <v>申购还款</v>
      </c>
      <c r="C117" s="3" t="str">
        <f>"300430"</f>
        <v>300430</v>
      </c>
      <c r="D117" s="3" t="str">
        <f>"诚益通"</f>
        <v>诚益通</v>
      </c>
      <c r="E117" s="3">
        <v>18.91</v>
      </c>
      <c r="F117" s="3">
        <v>2000</v>
      </c>
      <c r="G117" s="3">
        <v>37820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37820</v>
      </c>
      <c r="N117" s="3">
        <v>198340</v>
      </c>
      <c r="O117" s="3" t="str">
        <f>"SW325097"</f>
        <v>SW325097</v>
      </c>
      <c r="P117" s="3">
        <v>18.91</v>
      </c>
      <c r="Q117" s="3">
        <v>2000</v>
      </c>
      <c r="R117" s="3" t="str">
        <f t="shared" si="14"/>
        <v>0103988319</v>
      </c>
      <c r="S117" s="3" t="str">
        <f t="shared" si="10"/>
        <v>301719094322</v>
      </c>
      <c r="T117" s="3" t="str">
        <f t="shared" si="12"/>
        <v>人民币</v>
      </c>
    </row>
    <row r="118" spans="1:20" s="3" customFormat="1" x14ac:dyDescent="0.15">
      <c r="A118" s="3" t="str">
        <f t="shared" si="15"/>
        <v>2015-03-13</v>
      </c>
      <c r="B118" s="3" t="str">
        <f>"基金申购"</f>
        <v>基金申购</v>
      </c>
      <c r="C118" s="3" t="str">
        <f>"A40006"</f>
        <v>A40006</v>
      </c>
      <c r="D118" s="3" t="str">
        <f>"现金宝"</f>
        <v>现金宝</v>
      </c>
      <c r="E118" s="3">
        <v>1</v>
      </c>
      <c r="F118" s="3">
        <v>45980</v>
      </c>
      <c r="G118" s="3">
        <v>45980</v>
      </c>
      <c r="H118" s="3">
        <v>311190</v>
      </c>
      <c r="I118" s="3">
        <v>0</v>
      </c>
      <c r="J118" s="3">
        <v>0</v>
      </c>
      <c r="K118" s="3">
        <v>0</v>
      </c>
      <c r="L118" s="3">
        <v>0</v>
      </c>
      <c r="M118" s="3">
        <v>-45980</v>
      </c>
      <c r="N118" s="3">
        <v>152360</v>
      </c>
      <c r="P118" s="3">
        <v>0</v>
      </c>
      <c r="Q118" s="3">
        <v>0</v>
      </c>
      <c r="R118" s="3" t="str">
        <f>"99F625223328"</f>
        <v>99F625223328</v>
      </c>
      <c r="S118" s="3" t="str">
        <f t="shared" si="10"/>
        <v>301719094322</v>
      </c>
      <c r="T118" s="3" t="str">
        <f t="shared" si="12"/>
        <v>人民币</v>
      </c>
    </row>
    <row r="119" spans="1:20" s="3" customFormat="1" x14ac:dyDescent="0.15">
      <c r="A119" s="3" t="str">
        <f t="shared" ref="A119:A124" si="16">"2015-03-16"</f>
        <v>2015-03-16</v>
      </c>
      <c r="B119" s="3" t="str">
        <f>"申购还款"</f>
        <v>申购还款</v>
      </c>
      <c r="C119" s="3" t="str">
        <f>"002747"</f>
        <v>002747</v>
      </c>
      <c r="D119" s="3" t="str">
        <f>"埃斯顿"</f>
        <v>埃斯顿</v>
      </c>
      <c r="E119" s="3">
        <v>6.8</v>
      </c>
      <c r="F119" s="3">
        <v>2500</v>
      </c>
      <c r="G119" s="3">
        <v>17000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17000</v>
      </c>
      <c r="N119" s="3">
        <v>169360</v>
      </c>
      <c r="O119" s="3" t="str">
        <f>"SW375681"</f>
        <v>SW375681</v>
      </c>
      <c r="P119" s="3">
        <v>6.8</v>
      </c>
      <c r="Q119" s="3">
        <v>2500</v>
      </c>
      <c r="R119" s="3" t="str">
        <f>"0103988319"</f>
        <v>0103988319</v>
      </c>
      <c r="S119" s="3" t="str">
        <f t="shared" si="10"/>
        <v>301719094322</v>
      </c>
      <c r="T119" s="3" t="str">
        <f t="shared" si="12"/>
        <v>人民币</v>
      </c>
    </row>
    <row r="120" spans="1:20" s="3" customFormat="1" x14ac:dyDescent="0.15">
      <c r="A120" s="3" t="str">
        <f t="shared" si="16"/>
        <v>2015-03-16</v>
      </c>
      <c r="B120" s="3" t="str">
        <f>"申购还款"</f>
        <v>申购还款</v>
      </c>
      <c r="C120" s="3" t="str">
        <f>"300429"</f>
        <v>300429</v>
      </c>
      <c r="D120" s="3" t="str">
        <f>"强力新材"</f>
        <v>强力新材</v>
      </c>
      <c r="E120" s="3">
        <v>15.89</v>
      </c>
      <c r="F120" s="3">
        <v>2500</v>
      </c>
      <c r="G120" s="3">
        <v>39725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39725</v>
      </c>
      <c r="N120" s="3">
        <v>209085</v>
      </c>
      <c r="O120" s="3" t="str">
        <f>"SW375707"</f>
        <v>SW375707</v>
      </c>
      <c r="P120" s="3">
        <v>15.89</v>
      </c>
      <c r="Q120" s="3">
        <v>2500</v>
      </c>
      <c r="R120" s="3" t="str">
        <f>"0103988319"</f>
        <v>0103988319</v>
      </c>
      <c r="S120" s="3" t="str">
        <f t="shared" si="10"/>
        <v>301719094322</v>
      </c>
      <c r="T120" s="3" t="str">
        <f t="shared" si="12"/>
        <v>人民币</v>
      </c>
    </row>
    <row r="121" spans="1:20" s="3" customFormat="1" x14ac:dyDescent="0.15">
      <c r="A121" s="3" t="str">
        <f t="shared" si="16"/>
        <v>2015-03-16</v>
      </c>
      <c r="B121" s="3" t="str">
        <f>"申购还款"</f>
        <v>申购还款</v>
      </c>
      <c r="C121" s="3" t="str">
        <f>"300431"</f>
        <v>300431</v>
      </c>
      <c r="D121" s="3" t="str">
        <f>"暴风科技"</f>
        <v>暴风科技</v>
      </c>
      <c r="E121" s="3">
        <v>7.14</v>
      </c>
      <c r="F121" s="3">
        <v>2500</v>
      </c>
      <c r="G121" s="3">
        <v>17850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17850</v>
      </c>
      <c r="N121" s="3">
        <v>226935</v>
      </c>
      <c r="O121" s="3" t="str">
        <f>"SW375806"</f>
        <v>SW375806</v>
      </c>
      <c r="P121" s="3">
        <v>7.14</v>
      </c>
      <c r="Q121" s="3">
        <v>2500</v>
      </c>
      <c r="R121" s="3" t="str">
        <f>"0103988319"</f>
        <v>0103988319</v>
      </c>
      <c r="S121" s="3" t="str">
        <f t="shared" si="10"/>
        <v>301719094322</v>
      </c>
      <c r="T121" s="3" t="str">
        <f t="shared" si="12"/>
        <v>人民币</v>
      </c>
    </row>
    <row r="122" spans="1:20" s="3" customFormat="1" x14ac:dyDescent="0.15">
      <c r="A122" s="3" t="str">
        <f t="shared" si="16"/>
        <v>2015-03-16</v>
      </c>
      <c r="B122" s="3" t="str">
        <f>"申购还款"</f>
        <v>申购还款</v>
      </c>
      <c r="C122" s="3" t="str">
        <f>"002749"</f>
        <v>002749</v>
      </c>
      <c r="D122" s="3" t="str">
        <f>"国光股份"</f>
        <v>国光股份</v>
      </c>
      <c r="E122" s="3">
        <v>26.92</v>
      </c>
      <c r="F122" s="3">
        <v>2500</v>
      </c>
      <c r="G122" s="3">
        <v>67300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67300</v>
      </c>
      <c r="N122" s="3">
        <v>294235</v>
      </c>
      <c r="O122" s="3" t="str">
        <f>"SW375867"</f>
        <v>SW375867</v>
      </c>
      <c r="P122" s="3">
        <v>26.92</v>
      </c>
      <c r="Q122" s="3">
        <v>2500</v>
      </c>
      <c r="R122" s="3" t="str">
        <f>"0103988319"</f>
        <v>0103988319</v>
      </c>
      <c r="S122" s="3" t="str">
        <f t="shared" si="10"/>
        <v>301719094322</v>
      </c>
      <c r="T122" s="3" t="str">
        <f t="shared" si="12"/>
        <v>人民币</v>
      </c>
    </row>
    <row r="123" spans="1:20" s="3" customFormat="1" x14ac:dyDescent="0.15">
      <c r="A123" s="3" t="str">
        <f t="shared" si="16"/>
        <v>2015-03-16</v>
      </c>
      <c r="B123" s="3" t="str">
        <f>"申购还款"</f>
        <v>申购还款</v>
      </c>
      <c r="C123" s="3" t="str">
        <f>"002750"</f>
        <v>002750</v>
      </c>
      <c r="D123" s="3" t="str">
        <f>"龙津药业"</f>
        <v>龙津药业</v>
      </c>
      <c r="E123" s="3">
        <v>21.21</v>
      </c>
      <c r="F123" s="3">
        <v>2500</v>
      </c>
      <c r="G123" s="3">
        <v>53025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53025</v>
      </c>
      <c r="N123" s="3">
        <v>347260</v>
      </c>
      <c r="O123" s="3" t="str">
        <f>"SW375886"</f>
        <v>SW375886</v>
      </c>
      <c r="P123" s="3">
        <v>21.21</v>
      </c>
      <c r="Q123" s="3">
        <v>2500</v>
      </c>
      <c r="R123" s="3" t="str">
        <f>"0103988319"</f>
        <v>0103988319</v>
      </c>
      <c r="S123" s="3" t="str">
        <f t="shared" si="10"/>
        <v>301719094322</v>
      </c>
      <c r="T123" s="3" t="str">
        <f t="shared" si="12"/>
        <v>人民币</v>
      </c>
    </row>
    <row r="124" spans="1:20" s="3" customFormat="1" x14ac:dyDescent="0.15">
      <c r="A124" s="3" t="str">
        <f t="shared" si="16"/>
        <v>2015-03-16</v>
      </c>
      <c r="B124" s="3" t="str">
        <f>"基金申购"</f>
        <v>基金申购</v>
      </c>
      <c r="C124" s="3" t="str">
        <f>"A40006"</f>
        <v>A40006</v>
      </c>
      <c r="D124" s="3" t="str">
        <f>"现金宝"</f>
        <v>现金宝</v>
      </c>
      <c r="E124" s="3">
        <v>1</v>
      </c>
      <c r="F124" s="3">
        <v>152360</v>
      </c>
      <c r="G124" s="3">
        <v>152360</v>
      </c>
      <c r="H124" s="3">
        <v>463550</v>
      </c>
      <c r="I124" s="3">
        <v>0</v>
      </c>
      <c r="J124" s="3">
        <v>0</v>
      </c>
      <c r="K124" s="3">
        <v>0</v>
      </c>
      <c r="L124" s="3">
        <v>0</v>
      </c>
      <c r="M124" s="3">
        <v>-152360</v>
      </c>
      <c r="N124" s="3">
        <v>194900</v>
      </c>
      <c r="P124" s="3">
        <v>0</v>
      </c>
      <c r="Q124" s="3">
        <v>0</v>
      </c>
      <c r="R124" s="3" t="str">
        <f>"99F625223328"</f>
        <v>99F625223328</v>
      </c>
      <c r="S124" s="3" t="str">
        <f t="shared" si="10"/>
        <v>301719094322</v>
      </c>
      <c r="T124" s="3" t="str">
        <f t="shared" si="12"/>
        <v>人民币</v>
      </c>
    </row>
    <row r="125" spans="1:20" s="3" customFormat="1" x14ac:dyDescent="0.15">
      <c r="A125" s="3" t="str">
        <f>"2015-03-17"</f>
        <v>2015-03-17</v>
      </c>
      <c r="B125" s="3" t="str">
        <f>"银证转出"</f>
        <v>银证转出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-150000</v>
      </c>
      <c r="N125" s="3">
        <v>44900</v>
      </c>
      <c r="P125" s="3">
        <v>0</v>
      </c>
      <c r="Q125" s="3">
        <v>0</v>
      </c>
      <c r="S125" s="3" t="str">
        <f t="shared" si="10"/>
        <v>301719094322</v>
      </c>
      <c r="T125" s="3" t="str">
        <f t="shared" si="12"/>
        <v>人民币</v>
      </c>
    </row>
    <row r="126" spans="1:20" s="3" customFormat="1" x14ac:dyDescent="0.15">
      <c r="A126" s="3" t="str">
        <f>"2015-03-17"</f>
        <v>2015-03-17</v>
      </c>
      <c r="B126" s="3" t="str">
        <f>"证券买入清算"</f>
        <v>证券买入清算</v>
      </c>
      <c r="C126" s="3" t="str">
        <f>"002239"</f>
        <v>002239</v>
      </c>
      <c r="D126" s="3" t="str">
        <f>"金 飞 达"</f>
        <v>金 飞 达</v>
      </c>
      <c r="E126" s="3">
        <v>8.8800000000000008</v>
      </c>
      <c r="F126" s="3">
        <v>2000</v>
      </c>
      <c r="G126" s="3">
        <v>17760</v>
      </c>
      <c r="H126" s="3">
        <v>2000</v>
      </c>
      <c r="I126" s="3">
        <v>5</v>
      </c>
      <c r="J126" s="3">
        <v>0</v>
      </c>
      <c r="K126" s="3">
        <v>0</v>
      </c>
      <c r="L126" s="3">
        <v>0</v>
      </c>
      <c r="M126" s="3">
        <v>-17765</v>
      </c>
      <c r="N126" s="3">
        <v>27135</v>
      </c>
      <c r="O126" s="3" t="str">
        <f>"SW498419"</f>
        <v>SW498419</v>
      </c>
      <c r="P126" s="3">
        <v>8.8800000000000008</v>
      </c>
      <c r="Q126" s="3">
        <v>2000</v>
      </c>
      <c r="R126" s="3" t="str">
        <f>"0103988319"</f>
        <v>0103988319</v>
      </c>
      <c r="S126" s="3" t="str">
        <f t="shared" si="10"/>
        <v>301719094322</v>
      </c>
      <c r="T126" s="3" t="str">
        <f t="shared" si="12"/>
        <v>人民币</v>
      </c>
    </row>
    <row r="127" spans="1:20" s="3" customFormat="1" x14ac:dyDescent="0.15">
      <c r="A127" s="3" t="str">
        <f>"2015-03-17"</f>
        <v>2015-03-17</v>
      </c>
      <c r="B127" s="3" t="str">
        <f>"证券买入清算"</f>
        <v>证券买入清算</v>
      </c>
      <c r="C127" s="3" t="str">
        <f>"002239"</f>
        <v>002239</v>
      </c>
      <c r="D127" s="3" t="str">
        <f>"金 飞 达"</f>
        <v>金 飞 达</v>
      </c>
      <c r="E127" s="3">
        <v>8.98</v>
      </c>
      <c r="F127" s="3">
        <v>2000</v>
      </c>
      <c r="G127" s="3">
        <v>17960</v>
      </c>
      <c r="H127" s="3">
        <v>4000</v>
      </c>
      <c r="I127" s="3">
        <v>5</v>
      </c>
      <c r="J127" s="3">
        <v>0</v>
      </c>
      <c r="K127" s="3">
        <v>0</v>
      </c>
      <c r="L127" s="3">
        <v>0</v>
      </c>
      <c r="M127" s="3">
        <v>-17965</v>
      </c>
      <c r="N127" s="3">
        <v>9170</v>
      </c>
      <c r="O127" s="3" t="str">
        <f>"SW498647"</f>
        <v>SW498647</v>
      </c>
      <c r="P127" s="3">
        <v>8.98</v>
      </c>
      <c r="Q127" s="3">
        <v>2000</v>
      </c>
      <c r="R127" s="3" t="str">
        <f>"0103988319"</f>
        <v>0103988319</v>
      </c>
      <c r="S127" s="3" t="str">
        <f t="shared" si="10"/>
        <v>301719094322</v>
      </c>
      <c r="T127" s="3" t="str">
        <f t="shared" si="12"/>
        <v>人民币</v>
      </c>
    </row>
    <row r="128" spans="1:20" s="3" customFormat="1" x14ac:dyDescent="0.15">
      <c r="A128" s="3" t="str">
        <f>"2015-03-17"</f>
        <v>2015-03-17</v>
      </c>
      <c r="B128" s="3" t="str">
        <f>"基金申购"</f>
        <v>基金申购</v>
      </c>
      <c r="C128" s="3" t="str">
        <f>"A40006"</f>
        <v>A40006</v>
      </c>
      <c r="D128" s="3" t="str">
        <f>"现金宝"</f>
        <v>现金宝</v>
      </c>
      <c r="E128" s="3">
        <v>1</v>
      </c>
      <c r="F128" s="3">
        <v>9170</v>
      </c>
      <c r="G128" s="3">
        <v>9170</v>
      </c>
      <c r="H128" s="3">
        <v>472720</v>
      </c>
      <c r="I128" s="3">
        <v>0</v>
      </c>
      <c r="J128" s="3">
        <v>0</v>
      </c>
      <c r="K128" s="3">
        <v>0</v>
      </c>
      <c r="L128" s="3">
        <v>0</v>
      </c>
      <c r="M128" s="3">
        <v>-9170</v>
      </c>
      <c r="N128" s="3">
        <v>0</v>
      </c>
      <c r="P128" s="3">
        <v>0</v>
      </c>
      <c r="Q128" s="3">
        <v>0</v>
      </c>
      <c r="R128" s="3" t="str">
        <f>"99F625223328"</f>
        <v>99F625223328</v>
      </c>
      <c r="S128" s="3" t="str">
        <f t="shared" si="10"/>
        <v>301719094322</v>
      </c>
      <c r="T128" s="3" t="str">
        <f t="shared" si="12"/>
        <v>人民币</v>
      </c>
    </row>
    <row r="129" spans="1:20" s="3" customFormat="1" x14ac:dyDescent="0.15">
      <c r="A129" s="3" t="str">
        <f>"2015-03-18"</f>
        <v>2015-03-18</v>
      </c>
      <c r="B129" s="3" t="str">
        <f>"银证转入"</f>
        <v>银证转入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9131.66</v>
      </c>
      <c r="N129" s="3">
        <v>9131.66</v>
      </c>
      <c r="P129" s="3">
        <v>0</v>
      </c>
      <c r="Q129" s="3">
        <v>0</v>
      </c>
      <c r="S129" s="3" t="str">
        <f>"301719094323"</f>
        <v>301719094323</v>
      </c>
      <c r="T129" s="3" t="str">
        <f t="shared" si="12"/>
        <v>人民币</v>
      </c>
    </row>
    <row r="130" spans="1:20" s="3" customFormat="1" x14ac:dyDescent="0.15">
      <c r="A130" s="3" t="str">
        <f>"2015-03-18"</f>
        <v>2015-03-18</v>
      </c>
      <c r="B130" s="3" t="str">
        <f>"跨行转出"</f>
        <v>跨行转出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-9131.66</v>
      </c>
      <c r="N130" s="3">
        <v>0</v>
      </c>
      <c r="P130" s="3">
        <v>0</v>
      </c>
      <c r="Q130" s="3">
        <v>0</v>
      </c>
      <c r="S130" s="3" t="str">
        <f>"301719094323"</f>
        <v>301719094323</v>
      </c>
      <c r="T130" s="3" t="str">
        <f t="shared" si="12"/>
        <v>人民币</v>
      </c>
    </row>
    <row r="131" spans="1:20" s="3" customFormat="1" x14ac:dyDescent="0.15">
      <c r="A131" s="3" t="str">
        <f>"2015-03-18"</f>
        <v>2015-03-18</v>
      </c>
      <c r="B131" s="3" t="str">
        <f>"跨行转入"</f>
        <v>跨行转入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9131.66</v>
      </c>
      <c r="N131" s="3">
        <v>9131.66</v>
      </c>
      <c r="P131" s="3">
        <v>0</v>
      </c>
      <c r="Q131" s="3">
        <v>0</v>
      </c>
      <c r="S131" s="3" t="str">
        <f>"301719094322"</f>
        <v>301719094322</v>
      </c>
      <c r="T131" s="3" t="str">
        <f t="shared" si="12"/>
        <v>人民币</v>
      </c>
    </row>
    <row r="132" spans="1:20" s="3" customFormat="1" x14ac:dyDescent="0.15">
      <c r="A132" s="3" t="str">
        <f>"2015-03-18"</f>
        <v>2015-03-18</v>
      </c>
      <c r="B132" s="3" t="str">
        <f>"基金赎回"</f>
        <v>基金赎回</v>
      </c>
      <c r="C132" s="3" t="str">
        <f>"A40006"</f>
        <v>A40006</v>
      </c>
      <c r="D132" s="3" t="str">
        <f>"现金宝"</f>
        <v>现金宝</v>
      </c>
      <c r="E132" s="3">
        <v>1</v>
      </c>
      <c r="F132" s="3">
        <v>42423.34</v>
      </c>
      <c r="G132" s="3">
        <v>42423.34</v>
      </c>
      <c r="H132" s="3">
        <v>430297</v>
      </c>
      <c r="I132" s="3">
        <v>0</v>
      </c>
      <c r="J132" s="3">
        <v>0</v>
      </c>
      <c r="K132" s="3">
        <v>0</v>
      </c>
      <c r="L132" s="3">
        <v>0</v>
      </c>
      <c r="M132" s="3">
        <v>42423.34</v>
      </c>
      <c r="N132" s="3">
        <v>51555</v>
      </c>
      <c r="P132" s="3">
        <v>0</v>
      </c>
      <c r="Q132" s="3">
        <v>0</v>
      </c>
      <c r="R132" s="3" t="str">
        <f>"99F625223328"</f>
        <v>99F625223328</v>
      </c>
      <c r="S132" s="3" t="str">
        <f>"301719094322"</f>
        <v>301719094322</v>
      </c>
      <c r="T132" s="3" t="str">
        <f t="shared" si="12"/>
        <v>人民币</v>
      </c>
    </row>
    <row r="133" spans="1:20" s="3" customFormat="1" x14ac:dyDescent="0.15">
      <c r="A133" s="3" t="str">
        <f>"2015-03-18"</f>
        <v>2015-03-18</v>
      </c>
      <c r="B133" s="3" t="str">
        <f>"新股申购"</f>
        <v>新股申购</v>
      </c>
      <c r="C133" s="3" t="str">
        <f>"300435"</f>
        <v>300435</v>
      </c>
      <c r="D133" s="3" t="str">
        <f>"中泰股份"</f>
        <v>中泰股份</v>
      </c>
      <c r="E133" s="3">
        <v>14.73</v>
      </c>
      <c r="F133" s="3">
        <v>3500</v>
      </c>
      <c r="G133" s="3">
        <v>51555</v>
      </c>
      <c r="H133" s="3">
        <v>3500</v>
      </c>
      <c r="I133" s="3">
        <v>0</v>
      </c>
      <c r="J133" s="3">
        <v>0</v>
      </c>
      <c r="K133" s="3">
        <v>0</v>
      </c>
      <c r="L133" s="3">
        <v>0</v>
      </c>
      <c r="M133" s="3">
        <v>-51555</v>
      </c>
      <c r="N133" s="3">
        <v>0</v>
      </c>
      <c r="O133" s="3" t="str">
        <f>"SW136608"</f>
        <v>SW136608</v>
      </c>
      <c r="P133" s="3">
        <v>14.73</v>
      </c>
      <c r="Q133" s="3">
        <v>3500</v>
      </c>
      <c r="R133" s="3" t="str">
        <f>"0103988319"</f>
        <v>0103988319</v>
      </c>
      <c r="S133" s="3" t="str">
        <f>"301719094322"</f>
        <v>301719094322</v>
      </c>
      <c r="T133" s="3" t="str">
        <f t="shared" si="12"/>
        <v>人民币</v>
      </c>
    </row>
    <row r="134" spans="1:20" s="3" customFormat="1" x14ac:dyDescent="0.15">
      <c r="A134" s="3" t="str">
        <f>"2015-03-20"</f>
        <v>2015-03-20</v>
      </c>
      <c r="B134" s="3" t="str">
        <f>"申购还款"</f>
        <v>申购还款</v>
      </c>
      <c r="C134" s="3" t="str">
        <f>"300435"</f>
        <v>300435</v>
      </c>
      <c r="D134" s="3" t="str">
        <f>"中泰股份"</f>
        <v>中泰股份</v>
      </c>
      <c r="E134" s="3">
        <v>14.73</v>
      </c>
      <c r="F134" s="3">
        <v>3500</v>
      </c>
      <c r="G134" s="3">
        <v>51555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51555</v>
      </c>
      <c r="N134" s="3">
        <v>51555</v>
      </c>
      <c r="O134" s="3" t="str">
        <f>"SW136608"</f>
        <v>SW136608</v>
      </c>
      <c r="P134" s="3">
        <v>14.73</v>
      </c>
      <c r="Q134" s="3">
        <v>3500</v>
      </c>
      <c r="R134" s="3" t="str">
        <f>"0103988319"</f>
        <v>0103988319</v>
      </c>
      <c r="S134" s="3" t="str">
        <f>"301719094322"</f>
        <v>301719094322</v>
      </c>
      <c r="T134" s="3" t="str">
        <f t="shared" si="12"/>
        <v>人民币</v>
      </c>
    </row>
    <row r="135" spans="1:20" s="3" customFormat="1" x14ac:dyDescent="0.15">
      <c r="A135" s="3" t="str">
        <f>"2015-03-23"</f>
        <v>2015-03-23</v>
      </c>
      <c r="B135" s="3" t="str">
        <f>"利息归本"</f>
        <v>利息归本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12.42</v>
      </c>
      <c r="N135" s="3">
        <v>51567.42</v>
      </c>
      <c r="P135" s="3">
        <v>0</v>
      </c>
      <c r="Q135" s="3">
        <v>0</v>
      </c>
      <c r="S135" s="3" t="str">
        <f>"301719094322"</f>
        <v>301719094322</v>
      </c>
      <c r="T135" s="3" t="str">
        <f t="shared" si="12"/>
        <v>人民币</v>
      </c>
    </row>
    <row r="136" spans="1:20" s="3" customFormat="1" x14ac:dyDescent="0.15">
      <c r="A136" s="3" t="str">
        <f>"2015-03-23"</f>
        <v>2015-03-23</v>
      </c>
      <c r="B136" s="3" t="str">
        <f>"利息归本"</f>
        <v>利息归本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0.1</v>
      </c>
      <c r="N136" s="3">
        <v>0.1</v>
      </c>
      <c r="P136" s="3">
        <v>0</v>
      </c>
      <c r="Q136" s="3">
        <v>0</v>
      </c>
      <c r="S136" s="3" t="str">
        <f>"301719094323"</f>
        <v>301719094323</v>
      </c>
      <c r="T136" s="3" t="str">
        <f t="shared" si="12"/>
        <v>人民币</v>
      </c>
    </row>
    <row r="137" spans="1:20" s="3" customFormat="1" x14ac:dyDescent="0.15">
      <c r="A137" s="3" t="str">
        <f>"2015-03-23"</f>
        <v>2015-03-23</v>
      </c>
      <c r="B137" s="3" t="str">
        <f>"基金申购"</f>
        <v>基金申购</v>
      </c>
      <c r="C137" s="3" t="str">
        <f>"A40006"</f>
        <v>A40006</v>
      </c>
      <c r="D137" s="3" t="str">
        <f>"现金宝"</f>
        <v>现金宝</v>
      </c>
      <c r="E137" s="3">
        <v>1</v>
      </c>
      <c r="F137" s="3">
        <v>51555</v>
      </c>
      <c r="G137" s="3">
        <v>51555</v>
      </c>
      <c r="H137" s="3">
        <v>481852</v>
      </c>
      <c r="I137" s="3">
        <v>0</v>
      </c>
      <c r="J137" s="3">
        <v>0</v>
      </c>
      <c r="K137" s="3">
        <v>0</v>
      </c>
      <c r="L137" s="3">
        <v>0</v>
      </c>
      <c r="M137" s="3">
        <v>-51555</v>
      </c>
      <c r="N137" s="3">
        <v>12.42</v>
      </c>
      <c r="P137" s="3">
        <v>0</v>
      </c>
      <c r="Q137" s="3">
        <v>0</v>
      </c>
      <c r="R137" s="3" t="str">
        <f>"99F625223328"</f>
        <v>99F625223328</v>
      </c>
      <c r="S137" s="3" t="str">
        <f>"301719094322"</f>
        <v>301719094322</v>
      </c>
      <c r="T137" s="3" t="str">
        <f t="shared" si="12"/>
        <v>人民币</v>
      </c>
    </row>
    <row r="138" spans="1:20" s="3" customFormat="1" x14ac:dyDescent="0.15">
      <c r="A138" s="3" t="str">
        <f>"2015-03-24"</f>
        <v>2015-03-24</v>
      </c>
      <c r="B138" s="3" t="str">
        <f>"跨行转出"</f>
        <v>跨行转出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-0.1</v>
      </c>
      <c r="N138" s="3">
        <v>0</v>
      </c>
      <c r="P138" s="3">
        <v>0</v>
      </c>
      <c r="Q138" s="3">
        <v>0</v>
      </c>
      <c r="S138" s="3" t="str">
        <f>"301719094323"</f>
        <v>301719094323</v>
      </c>
      <c r="T138" s="3" t="str">
        <f t="shared" si="12"/>
        <v>人民币</v>
      </c>
    </row>
    <row r="139" spans="1:20" s="3" customFormat="1" x14ac:dyDescent="0.15">
      <c r="A139" s="3" t="str">
        <f>"2015-03-24"</f>
        <v>2015-03-24</v>
      </c>
      <c r="B139" s="3" t="str">
        <f>"跨行转入"</f>
        <v>跨行转入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0.1</v>
      </c>
      <c r="N139" s="3">
        <v>12.52</v>
      </c>
      <c r="P139" s="3">
        <v>0</v>
      </c>
      <c r="Q139" s="3">
        <v>0</v>
      </c>
      <c r="S139" s="3" t="str">
        <f>"301719094322"</f>
        <v>301719094322</v>
      </c>
      <c r="T139" s="3" t="str">
        <f t="shared" si="12"/>
        <v>人民币</v>
      </c>
    </row>
    <row r="140" spans="1:20" s="3" customFormat="1" x14ac:dyDescent="0.15">
      <c r="A140" s="3" t="str">
        <f>"2015-03-24"</f>
        <v>2015-03-24</v>
      </c>
      <c r="B140" s="3" t="str">
        <f>"红利发放"</f>
        <v>红利发放</v>
      </c>
      <c r="C140" s="3" t="str">
        <f>"A40006"</f>
        <v>A40006</v>
      </c>
      <c r="D140" s="3" t="str">
        <f>"现金宝"</f>
        <v>现金宝</v>
      </c>
      <c r="E140" s="3">
        <v>1</v>
      </c>
      <c r="F140" s="3">
        <v>0</v>
      </c>
      <c r="G140" s="3">
        <v>2300.7800000000002</v>
      </c>
      <c r="H140" s="3">
        <v>481852</v>
      </c>
      <c r="I140" s="3">
        <v>0</v>
      </c>
      <c r="J140" s="3">
        <v>0</v>
      </c>
      <c r="K140" s="3">
        <v>0</v>
      </c>
      <c r="L140" s="3">
        <v>0</v>
      </c>
      <c r="M140" s="3">
        <v>2300.7800000000002</v>
      </c>
      <c r="N140" s="3">
        <v>2313.3000000000002</v>
      </c>
      <c r="P140" s="3">
        <v>1E-3</v>
      </c>
      <c r="Q140" s="3">
        <v>0</v>
      </c>
      <c r="R140" s="3" t="str">
        <f>"99F625223328"</f>
        <v>99F625223328</v>
      </c>
      <c r="S140" s="3" t="str">
        <f>"301719094322"</f>
        <v>301719094322</v>
      </c>
      <c r="T140" s="3" t="str">
        <f t="shared" si="12"/>
        <v>人民币</v>
      </c>
    </row>
    <row r="141" spans="1:20" s="3" customFormat="1" x14ac:dyDescent="0.15">
      <c r="A141" s="3" t="str">
        <f>"2015-03-25"</f>
        <v>2015-03-25</v>
      </c>
      <c r="B141" s="3" t="str">
        <f>"基金申购"</f>
        <v>基金申购</v>
      </c>
      <c r="C141" s="3" t="str">
        <f>"A40006"</f>
        <v>A40006</v>
      </c>
      <c r="D141" s="3" t="str">
        <f>"现金宝"</f>
        <v>现金宝</v>
      </c>
      <c r="E141" s="3">
        <v>1</v>
      </c>
      <c r="F141" s="3">
        <v>2313.3000000000002</v>
      </c>
      <c r="G141" s="3">
        <v>2313.3000000000002</v>
      </c>
      <c r="H141" s="3">
        <v>484165</v>
      </c>
      <c r="I141" s="3">
        <v>0</v>
      </c>
      <c r="J141" s="3">
        <v>0</v>
      </c>
      <c r="K141" s="3">
        <v>0</v>
      </c>
      <c r="L141" s="3">
        <v>0</v>
      </c>
      <c r="M141" s="3">
        <v>-2313.3000000000002</v>
      </c>
      <c r="N141" s="3">
        <v>0</v>
      </c>
      <c r="P141" s="3">
        <v>0</v>
      </c>
      <c r="Q141" s="3">
        <v>0</v>
      </c>
      <c r="R141" s="3" t="str">
        <f>"99F625223328"</f>
        <v>99F625223328</v>
      </c>
      <c r="S141" s="3" t="str">
        <f>"301719094322"</f>
        <v>301719094322</v>
      </c>
      <c r="T141" s="3" t="str">
        <f t="shared" si="12"/>
        <v>人民币</v>
      </c>
    </row>
    <row r="142" spans="1:20" s="3" customFormat="1" x14ac:dyDescent="0.15">
      <c r="A142" s="3" t="str">
        <f t="shared" ref="A142:A149" si="17">"2015-03-26"</f>
        <v>2015-03-26</v>
      </c>
      <c r="B142" s="3" t="str">
        <f>"银证转入"</f>
        <v>银证转入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1.02</v>
      </c>
      <c r="N142" s="3">
        <v>1.02</v>
      </c>
      <c r="P142" s="3">
        <v>0</v>
      </c>
      <c r="Q142" s="3">
        <v>0</v>
      </c>
      <c r="S142" s="3" t="str">
        <f>"301719093190"</f>
        <v>301719093190</v>
      </c>
      <c r="T142" s="3" t="str">
        <f t="shared" si="12"/>
        <v>人民币</v>
      </c>
    </row>
    <row r="143" spans="1:20" s="3" customFormat="1" x14ac:dyDescent="0.15">
      <c r="A143" s="3" t="str">
        <f t="shared" si="17"/>
        <v>2015-03-26</v>
      </c>
      <c r="B143" s="3" t="str">
        <f>"跨行转出"</f>
        <v>跨行转出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-1.02</v>
      </c>
      <c r="N143" s="3">
        <v>0</v>
      </c>
      <c r="P143" s="3">
        <v>0</v>
      </c>
      <c r="Q143" s="3">
        <v>0</v>
      </c>
      <c r="S143" s="3" t="str">
        <f>"301719093190"</f>
        <v>301719093190</v>
      </c>
      <c r="T143" s="3" t="str">
        <f t="shared" si="12"/>
        <v>人民币</v>
      </c>
    </row>
    <row r="144" spans="1:20" s="3" customFormat="1" x14ac:dyDescent="0.15">
      <c r="A144" s="3" t="str">
        <f t="shared" si="17"/>
        <v>2015-03-26</v>
      </c>
      <c r="B144" s="3" t="str">
        <f>"跨行转入"</f>
        <v>跨行转入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1.02</v>
      </c>
      <c r="N144" s="3">
        <v>1.02</v>
      </c>
      <c r="P144" s="3">
        <v>0</v>
      </c>
      <c r="Q144" s="3">
        <v>0</v>
      </c>
      <c r="S144" s="3" t="str">
        <f>"301719094322"</f>
        <v>301719094322</v>
      </c>
      <c r="T144" s="3" t="str">
        <f t="shared" si="12"/>
        <v>人民币</v>
      </c>
    </row>
    <row r="145" spans="1:20" s="3" customFormat="1" x14ac:dyDescent="0.15">
      <c r="A145" s="3" t="str">
        <f t="shared" si="17"/>
        <v>2015-03-26</v>
      </c>
      <c r="B145" s="3" t="str">
        <f>"银证转入"</f>
        <v>银证转入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1.43</v>
      </c>
      <c r="N145" s="3">
        <v>1.43</v>
      </c>
      <c r="P145" s="3">
        <v>0</v>
      </c>
      <c r="Q145" s="3">
        <v>0</v>
      </c>
      <c r="S145" s="3" t="str">
        <f>"301719094323"</f>
        <v>301719094323</v>
      </c>
      <c r="T145" s="3" t="str">
        <f t="shared" si="12"/>
        <v>人民币</v>
      </c>
    </row>
    <row r="146" spans="1:20" s="3" customFormat="1" x14ac:dyDescent="0.15">
      <c r="A146" s="3" t="str">
        <f t="shared" si="17"/>
        <v>2015-03-26</v>
      </c>
      <c r="B146" s="3" t="str">
        <f>"跨行转出"</f>
        <v>跨行转出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-1.43</v>
      </c>
      <c r="N146" s="3">
        <v>0</v>
      </c>
      <c r="P146" s="3">
        <v>0</v>
      </c>
      <c r="Q146" s="3">
        <v>0</v>
      </c>
      <c r="S146" s="3" t="str">
        <f>"301719094323"</f>
        <v>301719094323</v>
      </c>
      <c r="T146" s="3" t="str">
        <f t="shared" si="12"/>
        <v>人民币</v>
      </c>
    </row>
    <row r="147" spans="1:20" s="3" customFormat="1" x14ac:dyDescent="0.15">
      <c r="A147" s="3" t="str">
        <f t="shared" si="17"/>
        <v>2015-03-26</v>
      </c>
      <c r="B147" s="3" t="str">
        <f>"跨行转入"</f>
        <v>跨行转入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1.43</v>
      </c>
      <c r="N147" s="3">
        <v>2.4500000000000002</v>
      </c>
      <c r="P147" s="3">
        <v>0</v>
      </c>
      <c r="Q147" s="3">
        <v>0</v>
      </c>
      <c r="S147" s="3" t="str">
        <f t="shared" ref="S147:S155" si="18">"301719094322"</f>
        <v>301719094322</v>
      </c>
      <c r="T147" s="3" t="str">
        <f t="shared" si="12"/>
        <v>人民币</v>
      </c>
    </row>
    <row r="148" spans="1:20" s="3" customFormat="1" x14ac:dyDescent="0.15">
      <c r="A148" s="3" t="str">
        <f t="shared" si="17"/>
        <v>2015-03-26</v>
      </c>
      <c r="B148" s="3" t="str">
        <f>"基金赎回"</f>
        <v>基金赎回</v>
      </c>
      <c r="C148" s="3" t="str">
        <f>"A40006"</f>
        <v>A40006</v>
      </c>
      <c r="D148" s="3" t="str">
        <f>"现金宝"</f>
        <v>现金宝</v>
      </c>
      <c r="E148" s="3">
        <v>1</v>
      </c>
      <c r="F148" s="3">
        <v>27778.11</v>
      </c>
      <c r="G148" s="3">
        <v>27778.11</v>
      </c>
      <c r="H148" s="3">
        <v>456387</v>
      </c>
      <c r="I148" s="3">
        <v>0</v>
      </c>
      <c r="J148" s="3">
        <v>0</v>
      </c>
      <c r="K148" s="3">
        <v>0</v>
      </c>
      <c r="L148" s="3">
        <v>0</v>
      </c>
      <c r="M148" s="3">
        <v>27778.11</v>
      </c>
      <c r="N148" s="3">
        <v>27780.560000000001</v>
      </c>
      <c r="P148" s="3">
        <v>0</v>
      </c>
      <c r="Q148" s="3">
        <v>0</v>
      </c>
      <c r="R148" s="3" t="str">
        <f>"99F625223328"</f>
        <v>99F625223328</v>
      </c>
      <c r="S148" s="3" t="str">
        <f t="shared" si="18"/>
        <v>301719094322</v>
      </c>
      <c r="T148" s="3" t="str">
        <f t="shared" si="12"/>
        <v>人民币</v>
      </c>
    </row>
    <row r="149" spans="1:20" s="3" customFormat="1" x14ac:dyDescent="0.15">
      <c r="A149" s="3" t="str">
        <f t="shared" si="17"/>
        <v>2015-03-26</v>
      </c>
      <c r="B149" s="3" t="str">
        <f>"证券买入清算"</f>
        <v>证券买入清算</v>
      </c>
      <c r="C149" s="3" t="str">
        <f>"002252"</f>
        <v>002252</v>
      </c>
      <c r="D149" s="3" t="str">
        <f>"上海莱士"</f>
        <v>上海莱士</v>
      </c>
      <c r="E149" s="3">
        <v>55.55</v>
      </c>
      <c r="F149" s="3">
        <v>500</v>
      </c>
      <c r="G149" s="3">
        <v>27775</v>
      </c>
      <c r="H149" s="3">
        <v>500</v>
      </c>
      <c r="I149" s="3">
        <v>5.56</v>
      </c>
      <c r="J149" s="3">
        <v>0</v>
      </c>
      <c r="K149" s="3">
        <v>0</v>
      </c>
      <c r="L149" s="3">
        <v>0</v>
      </c>
      <c r="M149" s="3">
        <v>-27780.560000000001</v>
      </c>
      <c r="N149" s="3">
        <v>0</v>
      </c>
      <c r="O149" s="3" t="str">
        <f>"SW474456"</f>
        <v>SW474456</v>
      </c>
      <c r="P149" s="3">
        <v>55.55</v>
      </c>
      <c r="Q149" s="3">
        <v>500</v>
      </c>
      <c r="R149" s="3" t="str">
        <f>"0103988319"</f>
        <v>0103988319</v>
      </c>
      <c r="S149" s="3" t="str">
        <f t="shared" si="18"/>
        <v>301719094322</v>
      </c>
      <c r="T149" s="3" t="str">
        <f t="shared" si="12"/>
        <v>人民币</v>
      </c>
    </row>
    <row r="150" spans="1:20" s="3" customFormat="1" x14ac:dyDescent="0.15">
      <c r="A150" s="3" t="str">
        <f>"2015-03-27"</f>
        <v>2015-03-27</v>
      </c>
      <c r="B150" s="3" t="str">
        <f>"证券卖出清算"</f>
        <v>证券卖出清算</v>
      </c>
      <c r="C150" s="3" t="str">
        <f>"002252"</f>
        <v>002252</v>
      </c>
      <c r="D150" s="3" t="str">
        <f>"上海莱士"</f>
        <v>上海莱士</v>
      </c>
      <c r="E150" s="3">
        <v>56.66</v>
      </c>
      <c r="F150" s="3">
        <v>500</v>
      </c>
      <c r="G150" s="3">
        <v>28330</v>
      </c>
      <c r="H150" s="3">
        <v>0</v>
      </c>
      <c r="I150" s="3">
        <v>5.67</v>
      </c>
      <c r="J150" s="3">
        <v>28.33</v>
      </c>
      <c r="K150" s="3">
        <v>0</v>
      </c>
      <c r="L150" s="3">
        <v>0</v>
      </c>
      <c r="M150" s="3">
        <v>28296</v>
      </c>
      <c r="N150" s="3">
        <v>28296</v>
      </c>
      <c r="O150" s="3" t="str">
        <f>"SW172768"</f>
        <v>SW172768</v>
      </c>
      <c r="P150" s="3">
        <v>56.66</v>
      </c>
      <c r="Q150" s="3">
        <v>500</v>
      </c>
      <c r="R150" s="3" t="str">
        <f>"0103988319"</f>
        <v>0103988319</v>
      </c>
      <c r="S150" s="3" t="str">
        <f t="shared" si="18"/>
        <v>301719094322</v>
      </c>
      <c r="T150" s="3" t="str">
        <f t="shared" si="12"/>
        <v>人民币</v>
      </c>
    </row>
    <row r="151" spans="1:20" s="3" customFormat="1" x14ac:dyDescent="0.15">
      <c r="A151" s="3" t="str">
        <f>"2015-03-27"</f>
        <v>2015-03-27</v>
      </c>
      <c r="B151" s="3" t="str">
        <f>"基金申购"</f>
        <v>基金申购</v>
      </c>
      <c r="C151" s="3" t="str">
        <f>"A40006"</f>
        <v>A40006</v>
      </c>
      <c r="D151" s="3" t="str">
        <f>"现金宝"</f>
        <v>现金宝</v>
      </c>
      <c r="E151" s="3">
        <v>1</v>
      </c>
      <c r="F151" s="3">
        <v>28296</v>
      </c>
      <c r="G151" s="3">
        <v>28296</v>
      </c>
      <c r="H151" s="3">
        <v>484683</v>
      </c>
      <c r="I151" s="3">
        <v>0</v>
      </c>
      <c r="J151" s="3">
        <v>0</v>
      </c>
      <c r="K151" s="3">
        <v>0</v>
      </c>
      <c r="L151" s="3">
        <v>0</v>
      </c>
      <c r="M151" s="3">
        <v>-28296</v>
      </c>
      <c r="N151" s="3">
        <v>0</v>
      </c>
      <c r="P151" s="3">
        <v>0</v>
      </c>
      <c r="Q151" s="3">
        <v>0</v>
      </c>
      <c r="R151" s="3" t="str">
        <f>"99F625223328"</f>
        <v>99F625223328</v>
      </c>
      <c r="S151" s="3" t="str">
        <f t="shared" si="18"/>
        <v>301719094322</v>
      </c>
      <c r="T151" s="3" t="str">
        <f t="shared" si="12"/>
        <v>人民币</v>
      </c>
    </row>
    <row r="152" spans="1:20" s="3" customFormat="1" x14ac:dyDescent="0.15">
      <c r="A152" s="3" t="str">
        <f>"2015-03-30"</f>
        <v>2015-03-30</v>
      </c>
      <c r="B152" s="3" t="str">
        <f>"基金赎回"</f>
        <v>基金赎回</v>
      </c>
      <c r="C152" s="3" t="str">
        <f>"A40006"</f>
        <v>A40006</v>
      </c>
      <c r="D152" s="3" t="str">
        <f>"现金宝"</f>
        <v>现金宝</v>
      </c>
      <c r="E152" s="3">
        <v>1</v>
      </c>
      <c r="F152" s="3">
        <v>3934.51</v>
      </c>
      <c r="G152" s="3">
        <v>3934.51</v>
      </c>
      <c r="H152" s="3">
        <v>480749</v>
      </c>
      <c r="I152" s="3">
        <v>0</v>
      </c>
      <c r="J152" s="3">
        <v>0</v>
      </c>
      <c r="K152" s="3">
        <v>0</v>
      </c>
      <c r="L152" s="3">
        <v>0</v>
      </c>
      <c r="M152" s="3">
        <v>3934.51</v>
      </c>
      <c r="N152" s="3">
        <v>3934.51</v>
      </c>
      <c r="P152" s="3">
        <v>0</v>
      </c>
      <c r="Q152" s="3">
        <v>0</v>
      </c>
      <c r="R152" s="3" t="str">
        <f>"99F625223328"</f>
        <v>99F625223328</v>
      </c>
      <c r="S152" s="3" t="str">
        <f t="shared" si="18"/>
        <v>301719094322</v>
      </c>
      <c r="T152" s="3" t="str">
        <f t="shared" si="12"/>
        <v>人民币</v>
      </c>
    </row>
    <row r="153" spans="1:20" s="3" customFormat="1" x14ac:dyDescent="0.15">
      <c r="A153" s="3" t="str">
        <f>"2015-03-30"</f>
        <v>2015-03-30</v>
      </c>
      <c r="B153" s="3" t="str">
        <f>"证券卖出清算"</f>
        <v>证券卖出清算</v>
      </c>
      <c r="C153" s="3" t="str">
        <f>"002697"</f>
        <v>002697</v>
      </c>
      <c r="D153" s="3" t="str">
        <f>"红旗连锁"</f>
        <v>红旗连锁</v>
      </c>
      <c r="E153" s="3">
        <v>11.97</v>
      </c>
      <c r="F153" s="3">
        <v>2000</v>
      </c>
      <c r="G153" s="3">
        <v>23940</v>
      </c>
      <c r="H153" s="3">
        <v>0</v>
      </c>
      <c r="I153" s="3">
        <v>5</v>
      </c>
      <c r="J153" s="3">
        <v>23.94</v>
      </c>
      <c r="K153" s="3">
        <v>0</v>
      </c>
      <c r="L153" s="3">
        <v>0</v>
      </c>
      <c r="M153" s="3">
        <v>23911.06</v>
      </c>
      <c r="N153" s="3">
        <v>27845.57</v>
      </c>
      <c r="O153" s="3" t="str">
        <f>"SW238286"</f>
        <v>SW238286</v>
      </c>
      <c r="P153" s="3">
        <v>11.36</v>
      </c>
      <c r="Q153" s="3">
        <v>2000</v>
      </c>
      <c r="R153" s="3" t="str">
        <f>"0103988319"</f>
        <v>0103988319</v>
      </c>
      <c r="S153" s="3" t="str">
        <f t="shared" si="18"/>
        <v>301719094322</v>
      </c>
      <c r="T153" s="3" t="str">
        <f t="shared" si="12"/>
        <v>人民币</v>
      </c>
    </row>
    <row r="154" spans="1:20" s="3" customFormat="1" x14ac:dyDescent="0.15">
      <c r="A154" s="3" t="str">
        <f>"2015-03-30"</f>
        <v>2015-03-30</v>
      </c>
      <c r="B154" s="3" t="str">
        <f>"证券买入清算"</f>
        <v>证券买入清算</v>
      </c>
      <c r="C154" s="3" t="str">
        <f>"002252"</f>
        <v>002252</v>
      </c>
      <c r="D154" s="3" t="str">
        <f>"上海莱士"</f>
        <v>上海莱士</v>
      </c>
      <c r="E154" s="3">
        <v>55.68</v>
      </c>
      <c r="F154" s="3">
        <v>500</v>
      </c>
      <c r="G154" s="3">
        <v>27840</v>
      </c>
      <c r="H154" s="3">
        <v>500</v>
      </c>
      <c r="I154" s="3">
        <v>5.57</v>
      </c>
      <c r="J154" s="3">
        <v>0</v>
      </c>
      <c r="K154" s="3">
        <v>0</v>
      </c>
      <c r="L154" s="3">
        <v>0</v>
      </c>
      <c r="M154" s="3">
        <v>-27845.57</v>
      </c>
      <c r="N154" s="3">
        <v>0</v>
      </c>
      <c r="O154" s="3" t="str">
        <f>"SW260320"</f>
        <v>SW260320</v>
      </c>
      <c r="P154" s="3">
        <v>55.68</v>
      </c>
      <c r="Q154" s="3">
        <v>500</v>
      </c>
      <c r="R154" s="3" t="str">
        <f>"0103988319"</f>
        <v>0103988319</v>
      </c>
      <c r="S154" s="3" t="str">
        <f t="shared" si="18"/>
        <v>301719094322</v>
      </c>
      <c r="T154" s="3" t="str">
        <f t="shared" si="12"/>
        <v>人民币</v>
      </c>
    </row>
    <row r="155" spans="1:20" s="3" customFormat="1" x14ac:dyDescent="0.15">
      <c r="A155" s="3" t="str">
        <f t="shared" ref="A155:A160" si="19">"2015-03-31"</f>
        <v>2015-03-31</v>
      </c>
      <c r="B155" s="3" t="str">
        <f>"银证转入"</f>
        <v>银证转入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14.45</v>
      </c>
      <c r="N155" s="3">
        <v>14.45</v>
      </c>
      <c r="P155" s="3">
        <v>0</v>
      </c>
      <c r="Q155" s="3">
        <v>0</v>
      </c>
      <c r="S155" s="3" t="str">
        <f t="shared" si="18"/>
        <v>301719094322</v>
      </c>
      <c r="T155" s="3" t="str">
        <f t="shared" si="12"/>
        <v>人民币</v>
      </c>
    </row>
    <row r="156" spans="1:20" s="3" customFormat="1" x14ac:dyDescent="0.15">
      <c r="A156" s="3" t="str">
        <f t="shared" si="19"/>
        <v>2015-03-31</v>
      </c>
      <c r="B156" s="3" t="str">
        <f>"银证转入"</f>
        <v>银证转入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9161.11</v>
      </c>
      <c r="N156" s="3">
        <v>9161.11</v>
      </c>
      <c r="P156" s="3">
        <v>0</v>
      </c>
      <c r="Q156" s="3">
        <v>0</v>
      </c>
      <c r="S156" s="3" t="str">
        <f>"301719093190"</f>
        <v>301719093190</v>
      </c>
      <c r="T156" s="3" t="str">
        <f t="shared" si="12"/>
        <v>人民币</v>
      </c>
    </row>
    <row r="157" spans="1:20" s="3" customFormat="1" x14ac:dyDescent="0.15">
      <c r="A157" s="3" t="str">
        <f t="shared" si="19"/>
        <v>2015-03-31</v>
      </c>
      <c r="B157" s="3" t="str">
        <f>"跨行转出"</f>
        <v>跨行转出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-9161.11</v>
      </c>
      <c r="N157" s="3">
        <v>0</v>
      </c>
      <c r="P157" s="3">
        <v>0</v>
      </c>
      <c r="Q157" s="3">
        <v>0</v>
      </c>
      <c r="S157" s="3" t="str">
        <f>"301719093190"</f>
        <v>301719093190</v>
      </c>
      <c r="T157" s="3" t="str">
        <f t="shared" si="12"/>
        <v>人民币</v>
      </c>
    </row>
    <row r="158" spans="1:20" s="3" customFormat="1" x14ac:dyDescent="0.15">
      <c r="A158" s="3" t="str">
        <f t="shared" si="19"/>
        <v>2015-03-31</v>
      </c>
      <c r="B158" s="3" t="str">
        <f>"跨行转入"</f>
        <v>跨行转入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9161.11</v>
      </c>
      <c r="N158" s="3">
        <v>9175.56</v>
      </c>
      <c r="P158" s="3">
        <v>0</v>
      </c>
      <c r="Q158" s="3">
        <v>0</v>
      </c>
      <c r="S158" s="3" t="str">
        <f>"301719094322"</f>
        <v>301719094322</v>
      </c>
      <c r="T158" s="3" t="str">
        <f t="shared" si="12"/>
        <v>人民币</v>
      </c>
    </row>
    <row r="159" spans="1:20" s="3" customFormat="1" x14ac:dyDescent="0.15">
      <c r="A159" s="3" t="str">
        <f t="shared" si="19"/>
        <v>2015-03-31</v>
      </c>
      <c r="B159" s="3" t="str">
        <f>"证券卖出清算"</f>
        <v>证券卖出清算</v>
      </c>
      <c r="C159" s="3" t="str">
        <f>"002252"</f>
        <v>002252</v>
      </c>
      <c r="D159" s="3" t="str">
        <f>"上海莱士"</f>
        <v>上海莱士</v>
      </c>
      <c r="E159" s="3">
        <v>55.9</v>
      </c>
      <c r="F159" s="3">
        <v>500</v>
      </c>
      <c r="G159" s="3">
        <v>27950</v>
      </c>
      <c r="H159" s="3">
        <v>0</v>
      </c>
      <c r="I159" s="3">
        <v>5.59</v>
      </c>
      <c r="J159" s="3">
        <v>27.95</v>
      </c>
      <c r="K159" s="3">
        <v>0</v>
      </c>
      <c r="L159" s="3">
        <v>0</v>
      </c>
      <c r="M159" s="3">
        <v>27916.46</v>
      </c>
      <c r="N159" s="3">
        <v>37092.019999999997</v>
      </c>
      <c r="O159" s="3" t="str">
        <f>"SW291662"</f>
        <v>SW291662</v>
      </c>
      <c r="P159" s="3">
        <v>55.25</v>
      </c>
      <c r="Q159" s="3">
        <v>500</v>
      </c>
      <c r="R159" s="3" t="str">
        <f>"0103988319"</f>
        <v>0103988319</v>
      </c>
      <c r="S159" s="3" t="str">
        <f>"301719094322"</f>
        <v>301719094322</v>
      </c>
      <c r="T159" s="3" t="str">
        <f t="shared" si="12"/>
        <v>人民币</v>
      </c>
    </row>
    <row r="160" spans="1:20" s="3" customFormat="1" x14ac:dyDescent="0.15">
      <c r="A160" s="3" t="str">
        <f t="shared" si="19"/>
        <v>2015-03-31</v>
      </c>
      <c r="B160" s="3" t="str">
        <f>"基金申购"</f>
        <v>基金申购</v>
      </c>
      <c r="C160" s="3" t="str">
        <f>"A40006"</f>
        <v>A40006</v>
      </c>
      <c r="D160" s="3" t="str">
        <f>"现金宝"</f>
        <v>现金宝</v>
      </c>
      <c r="E160" s="3">
        <v>1</v>
      </c>
      <c r="F160" s="3">
        <v>37092.019999999997</v>
      </c>
      <c r="G160" s="3">
        <v>37092.019999999997</v>
      </c>
      <c r="H160" s="3">
        <v>517841</v>
      </c>
      <c r="I160" s="3">
        <v>0</v>
      </c>
      <c r="J160" s="3">
        <v>0</v>
      </c>
      <c r="K160" s="3">
        <v>0</v>
      </c>
      <c r="L160" s="3">
        <v>0</v>
      </c>
      <c r="M160" s="3">
        <v>-37092.019999999997</v>
      </c>
      <c r="N160" s="3">
        <v>0</v>
      </c>
      <c r="P160" s="3">
        <v>0</v>
      </c>
      <c r="Q160" s="3">
        <v>0</v>
      </c>
      <c r="R160" s="3" t="str">
        <f>"99F625223328"</f>
        <v>99F625223328</v>
      </c>
      <c r="S160" s="3" t="str">
        <f>"301719094322"</f>
        <v>301719094322</v>
      </c>
      <c r="T160" s="3" t="str">
        <f t="shared" si="12"/>
        <v>人民币</v>
      </c>
    </row>
    <row r="161" spans="1:20" s="3" customFormat="1" x14ac:dyDescent="0.15">
      <c r="A161" s="3" t="str">
        <f>"2015-04-13"</f>
        <v>2015-04-13</v>
      </c>
      <c r="B161" s="3" t="str">
        <f>"银证转入"</f>
        <v>银证转入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2.2599999999999998</v>
      </c>
      <c r="N161" s="3">
        <v>2.2599999999999998</v>
      </c>
      <c r="P161" s="3">
        <v>0</v>
      </c>
      <c r="Q161" s="3">
        <v>0</v>
      </c>
      <c r="S161" s="3" t="str">
        <f t="shared" ref="S161:S173" si="20">"301719094322"</f>
        <v>301719094322</v>
      </c>
      <c r="T161" s="3" t="str">
        <f t="shared" si="12"/>
        <v>人民币</v>
      </c>
    </row>
    <row r="162" spans="1:20" s="3" customFormat="1" x14ac:dyDescent="0.15">
      <c r="A162" s="3" t="str">
        <f>"2015-04-13"</f>
        <v>2015-04-13</v>
      </c>
      <c r="B162" s="3" t="str">
        <f>"基金赎回"</f>
        <v>基金赎回</v>
      </c>
      <c r="C162" s="3" t="str">
        <f>"A40006"</f>
        <v>A40006</v>
      </c>
      <c r="D162" s="3" t="str">
        <f>"现金宝"</f>
        <v>现金宝</v>
      </c>
      <c r="E162" s="3">
        <v>1</v>
      </c>
      <c r="F162" s="3">
        <v>124317.74</v>
      </c>
      <c r="G162" s="3">
        <v>124317.74</v>
      </c>
      <c r="H162" s="3">
        <v>393523</v>
      </c>
      <c r="I162" s="3">
        <v>0</v>
      </c>
      <c r="J162" s="3">
        <v>0</v>
      </c>
      <c r="K162" s="3">
        <v>0</v>
      </c>
      <c r="L162" s="3">
        <v>0</v>
      </c>
      <c r="M162" s="3">
        <v>124317.74</v>
      </c>
      <c r="N162" s="3">
        <v>124320</v>
      </c>
      <c r="P162" s="3">
        <v>0</v>
      </c>
      <c r="Q162" s="3">
        <v>0</v>
      </c>
      <c r="R162" s="3" t="str">
        <f>"99F625223328"</f>
        <v>99F625223328</v>
      </c>
      <c r="S162" s="3" t="str">
        <f t="shared" si="20"/>
        <v>301719094322</v>
      </c>
      <c r="T162" s="3" t="str">
        <f t="shared" si="12"/>
        <v>人民币</v>
      </c>
    </row>
    <row r="163" spans="1:20" s="3" customFormat="1" x14ac:dyDescent="0.15">
      <c r="A163" s="3" t="str">
        <f>"2015-04-13"</f>
        <v>2015-04-13</v>
      </c>
      <c r="B163" s="3" t="str">
        <f>"新股申购"</f>
        <v>新股申购</v>
      </c>
      <c r="C163" s="3" t="str">
        <f>"300449"</f>
        <v>300449</v>
      </c>
      <c r="D163" s="3" t="str">
        <f>"汉邦高科"</f>
        <v>汉邦高科</v>
      </c>
      <c r="E163" s="3">
        <v>17.760000000000002</v>
      </c>
      <c r="F163" s="3">
        <v>7000</v>
      </c>
      <c r="G163" s="3">
        <v>124320</v>
      </c>
      <c r="H163" s="3">
        <v>7000</v>
      </c>
      <c r="I163" s="3">
        <v>0</v>
      </c>
      <c r="J163" s="3">
        <v>0</v>
      </c>
      <c r="K163" s="3">
        <v>0</v>
      </c>
      <c r="L163" s="3">
        <v>0</v>
      </c>
      <c r="M163" s="3">
        <v>-124320</v>
      </c>
      <c r="N163" s="3">
        <v>0</v>
      </c>
      <c r="O163" s="3" t="str">
        <f>"SW302578"</f>
        <v>SW302578</v>
      </c>
      <c r="P163" s="3">
        <v>17.760000000000002</v>
      </c>
      <c r="Q163" s="3">
        <v>7000</v>
      </c>
      <c r="R163" s="3" t="str">
        <f>"0103988319"</f>
        <v>0103988319</v>
      </c>
      <c r="S163" s="3" t="str">
        <f t="shared" si="20"/>
        <v>301719094322</v>
      </c>
      <c r="T163" s="3" t="str">
        <f t="shared" si="12"/>
        <v>人民币</v>
      </c>
    </row>
    <row r="164" spans="1:20" s="3" customFormat="1" x14ac:dyDescent="0.15">
      <c r="A164" s="3" t="str">
        <f t="shared" ref="A164:A172" si="21">"2015-04-14"</f>
        <v>2015-04-14</v>
      </c>
      <c r="B164" s="3" t="str">
        <f>"银证转入"</f>
        <v>银证转入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1935</v>
      </c>
      <c r="N164" s="3">
        <v>1935</v>
      </c>
      <c r="P164" s="3">
        <v>0</v>
      </c>
      <c r="Q164" s="3">
        <v>0</v>
      </c>
      <c r="S164" s="3" t="str">
        <f t="shared" si="20"/>
        <v>301719094322</v>
      </c>
      <c r="T164" s="3" t="str">
        <f t="shared" si="12"/>
        <v>人民币</v>
      </c>
    </row>
    <row r="165" spans="1:20" s="3" customFormat="1" x14ac:dyDescent="0.15">
      <c r="A165" s="3" t="str">
        <f t="shared" si="21"/>
        <v>2015-04-14</v>
      </c>
      <c r="B165" s="3" t="str">
        <f>"基金赎回"</f>
        <v>基金赎回</v>
      </c>
      <c r="C165" s="3" t="str">
        <f>"A40006"</f>
        <v>A40006</v>
      </c>
      <c r="D165" s="3" t="str">
        <f>"现金宝"</f>
        <v>现金宝</v>
      </c>
      <c r="E165" s="3">
        <v>1</v>
      </c>
      <c r="F165" s="3">
        <v>303740</v>
      </c>
      <c r="G165" s="3">
        <v>303740</v>
      </c>
      <c r="H165" s="3">
        <v>89783</v>
      </c>
      <c r="I165" s="3">
        <v>0</v>
      </c>
      <c r="J165" s="3">
        <v>0</v>
      </c>
      <c r="K165" s="3">
        <v>0</v>
      </c>
      <c r="L165" s="3">
        <v>0</v>
      </c>
      <c r="M165" s="3">
        <v>303740</v>
      </c>
      <c r="N165" s="3">
        <v>305675</v>
      </c>
      <c r="P165" s="3">
        <v>0</v>
      </c>
      <c r="Q165" s="3">
        <v>0</v>
      </c>
      <c r="R165" s="3" t="str">
        <f>"99F625223328"</f>
        <v>99F625223328</v>
      </c>
      <c r="S165" s="3" t="str">
        <f t="shared" si="20"/>
        <v>301719094322</v>
      </c>
      <c r="T165" s="3" t="str">
        <f t="shared" si="12"/>
        <v>人民币</v>
      </c>
    </row>
    <row r="166" spans="1:20" s="3" customFormat="1" x14ac:dyDescent="0.15">
      <c r="A166" s="3" t="str">
        <f t="shared" si="21"/>
        <v>2015-04-14</v>
      </c>
      <c r="B166" s="3" t="str">
        <f t="shared" ref="B166:B172" si="22">"新股申购"</f>
        <v>新股申购</v>
      </c>
      <c r="C166" s="3" t="str">
        <f>"300436"</f>
        <v>300436</v>
      </c>
      <c r="D166" s="3" t="str">
        <f>"广生堂"</f>
        <v>广生堂</v>
      </c>
      <c r="E166" s="3">
        <v>21.47</v>
      </c>
      <c r="F166" s="3">
        <v>2500</v>
      </c>
      <c r="G166" s="3">
        <v>53675</v>
      </c>
      <c r="H166" s="3">
        <v>2500</v>
      </c>
      <c r="I166" s="3">
        <v>0</v>
      </c>
      <c r="J166" s="3">
        <v>0</v>
      </c>
      <c r="K166" s="3">
        <v>0</v>
      </c>
      <c r="L166" s="3">
        <v>0</v>
      </c>
      <c r="M166" s="3">
        <v>-53675</v>
      </c>
      <c r="N166" s="3">
        <v>252000</v>
      </c>
      <c r="O166" s="3" t="str">
        <f>"SW467958"</f>
        <v>SW467958</v>
      </c>
      <c r="P166" s="3">
        <v>21.47</v>
      </c>
      <c r="Q166" s="3">
        <v>2500</v>
      </c>
      <c r="R166" s="3" t="str">
        <f t="shared" ref="R166:R172" si="23">"0103988319"</f>
        <v>0103988319</v>
      </c>
      <c r="S166" s="3" t="str">
        <f t="shared" si="20"/>
        <v>301719094322</v>
      </c>
      <c r="T166" s="3" t="str">
        <f t="shared" si="12"/>
        <v>人民币</v>
      </c>
    </row>
    <row r="167" spans="1:20" s="3" customFormat="1" x14ac:dyDescent="0.15">
      <c r="A167" s="3" t="str">
        <f t="shared" si="21"/>
        <v>2015-04-14</v>
      </c>
      <c r="B167" s="3" t="str">
        <f t="shared" si="22"/>
        <v>新股申购</v>
      </c>
      <c r="C167" s="3" t="str">
        <f>"300424"</f>
        <v>300424</v>
      </c>
      <c r="D167" s="3" t="str">
        <f>"航新科技"</f>
        <v>航新科技</v>
      </c>
      <c r="E167" s="3">
        <v>11.68</v>
      </c>
      <c r="F167" s="3">
        <v>1500</v>
      </c>
      <c r="G167" s="3">
        <v>17520</v>
      </c>
      <c r="H167" s="3">
        <v>1500</v>
      </c>
      <c r="I167" s="3">
        <v>0</v>
      </c>
      <c r="J167" s="3">
        <v>0</v>
      </c>
      <c r="K167" s="3">
        <v>0</v>
      </c>
      <c r="L167" s="3">
        <v>0</v>
      </c>
      <c r="M167" s="3">
        <v>-17520</v>
      </c>
      <c r="N167" s="3">
        <v>234480</v>
      </c>
      <c r="O167" s="3" t="str">
        <f>"SW468066"</f>
        <v>SW468066</v>
      </c>
      <c r="P167" s="3">
        <v>11.68</v>
      </c>
      <c r="Q167" s="3">
        <v>1500</v>
      </c>
      <c r="R167" s="3" t="str">
        <f t="shared" si="23"/>
        <v>0103988319</v>
      </c>
      <c r="S167" s="3" t="str">
        <f t="shared" si="20"/>
        <v>301719094322</v>
      </c>
      <c r="T167" s="3" t="str">
        <f t="shared" ref="T167:T230" si="24">"人民币"</f>
        <v>人民币</v>
      </c>
    </row>
    <row r="168" spans="1:20" s="3" customFormat="1" x14ac:dyDescent="0.15">
      <c r="A168" s="3" t="str">
        <f t="shared" si="21"/>
        <v>2015-04-14</v>
      </c>
      <c r="B168" s="3" t="str">
        <f t="shared" si="22"/>
        <v>新股申购</v>
      </c>
      <c r="C168" s="3" t="str">
        <f>"300447"</f>
        <v>300447</v>
      </c>
      <c r="D168" s="3" t="str">
        <f>"全信股份"</f>
        <v>全信股份</v>
      </c>
      <c r="E168" s="3">
        <v>12.91</v>
      </c>
      <c r="F168" s="3">
        <v>2500</v>
      </c>
      <c r="G168" s="3">
        <v>32275</v>
      </c>
      <c r="H168" s="3">
        <v>2500</v>
      </c>
      <c r="I168" s="3">
        <v>0</v>
      </c>
      <c r="J168" s="3">
        <v>0</v>
      </c>
      <c r="K168" s="3">
        <v>0</v>
      </c>
      <c r="L168" s="3">
        <v>0</v>
      </c>
      <c r="M168" s="3">
        <v>-32275</v>
      </c>
      <c r="N168" s="3">
        <v>202205</v>
      </c>
      <c r="O168" s="3" t="str">
        <f>"SW468158"</f>
        <v>SW468158</v>
      </c>
      <c r="P168" s="3">
        <v>12.91</v>
      </c>
      <c r="Q168" s="3">
        <v>2500</v>
      </c>
      <c r="R168" s="3" t="str">
        <f t="shared" si="23"/>
        <v>0103988319</v>
      </c>
      <c r="S168" s="3" t="str">
        <f t="shared" si="20"/>
        <v>301719094322</v>
      </c>
      <c r="T168" s="3" t="str">
        <f t="shared" si="24"/>
        <v>人民币</v>
      </c>
    </row>
    <row r="169" spans="1:20" s="3" customFormat="1" x14ac:dyDescent="0.15">
      <c r="A169" s="3" t="str">
        <f t="shared" si="21"/>
        <v>2015-04-14</v>
      </c>
      <c r="B169" s="3" t="str">
        <f t="shared" si="22"/>
        <v>新股申购</v>
      </c>
      <c r="C169" s="3" t="str">
        <f>"300439"</f>
        <v>300439</v>
      </c>
      <c r="D169" s="3" t="str">
        <f>"美康生物"</f>
        <v>美康生物</v>
      </c>
      <c r="E169" s="3">
        <v>27.51</v>
      </c>
      <c r="F169" s="3">
        <v>1500</v>
      </c>
      <c r="G169" s="3">
        <v>41265</v>
      </c>
      <c r="H169" s="3">
        <v>1500</v>
      </c>
      <c r="I169" s="3">
        <v>0</v>
      </c>
      <c r="J169" s="3">
        <v>0</v>
      </c>
      <c r="K169" s="3">
        <v>0</v>
      </c>
      <c r="L169" s="3">
        <v>0</v>
      </c>
      <c r="M169" s="3">
        <v>-41265</v>
      </c>
      <c r="N169" s="3">
        <v>160940</v>
      </c>
      <c r="O169" s="3" t="str">
        <f>"SW468311"</f>
        <v>SW468311</v>
      </c>
      <c r="P169" s="3">
        <v>27.51</v>
      </c>
      <c r="Q169" s="3">
        <v>1500</v>
      </c>
      <c r="R169" s="3" t="str">
        <f t="shared" si="23"/>
        <v>0103988319</v>
      </c>
      <c r="S169" s="3" t="str">
        <f t="shared" si="20"/>
        <v>301719094322</v>
      </c>
      <c r="T169" s="3" t="str">
        <f t="shared" si="24"/>
        <v>人民币</v>
      </c>
    </row>
    <row r="170" spans="1:20" s="3" customFormat="1" x14ac:dyDescent="0.15">
      <c r="A170" s="3" t="str">
        <f t="shared" si="21"/>
        <v>2015-04-14</v>
      </c>
      <c r="B170" s="3" t="str">
        <f t="shared" si="22"/>
        <v>新股申购</v>
      </c>
      <c r="C170" s="3" t="str">
        <f>"300445"</f>
        <v>300445</v>
      </c>
      <c r="D170" s="3" t="str">
        <f>"康斯特"</f>
        <v>康斯特</v>
      </c>
      <c r="E170" s="3">
        <v>18.12</v>
      </c>
      <c r="F170" s="3">
        <v>4000</v>
      </c>
      <c r="G170" s="3">
        <v>72480</v>
      </c>
      <c r="H170" s="3">
        <v>4000</v>
      </c>
      <c r="I170" s="3">
        <v>0</v>
      </c>
      <c r="J170" s="3">
        <v>0</v>
      </c>
      <c r="K170" s="3">
        <v>0</v>
      </c>
      <c r="L170" s="3">
        <v>0</v>
      </c>
      <c r="M170" s="3">
        <v>-72480</v>
      </c>
      <c r="N170" s="3">
        <v>88460</v>
      </c>
      <c r="O170" s="3" t="str">
        <f>"SW468378"</f>
        <v>SW468378</v>
      </c>
      <c r="P170" s="3">
        <v>18.12</v>
      </c>
      <c r="Q170" s="3">
        <v>4000</v>
      </c>
      <c r="R170" s="3" t="str">
        <f t="shared" si="23"/>
        <v>0103988319</v>
      </c>
      <c r="S170" s="3" t="str">
        <f t="shared" si="20"/>
        <v>301719094322</v>
      </c>
      <c r="T170" s="3" t="str">
        <f t="shared" si="24"/>
        <v>人民币</v>
      </c>
    </row>
    <row r="171" spans="1:20" s="3" customFormat="1" x14ac:dyDescent="0.15">
      <c r="A171" s="3" t="str">
        <f t="shared" si="21"/>
        <v>2015-04-14</v>
      </c>
      <c r="B171" s="3" t="str">
        <f t="shared" si="22"/>
        <v>新股申购</v>
      </c>
      <c r="C171" s="3" t="str">
        <f>"300443"</f>
        <v>300443</v>
      </c>
      <c r="D171" s="3" t="str">
        <f>"金雷风电"</f>
        <v>金雷风电</v>
      </c>
      <c r="E171" s="3">
        <v>31.94</v>
      </c>
      <c r="F171" s="3">
        <v>2500</v>
      </c>
      <c r="G171" s="3">
        <v>79850</v>
      </c>
      <c r="H171" s="3">
        <v>2500</v>
      </c>
      <c r="I171" s="3">
        <v>0</v>
      </c>
      <c r="J171" s="3">
        <v>0</v>
      </c>
      <c r="K171" s="3">
        <v>0</v>
      </c>
      <c r="L171" s="3">
        <v>0</v>
      </c>
      <c r="M171" s="3">
        <v>-79850</v>
      </c>
      <c r="N171" s="3">
        <v>8610</v>
      </c>
      <c r="O171" s="3" t="str">
        <f>"SW468490"</f>
        <v>SW468490</v>
      </c>
      <c r="P171" s="3">
        <v>31.94</v>
      </c>
      <c r="Q171" s="3">
        <v>2500</v>
      </c>
      <c r="R171" s="3" t="str">
        <f t="shared" si="23"/>
        <v>0103988319</v>
      </c>
      <c r="S171" s="3" t="str">
        <f t="shared" si="20"/>
        <v>301719094322</v>
      </c>
      <c r="T171" s="3" t="str">
        <f t="shared" si="24"/>
        <v>人民币</v>
      </c>
    </row>
    <row r="172" spans="1:20" s="3" customFormat="1" x14ac:dyDescent="0.15">
      <c r="A172" s="3" t="str">
        <f t="shared" si="21"/>
        <v>2015-04-14</v>
      </c>
      <c r="B172" s="3" t="str">
        <f t="shared" si="22"/>
        <v>新股申购</v>
      </c>
      <c r="C172" s="3" t="str">
        <f>"002752"</f>
        <v>002752</v>
      </c>
      <c r="D172" s="3" t="str">
        <f>"昇兴股份"</f>
        <v>昇兴股份</v>
      </c>
      <c r="E172" s="3">
        <v>5.74</v>
      </c>
      <c r="F172" s="3">
        <v>1500</v>
      </c>
      <c r="G172" s="3">
        <v>8610</v>
      </c>
      <c r="H172" s="3">
        <v>1500</v>
      </c>
      <c r="I172" s="3">
        <v>0</v>
      </c>
      <c r="J172" s="3">
        <v>0</v>
      </c>
      <c r="K172" s="3">
        <v>0</v>
      </c>
      <c r="L172" s="3">
        <v>0</v>
      </c>
      <c r="M172" s="3">
        <v>-8610</v>
      </c>
      <c r="N172" s="3">
        <v>0</v>
      </c>
      <c r="O172" s="3" t="str">
        <f>"SW468603"</f>
        <v>SW468603</v>
      </c>
      <c r="P172" s="3">
        <v>5.74</v>
      </c>
      <c r="Q172" s="3">
        <v>1500</v>
      </c>
      <c r="R172" s="3" t="str">
        <f t="shared" si="23"/>
        <v>0103988319</v>
      </c>
      <c r="S172" s="3" t="str">
        <f t="shared" si="20"/>
        <v>301719094322</v>
      </c>
      <c r="T172" s="3" t="str">
        <f t="shared" si="24"/>
        <v>人民币</v>
      </c>
    </row>
    <row r="173" spans="1:20" s="3" customFormat="1" x14ac:dyDescent="0.15">
      <c r="A173" s="3" t="str">
        <f t="shared" ref="A173:A184" si="25">"2015-04-15"</f>
        <v>2015-04-15</v>
      </c>
      <c r="B173" s="3" t="str">
        <f>"银证转入"</f>
        <v>银证转入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3641.23</v>
      </c>
      <c r="N173" s="3">
        <v>3641.23</v>
      </c>
      <c r="P173" s="3">
        <v>0</v>
      </c>
      <c r="Q173" s="3">
        <v>0</v>
      </c>
      <c r="S173" s="3" t="str">
        <f t="shared" si="20"/>
        <v>301719094322</v>
      </c>
      <c r="T173" s="3" t="str">
        <f t="shared" si="24"/>
        <v>人民币</v>
      </c>
    </row>
    <row r="174" spans="1:20" s="3" customFormat="1" x14ac:dyDescent="0.15">
      <c r="A174" s="3" t="str">
        <f t="shared" si="25"/>
        <v>2015-04-15</v>
      </c>
      <c r="B174" s="3" t="str">
        <f>"银证转入"</f>
        <v>银证转入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117145.21</v>
      </c>
      <c r="N174" s="3">
        <v>117145.21</v>
      </c>
      <c r="P174" s="3">
        <v>0</v>
      </c>
      <c r="Q174" s="3">
        <v>0</v>
      </c>
      <c r="S174" s="3" t="str">
        <f>"301719093195"</f>
        <v>301719093195</v>
      </c>
      <c r="T174" s="3" t="str">
        <f t="shared" si="24"/>
        <v>人民币</v>
      </c>
    </row>
    <row r="175" spans="1:20" s="3" customFormat="1" x14ac:dyDescent="0.15">
      <c r="A175" s="3" t="str">
        <f t="shared" si="25"/>
        <v>2015-04-15</v>
      </c>
      <c r="B175" s="3" t="str">
        <f>"跨行转出"</f>
        <v>跨行转出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-117145.21</v>
      </c>
      <c r="N175" s="3">
        <v>0</v>
      </c>
      <c r="P175" s="3">
        <v>0</v>
      </c>
      <c r="Q175" s="3">
        <v>0</v>
      </c>
      <c r="S175" s="3" t="str">
        <f>"301719093195"</f>
        <v>301719093195</v>
      </c>
      <c r="T175" s="3" t="str">
        <f t="shared" si="24"/>
        <v>人民币</v>
      </c>
    </row>
    <row r="176" spans="1:20" s="3" customFormat="1" x14ac:dyDescent="0.15">
      <c r="A176" s="3" t="str">
        <f t="shared" si="25"/>
        <v>2015-04-15</v>
      </c>
      <c r="B176" s="3" t="str">
        <f>"跨行转入"</f>
        <v>跨行转入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117145.21</v>
      </c>
      <c r="N176" s="3">
        <v>120786.44</v>
      </c>
      <c r="P176" s="3">
        <v>0</v>
      </c>
      <c r="Q176" s="3">
        <v>0</v>
      </c>
      <c r="S176" s="3" t="str">
        <f t="shared" ref="S176:S184" si="26">"301719094322"</f>
        <v>301719094322</v>
      </c>
      <c r="T176" s="3" t="str">
        <f t="shared" si="24"/>
        <v>人民币</v>
      </c>
    </row>
    <row r="177" spans="1:20" s="3" customFormat="1" x14ac:dyDescent="0.15">
      <c r="A177" s="3" t="str">
        <f t="shared" si="25"/>
        <v>2015-04-15</v>
      </c>
      <c r="B177" s="3" t="str">
        <f>"基金赎回"</f>
        <v>基金赎回</v>
      </c>
      <c r="C177" s="3" t="str">
        <f>"A40006"</f>
        <v>A40006</v>
      </c>
      <c r="D177" s="3" t="str">
        <f>"现金宝"</f>
        <v>现金宝</v>
      </c>
      <c r="E177" s="3">
        <v>1</v>
      </c>
      <c r="F177" s="3">
        <v>84638.56</v>
      </c>
      <c r="G177" s="3">
        <v>84638.56</v>
      </c>
      <c r="H177" s="3">
        <v>5145</v>
      </c>
      <c r="I177" s="3">
        <v>0</v>
      </c>
      <c r="J177" s="3">
        <v>0</v>
      </c>
      <c r="K177" s="3">
        <v>0</v>
      </c>
      <c r="L177" s="3">
        <v>0</v>
      </c>
      <c r="M177" s="3">
        <v>84638.56</v>
      </c>
      <c r="N177" s="3">
        <v>205425</v>
      </c>
      <c r="P177" s="3">
        <v>0</v>
      </c>
      <c r="Q177" s="3">
        <v>0</v>
      </c>
      <c r="R177" s="3" t="str">
        <f>"99F625223328"</f>
        <v>99F625223328</v>
      </c>
      <c r="S177" s="3" t="str">
        <f t="shared" si="26"/>
        <v>301719094322</v>
      </c>
      <c r="T177" s="3" t="str">
        <f t="shared" si="24"/>
        <v>人民币</v>
      </c>
    </row>
    <row r="178" spans="1:20" s="3" customFormat="1" x14ac:dyDescent="0.15">
      <c r="A178" s="3" t="str">
        <f t="shared" si="25"/>
        <v>2015-04-15</v>
      </c>
      <c r="B178" s="3" t="str">
        <f>"申购还款"</f>
        <v>申购还款</v>
      </c>
      <c r="C178" s="3" t="str">
        <f>"300449"</f>
        <v>300449</v>
      </c>
      <c r="D178" s="3" t="str">
        <f>"汉邦高科"</f>
        <v>汉邦高科</v>
      </c>
      <c r="E178" s="3">
        <v>17.760000000000002</v>
      </c>
      <c r="F178" s="3">
        <v>7000</v>
      </c>
      <c r="G178" s="3">
        <v>124320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124320</v>
      </c>
      <c r="N178" s="3">
        <v>329745</v>
      </c>
      <c r="O178" s="3" t="str">
        <f>"SW302578"</f>
        <v>SW302578</v>
      </c>
      <c r="P178" s="3">
        <v>17.760000000000002</v>
      </c>
      <c r="Q178" s="3">
        <v>7000</v>
      </c>
      <c r="R178" s="3" t="str">
        <f t="shared" ref="R178:R184" si="27">"0103988319"</f>
        <v>0103988319</v>
      </c>
      <c r="S178" s="3" t="str">
        <f t="shared" si="26"/>
        <v>301719094322</v>
      </c>
      <c r="T178" s="3" t="str">
        <f t="shared" si="24"/>
        <v>人民币</v>
      </c>
    </row>
    <row r="179" spans="1:20" s="3" customFormat="1" x14ac:dyDescent="0.15">
      <c r="A179" s="3" t="str">
        <f t="shared" si="25"/>
        <v>2015-04-15</v>
      </c>
      <c r="B179" s="3" t="str">
        <f t="shared" ref="B179:B184" si="28">"新股申购"</f>
        <v>新股申购</v>
      </c>
      <c r="C179" s="3" t="str">
        <f>"300446"</f>
        <v>300446</v>
      </c>
      <c r="D179" s="3" t="str">
        <f>"乐凯新材"</f>
        <v>乐凯新材</v>
      </c>
      <c r="E179" s="3">
        <v>8.85</v>
      </c>
      <c r="F179" s="3">
        <v>6000</v>
      </c>
      <c r="G179" s="3">
        <v>53100</v>
      </c>
      <c r="H179" s="3">
        <v>6000</v>
      </c>
      <c r="I179" s="3">
        <v>0</v>
      </c>
      <c r="J179" s="3">
        <v>0</v>
      </c>
      <c r="K179" s="3">
        <v>0</v>
      </c>
      <c r="L179" s="3">
        <v>0</v>
      </c>
      <c r="M179" s="3">
        <v>-53100</v>
      </c>
      <c r="N179" s="3">
        <v>276645</v>
      </c>
      <c r="O179" s="3" t="str">
        <f>"SW202140"</f>
        <v>SW202140</v>
      </c>
      <c r="P179" s="3">
        <v>8.85</v>
      </c>
      <c r="Q179" s="3">
        <v>6000</v>
      </c>
      <c r="R179" s="3" t="str">
        <f t="shared" si="27"/>
        <v>0103988319</v>
      </c>
      <c r="S179" s="3" t="str">
        <f t="shared" si="26"/>
        <v>301719094322</v>
      </c>
      <c r="T179" s="3" t="str">
        <f t="shared" si="24"/>
        <v>人民币</v>
      </c>
    </row>
    <row r="180" spans="1:20" s="3" customFormat="1" x14ac:dyDescent="0.15">
      <c r="A180" s="3" t="str">
        <f t="shared" si="25"/>
        <v>2015-04-15</v>
      </c>
      <c r="B180" s="3" t="str">
        <f t="shared" si="28"/>
        <v>新股申购</v>
      </c>
      <c r="C180" s="3" t="str">
        <f>"300437"</f>
        <v>300437</v>
      </c>
      <c r="D180" s="3" t="str">
        <f>"清水源"</f>
        <v>清水源</v>
      </c>
      <c r="E180" s="3">
        <v>10.53</v>
      </c>
      <c r="F180" s="3">
        <v>6000</v>
      </c>
      <c r="G180" s="3">
        <v>63180</v>
      </c>
      <c r="H180" s="3">
        <v>6000</v>
      </c>
      <c r="I180" s="3">
        <v>0</v>
      </c>
      <c r="J180" s="3">
        <v>0</v>
      </c>
      <c r="K180" s="3">
        <v>0</v>
      </c>
      <c r="L180" s="3">
        <v>0</v>
      </c>
      <c r="M180" s="3">
        <v>-63180</v>
      </c>
      <c r="N180" s="3">
        <v>213465</v>
      </c>
      <c r="O180" s="3" t="str">
        <f>"SW202152"</f>
        <v>SW202152</v>
      </c>
      <c r="P180" s="3">
        <v>10.53</v>
      </c>
      <c r="Q180" s="3">
        <v>6000</v>
      </c>
      <c r="R180" s="3" t="str">
        <f t="shared" si="27"/>
        <v>0103988319</v>
      </c>
      <c r="S180" s="3" t="str">
        <f t="shared" si="26"/>
        <v>301719094322</v>
      </c>
      <c r="T180" s="3" t="str">
        <f t="shared" si="24"/>
        <v>人民币</v>
      </c>
    </row>
    <row r="181" spans="1:20" s="3" customFormat="1" x14ac:dyDescent="0.15">
      <c r="A181" s="3" t="str">
        <f t="shared" si="25"/>
        <v>2015-04-15</v>
      </c>
      <c r="B181" s="3" t="str">
        <f t="shared" si="28"/>
        <v>新股申购</v>
      </c>
      <c r="C181" s="3" t="str">
        <f>"300448"</f>
        <v>300448</v>
      </c>
      <c r="D181" s="3" t="str">
        <f>"浩云科技"</f>
        <v>浩云科技</v>
      </c>
      <c r="E181" s="3">
        <v>15.79</v>
      </c>
      <c r="F181" s="3">
        <v>1500</v>
      </c>
      <c r="G181" s="3">
        <v>23685</v>
      </c>
      <c r="H181" s="3">
        <v>1500</v>
      </c>
      <c r="I181" s="3">
        <v>0</v>
      </c>
      <c r="J181" s="3">
        <v>0</v>
      </c>
      <c r="K181" s="3">
        <v>0</v>
      </c>
      <c r="L181" s="3">
        <v>0</v>
      </c>
      <c r="M181" s="3">
        <v>-23685</v>
      </c>
      <c r="N181" s="3">
        <v>189780</v>
      </c>
      <c r="O181" s="3" t="str">
        <f>"SW202172"</f>
        <v>SW202172</v>
      </c>
      <c r="P181" s="3">
        <v>15.79</v>
      </c>
      <c r="Q181" s="3">
        <v>1500</v>
      </c>
      <c r="R181" s="3" t="str">
        <f t="shared" si="27"/>
        <v>0103988319</v>
      </c>
      <c r="S181" s="3" t="str">
        <f t="shared" si="26"/>
        <v>301719094322</v>
      </c>
      <c r="T181" s="3" t="str">
        <f t="shared" si="24"/>
        <v>人民币</v>
      </c>
    </row>
    <row r="182" spans="1:20" s="3" customFormat="1" x14ac:dyDescent="0.15">
      <c r="A182" s="3" t="str">
        <f t="shared" si="25"/>
        <v>2015-04-15</v>
      </c>
      <c r="B182" s="3" t="str">
        <f t="shared" si="28"/>
        <v>新股申购</v>
      </c>
      <c r="C182" s="3" t="str">
        <f>"300441"</f>
        <v>300441</v>
      </c>
      <c r="D182" s="3" t="str">
        <f>"鲍斯股份"</f>
        <v>鲍斯股份</v>
      </c>
      <c r="E182" s="3">
        <v>9.81</v>
      </c>
      <c r="F182" s="3">
        <v>1500</v>
      </c>
      <c r="G182" s="3">
        <v>14715</v>
      </c>
      <c r="H182" s="3">
        <v>1500</v>
      </c>
      <c r="I182" s="3">
        <v>0</v>
      </c>
      <c r="J182" s="3">
        <v>0</v>
      </c>
      <c r="K182" s="3">
        <v>0</v>
      </c>
      <c r="L182" s="3">
        <v>0</v>
      </c>
      <c r="M182" s="3">
        <v>-14715</v>
      </c>
      <c r="N182" s="3">
        <v>175065</v>
      </c>
      <c r="O182" s="3" t="str">
        <f>"SW202174"</f>
        <v>SW202174</v>
      </c>
      <c r="P182" s="3">
        <v>9.81</v>
      </c>
      <c r="Q182" s="3">
        <v>1500</v>
      </c>
      <c r="R182" s="3" t="str">
        <f t="shared" si="27"/>
        <v>0103988319</v>
      </c>
      <c r="S182" s="3" t="str">
        <f t="shared" si="26"/>
        <v>301719094322</v>
      </c>
      <c r="T182" s="3" t="str">
        <f t="shared" si="24"/>
        <v>人民币</v>
      </c>
    </row>
    <row r="183" spans="1:20" s="3" customFormat="1" x14ac:dyDescent="0.15">
      <c r="A183" s="3" t="str">
        <f t="shared" si="25"/>
        <v>2015-04-15</v>
      </c>
      <c r="B183" s="3" t="str">
        <f t="shared" si="28"/>
        <v>新股申购</v>
      </c>
      <c r="C183" s="3" t="str">
        <f>"300440"</f>
        <v>300440</v>
      </c>
      <c r="D183" s="3" t="str">
        <f>"运达科技"</f>
        <v>运达科技</v>
      </c>
      <c r="E183" s="3">
        <v>21.7</v>
      </c>
      <c r="F183" s="3">
        <v>1500</v>
      </c>
      <c r="G183" s="3">
        <v>32550</v>
      </c>
      <c r="H183" s="3">
        <v>1500</v>
      </c>
      <c r="I183" s="3">
        <v>0</v>
      </c>
      <c r="J183" s="3">
        <v>0</v>
      </c>
      <c r="K183" s="3">
        <v>0</v>
      </c>
      <c r="L183" s="3">
        <v>0</v>
      </c>
      <c r="M183" s="3">
        <v>-32550</v>
      </c>
      <c r="N183" s="3">
        <v>142515</v>
      </c>
      <c r="O183" s="3" t="str">
        <f>"SW202185"</f>
        <v>SW202185</v>
      </c>
      <c r="P183" s="3">
        <v>21.7</v>
      </c>
      <c r="Q183" s="3">
        <v>1500</v>
      </c>
      <c r="R183" s="3" t="str">
        <f t="shared" si="27"/>
        <v>0103988319</v>
      </c>
      <c r="S183" s="3" t="str">
        <f t="shared" si="26"/>
        <v>301719094322</v>
      </c>
      <c r="T183" s="3" t="str">
        <f t="shared" si="24"/>
        <v>人民币</v>
      </c>
    </row>
    <row r="184" spans="1:20" s="3" customFormat="1" x14ac:dyDescent="0.15">
      <c r="A184" s="3" t="str">
        <f t="shared" si="25"/>
        <v>2015-04-15</v>
      </c>
      <c r="B184" s="3" t="str">
        <f t="shared" si="28"/>
        <v>新股申购</v>
      </c>
      <c r="C184" s="3" t="str">
        <f>"300444"</f>
        <v>300444</v>
      </c>
      <c r="D184" s="3" t="str">
        <f>"双杰电气"</f>
        <v>双杰电气</v>
      </c>
      <c r="E184" s="3">
        <v>12.13</v>
      </c>
      <c r="F184" s="3">
        <v>1500</v>
      </c>
      <c r="G184" s="3">
        <v>18195</v>
      </c>
      <c r="H184" s="3">
        <v>1500</v>
      </c>
      <c r="I184" s="3">
        <v>0</v>
      </c>
      <c r="J184" s="3">
        <v>0</v>
      </c>
      <c r="K184" s="3">
        <v>0</v>
      </c>
      <c r="L184" s="3">
        <v>0</v>
      </c>
      <c r="M184" s="3">
        <v>-18195</v>
      </c>
      <c r="N184" s="3">
        <v>124320</v>
      </c>
      <c r="O184" s="3" t="str">
        <f>"SW202191"</f>
        <v>SW202191</v>
      </c>
      <c r="P184" s="3">
        <v>12.13</v>
      </c>
      <c r="Q184" s="3">
        <v>1500</v>
      </c>
      <c r="R184" s="3" t="str">
        <f t="shared" si="27"/>
        <v>0103988319</v>
      </c>
      <c r="S184" s="3" t="str">
        <f t="shared" si="26"/>
        <v>301719094322</v>
      </c>
      <c r="T184" s="3" t="str">
        <f t="shared" si="24"/>
        <v>人民币</v>
      </c>
    </row>
    <row r="185" spans="1:20" s="3" customFormat="1" x14ac:dyDescent="0.15">
      <c r="A185" s="3" t="str">
        <f t="shared" ref="A185:A206" si="29">"2015-04-16"</f>
        <v>2015-04-16</v>
      </c>
      <c r="B185" s="3" t="str">
        <f>"银证转入"</f>
        <v>银证转入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3572</v>
      </c>
      <c r="N185" s="3">
        <v>3572</v>
      </c>
      <c r="P185" s="3">
        <v>0</v>
      </c>
      <c r="Q185" s="3">
        <v>0</v>
      </c>
      <c r="S185" s="3" t="str">
        <f>"301719094323"</f>
        <v>301719094323</v>
      </c>
      <c r="T185" s="3" t="str">
        <f t="shared" si="24"/>
        <v>人民币</v>
      </c>
    </row>
    <row r="186" spans="1:20" s="3" customFormat="1" x14ac:dyDescent="0.15">
      <c r="A186" s="3" t="str">
        <f t="shared" si="29"/>
        <v>2015-04-16</v>
      </c>
      <c r="B186" s="3" t="str">
        <f>"跨行转出"</f>
        <v>跨行转出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-3572</v>
      </c>
      <c r="N186" s="3">
        <v>0</v>
      </c>
      <c r="P186" s="3">
        <v>0</v>
      </c>
      <c r="Q186" s="3">
        <v>0</v>
      </c>
      <c r="S186" s="3" t="str">
        <f>"301719094323"</f>
        <v>301719094323</v>
      </c>
      <c r="T186" s="3" t="str">
        <f t="shared" si="24"/>
        <v>人民币</v>
      </c>
    </row>
    <row r="187" spans="1:20" s="3" customFormat="1" x14ac:dyDescent="0.15">
      <c r="A187" s="3" t="str">
        <f t="shared" si="29"/>
        <v>2015-04-16</v>
      </c>
      <c r="B187" s="3" t="str">
        <f>"跨行转入"</f>
        <v>跨行转入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3572</v>
      </c>
      <c r="N187" s="3">
        <v>127892</v>
      </c>
      <c r="P187" s="3">
        <v>0</v>
      </c>
      <c r="Q187" s="3">
        <v>0</v>
      </c>
      <c r="S187" s="3" t="str">
        <f>"301719094322"</f>
        <v>301719094322</v>
      </c>
      <c r="T187" s="3" t="str">
        <f t="shared" si="24"/>
        <v>人民币</v>
      </c>
    </row>
    <row r="188" spans="1:20" s="3" customFormat="1" x14ac:dyDescent="0.15">
      <c r="A188" s="3" t="str">
        <f t="shared" si="29"/>
        <v>2015-04-16</v>
      </c>
      <c r="B188" s="3" t="str">
        <f>"银证转入"</f>
        <v>银证转入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180</v>
      </c>
      <c r="N188" s="3">
        <v>180</v>
      </c>
      <c r="P188" s="3">
        <v>0</v>
      </c>
      <c r="Q188" s="3">
        <v>0</v>
      </c>
      <c r="S188" s="3" t="str">
        <f>"301719094323"</f>
        <v>301719094323</v>
      </c>
      <c r="T188" s="3" t="str">
        <f t="shared" si="24"/>
        <v>人民币</v>
      </c>
    </row>
    <row r="189" spans="1:20" s="3" customFormat="1" x14ac:dyDescent="0.15">
      <c r="A189" s="3" t="str">
        <f t="shared" si="29"/>
        <v>2015-04-16</v>
      </c>
      <c r="B189" s="3" t="str">
        <f>"跨行转出"</f>
        <v>跨行转出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-180</v>
      </c>
      <c r="N189" s="3">
        <v>0</v>
      </c>
      <c r="P189" s="3">
        <v>0</v>
      </c>
      <c r="Q189" s="3">
        <v>0</v>
      </c>
      <c r="S189" s="3" t="str">
        <f>"301719094323"</f>
        <v>301719094323</v>
      </c>
      <c r="T189" s="3" t="str">
        <f t="shared" si="24"/>
        <v>人民币</v>
      </c>
    </row>
    <row r="190" spans="1:20" s="3" customFormat="1" x14ac:dyDescent="0.15">
      <c r="A190" s="3" t="str">
        <f t="shared" si="29"/>
        <v>2015-04-16</v>
      </c>
      <c r="B190" s="3" t="str">
        <f>"跨行转入"</f>
        <v>跨行转入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180</v>
      </c>
      <c r="N190" s="3">
        <v>128072</v>
      </c>
      <c r="P190" s="3">
        <v>0</v>
      </c>
      <c r="Q190" s="3">
        <v>0</v>
      </c>
      <c r="S190" s="3" t="str">
        <f>"301719094322"</f>
        <v>301719094322</v>
      </c>
      <c r="T190" s="3" t="str">
        <f t="shared" si="24"/>
        <v>人民币</v>
      </c>
    </row>
    <row r="191" spans="1:20" s="3" customFormat="1" x14ac:dyDescent="0.15">
      <c r="A191" s="3" t="str">
        <f t="shared" si="29"/>
        <v>2015-04-16</v>
      </c>
      <c r="B191" s="3" t="str">
        <f>"银证转入"</f>
        <v>银证转入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33436.18</v>
      </c>
      <c r="N191" s="3">
        <v>33436.18</v>
      </c>
      <c r="P191" s="3">
        <v>0</v>
      </c>
      <c r="Q191" s="3">
        <v>0</v>
      </c>
      <c r="S191" s="3" t="str">
        <f>"301719094323"</f>
        <v>301719094323</v>
      </c>
      <c r="T191" s="3" t="str">
        <f t="shared" si="24"/>
        <v>人民币</v>
      </c>
    </row>
    <row r="192" spans="1:20" s="3" customFormat="1" x14ac:dyDescent="0.15">
      <c r="A192" s="3" t="str">
        <f t="shared" si="29"/>
        <v>2015-04-16</v>
      </c>
      <c r="B192" s="3" t="str">
        <f>"跨行转出"</f>
        <v>跨行转出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-33436.18</v>
      </c>
      <c r="N192" s="3">
        <v>0</v>
      </c>
      <c r="P192" s="3">
        <v>0</v>
      </c>
      <c r="Q192" s="3">
        <v>0</v>
      </c>
      <c r="S192" s="3" t="str">
        <f>"301719094323"</f>
        <v>301719094323</v>
      </c>
      <c r="T192" s="3" t="str">
        <f t="shared" si="24"/>
        <v>人民币</v>
      </c>
    </row>
    <row r="193" spans="1:20" s="3" customFormat="1" x14ac:dyDescent="0.15">
      <c r="A193" s="3" t="str">
        <f t="shared" si="29"/>
        <v>2015-04-16</v>
      </c>
      <c r="B193" s="3" t="str">
        <f>"跨行转入"</f>
        <v>跨行转入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33436.18</v>
      </c>
      <c r="N193" s="3">
        <v>161508.18</v>
      </c>
      <c r="P193" s="3">
        <v>0</v>
      </c>
      <c r="Q193" s="3">
        <v>0</v>
      </c>
      <c r="S193" s="3" t="str">
        <f t="shared" ref="S193:S223" si="30">"301719094322"</f>
        <v>301719094322</v>
      </c>
      <c r="T193" s="3" t="str">
        <f t="shared" si="24"/>
        <v>人民币</v>
      </c>
    </row>
    <row r="194" spans="1:20" s="3" customFormat="1" x14ac:dyDescent="0.15">
      <c r="A194" s="3" t="str">
        <f t="shared" si="29"/>
        <v>2015-04-16</v>
      </c>
      <c r="B194" s="3" t="str">
        <f>"基金赎回"</f>
        <v>基金赎回</v>
      </c>
      <c r="C194" s="3" t="str">
        <f>"A40006"</f>
        <v>A40006</v>
      </c>
      <c r="D194" s="3" t="str">
        <f>"现金宝"</f>
        <v>现金宝</v>
      </c>
      <c r="E194" s="3">
        <v>1</v>
      </c>
      <c r="F194" s="3">
        <v>5145</v>
      </c>
      <c r="G194" s="3">
        <v>5145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5145</v>
      </c>
      <c r="N194" s="3">
        <v>166653.18</v>
      </c>
      <c r="P194" s="3">
        <v>0</v>
      </c>
      <c r="Q194" s="3">
        <v>0</v>
      </c>
      <c r="R194" s="3" t="str">
        <f>"99F625223328"</f>
        <v>99F625223328</v>
      </c>
      <c r="S194" s="3" t="str">
        <f t="shared" si="30"/>
        <v>301719094322</v>
      </c>
      <c r="T194" s="3" t="str">
        <f t="shared" si="24"/>
        <v>人民币</v>
      </c>
    </row>
    <row r="195" spans="1:20" s="3" customFormat="1" x14ac:dyDescent="0.15">
      <c r="A195" s="3" t="str">
        <f t="shared" si="29"/>
        <v>2015-04-16</v>
      </c>
      <c r="B195" s="3" t="str">
        <f t="shared" ref="B195:B201" si="31">"申购还款"</f>
        <v>申购还款</v>
      </c>
      <c r="C195" s="3" t="str">
        <f>"300436"</f>
        <v>300436</v>
      </c>
      <c r="D195" s="3" t="str">
        <f>"广生堂"</f>
        <v>广生堂</v>
      </c>
      <c r="E195" s="3">
        <v>21.47</v>
      </c>
      <c r="F195" s="3">
        <v>2500</v>
      </c>
      <c r="G195" s="3">
        <v>53675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53675</v>
      </c>
      <c r="N195" s="3">
        <v>220328.18</v>
      </c>
      <c r="O195" s="3" t="str">
        <f>"SW467958"</f>
        <v>SW467958</v>
      </c>
      <c r="P195" s="3">
        <v>21.47</v>
      </c>
      <c r="Q195" s="3">
        <v>2500</v>
      </c>
      <c r="R195" s="3" t="str">
        <f t="shared" ref="R195:R206" si="32">"0103988319"</f>
        <v>0103988319</v>
      </c>
      <c r="S195" s="3" t="str">
        <f t="shared" si="30"/>
        <v>301719094322</v>
      </c>
      <c r="T195" s="3" t="str">
        <f t="shared" si="24"/>
        <v>人民币</v>
      </c>
    </row>
    <row r="196" spans="1:20" s="3" customFormat="1" x14ac:dyDescent="0.15">
      <c r="A196" s="3" t="str">
        <f t="shared" si="29"/>
        <v>2015-04-16</v>
      </c>
      <c r="B196" s="3" t="str">
        <f t="shared" si="31"/>
        <v>申购还款</v>
      </c>
      <c r="C196" s="3" t="str">
        <f>"300424"</f>
        <v>300424</v>
      </c>
      <c r="D196" s="3" t="str">
        <f>"航新科技"</f>
        <v>航新科技</v>
      </c>
      <c r="E196" s="3">
        <v>11.68</v>
      </c>
      <c r="F196" s="3">
        <v>1500</v>
      </c>
      <c r="G196" s="3">
        <v>17520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17520</v>
      </c>
      <c r="N196" s="3">
        <v>237848.18</v>
      </c>
      <c r="O196" s="3" t="str">
        <f>"SW468066"</f>
        <v>SW468066</v>
      </c>
      <c r="P196" s="3">
        <v>11.68</v>
      </c>
      <c r="Q196" s="3">
        <v>1500</v>
      </c>
      <c r="R196" s="3" t="str">
        <f t="shared" si="32"/>
        <v>0103988319</v>
      </c>
      <c r="S196" s="3" t="str">
        <f t="shared" si="30"/>
        <v>301719094322</v>
      </c>
      <c r="T196" s="3" t="str">
        <f t="shared" si="24"/>
        <v>人民币</v>
      </c>
    </row>
    <row r="197" spans="1:20" s="3" customFormat="1" x14ac:dyDescent="0.15">
      <c r="A197" s="3" t="str">
        <f t="shared" si="29"/>
        <v>2015-04-16</v>
      </c>
      <c r="B197" s="3" t="str">
        <f t="shared" si="31"/>
        <v>申购还款</v>
      </c>
      <c r="C197" s="3" t="str">
        <f>"300447"</f>
        <v>300447</v>
      </c>
      <c r="D197" s="3" t="str">
        <f>"全信股份"</f>
        <v>全信股份</v>
      </c>
      <c r="E197" s="3">
        <v>12.91</v>
      </c>
      <c r="F197" s="3">
        <v>2500</v>
      </c>
      <c r="G197" s="3">
        <v>32275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32275</v>
      </c>
      <c r="N197" s="3">
        <v>270123.18</v>
      </c>
      <c r="O197" s="3" t="str">
        <f>"SW468158"</f>
        <v>SW468158</v>
      </c>
      <c r="P197" s="3">
        <v>12.91</v>
      </c>
      <c r="Q197" s="3">
        <v>2500</v>
      </c>
      <c r="R197" s="3" t="str">
        <f t="shared" si="32"/>
        <v>0103988319</v>
      </c>
      <c r="S197" s="3" t="str">
        <f t="shared" si="30"/>
        <v>301719094322</v>
      </c>
      <c r="T197" s="3" t="str">
        <f t="shared" si="24"/>
        <v>人民币</v>
      </c>
    </row>
    <row r="198" spans="1:20" s="3" customFormat="1" x14ac:dyDescent="0.15">
      <c r="A198" s="3" t="str">
        <f t="shared" si="29"/>
        <v>2015-04-16</v>
      </c>
      <c r="B198" s="3" t="str">
        <f t="shared" si="31"/>
        <v>申购还款</v>
      </c>
      <c r="C198" s="3" t="str">
        <f>"300439"</f>
        <v>300439</v>
      </c>
      <c r="D198" s="3" t="str">
        <f>"美康生物"</f>
        <v>美康生物</v>
      </c>
      <c r="E198" s="3">
        <v>27.51</v>
      </c>
      <c r="F198" s="3">
        <v>1500</v>
      </c>
      <c r="G198" s="3">
        <v>41265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41265</v>
      </c>
      <c r="N198" s="3">
        <v>311388.18</v>
      </c>
      <c r="O198" s="3" t="str">
        <f>"SW468311"</f>
        <v>SW468311</v>
      </c>
      <c r="P198" s="3">
        <v>27.51</v>
      </c>
      <c r="Q198" s="3">
        <v>1500</v>
      </c>
      <c r="R198" s="3" t="str">
        <f t="shared" si="32"/>
        <v>0103988319</v>
      </c>
      <c r="S198" s="3" t="str">
        <f t="shared" si="30"/>
        <v>301719094322</v>
      </c>
      <c r="T198" s="3" t="str">
        <f t="shared" si="24"/>
        <v>人民币</v>
      </c>
    </row>
    <row r="199" spans="1:20" s="3" customFormat="1" x14ac:dyDescent="0.15">
      <c r="A199" s="3" t="str">
        <f t="shared" si="29"/>
        <v>2015-04-16</v>
      </c>
      <c r="B199" s="3" t="str">
        <f t="shared" si="31"/>
        <v>申购还款</v>
      </c>
      <c r="C199" s="3" t="str">
        <f>"300445"</f>
        <v>300445</v>
      </c>
      <c r="D199" s="3" t="str">
        <f>"康斯特"</f>
        <v>康斯特</v>
      </c>
      <c r="E199" s="3">
        <v>18.12</v>
      </c>
      <c r="F199" s="3">
        <v>4000</v>
      </c>
      <c r="G199" s="3">
        <v>72480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72480</v>
      </c>
      <c r="N199" s="3">
        <v>383868.18</v>
      </c>
      <c r="O199" s="3" t="str">
        <f>"SW468378"</f>
        <v>SW468378</v>
      </c>
      <c r="P199" s="3">
        <v>18.12</v>
      </c>
      <c r="Q199" s="3">
        <v>4000</v>
      </c>
      <c r="R199" s="3" t="str">
        <f t="shared" si="32"/>
        <v>0103988319</v>
      </c>
      <c r="S199" s="3" t="str">
        <f t="shared" si="30"/>
        <v>301719094322</v>
      </c>
      <c r="T199" s="3" t="str">
        <f t="shared" si="24"/>
        <v>人民币</v>
      </c>
    </row>
    <row r="200" spans="1:20" s="3" customFormat="1" x14ac:dyDescent="0.15">
      <c r="A200" s="3" t="str">
        <f t="shared" si="29"/>
        <v>2015-04-16</v>
      </c>
      <c r="B200" s="3" t="str">
        <f t="shared" si="31"/>
        <v>申购还款</v>
      </c>
      <c r="C200" s="3" t="str">
        <f>"300443"</f>
        <v>300443</v>
      </c>
      <c r="D200" s="3" t="str">
        <f>"金雷风电"</f>
        <v>金雷风电</v>
      </c>
      <c r="E200" s="3">
        <v>31.94</v>
      </c>
      <c r="F200" s="3">
        <v>2500</v>
      </c>
      <c r="G200" s="3">
        <v>79850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79850</v>
      </c>
      <c r="N200" s="3">
        <v>463718.18</v>
      </c>
      <c r="O200" s="3" t="str">
        <f>"SW468490"</f>
        <v>SW468490</v>
      </c>
      <c r="P200" s="3">
        <v>31.94</v>
      </c>
      <c r="Q200" s="3">
        <v>2500</v>
      </c>
      <c r="R200" s="3" t="str">
        <f t="shared" si="32"/>
        <v>0103988319</v>
      </c>
      <c r="S200" s="3" t="str">
        <f t="shared" si="30"/>
        <v>301719094322</v>
      </c>
      <c r="T200" s="3" t="str">
        <f t="shared" si="24"/>
        <v>人民币</v>
      </c>
    </row>
    <row r="201" spans="1:20" s="3" customFormat="1" x14ac:dyDescent="0.15">
      <c r="A201" s="3" t="str">
        <f t="shared" si="29"/>
        <v>2015-04-16</v>
      </c>
      <c r="B201" s="3" t="str">
        <f t="shared" si="31"/>
        <v>申购还款</v>
      </c>
      <c r="C201" s="3" t="str">
        <f>"002752"</f>
        <v>002752</v>
      </c>
      <c r="D201" s="3" t="str">
        <f>"昇兴股份"</f>
        <v>昇兴股份</v>
      </c>
      <c r="E201" s="3">
        <v>5.74</v>
      </c>
      <c r="F201" s="3">
        <v>1500</v>
      </c>
      <c r="G201" s="3">
        <v>8610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8610</v>
      </c>
      <c r="N201" s="3">
        <v>472328.18</v>
      </c>
      <c r="O201" s="3" t="str">
        <f>"SW468603"</f>
        <v>SW468603</v>
      </c>
      <c r="P201" s="3">
        <v>5.74</v>
      </c>
      <c r="Q201" s="3">
        <v>1500</v>
      </c>
      <c r="R201" s="3" t="str">
        <f t="shared" si="32"/>
        <v>0103988319</v>
      </c>
      <c r="S201" s="3" t="str">
        <f t="shared" si="30"/>
        <v>301719094322</v>
      </c>
      <c r="T201" s="3" t="str">
        <f t="shared" si="24"/>
        <v>人民币</v>
      </c>
    </row>
    <row r="202" spans="1:20" s="3" customFormat="1" x14ac:dyDescent="0.15">
      <c r="A202" s="3" t="str">
        <f t="shared" si="29"/>
        <v>2015-04-16</v>
      </c>
      <c r="B202" s="3" t="str">
        <f>"新股申购"</f>
        <v>新股申购</v>
      </c>
      <c r="C202" s="3" t="str">
        <f>"300434"</f>
        <v>300434</v>
      </c>
      <c r="D202" s="3" t="str">
        <f>"金石东方"</f>
        <v>金石东方</v>
      </c>
      <c r="E202" s="3">
        <v>10.57</v>
      </c>
      <c r="F202" s="3">
        <v>1500</v>
      </c>
      <c r="G202" s="3">
        <v>15855</v>
      </c>
      <c r="H202" s="3">
        <v>1500</v>
      </c>
      <c r="I202" s="3">
        <v>0</v>
      </c>
      <c r="J202" s="3">
        <v>0</v>
      </c>
      <c r="K202" s="3">
        <v>0</v>
      </c>
      <c r="L202" s="3">
        <v>0</v>
      </c>
      <c r="M202" s="3">
        <v>-15855</v>
      </c>
      <c r="N202" s="3">
        <v>456473.18</v>
      </c>
      <c r="O202" s="3" t="str">
        <f>"SW324994"</f>
        <v>SW324994</v>
      </c>
      <c r="P202" s="3">
        <v>10.57</v>
      </c>
      <c r="Q202" s="3">
        <v>1500</v>
      </c>
      <c r="R202" s="3" t="str">
        <f t="shared" si="32"/>
        <v>0103988319</v>
      </c>
      <c r="S202" s="3" t="str">
        <f t="shared" si="30"/>
        <v>301719094322</v>
      </c>
      <c r="T202" s="3" t="str">
        <f t="shared" si="24"/>
        <v>人民币</v>
      </c>
    </row>
    <row r="203" spans="1:20" s="3" customFormat="1" x14ac:dyDescent="0.15">
      <c r="A203" s="3" t="str">
        <f t="shared" si="29"/>
        <v>2015-04-16</v>
      </c>
      <c r="B203" s="3" t="str">
        <f>"新股申购"</f>
        <v>新股申购</v>
      </c>
      <c r="C203" s="3" t="str">
        <f>"300404"</f>
        <v>300404</v>
      </c>
      <c r="D203" s="3" t="str">
        <f>"博济医药"</f>
        <v>博济医药</v>
      </c>
      <c r="E203" s="3">
        <v>12.87</v>
      </c>
      <c r="F203" s="3">
        <v>5000</v>
      </c>
      <c r="G203" s="3">
        <v>64350</v>
      </c>
      <c r="H203" s="3">
        <v>5000</v>
      </c>
      <c r="I203" s="3">
        <v>0</v>
      </c>
      <c r="J203" s="3">
        <v>0</v>
      </c>
      <c r="K203" s="3">
        <v>0</v>
      </c>
      <c r="L203" s="3">
        <v>0</v>
      </c>
      <c r="M203" s="3">
        <v>-64350</v>
      </c>
      <c r="N203" s="3">
        <v>392123.18</v>
      </c>
      <c r="O203" s="3" t="str">
        <f>"SW325794"</f>
        <v>SW325794</v>
      </c>
      <c r="P203" s="3">
        <v>12.87</v>
      </c>
      <c r="Q203" s="3">
        <v>5000</v>
      </c>
      <c r="R203" s="3" t="str">
        <f t="shared" si="32"/>
        <v>0103988319</v>
      </c>
      <c r="S203" s="3" t="str">
        <f t="shared" si="30"/>
        <v>301719094322</v>
      </c>
      <c r="T203" s="3" t="str">
        <f t="shared" si="24"/>
        <v>人民币</v>
      </c>
    </row>
    <row r="204" spans="1:20" s="3" customFormat="1" x14ac:dyDescent="0.15">
      <c r="A204" s="3" t="str">
        <f t="shared" si="29"/>
        <v>2015-04-16</v>
      </c>
      <c r="B204" s="3" t="str">
        <f>"新股申购"</f>
        <v>新股申购</v>
      </c>
      <c r="C204" s="3" t="str">
        <f>"002751"</f>
        <v>002751</v>
      </c>
      <c r="D204" s="3" t="str">
        <f>"易尚展示"</f>
        <v>易尚展示</v>
      </c>
      <c r="E204" s="3">
        <v>10.48</v>
      </c>
      <c r="F204" s="3">
        <v>5000</v>
      </c>
      <c r="G204" s="3">
        <v>52400</v>
      </c>
      <c r="H204" s="3">
        <v>5000</v>
      </c>
      <c r="I204" s="3">
        <v>0</v>
      </c>
      <c r="J204" s="3">
        <v>0</v>
      </c>
      <c r="K204" s="3">
        <v>0</v>
      </c>
      <c r="L204" s="3">
        <v>0</v>
      </c>
      <c r="M204" s="3">
        <v>-52400</v>
      </c>
      <c r="N204" s="3">
        <v>339723.18</v>
      </c>
      <c r="O204" s="3" t="str">
        <f>"SW325886"</f>
        <v>SW325886</v>
      </c>
      <c r="P204" s="3">
        <v>10.48</v>
      </c>
      <c r="Q204" s="3">
        <v>5000</v>
      </c>
      <c r="R204" s="3" t="str">
        <f t="shared" si="32"/>
        <v>0103988319</v>
      </c>
      <c r="S204" s="3" t="str">
        <f t="shared" si="30"/>
        <v>301719094322</v>
      </c>
      <c r="T204" s="3" t="str">
        <f t="shared" si="24"/>
        <v>人民币</v>
      </c>
    </row>
    <row r="205" spans="1:20" s="3" customFormat="1" x14ac:dyDescent="0.15">
      <c r="A205" s="3" t="str">
        <f t="shared" si="29"/>
        <v>2015-04-16</v>
      </c>
      <c r="B205" s="3" t="str">
        <f>"新股申购"</f>
        <v>新股申购</v>
      </c>
      <c r="C205" s="3" t="str">
        <f>"300438"</f>
        <v>300438</v>
      </c>
      <c r="D205" s="3" t="str">
        <f>"鹏辉能源"</f>
        <v>鹏辉能源</v>
      </c>
      <c r="E205" s="3">
        <v>14.87</v>
      </c>
      <c r="F205" s="3">
        <v>1000</v>
      </c>
      <c r="G205" s="3">
        <v>14870</v>
      </c>
      <c r="H205" s="3">
        <v>1000</v>
      </c>
      <c r="I205" s="3">
        <v>0</v>
      </c>
      <c r="J205" s="3">
        <v>0</v>
      </c>
      <c r="K205" s="3">
        <v>0</v>
      </c>
      <c r="L205" s="3">
        <v>0</v>
      </c>
      <c r="M205" s="3">
        <v>-14870</v>
      </c>
      <c r="N205" s="3">
        <v>324853.18</v>
      </c>
      <c r="O205" s="3" t="str">
        <f>"SW325962"</f>
        <v>SW325962</v>
      </c>
      <c r="P205" s="3">
        <v>14.87</v>
      </c>
      <c r="Q205" s="3">
        <v>1000</v>
      </c>
      <c r="R205" s="3" t="str">
        <f t="shared" si="32"/>
        <v>0103988319</v>
      </c>
      <c r="S205" s="3" t="str">
        <f t="shared" si="30"/>
        <v>301719094322</v>
      </c>
      <c r="T205" s="3" t="str">
        <f t="shared" si="24"/>
        <v>人民币</v>
      </c>
    </row>
    <row r="206" spans="1:20" s="3" customFormat="1" x14ac:dyDescent="0.15">
      <c r="A206" s="3" t="str">
        <f t="shared" si="29"/>
        <v>2015-04-16</v>
      </c>
      <c r="B206" s="3" t="str">
        <f>"新股申购"</f>
        <v>新股申购</v>
      </c>
      <c r="C206" s="3" t="str">
        <f>"300442"</f>
        <v>300442</v>
      </c>
      <c r="D206" s="3" t="str">
        <f>"普丽盛"</f>
        <v>普丽盛</v>
      </c>
      <c r="E206" s="3">
        <v>19.170000000000002</v>
      </c>
      <c r="F206" s="3">
        <v>1000</v>
      </c>
      <c r="G206" s="3">
        <v>19170</v>
      </c>
      <c r="H206" s="3">
        <v>1000</v>
      </c>
      <c r="I206" s="3">
        <v>0</v>
      </c>
      <c r="J206" s="3">
        <v>0</v>
      </c>
      <c r="K206" s="3">
        <v>0</v>
      </c>
      <c r="L206" s="3">
        <v>0</v>
      </c>
      <c r="M206" s="3">
        <v>-19170</v>
      </c>
      <c r="N206" s="3">
        <v>305683.18</v>
      </c>
      <c r="O206" s="3" t="str">
        <f>"SW352954"</f>
        <v>SW352954</v>
      </c>
      <c r="P206" s="3">
        <v>19.170000000000002</v>
      </c>
      <c r="Q206" s="3">
        <v>1000</v>
      </c>
      <c r="R206" s="3" t="str">
        <f t="shared" si="32"/>
        <v>0103988319</v>
      </c>
      <c r="S206" s="3" t="str">
        <f t="shared" si="30"/>
        <v>301719094322</v>
      </c>
      <c r="T206" s="3" t="str">
        <f t="shared" si="24"/>
        <v>人民币</v>
      </c>
    </row>
    <row r="207" spans="1:20" s="3" customFormat="1" x14ac:dyDescent="0.15">
      <c r="A207" s="3" t="str">
        <f t="shared" ref="A207:A215" si="33">"2015-04-17"</f>
        <v>2015-04-17</v>
      </c>
      <c r="B207" s="3" t="str">
        <f>"银证转出"</f>
        <v>银证转出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-200000</v>
      </c>
      <c r="N207" s="3">
        <v>105683.18</v>
      </c>
      <c r="P207" s="3">
        <v>0</v>
      </c>
      <c r="Q207" s="3">
        <v>0</v>
      </c>
      <c r="S207" s="3" t="str">
        <f t="shared" si="30"/>
        <v>301719094322</v>
      </c>
      <c r="T207" s="3" t="str">
        <f t="shared" si="24"/>
        <v>人民币</v>
      </c>
    </row>
    <row r="208" spans="1:20" s="3" customFormat="1" x14ac:dyDescent="0.15">
      <c r="A208" s="3" t="str">
        <f t="shared" si="33"/>
        <v>2015-04-17</v>
      </c>
      <c r="B208" s="3" t="str">
        <f t="shared" ref="B208:B213" si="34">"申购还款"</f>
        <v>申购还款</v>
      </c>
      <c r="C208" s="3" t="str">
        <f>"300446"</f>
        <v>300446</v>
      </c>
      <c r="D208" s="3" t="str">
        <f>"乐凯新材"</f>
        <v>乐凯新材</v>
      </c>
      <c r="E208" s="3">
        <v>8.85</v>
      </c>
      <c r="F208" s="3">
        <v>6000</v>
      </c>
      <c r="G208" s="3">
        <v>53100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53100</v>
      </c>
      <c r="N208" s="3">
        <v>158783.18</v>
      </c>
      <c r="O208" s="3" t="str">
        <f>"SW202140"</f>
        <v>SW202140</v>
      </c>
      <c r="P208" s="3">
        <v>8.85</v>
      </c>
      <c r="Q208" s="3">
        <v>6000</v>
      </c>
      <c r="R208" s="3" t="str">
        <f t="shared" ref="R208:R214" si="35">"0103988319"</f>
        <v>0103988319</v>
      </c>
      <c r="S208" s="3" t="str">
        <f t="shared" si="30"/>
        <v>301719094322</v>
      </c>
      <c r="T208" s="3" t="str">
        <f t="shared" si="24"/>
        <v>人民币</v>
      </c>
    </row>
    <row r="209" spans="1:20" s="3" customFormat="1" x14ac:dyDescent="0.15">
      <c r="A209" s="3" t="str">
        <f t="shared" si="33"/>
        <v>2015-04-17</v>
      </c>
      <c r="B209" s="3" t="str">
        <f t="shared" si="34"/>
        <v>申购还款</v>
      </c>
      <c r="C209" s="3" t="str">
        <f>"300437"</f>
        <v>300437</v>
      </c>
      <c r="D209" s="3" t="str">
        <f>"清水源"</f>
        <v>清水源</v>
      </c>
      <c r="E209" s="3">
        <v>10.53</v>
      </c>
      <c r="F209" s="3">
        <v>6000</v>
      </c>
      <c r="G209" s="3">
        <v>63180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63180</v>
      </c>
      <c r="N209" s="3">
        <v>221963.18</v>
      </c>
      <c r="O209" s="3" t="str">
        <f>"SW202152"</f>
        <v>SW202152</v>
      </c>
      <c r="P209" s="3">
        <v>10.53</v>
      </c>
      <c r="Q209" s="3">
        <v>6000</v>
      </c>
      <c r="R209" s="3" t="str">
        <f t="shared" si="35"/>
        <v>0103988319</v>
      </c>
      <c r="S209" s="3" t="str">
        <f t="shared" si="30"/>
        <v>301719094322</v>
      </c>
      <c r="T209" s="3" t="str">
        <f t="shared" si="24"/>
        <v>人民币</v>
      </c>
    </row>
    <row r="210" spans="1:20" s="3" customFormat="1" x14ac:dyDescent="0.15">
      <c r="A210" s="3" t="str">
        <f t="shared" si="33"/>
        <v>2015-04-17</v>
      </c>
      <c r="B210" s="3" t="str">
        <f t="shared" si="34"/>
        <v>申购还款</v>
      </c>
      <c r="C210" s="3" t="str">
        <f>"300448"</f>
        <v>300448</v>
      </c>
      <c r="D210" s="3" t="str">
        <f>"浩云科技"</f>
        <v>浩云科技</v>
      </c>
      <c r="E210" s="3">
        <v>15.79</v>
      </c>
      <c r="F210" s="3">
        <v>1500</v>
      </c>
      <c r="G210" s="3">
        <v>23685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23685</v>
      </c>
      <c r="N210" s="3">
        <v>245648.18</v>
      </c>
      <c r="O210" s="3" t="str">
        <f>"SW202172"</f>
        <v>SW202172</v>
      </c>
      <c r="P210" s="3">
        <v>15.79</v>
      </c>
      <c r="Q210" s="3">
        <v>1500</v>
      </c>
      <c r="R210" s="3" t="str">
        <f t="shared" si="35"/>
        <v>0103988319</v>
      </c>
      <c r="S210" s="3" t="str">
        <f t="shared" si="30"/>
        <v>301719094322</v>
      </c>
      <c r="T210" s="3" t="str">
        <f t="shared" si="24"/>
        <v>人民币</v>
      </c>
    </row>
    <row r="211" spans="1:20" s="3" customFormat="1" x14ac:dyDescent="0.15">
      <c r="A211" s="3" t="str">
        <f t="shared" si="33"/>
        <v>2015-04-17</v>
      </c>
      <c r="B211" s="3" t="str">
        <f t="shared" si="34"/>
        <v>申购还款</v>
      </c>
      <c r="C211" s="3" t="str">
        <f>"300441"</f>
        <v>300441</v>
      </c>
      <c r="D211" s="3" t="str">
        <f>"鲍斯股份"</f>
        <v>鲍斯股份</v>
      </c>
      <c r="E211" s="3">
        <v>9.81</v>
      </c>
      <c r="F211" s="3">
        <v>1500</v>
      </c>
      <c r="G211" s="3">
        <v>14715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14715</v>
      </c>
      <c r="N211" s="3">
        <v>260363.18</v>
      </c>
      <c r="O211" s="3" t="str">
        <f>"SW202174"</f>
        <v>SW202174</v>
      </c>
      <c r="P211" s="3">
        <v>9.81</v>
      </c>
      <c r="Q211" s="3">
        <v>1500</v>
      </c>
      <c r="R211" s="3" t="str">
        <f t="shared" si="35"/>
        <v>0103988319</v>
      </c>
      <c r="S211" s="3" t="str">
        <f t="shared" si="30"/>
        <v>301719094322</v>
      </c>
      <c r="T211" s="3" t="str">
        <f t="shared" si="24"/>
        <v>人民币</v>
      </c>
    </row>
    <row r="212" spans="1:20" s="3" customFormat="1" x14ac:dyDescent="0.15">
      <c r="A212" s="3" t="str">
        <f t="shared" si="33"/>
        <v>2015-04-17</v>
      </c>
      <c r="B212" s="3" t="str">
        <f t="shared" si="34"/>
        <v>申购还款</v>
      </c>
      <c r="C212" s="3" t="str">
        <f>"300440"</f>
        <v>300440</v>
      </c>
      <c r="D212" s="3" t="str">
        <f>"运达科技"</f>
        <v>运达科技</v>
      </c>
      <c r="E212" s="3">
        <v>21.7</v>
      </c>
      <c r="F212" s="3">
        <v>1500</v>
      </c>
      <c r="G212" s="3">
        <v>32550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32550</v>
      </c>
      <c r="N212" s="3">
        <v>292913.18</v>
      </c>
      <c r="O212" s="3" t="str">
        <f>"SW202185"</f>
        <v>SW202185</v>
      </c>
      <c r="P212" s="3">
        <v>21.7</v>
      </c>
      <c r="Q212" s="3">
        <v>1500</v>
      </c>
      <c r="R212" s="3" t="str">
        <f t="shared" si="35"/>
        <v>0103988319</v>
      </c>
      <c r="S212" s="3" t="str">
        <f t="shared" si="30"/>
        <v>301719094322</v>
      </c>
      <c r="T212" s="3" t="str">
        <f t="shared" si="24"/>
        <v>人民币</v>
      </c>
    </row>
    <row r="213" spans="1:20" s="3" customFormat="1" x14ac:dyDescent="0.15">
      <c r="A213" s="3" t="str">
        <f t="shared" si="33"/>
        <v>2015-04-17</v>
      </c>
      <c r="B213" s="3" t="str">
        <f t="shared" si="34"/>
        <v>申购还款</v>
      </c>
      <c r="C213" s="3" t="str">
        <f>"300444"</f>
        <v>300444</v>
      </c>
      <c r="D213" s="3" t="str">
        <f>"双杰电气"</f>
        <v>双杰电气</v>
      </c>
      <c r="E213" s="3">
        <v>12.13</v>
      </c>
      <c r="F213" s="3">
        <v>1500</v>
      </c>
      <c r="G213" s="3">
        <v>18195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18195</v>
      </c>
      <c r="N213" s="3">
        <v>311108.18</v>
      </c>
      <c r="O213" s="3" t="str">
        <f>"SW202191"</f>
        <v>SW202191</v>
      </c>
      <c r="P213" s="3">
        <v>12.13</v>
      </c>
      <c r="Q213" s="3">
        <v>1500</v>
      </c>
      <c r="R213" s="3" t="str">
        <f t="shared" si="35"/>
        <v>0103988319</v>
      </c>
      <c r="S213" s="3" t="str">
        <f t="shared" si="30"/>
        <v>301719094322</v>
      </c>
      <c r="T213" s="3" t="str">
        <f t="shared" si="24"/>
        <v>人民币</v>
      </c>
    </row>
    <row r="214" spans="1:20" s="3" customFormat="1" x14ac:dyDescent="0.15">
      <c r="A214" s="3" t="str">
        <f t="shared" si="33"/>
        <v>2015-04-17</v>
      </c>
      <c r="B214" s="3" t="str">
        <f>"证券卖出清算"</f>
        <v>证券卖出清算</v>
      </c>
      <c r="C214" s="3" t="str">
        <f>"002239"</f>
        <v>002239</v>
      </c>
      <c r="D214" s="3" t="str">
        <f>"金 飞 达"</f>
        <v>金 飞 达</v>
      </c>
      <c r="E214" s="3">
        <v>11</v>
      </c>
      <c r="F214" s="3">
        <v>4000</v>
      </c>
      <c r="G214" s="3">
        <v>44000</v>
      </c>
      <c r="H214" s="3">
        <v>0</v>
      </c>
      <c r="I214" s="3">
        <v>8.8000000000000007</v>
      </c>
      <c r="J214" s="3">
        <v>44</v>
      </c>
      <c r="K214" s="3">
        <v>0</v>
      </c>
      <c r="L214" s="3">
        <v>0</v>
      </c>
      <c r="M214" s="3">
        <v>43947.199999999997</v>
      </c>
      <c r="N214" s="3">
        <v>355055.38</v>
      </c>
      <c r="O214" s="3" t="str">
        <f>"SW434141"</f>
        <v>SW434141</v>
      </c>
      <c r="P214" s="3">
        <v>11</v>
      </c>
      <c r="Q214" s="3">
        <v>4000</v>
      </c>
      <c r="R214" s="3" t="str">
        <f t="shared" si="35"/>
        <v>0103988319</v>
      </c>
      <c r="S214" s="3" t="str">
        <f t="shared" si="30"/>
        <v>301719094322</v>
      </c>
      <c r="T214" s="3" t="str">
        <f t="shared" si="24"/>
        <v>人民币</v>
      </c>
    </row>
    <row r="215" spans="1:20" s="3" customFormat="1" x14ac:dyDescent="0.15">
      <c r="A215" s="3" t="str">
        <f t="shared" si="33"/>
        <v>2015-04-17</v>
      </c>
      <c r="B215" s="3" t="str">
        <f>"基金申购"</f>
        <v>基金申购</v>
      </c>
      <c r="C215" s="3" t="str">
        <f>"A40006"</f>
        <v>A40006</v>
      </c>
      <c r="D215" s="3" t="str">
        <f>"现金宝"</f>
        <v>现金宝</v>
      </c>
      <c r="E215" s="3">
        <v>1</v>
      </c>
      <c r="F215" s="3">
        <v>149630.38</v>
      </c>
      <c r="G215" s="3">
        <v>149630.38</v>
      </c>
      <c r="H215" s="3">
        <v>149630</v>
      </c>
      <c r="I215" s="3">
        <v>0</v>
      </c>
      <c r="J215" s="3">
        <v>0</v>
      </c>
      <c r="K215" s="3">
        <v>0</v>
      </c>
      <c r="L215" s="3">
        <v>0</v>
      </c>
      <c r="M215" s="3">
        <v>-149630.38</v>
      </c>
      <c r="N215" s="3">
        <v>205425</v>
      </c>
      <c r="P215" s="3">
        <v>0</v>
      </c>
      <c r="Q215" s="3">
        <v>0</v>
      </c>
      <c r="R215" s="3" t="str">
        <f>"99F625223328"</f>
        <v>99F625223328</v>
      </c>
      <c r="S215" s="3" t="str">
        <f t="shared" si="30"/>
        <v>301719094322</v>
      </c>
      <c r="T215" s="3" t="str">
        <f t="shared" si="24"/>
        <v>人民币</v>
      </c>
    </row>
    <row r="216" spans="1:20" s="3" customFormat="1" x14ac:dyDescent="0.15">
      <c r="A216" s="3" t="str">
        <f t="shared" ref="A216:A221" si="36">"2015-04-20"</f>
        <v>2015-04-20</v>
      </c>
      <c r="B216" s="3" t="str">
        <f>"申购还款"</f>
        <v>申购还款</v>
      </c>
      <c r="C216" s="3" t="str">
        <f>"300434"</f>
        <v>300434</v>
      </c>
      <c r="D216" s="3" t="str">
        <f>"金石东方"</f>
        <v>金石东方</v>
      </c>
      <c r="E216" s="3">
        <v>10.57</v>
      </c>
      <c r="F216" s="3">
        <v>1500</v>
      </c>
      <c r="G216" s="3">
        <v>15855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15855</v>
      </c>
      <c r="N216" s="3">
        <v>221280</v>
      </c>
      <c r="O216" s="3" t="str">
        <f>"SW324994"</f>
        <v>SW324994</v>
      </c>
      <c r="P216" s="3">
        <v>10.57</v>
      </c>
      <c r="Q216" s="3">
        <v>1500</v>
      </c>
      <c r="R216" s="3" t="str">
        <f>"0103988319"</f>
        <v>0103988319</v>
      </c>
      <c r="S216" s="3" t="str">
        <f t="shared" si="30"/>
        <v>301719094322</v>
      </c>
      <c r="T216" s="3" t="str">
        <f t="shared" si="24"/>
        <v>人民币</v>
      </c>
    </row>
    <row r="217" spans="1:20" s="3" customFormat="1" x14ac:dyDescent="0.15">
      <c r="A217" s="3" t="str">
        <f t="shared" si="36"/>
        <v>2015-04-20</v>
      </c>
      <c r="B217" s="3" t="str">
        <f>"申购还款"</f>
        <v>申购还款</v>
      </c>
      <c r="C217" s="3" t="str">
        <f>"300404"</f>
        <v>300404</v>
      </c>
      <c r="D217" s="3" t="str">
        <f>"博济医药"</f>
        <v>博济医药</v>
      </c>
      <c r="E217" s="3">
        <v>12.87</v>
      </c>
      <c r="F217" s="3">
        <v>5000</v>
      </c>
      <c r="G217" s="3">
        <v>64350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64350</v>
      </c>
      <c r="N217" s="3">
        <v>285630</v>
      </c>
      <c r="O217" s="3" t="str">
        <f>"SW325794"</f>
        <v>SW325794</v>
      </c>
      <c r="P217" s="3">
        <v>12.87</v>
      </c>
      <c r="Q217" s="3">
        <v>5000</v>
      </c>
      <c r="R217" s="3" t="str">
        <f>"0103988319"</f>
        <v>0103988319</v>
      </c>
      <c r="S217" s="3" t="str">
        <f t="shared" si="30"/>
        <v>301719094322</v>
      </c>
      <c r="T217" s="3" t="str">
        <f t="shared" si="24"/>
        <v>人民币</v>
      </c>
    </row>
    <row r="218" spans="1:20" s="3" customFormat="1" x14ac:dyDescent="0.15">
      <c r="A218" s="3" t="str">
        <f t="shared" si="36"/>
        <v>2015-04-20</v>
      </c>
      <c r="B218" s="3" t="str">
        <f>"申购还款"</f>
        <v>申购还款</v>
      </c>
      <c r="C218" s="3" t="str">
        <f>"002751"</f>
        <v>002751</v>
      </c>
      <c r="D218" s="3" t="str">
        <f>"易尚展示"</f>
        <v>易尚展示</v>
      </c>
      <c r="E218" s="3">
        <v>10.48</v>
      </c>
      <c r="F218" s="3">
        <v>5000</v>
      </c>
      <c r="G218" s="3">
        <v>52400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52400</v>
      </c>
      <c r="N218" s="3">
        <v>338030</v>
      </c>
      <c r="O218" s="3" t="str">
        <f>"SW325886"</f>
        <v>SW325886</v>
      </c>
      <c r="P218" s="3">
        <v>10.48</v>
      </c>
      <c r="Q218" s="3">
        <v>5000</v>
      </c>
      <c r="R218" s="3" t="str">
        <f>"0103988319"</f>
        <v>0103988319</v>
      </c>
      <c r="S218" s="3" t="str">
        <f t="shared" si="30"/>
        <v>301719094322</v>
      </c>
      <c r="T218" s="3" t="str">
        <f t="shared" si="24"/>
        <v>人民币</v>
      </c>
    </row>
    <row r="219" spans="1:20" s="3" customFormat="1" x14ac:dyDescent="0.15">
      <c r="A219" s="3" t="str">
        <f t="shared" si="36"/>
        <v>2015-04-20</v>
      </c>
      <c r="B219" s="3" t="str">
        <f>"申购还款"</f>
        <v>申购还款</v>
      </c>
      <c r="C219" s="3" t="str">
        <f>"300438"</f>
        <v>300438</v>
      </c>
      <c r="D219" s="3" t="str">
        <f>"鹏辉能源"</f>
        <v>鹏辉能源</v>
      </c>
      <c r="E219" s="3">
        <v>14.87</v>
      </c>
      <c r="F219" s="3">
        <v>1000</v>
      </c>
      <c r="G219" s="3">
        <v>14870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14870</v>
      </c>
      <c r="N219" s="3">
        <v>352900</v>
      </c>
      <c r="O219" s="3" t="str">
        <f>"SW325962"</f>
        <v>SW325962</v>
      </c>
      <c r="P219" s="3">
        <v>14.87</v>
      </c>
      <c r="Q219" s="3">
        <v>1000</v>
      </c>
      <c r="R219" s="3" t="str">
        <f>"0103988319"</f>
        <v>0103988319</v>
      </c>
      <c r="S219" s="3" t="str">
        <f t="shared" si="30"/>
        <v>301719094322</v>
      </c>
      <c r="T219" s="3" t="str">
        <f t="shared" si="24"/>
        <v>人民币</v>
      </c>
    </row>
    <row r="220" spans="1:20" s="3" customFormat="1" x14ac:dyDescent="0.15">
      <c r="A220" s="3" t="str">
        <f t="shared" si="36"/>
        <v>2015-04-20</v>
      </c>
      <c r="B220" s="3" t="str">
        <f>"申购还款"</f>
        <v>申购还款</v>
      </c>
      <c r="C220" s="3" t="str">
        <f>"300442"</f>
        <v>300442</v>
      </c>
      <c r="D220" s="3" t="str">
        <f>"普丽盛"</f>
        <v>普丽盛</v>
      </c>
      <c r="E220" s="3">
        <v>19.170000000000002</v>
      </c>
      <c r="F220" s="3">
        <v>1000</v>
      </c>
      <c r="G220" s="3">
        <v>19170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19170</v>
      </c>
      <c r="N220" s="3">
        <v>372070</v>
      </c>
      <c r="O220" s="3" t="str">
        <f>"SW352954"</f>
        <v>SW352954</v>
      </c>
      <c r="P220" s="3">
        <v>19.170000000000002</v>
      </c>
      <c r="Q220" s="3">
        <v>1000</v>
      </c>
      <c r="R220" s="3" t="str">
        <f>"0103988319"</f>
        <v>0103988319</v>
      </c>
      <c r="S220" s="3" t="str">
        <f t="shared" si="30"/>
        <v>301719094322</v>
      </c>
      <c r="T220" s="3" t="str">
        <f t="shared" si="24"/>
        <v>人民币</v>
      </c>
    </row>
    <row r="221" spans="1:20" s="3" customFormat="1" x14ac:dyDescent="0.15">
      <c r="A221" s="3" t="str">
        <f t="shared" si="36"/>
        <v>2015-04-20</v>
      </c>
      <c r="B221" s="3" t="str">
        <f>"基金申购"</f>
        <v>基金申购</v>
      </c>
      <c r="C221" s="3" t="str">
        <f>"A40006"</f>
        <v>A40006</v>
      </c>
      <c r="D221" s="3" t="str">
        <f>"现金宝"</f>
        <v>现金宝</v>
      </c>
      <c r="E221" s="3">
        <v>1</v>
      </c>
      <c r="F221" s="3">
        <v>205425</v>
      </c>
      <c r="G221" s="3">
        <v>205425</v>
      </c>
      <c r="H221" s="3">
        <v>355055</v>
      </c>
      <c r="I221" s="3">
        <v>0</v>
      </c>
      <c r="J221" s="3">
        <v>0</v>
      </c>
      <c r="K221" s="3">
        <v>0</v>
      </c>
      <c r="L221" s="3">
        <v>0</v>
      </c>
      <c r="M221" s="3">
        <v>-205425</v>
      </c>
      <c r="N221" s="3">
        <v>166645</v>
      </c>
      <c r="P221" s="3">
        <v>0</v>
      </c>
      <c r="Q221" s="3">
        <v>0</v>
      </c>
      <c r="R221" s="3" t="str">
        <f>"99F625223328"</f>
        <v>99F625223328</v>
      </c>
      <c r="S221" s="3" t="str">
        <f t="shared" si="30"/>
        <v>301719094322</v>
      </c>
      <c r="T221" s="3" t="str">
        <f t="shared" si="24"/>
        <v>人民币</v>
      </c>
    </row>
    <row r="222" spans="1:20" s="3" customFormat="1" x14ac:dyDescent="0.15">
      <c r="A222" s="3" t="str">
        <f>"2015-04-21"</f>
        <v>2015-04-21</v>
      </c>
      <c r="B222" s="3" t="str">
        <f>"银证转出"</f>
        <v>银证转出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-16600</v>
      </c>
      <c r="N222" s="3">
        <v>150045</v>
      </c>
      <c r="P222" s="3">
        <v>0</v>
      </c>
      <c r="Q222" s="3">
        <v>0</v>
      </c>
      <c r="S222" s="3" t="str">
        <f t="shared" si="30"/>
        <v>301719094322</v>
      </c>
      <c r="T222" s="3" t="str">
        <f t="shared" si="24"/>
        <v>人民币</v>
      </c>
    </row>
    <row r="223" spans="1:20" s="3" customFormat="1" x14ac:dyDescent="0.15">
      <c r="A223" s="3" t="str">
        <f>"2015-04-21"</f>
        <v>2015-04-21</v>
      </c>
      <c r="B223" s="3" t="str">
        <f>"银证转出"</f>
        <v>银证转出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-150000</v>
      </c>
      <c r="N223" s="3">
        <v>45</v>
      </c>
      <c r="P223" s="3">
        <v>0</v>
      </c>
      <c r="Q223" s="3">
        <v>0</v>
      </c>
      <c r="S223" s="3" t="str">
        <f t="shared" si="30"/>
        <v>301719094322</v>
      </c>
      <c r="T223" s="3" t="str">
        <f t="shared" si="24"/>
        <v>人民币</v>
      </c>
    </row>
    <row r="224" spans="1:20" s="3" customFormat="1" x14ac:dyDescent="0.15">
      <c r="A224" s="3" t="str">
        <f t="shared" ref="A224:A230" si="37">"2015-05-04"</f>
        <v>2015-05-04</v>
      </c>
      <c r="B224" s="3" t="str">
        <f>"银证转入"</f>
        <v>银证转入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9661.11</v>
      </c>
      <c r="N224" s="3">
        <v>9661.11</v>
      </c>
      <c r="P224" s="3">
        <v>0</v>
      </c>
      <c r="Q224" s="3">
        <v>0</v>
      </c>
      <c r="S224" s="3" t="str">
        <f>"301719093190"</f>
        <v>301719093190</v>
      </c>
      <c r="T224" s="3" t="str">
        <f t="shared" si="24"/>
        <v>人民币</v>
      </c>
    </row>
    <row r="225" spans="1:20" s="3" customFormat="1" x14ac:dyDescent="0.15">
      <c r="A225" s="3" t="str">
        <f t="shared" si="37"/>
        <v>2015-05-04</v>
      </c>
      <c r="B225" s="3" t="str">
        <f>"银证转入"</f>
        <v>银证转入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5000</v>
      </c>
      <c r="N225" s="3">
        <v>5000</v>
      </c>
      <c r="P225" s="3">
        <v>0</v>
      </c>
      <c r="Q225" s="3">
        <v>0</v>
      </c>
      <c r="S225" s="3" t="str">
        <f>"301719094323"</f>
        <v>301719094323</v>
      </c>
      <c r="T225" s="3" t="str">
        <f t="shared" si="24"/>
        <v>人民币</v>
      </c>
    </row>
    <row r="226" spans="1:20" s="3" customFormat="1" x14ac:dyDescent="0.15">
      <c r="A226" s="3" t="str">
        <f t="shared" si="37"/>
        <v>2015-05-04</v>
      </c>
      <c r="B226" s="3" t="str">
        <f>"跨行转出"</f>
        <v>跨行转出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-9661.11</v>
      </c>
      <c r="N226" s="3">
        <v>0</v>
      </c>
      <c r="P226" s="3">
        <v>0</v>
      </c>
      <c r="Q226" s="3">
        <v>0</v>
      </c>
      <c r="S226" s="3" t="str">
        <f>"301719093190"</f>
        <v>301719093190</v>
      </c>
      <c r="T226" s="3" t="str">
        <f t="shared" si="24"/>
        <v>人民币</v>
      </c>
    </row>
    <row r="227" spans="1:20" s="3" customFormat="1" x14ac:dyDescent="0.15">
      <c r="A227" s="3" t="str">
        <f t="shared" si="37"/>
        <v>2015-05-04</v>
      </c>
      <c r="B227" s="3" t="str">
        <f>"跨行转入"</f>
        <v>跨行转入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9661.11</v>
      </c>
      <c r="N227" s="3">
        <v>9706.11</v>
      </c>
      <c r="P227" s="3">
        <v>0</v>
      </c>
      <c r="Q227" s="3">
        <v>0</v>
      </c>
      <c r="S227" s="3" t="str">
        <f>"301719094322"</f>
        <v>301719094322</v>
      </c>
      <c r="T227" s="3" t="str">
        <f t="shared" si="24"/>
        <v>人民币</v>
      </c>
    </row>
    <row r="228" spans="1:20" s="3" customFormat="1" x14ac:dyDescent="0.15">
      <c r="A228" s="3" t="str">
        <f t="shared" si="37"/>
        <v>2015-05-04</v>
      </c>
      <c r="B228" s="3" t="str">
        <f>"跨行转出"</f>
        <v>跨行转出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-5000</v>
      </c>
      <c r="N228" s="3">
        <v>0</v>
      </c>
      <c r="P228" s="3">
        <v>0</v>
      </c>
      <c r="Q228" s="3">
        <v>0</v>
      </c>
      <c r="S228" s="3" t="str">
        <f>"301719094323"</f>
        <v>301719094323</v>
      </c>
      <c r="T228" s="3" t="str">
        <f t="shared" si="24"/>
        <v>人民币</v>
      </c>
    </row>
    <row r="229" spans="1:20" s="3" customFormat="1" x14ac:dyDescent="0.15">
      <c r="A229" s="3" t="str">
        <f t="shared" si="37"/>
        <v>2015-05-04</v>
      </c>
      <c r="B229" s="3" t="str">
        <f>"跨行转入"</f>
        <v>跨行转入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5000</v>
      </c>
      <c r="N229" s="3">
        <v>14706.11</v>
      </c>
      <c r="P229" s="3">
        <v>0</v>
      </c>
      <c r="Q229" s="3">
        <v>0</v>
      </c>
      <c r="S229" s="3" t="str">
        <f t="shared" ref="S229:S237" si="38">"301719094322"</f>
        <v>301719094322</v>
      </c>
      <c r="T229" s="3" t="str">
        <f t="shared" si="24"/>
        <v>人民币</v>
      </c>
    </row>
    <row r="230" spans="1:20" s="3" customFormat="1" x14ac:dyDescent="0.15">
      <c r="A230" s="3" t="str">
        <f t="shared" si="37"/>
        <v>2015-05-04</v>
      </c>
      <c r="B230" s="3" t="str">
        <f>"基金申购"</f>
        <v>基金申购</v>
      </c>
      <c r="C230" s="3" t="str">
        <f>"A40006"</f>
        <v>A40006</v>
      </c>
      <c r="D230" s="3" t="str">
        <f>"现金宝"</f>
        <v>现金宝</v>
      </c>
      <c r="E230" s="3">
        <v>1</v>
      </c>
      <c r="F230" s="3">
        <v>14706.11</v>
      </c>
      <c r="G230" s="3">
        <v>14706.11</v>
      </c>
      <c r="H230" s="3">
        <v>369761</v>
      </c>
      <c r="I230" s="3">
        <v>0</v>
      </c>
      <c r="J230" s="3">
        <v>0</v>
      </c>
      <c r="K230" s="3">
        <v>0</v>
      </c>
      <c r="L230" s="3">
        <v>0</v>
      </c>
      <c r="M230" s="3">
        <v>-14706.11</v>
      </c>
      <c r="N230" s="3">
        <v>0</v>
      </c>
      <c r="P230" s="3">
        <v>0</v>
      </c>
      <c r="Q230" s="3">
        <v>0</v>
      </c>
      <c r="R230" s="3" t="str">
        <f>"99F625223328"</f>
        <v>99F625223328</v>
      </c>
      <c r="S230" s="3" t="str">
        <f t="shared" si="38"/>
        <v>301719094322</v>
      </c>
      <c r="T230" s="3" t="str">
        <f t="shared" si="24"/>
        <v>人民币</v>
      </c>
    </row>
    <row r="231" spans="1:20" s="3" customFormat="1" x14ac:dyDescent="0.15">
      <c r="A231" s="3" t="str">
        <f t="shared" ref="A231:A237" si="39">"2015-05-05"</f>
        <v>2015-05-05</v>
      </c>
      <c r="B231" s="3" t="str">
        <f>"基金赎回"</f>
        <v>基金赎回</v>
      </c>
      <c r="C231" s="3" t="str">
        <f>"A40006"</f>
        <v>A40006</v>
      </c>
      <c r="D231" s="3" t="str">
        <f>"现金宝"</f>
        <v>现金宝</v>
      </c>
      <c r="E231" s="3">
        <v>1</v>
      </c>
      <c r="F231" s="3">
        <v>232230</v>
      </c>
      <c r="G231" s="3">
        <v>232230</v>
      </c>
      <c r="H231" s="3">
        <v>137531</v>
      </c>
      <c r="I231" s="3">
        <v>0</v>
      </c>
      <c r="J231" s="3">
        <v>0</v>
      </c>
      <c r="K231" s="3">
        <v>0</v>
      </c>
      <c r="L231" s="3">
        <v>0</v>
      </c>
      <c r="M231" s="3">
        <v>232230</v>
      </c>
      <c r="N231" s="3">
        <v>232230</v>
      </c>
      <c r="P231" s="3">
        <v>0</v>
      </c>
      <c r="Q231" s="3">
        <v>0</v>
      </c>
      <c r="R231" s="3" t="str">
        <f>"99F625223328"</f>
        <v>99F625223328</v>
      </c>
      <c r="S231" s="3" t="str">
        <f t="shared" si="38"/>
        <v>301719094322</v>
      </c>
      <c r="T231" s="3" t="str">
        <f t="shared" ref="T231:T294" si="40">"人民币"</f>
        <v>人民币</v>
      </c>
    </row>
    <row r="232" spans="1:20" s="3" customFormat="1" x14ac:dyDescent="0.15">
      <c r="A232" s="3" t="str">
        <f t="shared" si="39"/>
        <v>2015-05-05</v>
      </c>
      <c r="B232" s="3" t="str">
        <f t="shared" ref="B232:B237" si="41">"新股申购"</f>
        <v>新股申购</v>
      </c>
      <c r="C232" s="3" t="str">
        <f>"300414"</f>
        <v>300414</v>
      </c>
      <c r="D232" s="3" t="str">
        <f>"中光防雷"</f>
        <v>中光防雷</v>
      </c>
      <c r="E232" s="3">
        <v>14.74</v>
      </c>
      <c r="F232" s="3">
        <v>3000</v>
      </c>
      <c r="G232" s="3">
        <v>44220</v>
      </c>
      <c r="H232" s="3">
        <v>3000</v>
      </c>
      <c r="I232" s="3">
        <v>0</v>
      </c>
      <c r="J232" s="3">
        <v>0</v>
      </c>
      <c r="K232" s="3">
        <v>0</v>
      </c>
      <c r="L232" s="3">
        <v>0</v>
      </c>
      <c r="M232" s="3">
        <v>-44220</v>
      </c>
      <c r="N232" s="3">
        <v>188010</v>
      </c>
      <c r="O232" s="3" t="str">
        <f>"SW548195"</f>
        <v>SW548195</v>
      </c>
      <c r="P232" s="3">
        <v>14.74</v>
      </c>
      <c r="Q232" s="3">
        <v>3000</v>
      </c>
      <c r="R232" s="3" t="str">
        <f t="shared" ref="R232:R237" si="42">"0103988319"</f>
        <v>0103988319</v>
      </c>
      <c r="S232" s="3" t="str">
        <f t="shared" si="38"/>
        <v>301719094322</v>
      </c>
      <c r="T232" s="3" t="str">
        <f t="shared" si="40"/>
        <v>人民币</v>
      </c>
    </row>
    <row r="233" spans="1:20" s="3" customFormat="1" x14ac:dyDescent="0.15">
      <c r="A233" s="3" t="str">
        <f t="shared" si="39"/>
        <v>2015-05-05</v>
      </c>
      <c r="B233" s="3" t="str">
        <f t="shared" si="41"/>
        <v>新股申购</v>
      </c>
      <c r="C233" s="3" t="str">
        <f>"300451"</f>
        <v>300451</v>
      </c>
      <c r="D233" s="3" t="str">
        <f>"创业软件"</f>
        <v>创业软件</v>
      </c>
      <c r="E233" s="3">
        <v>14.02</v>
      </c>
      <c r="F233" s="3">
        <v>4500</v>
      </c>
      <c r="G233" s="3">
        <v>63090</v>
      </c>
      <c r="H233" s="3">
        <v>4500</v>
      </c>
      <c r="I233" s="3">
        <v>0</v>
      </c>
      <c r="J233" s="3">
        <v>0</v>
      </c>
      <c r="K233" s="3">
        <v>0</v>
      </c>
      <c r="L233" s="3">
        <v>0</v>
      </c>
      <c r="M233" s="3">
        <v>-63090</v>
      </c>
      <c r="N233" s="3">
        <v>124920</v>
      </c>
      <c r="O233" s="3" t="str">
        <f>"SW548305"</f>
        <v>SW548305</v>
      </c>
      <c r="P233" s="3">
        <v>14.02</v>
      </c>
      <c r="Q233" s="3">
        <v>4500</v>
      </c>
      <c r="R233" s="3" t="str">
        <f t="shared" si="42"/>
        <v>0103988319</v>
      </c>
      <c r="S233" s="3" t="str">
        <f t="shared" si="38"/>
        <v>301719094322</v>
      </c>
      <c r="T233" s="3" t="str">
        <f t="shared" si="40"/>
        <v>人民币</v>
      </c>
    </row>
    <row r="234" spans="1:20" s="3" customFormat="1" x14ac:dyDescent="0.15">
      <c r="A234" s="3" t="str">
        <f t="shared" si="39"/>
        <v>2015-05-05</v>
      </c>
      <c r="B234" s="3" t="str">
        <f t="shared" si="41"/>
        <v>新股申购</v>
      </c>
      <c r="C234" s="3" t="str">
        <f>"300452"</f>
        <v>300452</v>
      </c>
      <c r="D234" s="3" t="str">
        <f>"山河药辅"</f>
        <v>山河药辅</v>
      </c>
      <c r="E234" s="3">
        <v>14.96</v>
      </c>
      <c r="F234" s="3">
        <v>3000</v>
      </c>
      <c r="G234" s="3">
        <v>44880</v>
      </c>
      <c r="H234" s="3">
        <v>3000</v>
      </c>
      <c r="I234" s="3">
        <v>0</v>
      </c>
      <c r="J234" s="3">
        <v>0</v>
      </c>
      <c r="K234" s="3">
        <v>0</v>
      </c>
      <c r="L234" s="3">
        <v>0</v>
      </c>
      <c r="M234" s="3">
        <v>-44880</v>
      </c>
      <c r="N234" s="3">
        <v>80040</v>
      </c>
      <c r="O234" s="3" t="str">
        <f>"SW548393"</f>
        <v>SW548393</v>
      </c>
      <c r="P234" s="3">
        <v>14.96</v>
      </c>
      <c r="Q234" s="3">
        <v>3000</v>
      </c>
      <c r="R234" s="3" t="str">
        <f t="shared" si="42"/>
        <v>0103988319</v>
      </c>
      <c r="S234" s="3" t="str">
        <f t="shared" si="38"/>
        <v>301719094322</v>
      </c>
      <c r="T234" s="3" t="str">
        <f t="shared" si="40"/>
        <v>人民币</v>
      </c>
    </row>
    <row r="235" spans="1:20" s="3" customFormat="1" x14ac:dyDescent="0.15">
      <c r="A235" s="3" t="str">
        <f t="shared" si="39"/>
        <v>2015-05-05</v>
      </c>
      <c r="B235" s="3" t="str">
        <f t="shared" si="41"/>
        <v>新股申购</v>
      </c>
      <c r="C235" s="3" t="str">
        <f>"300457"</f>
        <v>300457</v>
      </c>
      <c r="D235" s="3" t="str">
        <f>"赢合科技"</f>
        <v>赢合科技</v>
      </c>
      <c r="E235" s="3">
        <v>12.41</v>
      </c>
      <c r="F235" s="3">
        <v>3000</v>
      </c>
      <c r="G235" s="3">
        <v>37230</v>
      </c>
      <c r="H235" s="3">
        <v>3000</v>
      </c>
      <c r="I235" s="3">
        <v>0</v>
      </c>
      <c r="J235" s="3">
        <v>0</v>
      </c>
      <c r="K235" s="3">
        <v>0</v>
      </c>
      <c r="L235" s="3">
        <v>0</v>
      </c>
      <c r="M235" s="3">
        <v>-37230</v>
      </c>
      <c r="N235" s="3">
        <v>42810</v>
      </c>
      <c r="O235" s="3" t="str">
        <f>"SW548517"</f>
        <v>SW548517</v>
      </c>
      <c r="P235" s="3">
        <v>12.41</v>
      </c>
      <c r="Q235" s="3">
        <v>3000</v>
      </c>
      <c r="R235" s="3" t="str">
        <f t="shared" si="42"/>
        <v>0103988319</v>
      </c>
      <c r="S235" s="3" t="str">
        <f t="shared" si="38"/>
        <v>301719094322</v>
      </c>
      <c r="T235" s="3" t="str">
        <f t="shared" si="40"/>
        <v>人民币</v>
      </c>
    </row>
    <row r="236" spans="1:20" s="3" customFormat="1" x14ac:dyDescent="0.15">
      <c r="A236" s="3" t="str">
        <f t="shared" si="39"/>
        <v>2015-05-05</v>
      </c>
      <c r="B236" s="3" t="str">
        <f t="shared" si="41"/>
        <v>新股申购</v>
      </c>
      <c r="C236" s="3" t="str">
        <f>"300459"</f>
        <v>300459</v>
      </c>
      <c r="D236" s="3" t="str">
        <f>"浙江金科"</f>
        <v>浙江金科</v>
      </c>
      <c r="E236" s="3">
        <v>7.84</v>
      </c>
      <c r="F236" s="3">
        <v>3000</v>
      </c>
      <c r="G236" s="3">
        <v>23520</v>
      </c>
      <c r="H236" s="3">
        <v>3000</v>
      </c>
      <c r="I236" s="3">
        <v>0</v>
      </c>
      <c r="J236" s="3">
        <v>0</v>
      </c>
      <c r="K236" s="3">
        <v>0</v>
      </c>
      <c r="L236" s="3">
        <v>0</v>
      </c>
      <c r="M236" s="3">
        <v>-23520</v>
      </c>
      <c r="N236" s="3">
        <v>19290</v>
      </c>
      <c r="O236" s="3" t="str">
        <f>"SW548657"</f>
        <v>SW548657</v>
      </c>
      <c r="P236" s="3">
        <v>7.84</v>
      </c>
      <c r="Q236" s="3">
        <v>3000</v>
      </c>
      <c r="R236" s="3" t="str">
        <f t="shared" si="42"/>
        <v>0103988319</v>
      </c>
      <c r="S236" s="3" t="str">
        <f t="shared" si="38"/>
        <v>301719094322</v>
      </c>
      <c r="T236" s="3" t="str">
        <f t="shared" si="40"/>
        <v>人民币</v>
      </c>
    </row>
    <row r="237" spans="1:20" s="3" customFormat="1" x14ac:dyDescent="0.15">
      <c r="A237" s="3" t="str">
        <f t="shared" si="39"/>
        <v>2015-05-05</v>
      </c>
      <c r="B237" s="3" t="str">
        <f t="shared" si="41"/>
        <v>新股申购</v>
      </c>
      <c r="C237" s="3" t="str">
        <f>"300460"</f>
        <v>300460</v>
      </c>
      <c r="D237" s="3" t="str">
        <f>"惠伦晶体"</f>
        <v>惠伦晶体</v>
      </c>
      <c r="E237" s="3">
        <v>6.43</v>
      </c>
      <c r="F237" s="3">
        <v>3000</v>
      </c>
      <c r="G237" s="3">
        <v>19290</v>
      </c>
      <c r="H237" s="3">
        <v>3000</v>
      </c>
      <c r="I237" s="3">
        <v>0</v>
      </c>
      <c r="J237" s="3">
        <v>0</v>
      </c>
      <c r="K237" s="3">
        <v>0</v>
      </c>
      <c r="L237" s="3">
        <v>0</v>
      </c>
      <c r="M237" s="3">
        <v>-19290</v>
      </c>
      <c r="N237" s="3">
        <v>0</v>
      </c>
      <c r="O237" s="3" t="str">
        <f>"SW548744"</f>
        <v>SW548744</v>
      </c>
      <c r="P237" s="3">
        <v>6.43</v>
      </c>
      <c r="Q237" s="3">
        <v>3000</v>
      </c>
      <c r="R237" s="3" t="str">
        <f t="shared" si="42"/>
        <v>0103988319</v>
      </c>
      <c r="S237" s="3" t="str">
        <f t="shared" si="38"/>
        <v>301719094322</v>
      </c>
      <c r="T237" s="3" t="str">
        <f t="shared" si="40"/>
        <v>人民币</v>
      </c>
    </row>
    <row r="238" spans="1:20" s="3" customFormat="1" x14ac:dyDescent="0.15">
      <c r="A238" s="3" t="str">
        <f t="shared" ref="A238:A247" si="43">"2015-05-06"</f>
        <v>2015-05-06</v>
      </c>
      <c r="B238" s="3" t="str">
        <f>"银证转入"</f>
        <v>银证转入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200000</v>
      </c>
      <c r="N238" s="3">
        <v>200000</v>
      </c>
      <c r="P238" s="3">
        <v>0</v>
      </c>
      <c r="Q238" s="3">
        <v>0</v>
      </c>
      <c r="S238" s="3" t="str">
        <f>"301719094323"</f>
        <v>301719094323</v>
      </c>
      <c r="T238" s="3" t="str">
        <f t="shared" si="40"/>
        <v>人民币</v>
      </c>
    </row>
    <row r="239" spans="1:20" s="3" customFormat="1" x14ac:dyDescent="0.15">
      <c r="A239" s="3" t="str">
        <f t="shared" si="43"/>
        <v>2015-05-06</v>
      </c>
      <c r="B239" s="3" t="str">
        <f>"跨行转出"</f>
        <v>跨行转出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-200000</v>
      </c>
      <c r="N239" s="3">
        <v>0</v>
      </c>
      <c r="P239" s="3">
        <v>0</v>
      </c>
      <c r="Q239" s="3">
        <v>0</v>
      </c>
      <c r="S239" s="3" t="str">
        <f>"301719094323"</f>
        <v>301719094323</v>
      </c>
      <c r="T239" s="3" t="str">
        <f t="shared" si="40"/>
        <v>人民币</v>
      </c>
    </row>
    <row r="240" spans="1:20" s="3" customFormat="1" x14ac:dyDescent="0.15">
      <c r="A240" s="3" t="str">
        <f t="shared" si="43"/>
        <v>2015-05-06</v>
      </c>
      <c r="B240" s="3" t="str">
        <f>"跨行转入"</f>
        <v>跨行转入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200000</v>
      </c>
      <c r="N240" s="3">
        <v>200000</v>
      </c>
      <c r="P240" s="3">
        <v>0</v>
      </c>
      <c r="Q240" s="3">
        <v>0</v>
      </c>
      <c r="S240" s="3" t="str">
        <f>"301719094322"</f>
        <v>301719094322</v>
      </c>
      <c r="T240" s="3" t="str">
        <f t="shared" si="40"/>
        <v>人民币</v>
      </c>
    </row>
    <row r="241" spans="1:20" s="3" customFormat="1" x14ac:dyDescent="0.15">
      <c r="A241" s="3" t="str">
        <f t="shared" si="43"/>
        <v>2015-05-06</v>
      </c>
      <c r="B241" s="3" t="str">
        <f>"银证转入"</f>
        <v>银证转入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11.24</v>
      </c>
      <c r="N241" s="3">
        <v>11.24</v>
      </c>
      <c r="P241" s="3">
        <v>0</v>
      </c>
      <c r="Q241" s="3">
        <v>0</v>
      </c>
      <c r="S241" s="3" t="str">
        <f>"301719093190"</f>
        <v>301719093190</v>
      </c>
      <c r="T241" s="3" t="str">
        <f t="shared" si="40"/>
        <v>人民币</v>
      </c>
    </row>
    <row r="242" spans="1:20" s="3" customFormat="1" x14ac:dyDescent="0.15">
      <c r="A242" s="3" t="str">
        <f t="shared" si="43"/>
        <v>2015-05-06</v>
      </c>
      <c r="B242" s="3" t="str">
        <f>"银证转入"</f>
        <v>银证转入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96022.57</v>
      </c>
      <c r="N242" s="3">
        <v>96022.57</v>
      </c>
      <c r="P242" s="3">
        <v>0</v>
      </c>
      <c r="Q242" s="3">
        <v>0</v>
      </c>
      <c r="S242" s="3" t="str">
        <f>"301719094323"</f>
        <v>301719094323</v>
      </c>
      <c r="T242" s="3" t="str">
        <f t="shared" si="40"/>
        <v>人民币</v>
      </c>
    </row>
    <row r="243" spans="1:20" s="3" customFormat="1" x14ac:dyDescent="0.15">
      <c r="A243" s="3" t="str">
        <f t="shared" si="43"/>
        <v>2015-05-06</v>
      </c>
      <c r="B243" s="3" t="str">
        <f>"跨行转出"</f>
        <v>跨行转出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-11.24</v>
      </c>
      <c r="N243" s="3">
        <v>0</v>
      </c>
      <c r="P243" s="3">
        <v>0</v>
      </c>
      <c r="Q243" s="3">
        <v>0</v>
      </c>
      <c r="S243" s="3" t="str">
        <f>"301719093190"</f>
        <v>301719093190</v>
      </c>
      <c r="T243" s="3" t="str">
        <f t="shared" si="40"/>
        <v>人民币</v>
      </c>
    </row>
    <row r="244" spans="1:20" s="3" customFormat="1" x14ac:dyDescent="0.15">
      <c r="A244" s="3" t="str">
        <f t="shared" si="43"/>
        <v>2015-05-06</v>
      </c>
      <c r="B244" s="3" t="str">
        <f>"跨行转入"</f>
        <v>跨行转入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11.24</v>
      </c>
      <c r="N244" s="3">
        <v>200011.24</v>
      </c>
      <c r="P244" s="3">
        <v>0</v>
      </c>
      <c r="Q244" s="3">
        <v>0</v>
      </c>
      <c r="S244" s="3" t="str">
        <f>"301719094322"</f>
        <v>301719094322</v>
      </c>
      <c r="T244" s="3" t="str">
        <f t="shared" si="40"/>
        <v>人民币</v>
      </c>
    </row>
    <row r="245" spans="1:20" s="3" customFormat="1" x14ac:dyDescent="0.15">
      <c r="A245" s="3" t="str">
        <f t="shared" si="43"/>
        <v>2015-05-06</v>
      </c>
      <c r="B245" s="3" t="str">
        <f>"跨行转出"</f>
        <v>跨行转出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-96022.57</v>
      </c>
      <c r="N245" s="3">
        <v>0</v>
      </c>
      <c r="P245" s="3">
        <v>0</v>
      </c>
      <c r="Q245" s="3">
        <v>0</v>
      </c>
      <c r="S245" s="3" t="str">
        <f>"301719094323"</f>
        <v>301719094323</v>
      </c>
      <c r="T245" s="3" t="str">
        <f t="shared" si="40"/>
        <v>人民币</v>
      </c>
    </row>
    <row r="246" spans="1:20" s="3" customFormat="1" x14ac:dyDescent="0.15">
      <c r="A246" s="3" t="str">
        <f t="shared" si="43"/>
        <v>2015-05-06</v>
      </c>
      <c r="B246" s="3" t="str">
        <f>"跨行转入"</f>
        <v>跨行转入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96022.57</v>
      </c>
      <c r="N246" s="3">
        <v>296033.81</v>
      </c>
      <c r="P246" s="3">
        <v>0</v>
      </c>
      <c r="Q246" s="3">
        <v>0</v>
      </c>
      <c r="S246" s="3" t="str">
        <f t="shared" ref="S246:S282" si="44">"301719094322"</f>
        <v>301719094322</v>
      </c>
      <c r="T246" s="3" t="str">
        <f t="shared" si="40"/>
        <v>人民币</v>
      </c>
    </row>
    <row r="247" spans="1:20" s="3" customFormat="1" x14ac:dyDescent="0.15">
      <c r="A247" s="3" t="str">
        <f t="shared" si="43"/>
        <v>2015-05-06</v>
      </c>
      <c r="B247" s="3" t="str">
        <f>"基金赎回"</f>
        <v>基金赎回</v>
      </c>
      <c r="C247" s="3" t="str">
        <f>"A40006"</f>
        <v>A40006</v>
      </c>
      <c r="D247" s="3" t="str">
        <f>"现金宝"</f>
        <v>现金宝</v>
      </c>
      <c r="E247" s="3">
        <v>1</v>
      </c>
      <c r="F247" s="3">
        <v>66386.19</v>
      </c>
      <c r="G247" s="3">
        <v>66386.19</v>
      </c>
      <c r="H247" s="3">
        <v>71145</v>
      </c>
      <c r="I247" s="3">
        <v>0</v>
      </c>
      <c r="J247" s="3">
        <v>0</v>
      </c>
      <c r="K247" s="3">
        <v>0</v>
      </c>
      <c r="L247" s="3">
        <v>0</v>
      </c>
      <c r="M247" s="3">
        <v>66386.19</v>
      </c>
      <c r="N247" s="3">
        <v>362420</v>
      </c>
      <c r="P247" s="3">
        <v>0</v>
      </c>
      <c r="Q247" s="3">
        <v>0</v>
      </c>
      <c r="R247" s="3" t="str">
        <f>"99F625223328"</f>
        <v>99F625223328</v>
      </c>
      <c r="S247" s="3" t="str">
        <f t="shared" si="44"/>
        <v>301719094322</v>
      </c>
      <c r="T247" s="3" t="str">
        <f t="shared" si="40"/>
        <v>人民币</v>
      </c>
    </row>
    <row r="248" spans="1:20" s="3" customFormat="1" x14ac:dyDescent="0.15">
      <c r="A248" s="3" t="str">
        <f t="shared" ref="A248:A263" si="45">"2015-05-07"</f>
        <v>2015-05-07</v>
      </c>
      <c r="B248" s="3" t="str">
        <f t="shared" ref="B248:B253" si="46">"新股申购"</f>
        <v>新股申购</v>
      </c>
      <c r="C248" s="3" t="str">
        <f>"002755"</f>
        <v>002755</v>
      </c>
      <c r="D248" s="3" t="str">
        <f>"东方新星"</f>
        <v>东方新星</v>
      </c>
      <c r="E248" s="3">
        <v>7.49</v>
      </c>
      <c r="F248" s="3">
        <v>4500</v>
      </c>
      <c r="G248" s="3">
        <v>33705</v>
      </c>
      <c r="H248" s="3">
        <v>4500</v>
      </c>
      <c r="I248" s="3">
        <v>0</v>
      </c>
      <c r="J248" s="3">
        <v>0</v>
      </c>
      <c r="K248" s="3">
        <v>0</v>
      </c>
      <c r="L248" s="3">
        <v>0</v>
      </c>
      <c r="M248" s="3">
        <v>-33705</v>
      </c>
      <c r="N248" s="3">
        <v>328715</v>
      </c>
      <c r="O248" s="3" t="str">
        <f>"SW144325"</f>
        <v>SW144325</v>
      </c>
      <c r="P248" s="3">
        <v>7.49</v>
      </c>
      <c r="Q248" s="3">
        <v>4500</v>
      </c>
      <c r="R248" s="3" t="str">
        <f t="shared" ref="R248:R254" si="47">"0103988319"</f>
        <v>0103988319</v>
      </c>
      <c r="S248" s="3" t="str">
        <f t="shared" si="44"/>
        <v>301719094322</v>
      </c>
      <c r="T248" s="3" t="str">
        <f t="shared" si="40"/>
        <v>人民币</v>
      </c>
    </row>
    <row r="249" spans="1:20" s="3" customFormat="1" x14ac:dyDescent="0.15">
      <c r="A249" s="3" t="str">
        <f t="shared" si="45"/>
        <v>2015-05-07</v>
      </c>
      <c r="B249" s="3" t="str">
        <f t="shared" si="46"/>
        <v>新股申购</v>
      </c>
      <c r="C249" s="3" t="str">
        <f>"300450"</f>
        <v>300450</v>
      </c>
      <c r="D249" s="3" t="str">
        <f>"先导股份"</f>
        <v>先导股份</v>
      </c>
      <c r="E249" s="3">
        <v>21.21</v>
      </c>
      <c r="F249" s="3">
        <v>4500</v>
      </c>
      <c r="G249" s="3">
        <v>95445</v>
      </c>
      <c r="H249" s="3">
        <v>4500</v>
      </c>
      <c r="I249" s="3">
        <v>0</v>
      </c>
      <c r="J249" s="3">
        <v>0</v>
      </c>
      <c r="K249" s="3">
        <v>0</v>
      </c>
      <c r="L249" s="3">
        <v>0</v>
      </c>
      <c r="M249" s="3">
        <v>-95445</v>
      </c>
      <c r="N249" s="3">
        <v>233270</v>
      </c>
      <c r="O249" s="3" t="str">
        <f>"SW144331"</f>
        <v>SW144331</v>
      </c>
      <c r="P249" s="3">
        <v>21.21</v>
      </c>
      <c r="Q249" s="3">
        <v>4500</v>
      </c>
      <c r="R249" s="3" t="str">
        <f t="shared" si="47"/>
        <v>0103988319</v>
      </c>
      <c r="S249" s="3" t="str">
        <f t="shared" si="44"/>
        <v>301719094322</v>
      </c>
      <c r="T249" s="3" t="str">
        <f t="shared" si="40"/>
        <v>人民币</v>
      </c>
    </row>
    <row r="250" spans="1:20" s="3" customFormat="1" x14ac:dyDescent="0.15">
      <c r="A250" s="3" t="str">
        <f t="shared" si="45"/>
        <v>2015-05-07</v>
      </c>
      <c r="B250" s="3" t="str">
        <f t="shared" si="46"/>
        <v>新股申购</v>
      </c>
      <c r="C250" s="3" t="str">
        <f>"300453"</f>
        <v>300453</v>
      </c>
      <c r="D250" s="3" t="str">
        <f>"三鑫医疗"</f>
        <v>三鑫医疗</v>
      </c>
      <c r="E250" s="3">
        <v>12.87</v>
      </c>
      <c r="F250" s="3">
        <v>4500</v>
      </c>
      <c r="G250" s="3">
        <v>57915</v>
      </c>
      <c r="H250" s="3">
        <v>4500</v>
      </c>
      <c r="I250" s="3">
        <v>0</v>
      </c>
      <c r="J250" s="3">
        <v>0</v>
      </c>
      <c r="K250" s="3">
        <v>0</v>
      </c>
      <c r="L250" s="3">
        <v>0</v>
      </c>
      <c r="M250" s="3">
        <v>-57915</v>
      </c>
      <c r="N250" s="3">
        <v>175355</v>
      </c>
      <c r="O250" s="3" t="str">
        <f>"SW144341"</f>
        <v>SW144341</v>
      </c>
      <c r="P250" s="3">
        <v>12.87</v>
      </c>
      <c r="Q250" s="3">
        <v>4500</v>
      </c>
      <c r="R250" s="3" t="str">
        <f t="shared" si="47"/>
        <v>0103988319</v>
      </c>
      <c r="S250" s="3" t="str">
        <f t="shared" si="44"/>
        <v>301719094322</v>
      </c>
      <c r="T250" s="3" t="str">
        <f t="shared" si="40"/>
        <v>人民币</v>
      </c>
    </row>
    <row r="251" spans="1:20" s="3" customFormat="1" x14ac:dyDescent="0.15">
      <c r="A251" s="3" t="str">
        <f t="shared" si="45"/>
        <v>2015-05-07</v>
      </c>
      <c r="B251" s="3" t="str">
        <f t="shared" si="46"/>
        <v>新股申购</v>
      </c>
      <c r="C251" s="3" t="str">
        <f>"300455"</f>
        <v>300455</v>
      </c>
      <c r="D251" s="3" t="str">
        <f>"康拓红外"</f>
        <v>康拓红外</v>
      </c>
      <c r="E251" s="3">
        <v>6.88</v>
      </c>
      <c r="F251" s="3">
        <v>4500</v>
      </c>
      <c r="G251" s="3">
        <v>30960</v>
      </c>
      <c r="H251" s="3">
        <v>4500</v>
      </c>
      <c r="I251" s="3">
        <v>0</v>
      </c>
      <c r="J251" s="3">
        <v>0</v>
      </c>
      <c r="K251" s="3">
        <v>0</v>
      </c>
      <c r="L251" s="3">
        <v>0</v>
      </c>
      <c r="M251" s="3">
        <v>-30960</v>
      </c>
      <c r="N251" s="3">
        <v>144395</v>
      </c>
      <c r="O251" s="3" t="str">
        <f>"SW144351"</f>
        <v>SW144351</v>
      </c>
      <c r="P251" s="3">
        <v>6.88</v>
      </c>
      <c r="Q251" s="3">
        <v>4500</v>
      </c>
      <c r="R251" s="3" t="str">
        <f t="shared" si="47"/>
        <v>0103988319</v>
      </c>
      <c r="S251" s="3" t="str">
        <f t="shared" si="44"/>
        <v>301719094322</v>
      </c>
      <c r="T251" s="3" t="str">
        <f t="shared" si="40"/>
        <v>人民币</v>
      </c>
    </row>
    <row r="252" spans="1:20" s="3" customFormat="1" x14ac:dyDescent="0.15">
      <c r="A252" s="3" t="str">
        <f t="shared" si="45"/>
        <v>2015-05-07</v>
      </c>
      <c r="B252" s="3" t="str">
        <f t="shared" si="46"/>
        <v>新股申购</v>
      </c>
      <c r="C252" s="3" t="str">
        <f>"300456"</f>
        <v>300456</v>
      </c>
      <c r="D252" s="3" t="str">
        <f>"耐威科技"</f>
        <v>耐威科技</v>
      </c>
      <c r="E252" s="3">
        <v>14.01</v>
      </c>
      <c r="F252" s="3">
        <v>4500</v>
      </c>
      <c r="G252" s="3">
        <v>63045</v>
      </c>
      <c r="H252" s="3">
        <v>4500</v>
      </c>
      <c r="I252" s="3">
        <v>0</v>
      </c>
      <c r="J252" s="3">
        <v>0</v>
      </c>
      <c r="K252" s="3">
        <v>0</v>
      </c>
      <c r="L252" s="3">
        <v>0</v>
      </c>
      <c r="M252" s="3">
        <v>-63045</v>
      </c>
      <c r="N252" s="3">
        <v>81350</v>
      </c>
      <c r="O252" s="3" t="str">
        <f>"SW144361"</f>
        <v>SW144361</v>
      </c>
      <c r="P252" s="3">
        <v>14.01</v>
      </c>
      <c r="Q252" s="3">
        <v>4500</v>
      </c>
      <c r="R252" s="3" t="str">
        <f t="shared" si="47"/>
        <v>0103988319</v>
      </c>
      <c r="S252" s="3" t="str">
        <f t="shared" si="44"/>
        <v>301719094322</v>
      </c>
      <c r="T252" s="3" t="str">
        <f t="shared" si="40"/>
        <v>人民币</v>
      </c>
    </row>
    <row r="253" spans="1:20" s="3" customFormat="1" x14ac:dyDescent="0.15">
      <c r="A253" s="3" t="str">
        <f t="shared" si="45"/>
        <v>2015-05-07</v>
      </c>
      <c r="B253" s="3" t="str">
        <f t="shared" si="46"/>
        <v>新股申购</v>
      </c>
      <c r="C253" s="3" t="str">
        <f>"300458"</f>
        <v>300458</v>
      </c>
      <c r="D253" s="3" t="str">
        <f>"全志科技"</f>
        <v>全志科技</v>
      </c>
      <c r="E253" s="3">
        <v>12.73</v>
      </c>
      <c r="F253" s="3">
        <v>4500</v>
      </c>
      <c r="G253" s="3">
        <v>57285</v>
      </c>
      <c r="H253" s="3">
        <v>4500</v>
      </c>
      <c r="I253" s="3">
        <v>0</v>
      </c>
      <c r="J253" s="3">
        <v>0</v>
      </c>
      <c r="K253" s="3">
        <v>0</v>
      </c>
      <c r="L253" s="3">
        <v>0</v>
      </c>
      <c r="M253" s="3">
        <v>-57285</v>
      </c>
      <c r="N253" s="3">
        <v>24065</v>
      </c>
      <c r="O253" s="3" t="str">
        <f>"SW144382"</f>
        <v>SW144382</v>
      </c>
      <c r="P253" s="3">
        <v>12.73</v>
      </c>
      <c r="Q253" s="3">
        <v>4500</v>
      </c>
      <c r="R253" s="3" t="str">
        <f t="shared" si="47"/>
        <v>0103988319</v>
      </c>
      <c r="S253" s="3" t="str">
        <f t="shared" si="44"/>
        <v>301719094322</v>
      </c>
      <c r="T253" s="3" t="str">
        <f t="shared" si="40"/>
        <v>人民币</v>
      </c>
    </row>
    <row r="254" spans="1:20" s="3" customFormat="1" x14ac:dyDescent="0.15">
      <c r="A254" s="3" t="str">
        <f t="shared" si="45"/>
        <v>2015-05-07</v>
      </c>
      <c r="B254" s="3" t="str">
        <f>"证券买入清算"</f>
        <v>证券买入清算</v>
      </c>
      <c r="C254" s="3" t="str">
        <f>"184721"</f>
        <v>184721</v>
      </c>
      <c r="D254" s="3" t="str">
        <f>"基金丰和"</f>
        <v>基金丰和</v>
      </c>
      <c r="E254" s="3">
        <v>1.2030000000000001</v>
      </c>
      <c r="F254" s="3">
        <v>20000</v>
      </c>
      <c r="G254" s="3">
        <v>24060</v>
      </c>
      <c r="H254" s="3">
        <v>20000</v>
      </c>
      <c r="I254" s="3">
        <v>5</v>
      </c>
      <c r="J254" s="3">
        <v>0</v>
      </c>
      <c r="K254" s="3">
        <v>0</v>
      </c>
      <c r="L254" s="3">
        <v>0</v>
      </c>
      <c r="M254" s="3">
        <v>-24065</v>
      </c>
      <c r="N254" s="3">
        <v>0</v>
      </c>
      <c r="O254" s="3" t="str">
        <f>"SW149754"</f>
        <v>SW149754</v>
      </c>
      <c r="P254" s="3">
        <v>1.2030000000000001</v>
      </c>
      <c r="Q254" s="3">
        <v>20000</v>
      </c>
      <c r="R254" s="3" t="str">
        <f t="shared" si="47"/>
        <v>0103988319</v>
      </c>
      <c r="S254" s="3" t="str">
        <f t="shared" si="44"/>
        <v>301719094322</v>
      </c>
      <c r="T254" s="3" t="str">
        <f t="shared" si="40"/>
        <v>人民币</v>
      </c>
    </row>
    <row r="255" spans="1:20" s="3" customFormat="1" x14ac:dyDescent="0.15">
      <c r="A255" s="3" t="str">
        <f t="shared" si="45"/>
        <v>2015-05-07</v>
      </c>
      <c r="B255" s="3" t="str">
        <f>"基金赎回"</f>
        <v>基金赎回</v>
      </c>
      <c r="C255" s="3" t="str">
        <f>"A40006"</f>
        <v>A40006</v>
      </c>
      <c r="D255" s="3" t="str">
        <f>"现金宝"</f>
        <v>现金宝</v>
      </c>
      <c r="E255" s="3">
        <v>1</v>
      </c>
      <c r="F255" s="3">
        <v>70013</v>
      </c>
      <c r="G255" s="3">
        <v>70013</v>
      </c>
      <c r="H255" s="3">
        <v>1132</v>
      </c>
      <c r="I255" s="3">
        <v>0</v>
      </c>
      <c r="J255" s="3">
        <v>0</v>
      </c>
      <c r="K255" s="3">
        <v>0</v>
      </c>
      <c r="L255" s="3">
        <v>0</v>
      </c>
      <c r="M255" s="3">
        <v>70013</v>
      </c>
      <c r="N255" s="3">
        <v>70013</v>
      </c>
      <c r="P255" s="3">
        <v>0</v>
      </c>
      <c r="Q255" s="3">
        <v>0</v>
      </c>
      <c r="R255" s="3" t="str">
        <f>"99F625223328"</f>
        <v>99F625223328</v>
      </c>
      <c r="S255" s="3" t="str">
        <f t="shared" si="44"/>
        <v>301719094322</v>
      </c>
      <c r="T255" s="3" t="str">
        <f t="shared" si="40"/>
        <v>人民币</v>
      </c>
    </row>
    <row r="256" spans="1:20" s="3" customFormat="1" x14ac:dyDescent="0.15">
      <c r="A256" s="3" t="str">
        <f t="shared" si="45"/>
        <v>2015-05-07</v>
      </c>
      <c r="B256" s="3" t="str">
        <f t="shared" ref="B256:B261" si="48">"申购还款"</f>
        <v>申购还款</v>
      </c>
      <c r="C256" s="3" t="str">
        <f>"300414"</f>
        <v>300414</v>
      </c>
      <c r="D256" s="3" t="str">
        <f>"中光防雷"</f>
        <v>中光防雷</v>
      </c>
      <c r="E256" s="3">
        <v>14.74</v>
      </c>
      <c r="F256" s="3">
        <v>3000</v>
      </c>
      <c r="G256" s="3">
        <v>44220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44220</v>
      </c>
      <c r="N256" s="3">
        <v>114233</v>
      </c>
      <c r="O256" s="3" t="str">
        <f>"SW548195"</f>
        <v>SW548195</v>
      </c>
      <c r="P256" s="3">
        <v>14.74</v>
      </c>
      <c r="Q256" s="3">
        <v>3000</v>
      </c>
      <c r="R256" s="3" t="str">
        <f t="shared" ref="R256:R263" si="49">"0103988319"</f>
        <v>0103988319</v>
      </c>
      <c r="S256" s="3" t="str">
        <f t="shared" si="44"/>
        <v>301719094322</v>
      </c>
      <c r="T256" s="3" t="str">
        <f t="shared" si="40"/>
        <v>人民币</v>
      </c>
    </row>
    <row r="257" spans="1:20" s="3" customFormat="1" x14ac:dyDescent="0.15">
      <c r="A257" s="3" t="str">
        <f t="shared" si="45"/>
        <v>2015-05-07</v>
      </c>
      <c r="B257" s="3" t="str">
        <f t="shared" si="48"/>
        <v>申购还款</v>
      </c>
      <c r="C257" s="3" t="str">
        <f>"300451"</f>
        <v>300451</v>
      </c>
      <c r="D257" s="3" t="str">
        <f>"创业软件"</f>
        <v>创业软件</v>
      </c>
      <c r="E257" s="3">
        <v>14.02</v>
      </c>
      <c r="F257" s="3">
        <v>4500</v>
      </c>
      <c r="G257" s="3">
        <v>63090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63090</v>
      </c>
      <c r="N257" s="3">
        <v>177323</v>
      </c>
      <c r="O257" s="3" t="str">
        <f>"SW548305"</f>
        <v>SW548305</v>
      </c>
      <c r="P257" s="3">
        <v>14.02</v>
      </c>
      <c r="Q257" s="3">
        <v>4500</v>
      </c>
      <c r="R257" s="3" t="str">
        <f t="shared" si="49"/>
        <v>0103988319</v>
      </c>
      <c r="S257" s="3" t="str">
        <f t="shared" si="44"/>
        <v>301719094322</v>
      </c>
      <c r="T257" s="3" t="str">
        <f t="shared" si="40"/>
        <v>人民币</v>
      </c>
    </row>
    <row r="258" spans="1:20" s="3" customFormat="1" x14ac:dyDescent="0.15">
      <c r="A258" s="3" t="str">
        <f t="shared" si="45"/>
        <v>2015-05-07</v>
      </c>
      <c r="B258" s="3" t="str">
        <f t="shared" si="48"/>
        <v>申购还款</v>
      </c>
      <c r="C258" s="3" t="str">
        <f>"300452"</f>
        <v>300452</v>
      </c>
      <c r="D258" s="3" t="str">
        <f>"山河药辅"</f>
        <v>山河药辅</v>
      </c>
      <c r="E258" s="3">
        <v>14.96</v>
      </c>
      <c r="F258" s="3">
        <v>3000</v>
      </c>
      <c r="G258" s="3">
        <v>44880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44880</v>
      </c>
      <c r="N258" s="3">
        <v>222203</v>
      </c>
      <c r="O258" s="3" t="str">
        <f>"SW548393"</f>
        <v>SW548393</v>
      </c>
      <c r="P258" s="3">
        <v>14.96</v>
      </c>
      <c r="Q258" s="3">
        <v>3000</v>
      </c>
      <c r="R258" s="3" t="str">
        <f t="shared" si="49"/>
        <v>0103988319</v>
      </c>
      <c r="S258" s="3" t="str">
        <f t="shared" si="44"/>
        <v>301719094322</v>
      </c>
      <c r="T258" s="3" t="str">
        <f t="shared" si="40"/>
        <v>人民币</v>
      </c>
    </row>
    <row r="259" spans="1:20" s="3" customFormat="1" x14ac:dyDescent="0.15">
      <c r="A259" s="3" t="str">
        <f t="shared" si="45"/>
        <v>2015-05-07</v>
      </c>
      <c r="B259" s="3" t="str">
        <f t="shared" si="48"/>
        <v>申购还款</v>
      </c>
      <c r="C259" s="3" t="str">
        <f>"300457"</f>
        <v>300457</v>
      </c>
      <c r="D259" s="3" t="str">
        <f>"赢合科技"</f>
        <v>赢合科技</v>
      </c>
      <c r="E259" s="3">
        <v>12.41</v>
      </c>
      <c r="F259" s="3">
        <v>3000</v>
      </c>
      <c r="G259" s="3">
        <v>37230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37230</v>
      </c>
      <c r="N259" s="3">
        <v>259433</v>
      </c>
      <c r="O259" s="3" t="str">
        <f>"SW548517"</f>
        <v>SW548517</v>
      </c>
      <c r="P259" s="3">
        <v>12.41</v>
      </c>
      <c r="Q259" s="3">
        <v>3000</v>
      </c>
      <c r="R259" s="3" t="str">
        <f t="shared" si="49"/>
        <v>0103988319</v>
      </c>
      <c r="S259" s="3" t="str">
        <f t="shared" si="44"/>
        <v>301719094322</v>
      </c>
      <c r="T259" s="3" t="str">
        <f t="shared" si="40"/>
        <v>人民币</v>
      </c>
    </row>
    <row r="260" spans="1:20" s="3" customFormat="1" x14ac:dyDescent="0.15">
      <c r="A260" s="3" t="str">
        <f t="shared" si="45"/>
        <v>2015-05-07</v>
      </c>
      <c r="B260" s="3" t="str">
        <f t="shared" si="48"/>
        <v>申购还款</v>
      </c>
      <c r="C260" s="3" t="str">
        <f>"300459"</f>
        <v>300459</v>
      </c>
      <c r="D260" s="3" t="str">
        <f>"浙江金科"</f>
        <v>浙江金科</v>
      </c>
      <c r="E260" s="3">
        <v>7.84</v>
      </c>
      <c r="F260" s="3">
        <v>3000</v>
      </c>
      <c r="G260" s="3">
        <v>23520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23520</v>
      </c>
      <c r="N260" s="3">
        <v>282953</v>
      </c>
      <c r="O260" s="3" t="str">
        <f>"SW548657"</f>
        <v>SW548657</v>
      </c>
      <c r="P260" s="3">
        <v>7.84</v>
      </c>
      <c r="Q260" s="3">
        <v>3000</v>
      </c>
      <c r="R260" s="3" t="str">
        <f t="shared" si="49"/>
        <v>0103988319</v>
      </c>
      <c r="S260" s="3" t="str">
        <f t="shared" si="44"/>
        <v>301719094322</v>
      </c>
      <c r="T260" s="3" t="str">
        <f t="shared" si="40"/>
        <v>人民币</v>
      </c>
    </row>
    <row r="261" spans="1:20" s="3" customFormat="1" x14ac:dyDescent="0.15">
      <c r="A261" s="3" t="str">
        <f t="shared" si="45"/>
        <v>2015-05-07</v>
      </c>
      <c r="B261" s="3" t="str">
        <f t="shared" si="48"/>
        <v>申购还款</v>
      </c>
      <c r="C261" s="3" t="str">
        <f>"300460"</f>
        <v>300460</v>
      </c>
      <c r="D261" s="3" t="str">
        <f>"惠伦晶体"</f>
        <v>惠伦晶体</v>
      </c>
      <c r="E261" s="3">
        <v>6.43</v>
      </c>
      <c r="F261" s="3">
        <v>3000</v>
      </c>
      <c r="G261" s="3">
        <v>19290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19290</v>
      </c>
      <c r="N261" s="3">
        <v>302243</v>
      </c>
      <c r="O261" s="3" t="str">
        <f>"SW548744"</f>
        <v>SW548744</v>
      </c>
      <c r="P261" s="3">
        <v>6.43</v>
      </c>
      <c r="Q261" s="3">
        <v>3000</v>
      </c>
      <c r="R261" s="3" t="str">
        <f t="shared" si="49"/>
        <v>0103988319</v>
      </c>
      <c r="S261" s="3" t="str">
        <f t="shared" si="44"/>
        <v>301719094322</v>
      </c>
      <c r="T261" s="3" t="str">
        <f t="shared" si="40"/>
        <v>人民币</v>
      </c>
    </row>
    <row r="262" spans="1:20" s="3" customFormat="1" x14ac:dyDescent="0.15">
      <c r="A262" s="3" t="str">
        <f t="shared" si="45"/>
        <v>2015-05-07</v>
      </c>
      <c r="B262" s="3" t="str">
        <f>"新股申购"</f>
        <v>新股申购</v>
      </c>
      <c r="C262" s="3" t="str">
        <f>"002753"</f>
        <v>002753</v>
      </c>
      <c r="D262" s="3" t="str">
        <f>"永东股份"</f>
        <v>永东股份</v>
      </c>
      <c r="E262" s="3">
        <v>13.56</v>
      </c>
      <c r="F262" s="3">
        <v>4500</v>
      </c>
      <c r="G262" s="3">
        <v>61020</v>
      </c>
      <c r="H262" s="3">
        <v>4500</v>
      </c>
      <c r="I262" s="3">
        <v>0</v>
      </c>
      <c r="J262" s="3">
        <v>0</v>
      </c>
      <c r="K262" s="3">
        <v>0</v>
      </c>
      <c r="L262" s="3">
        <v>0</v>
      </c>
      <c r="M262" s="3">
        <v>-61020</v>
      </c>
      <c r="N262" s="3">
        <v>241223</v>
      </c>
      <c r="O262" s="3" t="str">
        <f>"SW320162"</f>
        <v>SW320162</v>
      </c>
      <c r="P262" s="3">
        <v>13.56</v>
      </c>
      <c r="Q262" s="3">
        <v>4500</v>
      </c>
      <c r="R262" s="3" t="str">
        <f t="shared" si="49"/>
        <v>0103988319</v>
      </c>
      <c r="S262" s="3" t="str">
        <f t="shared" si="44"/>
        <v>301719094322</v>
      </c>
      <c r="T262" s="3" t="str">
        <f t="shared" si="40"/>
        <v>人民币</v>
      </c>
    </row>
    <row r="263" spans="1:20" s="3" customFormat="1" x14ac:dyDescent="0.15">
      <c r="A263" s="3" t="str">
        <f t="shared" si="45"/>
        <v>2015-05-07</v>
      </c>
      <c r="B263" s="3" t="str">
        <f>"证券买入清算"</f>
        <v>证券买入清算</v>
      </c>
      <c r="C263" s="3" t="str">
        <f>"002498"</f>
        <v>002498</v>
      </c>
      <c r="D263" s="3" t="str">
        <f>"汉缆股份"</f>
        <v>汉缆股份</v>
      </c>
      <c r="E263" s="3">
        <v>14.98</v>
      </c>
      <c r="F263" s="3">
        <v>600</v>
      </c>
      <c r="G263" s="3">
        <v>8988</v>
      </c>
      <c r="H263" s="3">
        <v>600</v>
      </c>
      <c r="I263" s="3">
        <v>5</v>
      </c>
      <c r="J263" s="3">
        <v>0</v>
      </c>
      <c r="K263" s="3">
        <v>0</v>
      </c>
      <c r="L263" s="3">
        <v>0</v>
      </c>
      <c r="M263" s="3">
        <v>-8993</v>
      </c>
      <c r="N263" s="3">
        <v>232230</v>
      </c>
      <c r="O263" s="3" t="str">
        <f>"SW321565"</f>
        <v>SW321565</v>
      </c>
      <c r="P263" s="3">
        <v>14.98</v>
      </c>
      <c r="Q263" s="3">
        <v>600</v>
      </c>
      <c r="R263" s="3" t="str">
        <f t="shared" si="49"/>
        <v>0103988319</v>
      </c>
      <c r="S263" s="3" t="str">
        <f t="shared" si="44"/>
        <v>301719094322</v>
      </c>
      <c r="T263" s="3" t="str">
        <f t="shared" si="40"/>
        <v>人民币</v>
      </c>
    </row>
    <row r="264" spans="1:20" s="3" customFormat="1" x14ac:dyDescent="0.15">
      <c r="A264" s="3" t="str">
        <f t="shared" ref="A264:A273" si="50">"2015-05-08"</f>
        <v>2015-05-08</v>
      </c>
      <c r="B264" s="3" t="str">
        <f>"银证转出"</f>
        <v>银证转出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-202000</v>
      </c>
      <c r="N264" s="3">
        <v>30230</v>
      </c>
      <c r="P264" s="3">
        <v>0</v>
      </c>
      <c r="Q264" s="3">
        <v>0</v>
      </c>
      <c r="S264" s="3" t="str">
        <f t="shared" si="44"/>
        <v>301719094322</v>
      </c>
      <c r="T264" s="3" t="str">
        <f t="shared" si="40"/>
        <v>人民币</v>
      </c>
    </row>
    <row r="265" spans="1:20" s="3" customFormat="1" x14ac:dyDescent="0.15">
      <c r="A265" s="3" t="str">
        <f t="shared" si="50"/>
        <v>2015-05-08</v>
      </c>
      <c r="B265" s="3" t="str">
        <f>"银证转出"</f>
        <v>银证转出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-30000</v>
      </c>
      <c r="N265" s="3">
        <v>230</v>
      </c>
      <c r="P265" s="3">
        <v>0</v>
      </c>
      <c r="Q265" s="3">
        <v>0</v>
      </c>
      <c r="S265" s="3" t="str">
        <f t="shared" si="44"/>
        <v>301719094322</v>
      </c>
      <c r="T265" s="3" t="str">
        <f t="shared" si="40"/>
        <v>人民币</v>
      </c>
    </row>
    <row r="266" spans="1:20" s="3" customFormat="1" x14ac:dyDescent="0.15">
      <c r="A266" s="3" t="str">
        <f t="shared" si="50"/>
        <v>2015-05-08</v>
      </c>
      <c r="B266" s="3" t="str">
        <f t="shared" ref="B266:B271" si="51">"申购还款"</f>
        <v>申购还款</v>
      </c>
      <c r="C266" s="3" t="str">
        <f>"002755"</f>
        <v>002755</v>
      </c>
      <c r="D266" s="3" t="str">
        <f>"东方新星"</f>
        <v>东方新星</v>
      </c>
      <c r="E266" s="3">
        <v>7.49</v>
      </c>
      <c r="F266" s="3">
        <v>4500</v>
      </c>
      <c r="G266" s="3">
        <v>33705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33705</v>
      </c>
      <c r="N266" s="3">
        <v>33935</v>
      </c>
      <c r="O266" s="3" t="str">
        <f>"SW144325"</f>
        <v>SW144325</v>
      </c>
      <c r="P266" s="3">
        <v>7.49</v>
      </c>
      <c r="Q266" s="3">
        <v>4500</v>
      </c>
      <c r="R266" s="3" t="str">
        <f t="shared" ref="R266:R272" si="52">"0103988319"</f>
        <v>0103988319</v>
      </c>
      <c r="S266" s="3" t="str">
        <f t="shared" si="44"/>
        <v>301719094322</v>
      </c>
      <c r="T266" s="3" t="str">
        <f t="shared" si="40"/>
        <v>人民币</v>
      </c>
    </row>
    <row r="267" spans="1:20" s="3" customFormat="1" x14ac:dyDescent="0.15">
      <c r="A267" s="3" t="str">
        <f t="shared" si="50"/>
        <v>2015-05-08</v>
      </c>
      <c r="B267" s="3" t="str">
        <f t="shared" si="51"/>
        <v>申购还款</v>
      </c>
      <c r="C267" s="3" t="str">
        <f>"300450"</f>
        <v>300450</v>
      </c>
      <c r="D267" s="3" t="str">
        <f>"先导股份"</f>
        <v>先导股份</v>
      </c>
      <c r="E267" s="3">
        <v>21.21</v>
      </c>
      <c r="F267" s="3">
        <v>4500</v>
      </c>
      <c r="G267" s="3">
        <v>95445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95445</v>
      </c>
      <c r="N267" s="3">
        <v>129380</v>
      </c>
      <c r="O267" s="3" t="str">
        <f>"SW144331"</f>
        <v>SW144331</v>
      </c>
      <c r="P267" s="3">
        <v>21.21</v>
      </c>
      <c r="Q267" s="3">
        <v>4500</v>
      </c>
      <c r="R267" s="3" t="str">
        <f t="shared" si="52"/>
        <v>0103988319</v>
      </c>
      <c r="S267" s="3" t="str">
        <f t="shared" si="44"/>
        <v>301719094322</v>
      </c>
      <c r="T267" s="3" t="str">
        <f t="shared" si="40"/>
        <v>人民币</v>
      </c>
    </row>
    <row r="268" spans="1:20" s="3" customFormat="1" x14ac:dyDescent="0.15">
      <c r="A268" s="3" t="str">
        <f t="shared" si="50"/>
        <v>2015-05-08</v>
      </c>
      <c r="B268" s="3" t="str">
        <f t="shared" si="51"/>
        <v>申购还款</v>
      </c>
      <c r="C268" s="3" t="str">
        <f>"300453"</f>
        <v>300453</v>
      </c>
      <c r="D268" s="3" t="str">
        <f>"三鑫医疗"</f>
        <v>三鑫医疗</v>
      </c>
      <c r="E268" s="3">
        <v>12.87</v>
      </c>
      <c r="F268" s="3">
        <v>4500</v>
      </c>
      <c r="G268" s="3">
        <v>57915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57915</v>
      </c>
      <c r="N268" s="3">
        <v>187295</v>
      </c>
      <c r="O268" s="3" t="str">
        <f>"SW144341"</f>
        <v>SW144341</v>
      </c>
      <c r="P268" s="3">
        <v>12.87</v>
      </c>
      <c r="Q268" s="3">
        <v>4500</v>
      </c>
      <c r="R268" s="3" t="str">
        <f t="shared" si="52"/>
        <v>0103988319</v>
      </c>
      <c r="S268" s="3" t="str">
        <f t="shared" si="44"/>
        <v>301719094322</v>
      </c>
      <c r="T268" s="3" t="str">
        <f t="shared" si="40"/>
        <v>人民币</v>
      </c>
    </row>
    <row r="269" spans="1:20" s="3" customFormat="1" x14ac:dyDescent="0.15">
      <c r="A269" s="3" t="str">
        <f t="shared" si="50"/>
        <v>2015-05-08</v>
      </c>
      <c r="B269" s="3" t="str">
        <f t="shared" si="51"/>
        <v>申购还款</v>
      </c>
      <c r="C269" s="3" t="str">
        <f>"300455"</f>
        <v>300455</v>
      </c>
      <c r="D269" s="3" t="str">
        <f>"康拓红外"</f>
        <v>康拓红外</v>
      </c>
      <c r="E269" s="3">
        <v>6.88</v>
      </c>
      <c r="F269" s="3">
        <v>4500</v>
      </c>
      <c r="G269" s="3">
        <v>30960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30960</v>
      </c>
      <c r="N269" s="3">
        <v>218255</v>
      </c>
      <c r="O269" s="3" t="str">
        <f>"SW144351"</f>
        <v>SW144351</v>
      </c>
      <c r="P269" s="3">
        <v>6.88</v>
      </c>
      <c r="Q269" s="3">
        <v>4500</v>
      </c>
      <c r="R269" s="3" t="str">
        <f t="shared" si="52"/>
        <v>0103988319</v>
      </c>
      <c r="S269" s="3" t="str">
        <f t="shared" si="44"/>
        <v>301719094322</v>
      </c>
      <c r="T269" s="3" t="str">
        <f t="shared" si="40"/>
        <v>人民币</v>
      </c>
    </row>
    <row r="270" spans="1:20" s="3" customFormat="1" x14ac:dyDescent="0.15">
      <c r="A270" s="3" t="str">
        <f t="shared" si="50"/>
        <v>2015-05-08</v>
      </c>
      <c r="B270" s="3" t="str">
        <f t="shared" si="51"/>
        <v>申购还款</v>
      </c>
      <c r="C270" s="3" t="str">
        <f>"300456"</f>
        <v>300456</v>
      </c>
      <c r="D270" s="3" t="str">
        <f>"耐威科技"</f>
        <v>耐威科技</v>
      </c>
      <c r="E270" s="3">
        <v>14.01</v>
      </c>
      <c r="F270" s="3">
        <v>4500</v>
      </c>
      <c r="G270" s="3">
        <v>63045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63045</v>
      </c>
      <c r="N270" s="3">
        <v>281300</v>
      </c>
      <c r="O270" s="3" t="str">
        <f>"SW144361"</f>
        <v>SW144361</v>
      </c>
      <c r="P270" s="3">
        <v>14.01</v>
      </c>
      <c r="Q270" s="3">
        <v>4500</v>
      </c>
      <c r="R270" s="3" t="str">
        <f t="shared" si="52"/>
        <v>0103988319</v>
      </c>
      <c r="S270" s="3" t="str">
        <f t="shared" si="44"/>
        <v>301719094322</v>
      </c>
      <c r="T270" s="3" t="str">
        <f t="shared" si="40"/>
        <v>人民币</v>
      </c>
    </row>
    <row r="271" spans="1:20" s="3" customFormat="1" x14ac:dyDescent="0.15">
      <c r="A271" s="3" t="str">
        <f t="shared" si="50"/>
        <v>2015-05-08</v>
      </c>
      <c r="B271" s="3" t="str">
        <f t="shared" si="51"/>
        <v>申购还款</v>
      </c>
      <c r="C271" s="3" t="str">
        <f>"300458"</f>
        <v>300458</v>
      </c>
      <c r="D271" s="3" t="str">
        <f>"全志科技"</f>
        <v>全志科技</v>
      </c>
      <c r="E271" s="3">
        <v>12.73</v>
      </c>
      <c r="F271" s="3">
        <v>4500</v>
      </c>
      <c r="G271" s="3">
        <v>57285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57285</v>
      </c>
      <c r="N271" s="3">
        <v>338585</v>
      </c>
      <c r="O271" s="3" t="str">
        <f>"SW144382"</f>
        <v>SW144382</v>
      </c>
      <c r="P271" s="3">
        <v>12.73</v>
      </c>
      <c r="Q271" s="3">
        <v>4500</v>
      </c>
      <c r="R271" s="3" t="str">
        <f t="shared" si="52"/>
        <v>0103988319</v>
      </c>
      <c r="S271" s="3" t="str">
        <f t="shared" si="44"/>
        <v>301719094322</v>
      </c>
      <c r="T271" s="3" t="str">
        <f t="shared" si="40"/>
        <v>人民币</v>
      </c>
    </row>
    <row r="272" spans="1:20" s="3" customFormat="1" x14ac:dyDescent="0.15">
      <c r="A272" s="3" t="str">
        <f t="shared" si="50"/>
        <v>2015-05-08</v>
      </c>
      <c r="B272" s="3" t="str">
        <f>"证券卖出清算"</f>
        <v>证券卖出清算</v>
      </c>
      <c r="C272" s="3" t="str">
        <f>"002125"</f>
        <v>002125</v>
      </c>
      <c r="D272" s="3" t="str">
        <f>"湘潭电化"</f>
        <v>湘潭电化</v>
      </c>
      <c r="E272" s="3">
        <v>20.92</v>
      </c>
      <c r="F272" s="3">
        <v>2000</v>
      </c>
      <c r="G272" s="3">
        <v>41840</v>
      </c>
      <c r="H272" s="3">
        <v>0</v>
      </c>
      <c r="I272" s="3">
        <v>8.3699999999999992</v>
      </c>
      <c r="J272" s="3">
        <v>41.84</v>
      </c>
      <c r="K272" s="3">
        <v>0</v>
      </c>
      <c r="L272" s="3">
        <v>0</v>
      </c>
      <c r="M272" s="3">
        <v>41789.79</v>
      </c>
      <c r="N272" s="3">
        <v>380374.79</v>
      </c>
      <c r="O272" s="3" t="str">
        <f>"SW380720"</f>
        <v>SW380720</v>
      </c>
      <c r="P272" s="3">
        <v>20.92</v>
      </c>
      <c r="Q272" s="3">
        <v>2000</v>
      </c>
      <c r="R272" s="3" t="str">
        <f t="shared" si="52"/>
        <v>0103988319</v>
      </c>
      <c r="S272" s="3" t="str">
        <f t="shared" si="44"/>
        <v>301719094322</v>
      </c>
      <c r="T272" s="3" t="str">
        <f t="shared" si="40"/>
        <v>人民币</v>
      </c>
    </row>
    <row r="273" spans="1:20" s="3" customFormat="1" x14ac:dyDescent="0.15">
      <c r="A273" s="3" t="str">
        <f t="shared" si="50"/>
        <v>2015-05-08</v>
      </c>
      <c r="B273" s="3" t="str">
        <f>"基金申购"</f>
        <v>基金申购</v>
      </c>
      <c r="C273" s="3" t="str">
        <f>"A40006"</f>
        <v>A40006</v>
      </c>
      <c r="D273" s="3" t="str">
        <f>"现金宝"</f>
        <v>现金宝</v>
      </c>
      <c r="E273" s="3">
        <v>1</v>
      </c>
      <c r="F273" s="3">
        <v>42019.79</v>
      </c>
      <c r="G273" s="3">
        <v>42019.79</v>
      </c>
      <c r="H273" s="3">
        <v>43152</v>
      </c>
      <c r="I273" s="3">
        <v>0</v>
      </c>
      <c r="J273" s="3">
        <v>0</v>
      </c>
      <c r="K273" s="3">
        <v>0</v>
      </c>
      <c r="L273" s="3">
        <v>0</v>
      </c>
      <c r="M273" s="3">
        <v>-42019.79</v>
      </c>
      <c r="N273" s="3">
        <v>338355</v>
      </c>
      <c r="P273" s="3">
        <v>0</v>
      </c>
      <c r="Q273" s="3">
        <v>0</v>
      </c>
      <c r="R273" s="3" t="str">
        <f>"99F625223328"</f>
        <v>99F625223328</v>
      </c>
      <c r="S273" s="3" t="str">
        <f t="shared" si="44"/>
        <v>301719094322</v>
      </c>
      <c r="T273" s="3" t="str">
        <f t="shared" si="40"/>
        <v>人民币</v>
      </c>
    </row>
    <row r="274" spans="1:20" s="3" customFormat="1" x14ac:dyDescent="0.15">
      <c r="A274" s="3" t="str">
        <f t="shared" ref="A274:A279" si="53">"2015-05-11"</f>
        <v>2015-05-11</v>
      </c>
      <c r="B274" s="3" t="str">
        <f>"银证转出"</f>
        <v>银证转出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-180000</v>
      </c>
      <c r="N274" s="3">
        <v>158355</v>
      </c>
      <c r="P274" s="3">
        <v>0</v>
      </c>
      <c r="Q274" s="3">
        <v>0</v>
      </c>
      <c r="S274" s="3" t="str">
        <f t="shared" si="44"/>
        <v>301719094322</v>
      </c>
      <c r="T274" s="3" t="str">
        <f t="shared" si="40"/>
        <v>人民币</v>
      </c>
    </row>
    <row r="275" spans="1:20" s="3" customFormat="1" x14ac:dyDescent="0.15">
      <c r="A275" s="3" t="str">
        <f t="shared" si="53"/>
        <v>2015-05-11</v>
      </c>
      <c r="B275" s="3" t="str">
        <f>"银证转入"</f>
        <v>银证转入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105000</v>
      </c>
      <c r="N275" s="3">
        <v>263355</v>
      </c>
      <c r="P275" s="3">
        <v>0</v>
      </c>
      <c r="Q275" s="3">
        <v>0</v>
      </c>
      <c r="S275" s="3" t="str">
        <f t="shared" si="44"/>
        <v>301719094322</v>
      </c>
      <c r="T275" s="3" t="str">
        <f t="shared" si="40"/>
        <v>人民币</v>
      </c>
    </row>
    <row r="276" spans="1:20" s="3" customFormat="1" x14ac:dyDescent="0.15">
      <c r="A276" s="3" t="str">
        <f t="shared" si="53"/>
        <v>2015-05-11</v>
      </c>
      <c r="B276" s="3" t="str">
        <f>"申购还款"</f>
        <v>申购还款</v>
      </c>
      <c r="C276" s="3" t="str">
        <f>"002753"</f>
        <v>002753</v>
      </c>
      <c r="D276" s="3" t="str">
        <f>"永东股份"</f>
        <v>永东股份</v>
      </c>
      <c r="E276" s="3">
        <v>13.56</v>
      </c>
      <c r="F276" s="3">
        <v>4500</v>
      </c>
      <c r="G276" s="3">
        <v>61020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61020</v>
      </c>
      <c r="N276" s="3">
        <v>324375</v>
      </c>
      <c r="O276" s="3" t="str">
        <f>"SW320162"</f>
        <v>SW320162</v>
      </c>
      <c r="P276" s="3">
        <v>13.56</v>
      </c>
      <c r="Q276" s="3">
        <v>4500</v>
      </c>
      <c r="R276" s="3" t="str">
        <f>"0103988319"</f>
        <v>0103988319</v>
      </c>
      <c r="S276" s="3" t="str">
        <f t="shared" si="44"/>
        <v>301719094322</v>
      </c>
      <c r="T276" s="3" t="str">
        <f t="shared" si="40"/>
        <v>人民币</v>
      </c>
    </row>
    <row r="277" spans="1:20" s="3" customFormat="1" x14ac:dyDescent="0.15">
      <c r="A277" s="3" t="str">
        <f t="shared" si="53"/>
        <v>2015-05-11</v>
      </c>
      <c r="B277" s="3" t="str">
        <f>"证券卖出清算"</f>
        <v>证券卖出清算</v>
      </c>
      <c r="C277" s="3" t="str">
        <f>"002498"</f>
        <v>002498</v>
      </c>
      <c r="D277" s="3" t="str">
        <f>"汉缆股份"</f>
        <v>汉缆股份</v>
      </c>
      <c r="E277" s="3">
        <v>15.16</v>
      </c>
      <c r="F277" s="3">
        <v>600</v>
      </c>
      <c r="G277" s="3">
        <v>9096</v>
      </c>
      <c r="H277" s="3">
        <v>0</v>
      </c>
      <c r="I277" s="3">
        <v>5</v>
      </c>
      <c r="J277" s="3">
        <v>9.1</v>
      </c>
      <c r="K277" s="3">
        <v>0</v>
      </c>
      <c r="L277" s="3">
        <v>0</v>
      </c>
      <c r="M277" s="3">
        <v>9081.9</v>
      </c>
      <c r="N277" s="3">
        <v>333456.90000000002</v>
      </c>
      <c r="O277" s="3" t="str">
        <f>"SW513848"</f>
        <v>SW513848</v>
      </c>
      <c r="P277" s="3">
        <v>15.16</v>
      </c>
      <c r="Q277" s="3">
        <v>600</v>
      </c>
      <c r="R277" s="3" t="str">
        <f>"0103988319"</f>
        <v>0103988319</v>
      </c>
      <c r="S277" s="3" t="str">
        <f t="shared" si="44"/>
        <v>301719094322</v>
      </c>
      <c r="T277" s="3" t="str">
        <f t="shared" si="40"/>
        <v>人民币</v>
      </c>
    </row>
    <row r="278" spans="1:20" s="3" customFormat="1" x14ac:dyDescent="0.15">
      <c r="A278" s="3" t="str">
        <f t="shared" si="53"/>
        <v>2015-05-11</v>
      </c>
      <c r="B278" s="3" t="str">
        <f>"新股申购"</f>
        <v>新股申购</v>
      </c>
      <c r="C278" s="3" t="str">
        <f>"300461"</f>
        <v>300461</v>
      </c>
      <c r="D278" s="3" t="str">
        <f>"田中精机"</f>
        <v>田中精机</v>
      </c>
      <c r="E278" s="3">
        <v>7.92</v>
      </c>
      <c r="F278" s="3">
        <v>4000</v>
      </c>
      <c r="G278" s="3">
        <v>31680</v>
      </c>
      <c r="H278" s="3">
        <v>4000</v>
      </c>
      <c r="I278" s="3">
        <v>0</v>
      </c>
      <c r="J278" s="3">
        <v>0</v>
      </c>
      <c r="K278" s="3">
        <v>0</v>
      </c>
      <c r="L278" s="3">
        <v>0</v>
      </c>
      <c r="M278" s="3">
        <v>-31680</v>
      </c>
      <c r="N278" s="3">
        <v>301776.90000000002</v>
      </c>
      <c r="O278" s="3" t="str">
        <f>"SW587808"</f>
        <v>SW587808</v>
      </c>
      <c r="P278" s="3">
        <v>7.92</v>
      </c>
      <c r="Q278" s="3">
        <v>4000</v>
      </c>
      <c r="R278" s="3" t="str">
        <f>"0103988319"</f>
        <v>0103988319</v>
      </c>
      <c r="S278" s="3" t="str">
        <f t="shared" si="44"/>
        <v>301719094322</v>
      </c>
      <c r="T278" s="3" t="str">
        <f t="shared" si="40"/>
        <v>人民币</v>
      </c>
    </row>
    <row r="279" spans="1:20" s="3" customFormat="1" x14ac:dyDescent="0.15">
      <c r="A279" s="3" t="str">
        <f t="shared" si="53"/>
        <v>2015-05-11</v>
      </c>
      <c r="B279" s="3" t="str">
        <f>"基金申购"</f>
        <v>基金申购</v>
      </c>
      <c r="C279" s="3" t="str">
        <f>"A40006"</f>
        <v>A40006</v>
      </c>
      <c r="D279" s="3" t="str">
        <f>"现金宝"</f>
        <v>现金宝</v>
      </c>
      <c r="E279" s="3">
        <v>1</v>
      </c>
      <c r="F279" s="3">
        <v>240756.9</v>
      </c>
      <c r="G279" s="3">
        <v>240756.9</v>
      </c>
      <c r="H279" s="3">
        <v>283908</v>
      </c>
      <c r="I279" s="3">
        <v>0</v>
      </c>
      <c r="J279" s="3">
        <v>0</v>
      </c>
      <c r="K279" s="3">
        <v>0</v>
      </c>
      <c r="L279" s="3">
        <v>0</v>
      </c>
      <c r="M279" s="3">
        <v>-240756.9</v>
      </c>
      <c r="N279" s="3">
        <v>61020</v>
      </c>
      <c r="P279" s="3">
        <v>0</v>
      </c>
      <c r="Q279" s="3">
        <v>0</v>
      </c>
      <c r="R279" s="3" t="str">
        <f>"99F625223328"</f>
        <v>99F625223328</v>
      </c>
      <c r="S279" s="3" t="str">
        <f t="shared" si="44"/>
        <v>301719094322</v>
      </c>
      <c r="T279" s="3" t="str">
        <f t="shared" si="40"/>
        <v>人民币</v>
      </c>
    </row>
    <row r="280" spans="1:20" s="3" customFormat="1" x14ac:dyDescent="0.15">
      <c r="A280" s="3" t="str">
        <f>"2015-05-12"</f>
        <v>2015-05-12</v>
      </c>
      <c r="B280" s="3" t="str">
        <f>"基金申购"</f>
        <v>基金申购</v>
      </c>
      <c r="C280" s="3" t="str">
        <f>"A40006"</f>
        <v>A40006</v>
      </c>
      <c r="D280" s="3" t="str">
        <f>"现金宝"</f>
        <v>现金宝</v>
      </c>
      <c r="E280" s="3">
        <v>1</v>
      </c>
      <c r="F280" s="3">
        <v>61020</v>
      </c>
      <c r="G280" s="3">
        <v>61020</v>
      </c>
      <c r="H280" s="3">
        <v>344928</v>
      </c>
      <c r="I280" s="3">
        <v>0</v>
      </c>
      <c r="J280" s="3">
        <v>0</v>
      </c>
      <c r="K280" s="3">
        <v>0</v>
      </c>
      <c r="L280" s="3">
        <v>0</v>
      </c>
      <c r="M280" s="3">
        <v>-61020</v>
      </c>
      <c r="N280" s="3">
        <v>0</v>
      </c>
      <c r="P280" s="3">
        <v>0</v>
      </c>
      <c r="Q280" s="3">
        <v>0</v>
      </c>
      <c r="R280" s="3" t="str">
        <f>"99F625223328"</f>
        <v>99F625223328</v>
      </c>
      <c r="S280" s="3" t="str">
        <f t="shared" si="44"/>
        <v>301719094322</v>
      </c>
      <c r="T280" s="3" t="str">
        <f t="shared" si="40"/>
        <v>人民币</v>
      </c>
    </row>
    <row r="281" spans="1:20" s="3" customFormat="1" x14ac:dyDescent="0.15">
      <c r="A281" s="3" t="str">
        <f>"2015-05-13"</f>
        <v>2015-05-13</v>
      </c>
      <c r="B281" s="3" t="str">
        <f>"申购还款"</f>
        <v>申购还款</v>
      </c>
      <c r="C281" s="3" t="str">
        <f>"300461"</f>
        <v>300461</v>
      </c>
      <c r="D281" s="3" t="str">
        <f>"田中精机"</f>
        <v>田中精机</v>
      </c>
      <c r="E281" s="3">
        <v>7.92</v>
      </c>
      <c r="F281" s="3">
        <v>4000</v>
      </c>
      <c r="G281" s="3">
        <v>31680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31680</v>
      </c>
      <c r="N281" s="3">
        <v>31680</v>
      </c>
      <c r="O281" s="3" t="str">
        <f>"SW587808"</f>
        <v>SW587808</v>
      </c>
      <c r="P281" s="3">
        <v>7.92</v>
      </c>
      <c r="Q281" s="3">
        <v>4000</v>
      </c>
      <c r="R281" s="3" t="str">
        <f>"0103988319"</f>
        <v>0103988319</v>
      </c>
      <c r="S281" s="3" t="str">
        <f t="shared" si="44"/>
        <v>301719094322</v>
      </c>
      <c r="T281" s="3" t="str">
        <f t="shared" si="40"/>
        <v>人民币</v>
      </c>
    </row>
    <row r="282" spans="1:20" s="3" customFormat="1" x14ac:dyDescent="0.15">
      <c r="A282" s="3" t="str">
        <f>"2015-05-14"</f>
        <v>2015-05-14</v>
      </c>
      <c r="B282" s="3" t="str">
        <f>"基金申购"</f>
        <v>基金申购</v>
      </c>
      <c r="C282" s="3" t="str">
        <f>"A40006"</f>
        <v>A40006</v>
      </c>
      <c r="D282" s="3" t="str">
        <f>"现金宝"</f>
        <v>现金宝</v>
      </c>
      <c r="E282" s="3">
        <v>1</v>
      </c>
      <c r="F282" s="3">
        <v>31680</v>
      </c>
      <c r="G282" s="3">
        <v>31680</v>
      </c>
      <c r="H282" s="3">
        <v>376608</v>
      </c>
      <c r="I282" s="3">
        <v>0</v>
      </c>
      <c r="J282" s="3">
        <v>0</v>
      </c>
      <c r="K282" s="3">
        <v>0</v>
      </c>
      <c r="L282" s="3">
        <v>0</v>
      </c>
      <c r="M282" s="3">
        <v>-31680</v>
      </c>
      <c r="N282" s="3">
        <v>0</v>
      </c>
      <c r="P282" s="3">
        <v>0</v>
      </c>
      <c r="Q282" s="3">
        <v>0</v>
      </c>
      <c r="R282" s="3" t="str">
        <f>"99F625223328"</f>
        <v>99F625223328</v>
      </c>
      <c r="S282" s="3" t="str">
        <f t="shared" si="44"/>
        <v>301719094322</v>
      </c>
      <c r="T282" s="3" t="str">
        <f t="shared" si="40"/>
        <v>人民币</v>
      </c>
    </row>
    <row r="283" spans="1:20" s="3" customFormat="1" x14ac:dyDescent="0.15">
      <c r="A283" s="3" t="str">
        <f>"2015-05-15"</f>
        <v>2015-05-15</v>
      </c>
      <c r="B283" s="3" t="str">
        <f>"银证转入"</f>
        <v>银证转入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3752</v>
      </c>
      <c r="N283" s="3">
        <v>3752</v>
      </c>
      <c r="P283" s="3">
        <v>0</v>
      </c>
      <c r="Q283" s="3">
        <v>0</v>
      </c>
      <c r="S283" s="3" t="str">
        <f>"301719094323"</f>
        <v>301719094323</v>
      </c>
      <c r="T283" s="3" t="str">
        <f t="shared" si="40"/>
        <v>人民币</v>
      </c>
    </row>
    <row r="284" spans="1:20" s="3" customFormat="1" x14ac:dyDescent="0.15">
      <c r="A284" s="3" t="str">
        <f>"2015-05-15"</f>
        <v>2015-05-15</v>
      </c>
      <c r="B284" s="3" t="str">
        <f>"跨行转出"</f>
        <v>跨行转出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-3752</v>
      </c>
      <c r="N284" s="3">
        <v>0</v>
      </c>
      <c r="P284" s="3">
        <v>0</v>
      </c>
      <c r="Q284" s="3">
        <v>0</v>
      </c>
      <c r="S284" s="3" t="str">
        <f>"301719094323"</f>
        <v>301719094323</v>
      </c>
      <c r="T284" s="3" t="str">
        <f t="shared" si="40"/>
        <v>人民币</v>
      </c>
    </row>
    <row r="285" spans="1:20" s="3" customFormat="1" x14ac:dyDescent="0.15">
      <c r="A285" s="3" t="str">
        <f>"2015-05-15"</f>
        <v>2015-05-15</v>
      </c>
      <c r="B285" s="3" t="str">
        <f>"跨行转入"</f>
        <v>跨行转入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3752</v>
      </c>
      <c r="N285" s="3">
        <v>3752</v>
      </c>
      <c r="P285" s="3">
        <v>0</v>
      </c>
      <c r="Q285" s="3">
        <v>0</v>
      </c>
      <c r="S285" s="3" t="str">
        <f t="shared" ref="S285:S324" si="54">"301719094322"</f>
        <v>301719094322</v>
      </c>
      <c r="T285" s="3" t="str">
        <f t="shared" si="40"/>
        <v>人民币</v>
      </c>
    </row>
    <row r="286" spans="1:20" s="3" customFormat="1" x14ac:dyDescent="0.15">
      <c r="A286" s="3" t="str">
        <f>"2015-05-15"</f>
        <v>2015-05-15</v>
      </c>
      <c r="B286" s="3" t="str">
        <f>"基金申购"</f>
        <v>基金申购</v>
      </c>
      <c r="C286" s="3" t="str">
        <f>"A40006"</f>
        <v>A40006</v>
      </c>
      <c r="D286" s="3" t="str">
        <f>"现金宝"</f>
        <v>现金宝</v>
      </c>
      <c r="E286" s="3">
        <v>1</v>
      </c>
      <c r="F286" s="3">
        <v>3752</v>
      </c>
      <c r="G286" s="3">
        <v>3752</v>
      </c>
      <c r="H286" s="3">
        <v>380360</v>
      </c>
      <c r="I286" s="3">
        <v>0</v>
      </c>
      <c r="J286" s="3">
        <v>0</v>
      </c>
      <c r="K286" s="3">
        <v>0</v>
      </c>
      <c r="L286" s="3">
        <v>0</v>
      </c>
      <c r="M286" s="3">
        <v>-3752</v>
      </c>
      <c r="N286" s="3">
        <v>0</v>
      </c>
      <c r="P286" s="3">
        <v>0</v>
      </c>
      <c r="Q286" s="3">
        <v>0</v>
      </c>
      <c r="R286" s="3" t="str">
        <f>"99F625223328"</f>
        <v>99F625223328</v>
      </c>
      <c r="S286" s="3" t="str">
        <f t="shared" si="54"/>
        <v>301719094322</v>
      </c>
      <c r="T286" s="3" t="str">
        <f t="shared" si="40"/>
        <v>人民币</v>
      </c>
    </row>
    <row r="287" spans="1:20" s="3" customFormat="1" x14ac:dyDescent="0.15">
      <c r="A287" s="3" t="str">
        <f t="shared" ref="A287:A298" si="55">"2015-05-19"</f>
        <v>2015-05-19</v>
      </c>
      <c r="B287" s="3" t="str">
        <f>"基金赎回"</f>
        <v>基金赎回</v>
      </c>
      <c r="C287" s="3" t="str">
        <f>"A40006"</f>
        <v>A40006</v>
      </c>
      <c r="D287" s="3" t="str">
        <f>"现金宝"</f>
        <v>现金宝</v>
      </c>
      <c r="E287" s="3">
        <v>1</v>
      </c>
      <c r="F287" s="3">
        <v>284530.27</v>
      </c>
      <c r="G287" s="3">
        <v>284530.27</v>
      </c>
      <c r="H287" s="3">
        <v>95830</v>
      </c>
      <c r="I287" s="3">
        <v>0</v>
      </c>
      <c r="J287" s="3">
        <v>0</v>
      </c>
      <c r="K287" s="3">
        <v>0</v>
      </c>
      <c r="L287" s="3">
        <v>0</v>
      </c>
      <c r="M287" s="3">
        <v>284530.27</v>
      </c>
      <c r="N287" s="3">
        <v>284530.27</v>
      </c>
      <c r="P287" s="3">
        <v>0</v>
      </c>
      <c r="Q287" s="3">
        <v>0</v>
      </c>
      <c r="R287" s="3" t="str">
        <f>"99F625223328"</f>
        <v>99F625223328</v>
      </c>
      <c r="S287" s="3" t="str">
        <f t="shared" si="54"/>
        <v>301719094322</v>
      </c>
      <c r="T287" s="3" t="str">
        <f t="shared" si="40"/>
        <v>人民币</v>
      </c>
    </row>
    <row r="288" spans="1:20" s="3" customFormat="1" x14ac:dyDescent="0.15">
      <c r="A288" s="3" t="str">
        <f t="shared" si="55"/>
        <v>2015-05-19</v>
      </c>
      <c r="B288" s="3" t="str">
        <f t="shared" ref="B288:B295" si="56">"新股申购"</f>
        <v>新股申购</v>
      </c>
      <c r="C288" s="3" t="str">
        <f>"002757"</f>
        <v>002757</v>
      </c>
      <c r="D288" s="3" t="str">
        <f>"南兴装备"</f>
        <v>南兴装备</v>
      </c>
      <c r="E288" s="3">
        <v>12.94</v>
      </c>
      <c r="F288" s="3">
        <v>2000</v>
      </c>
      <c r="G288" s="3">
        <v>25880</v>
      </c>
      <c r="H288" s="3">
        <v>2000</v>
      </c>
      <c r="I288" s="3">
        <v>0</v>
      </c>
      <c r="J288" s="3">
        <v>0</v>
      </c>
      <c r="K288" s="3">
        <v>0</v>
      </c>
      <c r="L288" s="3">
        <v>0</v>
      </c>
      <c r="M288" s="3">
        <v>-25880</v>
      </c>
      <c r="N288" s="3">
        <v>258650.27</v>
      </c>
      <c r="O288" s="3" t="str">
        <f>"SW514136"</f>
        <v>SW514136</v>
      </c>
      <c r="P288" s="3">
        <v>12.94</v>
      </c>
      <c r="Q288" s="3">
        <v>2000</v>
      </c>
      <c r="R288" s="3" t="str">
        <f t="shared" ref="R288:R298" si="57">"0103988319"</f>
        <v>0103988319</v>
      </c>
      <c r="S288" s="3" t="str">
        <f t="shared" si="54"/>
        <v>301719094322</v>
      </c>
      <c r="T288" s="3" t="str">
        <f t="shared" si="40"/>
        <v>人民币</v>
      </c>
    </row>
    <row r="289" spans="1:20" s="3" customFormat="1" x14ac:dyDescent="0.15">
      <c r="A289" s="3" t="str">
        <f t="shared" si="55"/>
        <v>2015-05-19</v>
      </c>
      <c r="B289" s="3" t="str">
        <f t="shared" si="56"/>
        <v>新股申购</v>
      </c>
      <c r="C289" s="3" t="str">
        <f>"002758"</f>
        <v>002758</v>
      </c>
      <c r="D289" s="3" t="str">
        <f>"华通医药"</f>
        <v>华通医药</v>
      </c>
      <c r="E289" s="3">
        <v>18.04</v>
      </c>
      <c r="F289" s="3">
        <v>2000</v>
      </c>
      <c r="G289" s="3">
        <v>36080</v>
      </c>
      <c r="H289" s="3">
        <v>2000</v>
      </c>
      <c r="I289" s="3">
        <v>0</v>
      </c>
      <c r="J289" s="3">
        <v>0</v>
      </c>
      <c r="K289" s="3">
        <v>0</v>
      </c>
      <c r="L289" s="3">
        <v>0</v>
      </c>
      <c r="M289" s="3">
        <v>-36080</v>
      </c>
      <c r="N289" s="3">
        <v>222570.27</v>
      </c>
      <c r="O289" s="3" t="str">
        <f>"SW514149"</f>
        <v>SW514149</v>
      </c>
      <c r="P289" s="3">
        <v>18.04</v>
      </c>
      <c r="Q289" s="3">
        <v>2000</v>
      </c>
      <c r="R289" s="3" t="str">
        <f t="shared" si="57"/>
        <v>0103988319</v>
      </c>
      <c r="S289" s="3" t="str">
        <f t="shared" si="54"/>
        <v>301719094322</v>
      </c>
      <c r="T289" s="3" t="str">
        <f t="shared" si="40"/>
        <v>人民币</v>
      </c>
    </row>
    <row r="290" spans="1:20" s="3" customFormat="1" x14ac:dyDescent="0.15">
      <c r="A290" s="3" t="str">
        <f t="shared" si="55"/>
        <v>2015-05-19</v>
      </c>
      <c r="B290" s="3" t="str">
        <f t="shared" si="56"/>
        <v>新股申购</v>
      </c>
      <c r="C290" s="3" t="str">
        <f>"002759"</f>
        <v>002759</v>
      </c>
      <c r="D290" s="3" t="str">
        <f>"天际股份"</f>
        <v>天际股份</v>
      </c>
      <c r="E290" s="3">
        <v>12.02</v>
      </c>
      <c r="F290" s="3">
        <v>2000</v>
      </c>
      <c r="G290" s="3">
        <v>24040</v>
      </c>
      <c r="H290" s="3">
        <v>2000</v>
      </c>
      <c r="I290" s="3">
        <v>0</v>
      </c>
      <c r="J290" s="3">
        <v>0</v>
      </c>
      <c r="K290" s="3">
        <v>0</v>
      </c>
      <c r="L290" s="3">
        <v>0</v>
      </c>
      <c r="M290" s="3">
        <v>-24040</v>
      </c>
      <c r="N290" s="3">
        <v>198530.27</v>
      </c>
      <c r="O290" s="3" t="str">
        <f>"SW514163"</f>
        <v>SW514163</v>
      </c>
      <c r="P290" s="3">
        <v>12.02</v>
      </c>
      <c r="Q290" s="3">
        <v>2000</v>
      </c>
      <c r="R290" s="3" t="str">
        <f t="shared" si="57"/>
        <v>0103988319</v>
      </c>
      <c r="S290" s="3" t="str">
        <f t="shared" si="54"/>
        <v>301719094322</v>
      </c>
      <c r="T290" s="3" t="str">
        <f t="shared" si="40"/>
        <v>人民币</v>
      </c>
    </row>
    <row r="291" spans="1:20" s="3" customFormat="1" x14ac:dyDescent="0.15">
      <c r="A291" s="3" t="str">
        <f t="shared" si="55"/>
        <v>2015-05-19</v>
      </c>
      <c r="B291" s="3" t="str">
        <f t="shared" si="56"/>
        <v>新股申购</v>
      </c>
      <c r="C291" s="3" t="str">
        <f>"300462"</f>
        <v>300462</v>
      </c>
      <c r="D291" s="3" t="str">
        <f>"华铭智能"</f>
        <v>华铭智能</v>
      </c>
      <c r="E291" s="3">
        <v>14.25</v>
      </c>
      <c r="F291" s="3">
        <v>2000</v>
      </c>
      <c r="G291" s="3">
        <v>28500</v>
      </c>
      <c r="H291" s="3">
        <v>2000</v>
      </c>
      <c r="I291" s="3">
        <v>0</v>
      </c>
      <c r="J291" s="3">
        <v>0</v>
      </c>
      <c r="K291" s="3">
        <v>0</v>
      </c>
      <c r="L291" s="3">
        <v>0</v>
      </c>
      <c r="M291" s="3">
        <v>-28500</v>
      </c>
      <c r="N291" s="3">
        <v>170030.27</v>
      </c>
      <c r="O291" s="3" t="str">
        <f>"SW514211"</f>
        <v>SW514211</v>
      </c>
      <c r="P291" s="3">
        <v>14.25</v>
      </c>
      <c r="Q291" s="3">
        <v>2000</v>
      </c>
      <c r="R291" s="3" t="str">
        <f t="shared" si="57"/>
        <v>0103988319</v>
      </c>
      <c r="S291" s="3" t="str">
        <f t="shared" si="54"/>
        <v>301719094322</v>
      </c>
      <c r="T291" s="3" t="str">
        <f t="shared" si="40"/>
        <v>人民币</v>
      </c>
    </row>
    <row r="292" spans="1:20" s="3" customFormat="1" x14ac:dyDescent="0.15">
      <c r="A292" s="3" t="str">
        <f t="shared" si="55"/>
        <v>2015-05-19</v>
      </c>
      <c r="B292" s="3" t="str">
        <f t="shared" si="56"/>
        <v>新股申购</v>
      </c>
      <c r="C292" s="3" t="str">
        <f>"300463"</f>
        <v>300463</v>
      </c>
      <c r="D292" s="3" t="str">
        <f>"迈克生物"</f>
        <v>迈克生物</v>
      </c>
      <c r="E292" s="3">
        <v>27.96</v>
      </c>
      <c r="F292" s="3">
        <v>2000</v>
      </c>
      <c r="G292" s="3">
        <v>55920</v>
      </c>
      <c r="H292" s="3">
        <v>2000</v>
      </c>
      <c r="I292" s="3">
        <v>0</v>
      </c>
      <c r="J292" s="3">
        <v>0</v>
      </c>
      <c r="K292" s="3">
        <v>0</v>
      </c>
      <c r="L292" s="3">
        <v>0</v>
      </c>
      <c r="M292" s="3">
        <v>-55920</v>
      </c>
      <c r="N292" s="3">
        <v>114110.27</v>
      </c>
      <c r="O292" s="3" t="str">
        <f>"SW514224"</f>
        <v>SW514224</v>
      </c>
      <c r="P292" s="3">
        <v>27.96</v>
      </c>
      <c r="Q292" s="3">
        <v>2000</v>
      </c>
      <c r="R292" s="3" t="str">
        <f t="shared" si="57"/>
        <v>0103988319</v>
      </c>
      <c r="S292" s="3" t="str">
        <f t="shared" si="54"/>
        <v>301719094322</v>
      </c>
      <c r="T292" s="3" t="str">
        <f t="shared" si="40"/>
        <v>人民币</v>
      </c>
    </row>
    <row r="293" spans="1:20" s="3" customFormat="1" x14ac:dyDescent="0.15">
      <c r="A293" s="3" t="str">
        <f t="shared" si="55"/>
        <v>2015-05-19</v>
      </c>
      <c r="B293" s="3" t="str">
        <f t="shared" si="56"/>
        <v>新股申购</v>
      </c>
      <c r="C293" s="3" t="str">
        <f>"300466"</f>
        <v>300466</v>
      </c>
      <c r="D293" s="3" t="str">
        <f>"赛摩电气"</f>
        <v>赛摩电气</v>
      </c>
      <c r="E293" s="3">
        <v>10.25</v>
      </c>
      <c r="F293" s="3">
        <v>2000</v>
      </c>
      <c r="G293" s="3">
        <v>20500</v>
      </c>
      <c r="H293" s="3">
        <v>2000</v>
      </c>
      <c r="I293" s="3">
        <v>0</v>
      </c>
      <c r="J293" s="3">
        <v>0</v>
      </c>
      <c r="K293" s="3">
        <v>0</v>
      </c>
      <c r="L293" s="3">
        <v>0</v>
      </c>
      <c r="M293" s="3">
        <v>-20500</v>
      </c>
      <c r="N293" s="3">
        <v>93610.27</v>
      </c>
      <c r="O293" s="3" t="str">
        <f>"SW514239"</f>
        <v>SW514239</v>
      </c>
      <c r="P293" s="3">
        <v>10.25</v>
      </c>
      <c r="Q293" s="3">
        <v>2000</v>
      </c>
      <c r="R293" s="3" t="str">
        <f t="shared" si="57"/>
        <v>0103988319</v>
      </c>
      <c r="S293" s="3" t="str">
        <f t="shared" si="54"/>
        <v>301719094322</v>
      </c>
      <c r="T293" s="3" t="str">
        <f t="shared" si="40"/>
        <v>人民币</v>
      </c>
    </row>
    <row r="294" spans="1:20" s="3" customFormat="1" x14ac:dyDescent="0.15">
      <c r="A294" s="3" t="str">
        <f t="shared" si="55"/>
        <v>2015-05-19</v>
      </c>
      <c r="B294" s="3" t="str">
        <f t="shared" si="56"/>
        <v>新股申购</v>
      </c>
      <c r="C294" s="3" t="str">
        <f>"300467"</f>
        <v>300467</v>
      </c>
      <c r="D294" s="3" t="str">
        <f>"迅游科技"</f>
        <v>迅游科技</v>
      </c>
      <c r="E294" s="3">
        <v>33.75</v>
      </c>
      <c r="F294" s="3">
        <v>2000</v>
      </c>
      <c r="G294" s="3">
        <v>67500</v>
      </c>
      <c r="H294" s="3">
        <v>2000</v>
      </c>
      <c r="I294" s="3">
        <v>0</v>
      </c>
      <c r="J294" s="3">
        <v>0</v>
      </c>
      <c r="K294" s="3">
        <v>0</v>
      </c>
      <c r="L294" s="3">
        <v>0</v>
      </c>
      <c r="M294" s="3">
        <v>-67500</v>
      </c>
      <c r="N294" s="3">
        <v>26110.27</v>
      </c>
      <c r="O294" s="3" t="str">
        <f>"SW514262"</f>
        <v>SW514262</v>
      </c>
      <c r="P294" s="3">
        <v>33.75</v>
      </c>
      <c r="Q294" s="3">
        <v>2000</v>
      </c>
      <c r="R294" s="3" t="str">
        <f t="shared" si="57"/>
        <v>0103988319</v>
      </c>
      <c r="S294" s="3" t="str">
        <f t="shared" si="54"/>
        <v>301719094322</v>
      </c>
      <c r="T294" s="3" t="str">
        <f t="shared" si="40"/>
        <v>人民币</v>
      </c>
    </row>
    <row r="295" spans="1:20" s="3" customFormat="1" x14ac:dyDescent="0.15">
      <c r="A295" s="3" t="str">
        <f t="shared" si="55"/>
        <v>2015-05-19</v>
      </c>
      <c r="B295" s="3" t="str">
        <f t="shared" si="56"/>
        <v>新股申购</v>
      </c>
      <c r="C295" s="3" t="str">
        <f>"300468"</f>
        <v>300468</v>
      </c>
      <c r="D295" s="3" t="str">
        <f>"四方精创"</f>
        <v>四方精创</v>
      </c>
      <c r="E295" s="3">
        <v>18.760000000000002</v>
      </c>
      <c r="F295" s="3">
        <v>2000</v>
      </c>
      <c r="G295" s="3">
        <v>37520</v>
      </c>
      <c r="H295" s="3">
        <v>2000</v>
      </c>
      <c r="I295" s="3">
        <v>0</v>
      </c>
      <c r="J295" s="3">
        <v>0</v>
      </c>
      <c r="K295" s="3">
        <v>0</v>
      </c>
      <c r="L295" s="3">
        <v>0</v>
      </c>
      <c r="M295" s="3">
        <v>-37520</v>
      </c>
      <c r="N295" s="3">
        <v>-11409.73</v>
      </c>
      <c r="O295" s="3" t="str">
        <f>"SW514285"</f>
        <v>SW514285</v>
      </c>
      <c r="P295" s="3">
        <v>18.760000000000002</v>
      </c>
      <c r="Q295" s="3">
        <v>2000</v>
      </c>
      <c r="R295" s="3" t="str">
        <f t="shared" si="57"/>
        <v>0103988319</v>
      </c>
      <c r="S295" s="3" t="str">
        <f t="shared" si="54"/>
        <v>301719094322</v>
      </c>
      <c r="T295" s="3" t="str">
        <f t="shared" ref="T295:T358" si="58">"人民币"</f>
        <v>人民币</v>
      </c>
    </row>
    <row r="296" spans="1:20" s="3" customFormat="1" x14ac:dyDescent="0.15">
      <c r="A296" s="3" t="str">
        <f t="shared" si="55"/>
        <v>2015-05-19</v>
      </c>
      <c r="B296" s="3" t="str">
        <f>"证券卖出清算"</f>
        <v>证券卖出清算</v>
      </c>
      <c r="C296" s="3" t="str">
        <f>"184721"</f>
        <v>184721</v>
      </c>
      <c r="D296" s="3" t="str">
        <f>"基金丰和"</f>
        <v>基金丰和</v>
      </c>
      <c r="E296" s="3">
        <v>1.3180000000000001</v>
      </c>
      <c r="F296" s="3">
        <v>20000</v>
      </c>
      <c r="G296" s="3">
        <v>26360</v>
      </c>
      <c r="H296" s="3">
        <v>0</v>
      </c>
      <c r="I296" s="3">
        <v>5.27</v>
      </c>
      <c r="J296" s="3">
        <v>0</v>
      </c>
      <c r="K296" s="3">
        <v>0</v>
      </c>
      <c r="L296" s="3">
        <v>0</v>
      </c>
      <c r="M296" s="3">
        <v>26354.73</v>
      </c>
      <c r="N296" s="3">
        <v>14945</v>
      </c>
      <c r="O296" s="3" t="str">
        <f>"SW606630"</f>
        <v>SW606630</v>
      </c>
      <c r="P296" s="3">
        <v>1.3180000000000001</v>
      </c>
      <c r="Q296" s="3">
        <v>20000</v>
      </c>
      <c r="R296" s="3" t="str">
        <f t="shared" si="57"/>
        <v>0103988319</v>
      </c>
      <c r="S296" s="3" t="str">
        <f t="shared" si="54"/>
        <v>301719094322</v>
      </c>
      <c r="T296" s="3" t="str">
        <f t="shared" si="58"/>
        <v>人民币</v>
      </c>
    </row>
    <row r="297" spans="1:20" s="3" customFormat="1" x14ac:dyDescent="0.15">
      <c r="A297" s="3" t="str">
        <f t="shared" si="55"/>
        <v>2015-05-19</v>
      </c>
      <c r="B297" s="3" t="str">
        <f>"证券买入清算"</f>
        <v>证券买入清算</v>
      </c>
      <c r="C297" s="3" t="str">
        <f>"002457"</f>
        <v>002457</v>
      </c>
      <c r="D297" s="3" t="str">
        <f>"青龙管业"</f>
        <v>青龙管业</v>
      </c>
      <c r="E297" s="3">
        <v>14.94</v>
      </c>
      <c r="F297" s="3">
        <v>1000</v>
      </c>
      <c r="G297" s="3">
        <v>14940</v>
      </c>
      <c r="H297" s="3">
        <v>1000</v>
      </c>
      <c r="I297" s="3">
        <v>5</v>
      </c>
      <c r="J297" s="3">
        <v>0</v>
      </c>
      <c r="K297" s="3">
        <v>0</v>
      </c>
      <c r="L297" s="3">
        <v>0</v>
      </c>
      <c r="M297" s="3">
        <v>-14945</v>
      </c>
      <c r="N297" s="3">
        <v>0</v>
      </c>
      <c r="O297" s="3" t="str">
        <f>"SW614253"</f>
        <v>SW614253</v>
      </c>
      <c r="P297" s="3">
        <v>14.94</v>
      </c>
      <c r="Q297" s="3">
        <v>1000</v>
      </c>
      <c r="R297" s="3" t="str">
        <f t="shared" si="57"/>
        <v>0103988319</v>
      </c>
      <c r="S297" s="3" t="str">
        <f t="shared" si="54"/>
        <v>301719094322</v>
      </c>
      <c r="T297" s="3" t="str">
        <f t="shared" si="58"/>
        <v>人民币</v>
      </c>
    </row>
    <row r="298" spans="1:20" s="3" customFormat="1" x14ac:dyDescent="0.15">
      <c r="A298" s="3" t="str">
        <f t="shared" si="55"/>
        <v>2015-05-19</v>
      </c>
      <c r="B298" s="3" t="str">
        <f>"红股派息"</f>
        <v>红股派息</v>
      </c>
      <c r="C298" s="3" t="str">
        <f>"002457"</f>
        <v>002457</v>
      </c>
      <c r="D298" s="3" t="str">
        <f>"青龙管业"</f>
        <v>青龙管业</v>
      </c>
      <c r="E298" s="3">
        <v>0</v>
      </c>
      <c r="F298" s="3">
        <v>0</v>
      </c>
      <c r="G298" s="3">
        <v>19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19</v>
      </c>
      <c r="N298" s="3">
        <v>19</v>
      </c>
      <c r="P298" s="3">
        <v>0</v>
      </c>
      <c r="Q298" s="3">
        <v>0</v>
      </c>
      <c r="R298" s="3" t="str">
        <f t="shared" si="57"/>
        <v>0103988319</v>
      </c>
      <c r="S298" s="3" t="str">
        <f t="shared" si="54"/>
        <v>301719094322</v>
      </c>
      <c r="T298" s="3" t="str">
        <f t="shared" si="58"/>
        <v>人民币</v>
      </c>
    </row>
    <row r="299" spans="1:20" s="3" customFormat="1" x14ac:dyDescent="0.15">
      <c r="A299" s="3" t="str">
        <f>"2015-05-20"</f>
        <v>2015-05-20</v>
      </c>
      <c r="B299" s="3" t="str">
        <f>"基金赎回"</f>
        <v>基金赎回</v>
      </c>
      <c r="C299" s="3" t="str">
        <f>"A40006"</f>
        <v>A40006</v>
      </c>
      <c r="D299" s="3" t="str">
        <f>"现金宝"</f>
        <v>现金宝</v>
      </c>
      <c r="E299" s="3">
        <v>1</v>
      </c>
      <c r="F299" s="3">
        <v>95830.720000000001</v>
      </c>
      <c r="G299" s="3">
        <v>95830.720000000001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95830.720000000001</v>
      </c>
      <c r="N299" s="3">
        <v>95849.72</v>
      </c>
      <c r="P299" s="3">
        <v>0</v>
      </c>
      <c r="Q299" s="3">
        <v>0</v>
      </c>
      <c r="R299" s="3" t="str">
        <f>"99F625223328"</f>
        <v>99F625223328</v>
      </c>
      <c r="S299" s="3" t="str">
        <f t="shared" si="54"/>
        <v>301719094322</v>
      </c>
      <c r="T299" s="3" t="str">
        <f t="shared" si="58"/>
        <v>人民币</v>
      </c>
    </row>
    <row r="300" spans="1:20" s="3" customFormat="1" x14ac:dyDescent="0.15">
      <c r="A300" s="3" t="str">
        <f>"2015-05-20"</f>
        <v>2015-05-20</v>
      </c>
      <c r="B300" s="3" t="str">
        <f>"新股申购"</f>
        <v>新股申购</v>
      </c>
      <c r="C300" s="3" t="str">
        <f>"300465"</f>
        <v>300465</v>
      </c>
      <c r="D300" s="3" t="str">
        <f>"高伟达"</f>
        <v>高伟达</v>
      </c>
      <c r="E300" s="3">
        <v>11.26</v>
      </c>
      <c r="F300" s="3">
        <v>2000</v>
      </c>
      <c r="G300" s="3">
        <v>22520</v>
      </c>
      <c r="H300" s="3">
        <v>2000</v>
      </c>
      <c r="I300" s="3">
        <v>0</v>
      </c>
      <c r="J300" s="3">
        <v>0</v>
      </c>
      <c r="K300" s="3">
        <v>0</v>
      </c>
      <c r="L300" s="3">
        <v>0</v>
      </c>
      <c r="M300" s="3">
        <v>-22520</v>
      </c>
      <c r="N300" s="3">
        <v>73329.72</v>
      </c>
      <c r="O300" s="3" t="str">
        <f>"SW180409"</f>
        <v>SW180409</v>
      </c>
      <c r="P300" s="3">
        <v>11.26</v>
      </c>
      <c r="Q300" s="3">
        <v>2000</v>
      </c>
      <c r="R300" s="3" t="str">
        <f t="shared" ref="R300:R309" si="59">"0103988319"</f>
        <v>0103988319</v>
      </c>
      <c r="S300" s="3" t="str">
        <f t="shared" si="54"/>
        <v>301719094322</v>
      </c>
      <c r="T300" s="3" t="str">
        <f t="shared" si="58"/>
        <v>人民币</v>
      </c>
    </row>
    <row r="301" spans="1:20" s="3" customFormat="1" x14ac:dyDescent="0.15">
      <c r="A301" s="3" t="str">
        <f>"2015-05-20"</f>
        <v>2015-05-20</v>
      </c>
      <c r="B301" s="3" t="str">
        <f>"证券买入清算"</f>
        <v>证券买入清算</v>
      </c>
      <c r="C301" s="3" t="str">
        <f>"002457"</f>
        <v>002457</v>
      </c>
      <c r="D301" s="3" t="str">
        <f>"青龙管业"</f>
        <v>青龙管业</v>
      </c>
      <c r="E301" s="3">
        <v>15.27</v>
      </c>
      <c r="F301" s="3">
        <v>4800</v>
      </c>
      <c r="G301" s="3">
        <v>73296</v>
      </c>
      <c r="H301" s="3">
        <v>5800</v>
      </c>
      <c r="I301" s="3">
        <v>14.66</v>
      </c>
      <c r="J301" s="3">
        <v>0</v>
      </c>
      <c r="K301" s="3">
        <v>0</v>
      </c>
      <c r="L301" s="3">
        <v>0</v>
      </c>
      <c r="M301" s="3">
        <v>-73310.66</v>
      </c>
      <c r="N301" s="3">
        <v>19.059999999999999</v>
      </c>
      <c r="O301" s="3" t="str">
        <f>"SW213932"</f>
        <v>SW213932</v>
      </c>
      <c r="P301" s="3">
        <v>15.27</v>
      </c>
      <c r="Q301" s="3">
        <v>4800</v>
      </c>
      <c r="R301" s="3" t="str">
        <f t="shared" si="59"/>
        <v>0103988319</v>
      </c>
      <c r="S301" s="3" t="str">
        <f t="shared" si="54"/>
        <v>301719094322</v>
      </c>
      <c r="T301" s="3" t="str">
        <f t="shared" si="58"/>
        <v>人民币</v>
      </c>
    </row>
    <row r="302" spans="1:20" s="3" customFormat="1" x14ac:dyDescent="0.15">
      <c r="A302" s="3" t="str">
        <f t="shared" ref="A302:A309" si="60">"2015-05-21"</f>
        <v>2015-05-21</v>
      </c>
      <c r="B302" s="3" t="str">
        <f t="shared" ref="B302:B309" si="61">"申购还款"</f>
        <v>申购还款</v>
      </c>
      <c r="C302" s="3" t="str">
        <f>"002757"</f>
        <v>002757</v>
      </c>
      <c r="D302" s="3" t="str">
        <f>"南兴装备"</f>
        <v>南兴装备</v>
      </c>
      <c r="E302" s="3">
        <v>12.94</v>
      </c>
      <c r="F302" s="3">
        <v>2000</v>
      </c>
      <c r="G302" s="3">
        <v>25880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25880</v>
      </c>
      <c r="N302" s="3">
        <v>25899.06</v>
      </c>
      <c r="O302" s="3" t="str">
        <f>"SW514136"</f>
        <v>SW514136</v>
      </c>
      <c r="P302" s="3">
        <v>12.94</v>
      </c>
      <c r="Q302" s="3">
        <v>2000</v>
      </c>
      <c r="R302" s="3" t="str">
        <f t="shared" si="59"/>
        <v>0103988319</v>
      </c>
      <c r="S302" s="3" t="str">
        <f t="shared" si="54"/>
        <v>301719094322</v>
      </c>
      <c r="T302" s="3" t="str">
        <f t="shared" si="58"/>
        <v>人民币</v>
      </c>
    </row>
    <row r="303" spans="1:20" s="3" customFormat="1" x14ac:dyDescent="0.15">
      <c r="A303" s="3" t="str">
        <f t="shared" si="60"/>
        <v>2015-05-21</v>
      </c>
      <c r="B303" s="3" t="str">
        <f t="shared" si="61"/>
        <v>申购还款</v>
      </c>
      <c r="C303" s="3" t="str">
        <f>"002758"</f>
        <v>002758</v>
      </c>
      <c r="D303" s="3" t="str">
        <f>"华通医药"</f>
        <v>华通医药</v>
      </c>
      <c r="E303" s="3">
        <v>18.04</v>
      </c>
      <c r="F303" s="3">
        <v>2000</v>
      </c>
      <c r="G303" s="3">
        <v>36080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36080</v>
      </c>
      <c r="N303" s="3">
        <v>61979.06</v>
      </c>
      <c r="O303" s="3" t="str">
        <f>"SW514149"</f>
        <v>SW514149</v>
      </c>
      <c r="P303" s="3">
        <v>18.04</v>
      </c>
      <c r="Q303" s="3">
        <v>2000</v>
      </c>
      <c r="R303" s="3" t="str">
        <f t="shared" si="59"/>
        <v>0103988319</v>
      </c>
      <c r="S303" s="3" t="str">
        <f t="shared" si="54"/>
        <v>301719094322</v>
      </c>
      <c r="T303" s="3" t="str">
        <f t="shared" si="58"/>
        <v>人民币</v>
      </c>
    </row>
    <row r="304" spans="1:20" s="3" customFormat="1" x14ac:dyDescent="0.15">
      <c r="A304" s="3" t="str">
        <f t="shared" si="60"/>
        <v>2015-05-21</v>
      </c>
      <c r="B304" s="3" t="str">
        <f t="shared" si="61"/>
        <v>申购还款</v>
      </c>
      <c r="C304" s="3" t="str">
        <f>"002759"</f>
        <v>002759</v>
      </c>
      <c r="D304" s="3" t="str">
        <f>"天际股份"</f>
        <v>天际股份</v>
      </c>
      <c r="E304" s="3">
        <v>12.02</v>
      </c>
      <c r="F304" s="3">
        <v>2000</v>
      </c>
      <c r="G304" s="3">
        <v>24040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24040</v>
      </c>
      <c r="N304" s="3">
        <v>86019.06</v>
      </c>
      <c r="O304" s="3" t="str">
        <f>"SW514163"</f>
        <v>SW514163</v>
      </c>
      <c r="P304" s="3">
        <v>12.02</v>
      </c>
      <c r="Q304" s="3">
        <v>2000</v>
      </c>
      <c r="R304" s="3" t="str">
        <f t="shared" si="59"/>
        <v>0103988319</v>
      </c>
      <c r="S304" s="3" t="str">
        <f t="shared" si="54"/>
        <v>301719094322</v>
      </c>
      <c r="T304" s="3" t="str">
        <f t="shared" si="58"/>
        <v>人民币</v>
      </c>
    </row>
    <row r="305" spans="1:20" s="3" customFormat="1" x14ac:dyDescent="0.15">
      <c r="A305" s="3" t="str">
        <f t="shared" si="60"/>
        <v>2015-05-21</v>
      </c>
      <c r="B305" s="3" t="str">
        <f t="shared" si="61"/>
        <v>申购还款</v>
      </c>
      <c r="C305" s="3" t="str">
        <f>"300462"</f>
        <v>300462</v>
      </c>
      <c r="D305" s="3" t="str">
        <f>"华铭智能"</f>
        <v>华铭智能</v>
      </c>
      <c r="E305" s="3">
        <v>14.25</v>
      </c>
      <c r="F305" s="3">
        <v>2000</v>
      </c>
      <c r="G305" s="3">
        <v>28500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28500</v>
      </c>
      <c r="N305" s="3">
        <v>114519.06</v>
      </c>
      <c r="O305" s="3" t="str">
        <f>"SW514211"</f>
        <v>SW514211</v>
      </c>
      <c r="P305" s="3">
        <v>14.25</v>
      </c>
      <c r="Q305" s="3">
        <v>2000</v>
      </c>
      <c r="R305" s="3" t="str">
        <f t="shared" si="59"/>
        <v>0103988319</v>
      </c>
      <c r="S305" s="3" t="str">
        <f t="shared" si="54"/>
        <v>301719094322</v>
      </c>
      <c r="T305" s="3" t="str">
        <f t="shared" si="58"/>
        <v>人民币</v>
      </c>
    </row>
    <row r="306" spans="1:20" s="3" customFormat="1" x14ac:dyDescent="0.15">
      <c r="A306" s="3" t="str">
        <f t="shared" si="60"/>
        <v>2015-05-21</v>
      </c>
      <c r="B306" s="3" t="str">
        <f t="shared" si="61"/>
        <v>申购还款</v>
      </c>
      <c r="C306" s="3" t="str">
        <f>"300463"</f>
        <v>300463</v>
      </c>
      <c r="D306" s="3" t="str">
        <f>"迈克生物"</f>
        <v>迈克生物</v>
      </c>
      <c r="E306" s="3">
        <v>27.96</v>
      </c>
      <c r="F306" s="3">
        <v>2000</v>
      </c>
      <c r="G306" s="3">
        <v>55920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55920</v>
      </c>
      <c r="N306" s="3">
        <v>170439.06</v>
      </c>
      <c r="O306" s="3" t="str">
        <f>"SW514224"</f>
        <v>SW514224</v>
      </c>
      <c r="P306" s="3">
        <v>27.96</v>
      </c>
      <c r="Q306" s="3">
        <v>2000</v>
      </c>
      <c r="R306" s="3" t="str">
        <f t="shared" si="59"/>
        <v>0103988319</v>
      </c>
      <c r="S306" s="3" t="str">
        <f t="shared" si="54"/>
        <v>301719094322</v>
      </c>
      <c r="T306" s="3" t="str">
        <f t="shared" si="58"/>
        <v>人民币</v>
      </c>
    </row>
    <row r="307" spans="1:20" s="3" customFormat="1" x14ac:dyDescent="0.15">
      <c r="A307" s="3" t="str">
        <f t="shared" si="60"/>
        <v>2015-05-21</v>
      </c>
      <c r="B307" s="3" t="str">
        <f t="shared" si="61"/>
        <v>申购还款</v>
      </c>
      <c r="C307" s="3" t="str">
        <f>"300466"</f>
        <v>300466</v>
      </c>
      <c r="D307" s="3" t="str">
        <f>"赛摩电气"</f>
        <v>赛摩电气</v>
      </c>
      <c r="E307" s="3">
        <v>10.25</v>
      </c>
      <c r="F307" s="3">
        <v>2000</v>
      </c>
      <c r="G307" s="3">
        <v>20500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20500</v>
      </c>
      <c r="N307" s="3">
        <v>190939.06</v>
      </c>
      <c r="O307" s="3" t="str">
        <f>"SW514239"</f>
        <v>SW514239</v>
      </c>
      <c r="P307" s="3">
        <v>10.25</v>
      </c>
      <c r="Q307" s="3">
        <v>2000</v>
      </c>
      <c r="R307" s="3" t="str">
        <f t="shared" si="59"/>
        <v>0103988319</v>
      </c>
      <c r="S307" s="3" t="str">
        <f t="shared" si="54"/>
        <v>301719094322</v>
      </c>
      <c r="T307" s="3" t="str">
        <f t="shared" si="58"/>
        <v>人民币</v>
      </c>
    </row>
    <row r="308" spans="1:20" s="3" customFormat="1" x14ac:dyDescent="0.15">
      <c r="A308" s="3" t="str">
        <f t="shared" si="60"/>
        <v>2015-05-21</v>
      </c>
      <c r="B308" s="3" t="str">
        <f t="shared" si="61"/>
        <v>申购还款</v>
      </c>
      <c r="C308" s="3" t="str">
        <f>"300467"</f>
        <v>300467</v>
      </c>
      <c r="D308" s="3" t="str">
        <f>"迅游科技"</f>
        <v>迅游科技</v>
      </c>
      <c r="E308" s="3">
        <v>33.75</v>
      </c>
      <c r="F308" s="3">
        <v>2000</v>
      </c>
      <c r="G308" s="3">
        <v>67500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67500</v>
      </c>
      <c r="N308" s="3">
        <v>258439.06</v>
      </c>
      <c r="O308" s="3" t="str">
        <f>"SW514262"</f>
        <v>SW514262</v>
      </c>
      <c r="P308" s="3">
        <v>33.75</v>
      </c>
      <c r="Q308" s="3">
        <v>2000</v>
      </c>
      <c r="R308" s="3" t="str">
        <f t="shared" si="59"/>
        <v>0103988319</v>
      </c>
      <c r="S308" s="3" t="str">
        <f t="shared" si="54"/>
        <v>301719094322</v>
      </c>
      <c r="T308" s="3" t="str">
        <f t="shared" si="58"/>
        <v>人民币</v>
      </c>
    </row>
    <row r="309" spans="1:20" s="3" customFormat="1" x14ac:dyDescent="0.15">
      <c r="A309" s="3" t="str">
        <f t="shared" si="60"/>
        <v>2015-05-21</v>
      </c>
      <c r="B309" s="3" t="str">
        <f t="shared" si="61"/>
        <v>申购还款</v>
      </c>
      <c r="C309" s="3" t="str">
        <f>"300468"</f>
        <v>300468</v>
      </c>
      <c r="D309" s="3" t="str">
        <f>"四方精创"</f>
        <v>四方精创</v>
      </c>
      <c r="E309" s="3">
        <v>18.760000000000002</v>
      </c>
      <c r="F309" s="3">
        <v>2000</v>
      </c>
      <c r="G309" s="3">
        <v>37520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37520</v>
      </c>
      <c r="N309" s="3">
        <v>295959.06</v>
      </c>
      <c r="O309" s="3" t="str">
        <f>"SW514285"</f>
        <v>SW514285</v>
      </c>
      <c r="P309" s="3">
        <v>18.760000000000002</v>
      </c>
      <c r="Q309" s="3">
        <v>2000</v>
      </c>
      <c r="R309" s="3" t="str">
        <f t="shared" si="59"/>
        <v>0103988319</v>
      </c>
      <c r="S309" s="3" t="str">
        <f t="shared" si="54"/>
        <v>301719094322</v>
      </c>
      <c r="T309" s="3" t="str">
        <f t="shared" si="58"/>
        <v>人民币</v>
      </c>
    </row>
    <row r="310" spans="1:20" s="3" customFormat="1" x14ac:dyDescent="0.15">
      <c r="A310" s="3" t="str">
        <f>"2015-05-22"</f>
        <v>2015-05-22</v>
      </c>
      <c r="B310" s="3" t="str">
        <f>"银证转出"</f>
        <v>银证转出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-100000</v>
      </c>
      <c r="N310" s="3">
        <v>195959.06</v>
      </c>
      <c r="P310" s="3">
        <v>0</v>
      </c>
      <c r="Q310" s="3">
        <v>0</v>
      </c>
      <c r="S310" s="3" t="str">
        <f t="shared" si="54"/>
        <v>301719094322</v>
      </c>
      <c r="T310" s="3" t="str">
        <f t="shared" si="58"/>
        <v>人民币</v>
      </c>
    </row>
    <row r="311" spans="1:20" s="3" customFormat="1" x14ac:dyDescent="0.15">
      <c r="A311" s="3" t="str">
        <f>"2015-05-22"</f>
        <v>2015-05-22</v>
      </c>
      <c r="B311" s="3" t="str">
        <f>"申购还款"</f>
        <v>申购还款</v>
      </c>
      <c r="C311" s="3" t="str">
        <f>"300465"</f>
        <v>300465</v>
      </c>
      <c r="D311" s="3" t="str">
        <f>"高伟达"</f>
        <v>高伟达</v>
      </c>
      <c r="E311" s="3">
        <v>11.26</v>
      </c>
      <c r="F311" s="3">
        <v>2000</v>
      </c>
      <c r="G311" s="3">
        <v>22520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22520</v>
      </c>
      <c r="N311" s="3">
        <v>218479.06</v>
      </c>
      <c r="O311" s="3" t="str">
        <f>"SW180409"</f>
        <v>SW180409</v>
      </c>
      <c r="P311" s="3">
        <v>11.26</v>
      </c>
      <c r="Q311" s="3">
        <v>2000</v>
      </c>
      <c r="R311" s="3" t="str">
        <f>"0103988319"</f>
        <v>0103988319</v>
      </c>
      <c r="S311" s="3" t="str">
        <f t="shared" si="54"/>
        <v>301719094322</v>
      </c>
      <c r="T311" s="3" t="str">
        <f t="shared" si="58"/>
        <v>人民币</v>
      </c>
    </row>
    <row r="312" spans="1:20" s="3" customFormat="1" x14ac:dyDescent="0.15">
      <c r="A312" s="3" t="str">
        <f>"2015-05-22"</f>
        <v>2015-05-22</v>
      </c>
      <c r="B312" s="3" t="str">
        <f>"基金申购"</f>
        <v>基金申购</v>
      </c>
      <c r="C312" s="3" t="str">
        <f>"A40006"</f>
        <v>A40006</v>
      </c>
      <c r="D312" s="3" t="str">
        <f>"现金宝"</f>
        <v>现金宝</v>
      </c>
      <c r="E312" s="3">
        <v>1</v>
      </c>
      <c r="F312" s="3">
        <v>195959.06</v>
      </c>
      <c r="G312" s="3">
        <v>195959.06</v>
      </c>
      <c r="H312" s="3">
        <v>195959</v>
      </c>
      <c r="I312" s="3">
        <v>0</v>
      </c>
      <c r="J312" s="3">
        <v>0</v>
      </c>
      <c r="K312" s="3">
        <v>0</v>
      </c>
      <c r="L312" s="3">
        <v>0</v>
      </c>
      <c r="M312" s="3">
        <v>-195959.06</v>
      </c>
      <c r="N312" s="3">
        <v>22520</v>
      </c>
      <c r="P312" s="3">
        <v>0</v>
      </c>
      <c r="Q312" s="3">
        <v>0</v>
      </c>
      <c r="R312" s="3" t="str">
        <f>"99F625223328"</f>
        <v>99F625223328</v>
      </c>
      <c r="S312" s="3" t="str">
        <f t="shared" si="54"/>
        <v>301719094322</v>
      </c>
      <c r="T312" s="3" t="str">
        <f t="shared" si="58"/>
        <v>人民币</v>
      </c>
    </row>
    <row r="313" spans="1:20" s="3" customFormat="1" x14ac:dyDescent="0.15">
      <c r="A313" s="3" t="str">
        <f>"2015-05-25"</f>
        <v>2015-05-25</v>
      </c>
      <c r="B313" s="3" t="str">
        <f>"基金申购"</f>
        <v>基金申购</v>
      </c>
      <c r="C313" s="3" t="str">
        <f>"A40006"</f>
        <v>A40006</v>
      </c>
      <c r="D313" s="3" t="str">
        <f>"现金宝"</f>
        <v>现金宝</v>
      </c>
      <c r="E313" s="3">
        <v>1</v>
      </c>
      <c r="F313" s="3">
        <v>22520</v>
      </c>
      <c r="G313" s="3">
        <v>22520</v>
      </c>
      <c r="H313" s="3">
        <v>218479</v>
      </c>
      <c r="I313" s="3">
        <v>0</v>
      </c>
      <c r="J313" s="3">
        <v>0</v>
      </c>
      <c r="K313" s="3">
        <v>0</v>
      </c>
      <c r="L313" s="3">
        <v>0</v>
      </c>
      <c r="M313" s="3">
        <v>-22520</v>
      </c>
      <c r="N313" s="3">
        <v>0</v>
      </c>
      <c r="P313" s="3">
        <v>0</v>
      </c>
      <c r="Q313" s="3">
        <v>0</v>
      </c>
      <c r="R313" s="3" t="str">
        <f>"99F625223328"</f>
        <v>99F625223328</v>
      </c>
      <c r="S313" s="3" t="str">
        <f t="shared" si="54"/>
        <v>301719094322</v>
      </c>
      <c r="T313" s="3" t="str">
        <f t="shared" si="58"/>
        <v>人民币</v>
      </c>
    </row>
    <row r="314" spans="1:20" s="3" customFormat="1" x14ac:dyDescent="0.15">
      <c r="A314" s="3" t="str">
        <f>"2015-05-26"</f>
        <v>2015-05-26</v>
      </c>
      <c r="B314" s="3" t="str">
        <f>"证券卖出清算"</f>
        <v>证券卖出清算</v>
      </c>
      <c r="C314" s="3" t="str">
        <f>"002457"</f>
        <v>002457</v>
      </c>
      <c r="D314" s="3" t="str">
        <f>"青龙管业"</f>
        <v>青龙管业</v>
      </c>
      <c r="E314" s="3">
        <v>15.96</v>
      </c>
      <c r="F314" s="3">
        <v>2800</v>
      </c>
      <c r="G314" s="3">
        <v>44688</v>
      </c>
      <c r="H314" s="3">
        <v>3000</v>
      </c>
      <c r="I314" s="3">
        <v>8.94</v>
      </c>
      <c r="J314" s="3">
        <v>44.69</v>
      </c>
      <c r="K314" s="3">
        <v>0</v>
      </c>
      <c r="L314" s="3">
        <v>0</v>
      </c>
      <c r="M314" s="3">
        <v>44634.37</v>
      </c>
      <c r="N314" s="3">
        <v>44634.37</v>
      </c>
      <c r="O314" s="3" t="str">
        <f>"SW371849"</f>
        <v>SW371849</v>
      </c>
      <c r="P314" s="3">
        <v>15.96</v>
      </c>
      <c r="Q314" s="3">
        <v>2800</v>
      </c>
      <c r="R314" s="3" t="str">
        <f>"0103988319"</f>
        <v>0103988319</v>
      </c>
      <c r="S314" s="3" t="str">
        <f t="shared" si="54"/>
        <v>301719094322</v>
      </c>
      <c r="T314" s="3" t="str">
        <f t="shared" si="58"/>
        <v>人民币</v>
      </c>
    </row>
    <row r="315" spans="1:20" s="3" customFormat="1" x14ac:dyDescent="0.15">
      <c r="A315" s="3" t="str">
        <f>"2015-05-26"</f>
        <v>2015-05-26</v>
      </c>
      <c r="B315" s="3" t="str">
        <f>"证券卖出清算"</f>
        <v>证券卖出清算</v>
      </c>
      <c r="C315" s="3" t="str">
        <f>"002457"</f>
        <v>002457</v>
      </c>
      <c r="D315" s="3" t="str">
        <f>"青龙管业"</f>
        <v>青龙管业</v>
      </c>
      <c r="E315" s="3">
        <v>15.98</v>
      </c>
      <c r="F315" s="3">
        <v>3000</v>
      </c>
      <c r="G315" s="3">
        <v>47940</v>
      </c>
      <c r="H315" s="3">
        <v>0</v>
      </c>
      <c r="I315" s="3">
        <v>9.59</v>
      </c>
      <c r="J315" s="3">
        <v>47.94</v>
      </c>
      <c r="K315" s="3">
        <v>0</v>
      </c>
      <c r="L315" s="3">
        <v>0</v>
      </c>
      <c r="M315" s="3">
        <v>47882.47</v>
      </c>
      <c r="N315" s="3">
        <v>92516.84</v>
      </c>
      <c r="O315" s="3" t="str">
        <f>"SW372180"</f>
        <v>SW372180</v>
      </c>
      <c r="P315" s="3">
        <v>15.98</v>
      </c>
      <c r="Q315" s="3">
        <v>3000</v>
      </c>
      <c r="R315" s="3" t="str">
        <f>"0103988319"</f>
        <v>0103988319</v>
      </c>
      <c r="S315" s="3" t="str">
        <f t="shared" si="54"/>
        <v>301719094322</v>
      </c>
      <c r="T315" s="3" t="str">
        <f t="shared" si="58"/>
        <v>人民币</v>
      </c>
    </row>
    <row r="316" spans="1:20" s="3" customFormat="1" x14ac:dyDescent="0.15">
      <c r="A316" s="3" t="str">
        <f>"2015-05-26"</f>
        <v>2015-05-26</v>
      </c>
      <c r="B316" s="3" t="str">
        <f>"证券买入清算"</f>
        <v>证券买入清算</v>
      </c>
      <c r="C316" s="3" t="str">
        <f>"184721"</f>
        <v>184721</v>
      </c>
      <c r="D316" s="3" t="str">
        <f>"基金丰和"</f>
        <v>基金丰和</v>
      </c>
      <c r="E316" s="3">
        <v>1.417</v>
      </c>
      <c r="F316" s="3">
        <v>20000</v>
      </c>
      <c r="G316" s="3">
        <v>28340</v>
      </c>
      <c r="H316" s="3">
        <v>20000</v>
      </c>
      <c r="I316" s="3">
        <v>5.67</v>
      </c>
      <c r="J316" s="3">
        <v>0</v>
      </c>
      <c r="K316" s="3">
        <v>0</v>
      </c>
      <c r="L316" s="3">
        <v>0</v>
      </c>
      <c r="M316" s="3">
        <v>-28345.67</v>
      </c>
      <c r="N316" s="3">
        <v>64171.17</v>
      </c>
      <c r="O316" s="3" t="str">
        <f>"SW605818"</f>
        <v>SW605818</v>
      </c>
      <c r="P316" s="3">
        <v>1.417</v>
      </c>
      <c r="Q316" s="3">
        <v>20000</v>
      </c>
      <c r="R316" s="3" t="str">
        <f>"0103988319"</f>
        <v>0103988319</v>
      </c>
      <c r="S316" s="3" t="str">
        <f t="shared" si="54"/>
        <v>301719094322</v>
      </c>
      <c r="T316" s="3" t="str">
        <f t="shared" si="58"/>
        <v>人民币</v>
      </c>
    </row>
    <row r="317" spans="1:20" s="3" customFormat="1" x14ac:dyDescent="0.15">
      <c r="A317" s="3" t="str">
        <f>"2015-05-26"</f>
        <v>2015-05-26</v>
      </c>
      <c r="B317" s="3" t="str">
        <f>"基金申购"</f>
        <v>基金申购</v>
      </c>
      <c r="C317" s="3" t="str">
        <f>"A40006"</f>
        <v>A40006</v>
      </c>
      <c r="D317" s="3" t="str">
        <f>"现金宝"</f>
        <v>现金宝</v>
      </c>
      <c r="E317" s="3">
        <v>1</v>
      </c>
      <c r="F317" s="3">
        <v>17103.759999999998</v>
      </c>
      <c r="G317" s="3">
        <v>17103.759999999998</v>
      </c>
      <c r="H317" s="3">
        <v>235582</v>
      </c>
      <c r="I317" s="3">
        <v>0</v>
      </c>
      <c r="J317" s="3">
        <v>0</v>
      </c>
      <c r="K317" s="3">
        <v>0</v>
      </c>
      <c r="L317" s="3">
        <v>0</v>
      </c>
      <c r="M317" s="3">
        <v>-17103.759999999998</v>
      </c>
      <c r="N317" s="3">
        <v>47067.41</v>
      </c>
      <c r="P317" s="3">
        <v>0</v>
      </c>
      <c r="Q317" s="3">
        <v>0</v>
      </c>
      <c r="R317" s="3" t="str">
        <f>"99F625223328"</f>
        <v>99F625223328</v>
      </c>
      <c r="S317" s="3" t="str">
        <f t="shared" si="54"/>
        <v>301719094322</v>
      </c>
      <c r="T317" s="3" t="str">
        <f t="shared" si="58"/>
        <v>人民币</v>
      </c>
    </row>
    <row r="318" spans="1:20" s="3" customFormat="1" x14ac:dyDescent="0.15">
      <c r="A318" s="3" t="str">
        <f>"2015-05-27"</f>
        <v>2015-05-27</v>
      </c>
      <c r="B318" s="3" t="str">
        <f>"银证转出"</f>
        <v>银证转出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-46451</v>
      </c>
      <c r="N318" s="3">
        <v>616.41</v>
      </c>
      <c r="P318" s="3">
        <v>0</v>
      </c>
      <c r="Q318" s="3">
        <v>0</v>
      </c>
      <c r="S318" s="3" t="str">
        <f t="shared" si="54"/>
        <v>301719094322</v>
      </c>
      <c r="T318" s="3" t="str">
        <f t="shared" si="58"/>
        <v>人民币</v>
      </c>
    </row>
    <row r="319" spans="1:20" s="3" customFormat="1" x14ac:dyDescent="0.15">
      <c r="A319" s="3" t="str">
        <f>"2015-05-27"</f>
        <v>2015-05-27</v>
      </c>
      <c r="B319" s="3" t="str">
        <f>"深圳市场股息红利个人所得税扣款"</f>
        <v>深圳市场股息红利个人所得税扣款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-3</v>
      </c>
      <c r="N319" s="3">
        <v>613.41</v>
      </c>
      <c r="P319" s="3">
        <v>0</v>
      </c>
      <c r="Q319" s="3">
        <v>0</v>
      </c>
      <c r="S319" s="3" t="str">
        <f t="shared" si="54"/>
        <v>301719094322</v>
      </c>
      <c r="T319" s="3" t="str">
        <f t="shared" si="58"/>
        <v>人民币</v>
      </c>
    </row>
    <row r="320" spans="1:20" s="3" customFormat="1" x14ac:dyDescent="0.15">
      <c r="A320" s="3" t="str">
        <f>"2015-05-27"</f>
        <v>2015-05-27</v>
      </c>
      <c r="B320" s="3" t="str">
        <f>"基金赎回"</f>
        <v>基金赎回</v>
      </c>
      <c r="C320" s="3" t="str">
        <f>"A40006"</f>
        <v>A40006</v>
      </c>
      <c r="D320" s="3" t="str">
        <f>"现金宝"</f>
        <v>现金宝</v>
      </c>
      <c r="E320" s="3">
        <v>1</v>
      </c>
      <c r="F320" s="3">
        <v>32496.59</v>
      </c>
      <c r="G320" s="3">
        <v>32496.59</v>
      </c>
      <c r="H320" s="3">
        <v>203086</v>
      </c>
      <c r="I320" s="3">
        <v>0</v>
      </c>
      <c r="J320" s="3">
        <v>0</v>
      </c>
      <c r="K320" s="3">
        <v>0</v>
      </c>
      <c r="L320" s="3">
        <v>0</v>
      </c>
      <c r="M320" s="3">
        <v>32496.59</v>
      </c>
      <c r="N320" s="3">
        <v>33110</v>
      </c>
      <c r="P320" s="3">
        <v>0</v>
      </c>
      <c r="Q320" s="3">
        <v>0</v>
      </c>
      <c r="R320" s="3" t="str">
        <f>"99F625223328"</f>
        <v>99F625223328</v>
      </c>
      <c r="S320" s="3" t="str">
        <f t="shared" si="54"/>
        <v>301719094322</v>
      </c>
      <c r="T320" s="3" t="str">
        <f t="shared" si="58"/>
        <v>人民币</v>
      </c>
    </row>
    <row r="321" spans="1:20" s="3" customFormat="1" x14ac:dyDescent="0.15">
      <c r="A321" s="3" t="str">
        <f>"2015-05-27"</f>
        <v>2015-05-27</v>
      </c>
      <c r="B321" s="3" t="str">
        <f>"证券买入清算"</f>
        <v>证券买入清算</v>
      </c>
      <c r="C321" s="3" t="str">
        <f>"002237"</f>
        <v>002237</v>
      </c>
      <c r="D321" s="3" t="str">
        <f>"恒邦股份"</f>
        <v>恒邦股份</v>
      </c>
      <c r="E321" s="3">
        <v>16.489999999999998</v>
      </c>
      <c r="F321" s="3">
        <v>1000</v>
      </c>
      <c r="G321" s="3">
        <v>16490</v>
      </c>
      <c r="H321" s="3">
        <v>1000</v>
      </c>
      <c r="I321" s="3">
        <v>5</v>
      </c>
      <c r="J321" s="3">
        <v>0</v>
      </c>
      <c r="K321" s="3">
        <v>0</v>
      </c>
      <c r="L321" s="3">
        <v>0</v>
      </c>
      <c r="M321" s="3">
        <v>-16495</v>
      </c>
      <c r="N321" s="3">
        <v>16615</v>
      </c>
      <c r="O321" s="3" t="str">
        <f>"SW343281"</f>
        <v>SW343281</v>
      </c>
      <c r="P321" s="3">
        <v>16.489999999999998</v>
      </c>
      <c r="Q321" s="3">
        <v>1000</v>
      </c>
      <c r="R321" s="3" t="str">
        <f>"0103988319"</f>
        <v>0103988319</v>
      </c>
      <c r="S321" s="3" t="str">
        <f t="shared" si="54"/>
        <v>301719094322</v>
      </c>
      <c r="T321" s="3" t="str">
        <f t="shared" si="58"/>
        <v>人民币</v>
      </c>
    </row>
    <row r="322" spans="1:20" s="3" customFormat="1" x14ac:dyDescent="0.15">
      <c r="A322" s="3" t="str">
        <f>"2015-05-27"</f>
        <v>2015-05-27</v>
      </c>
      <c r="B322" s="3" t="str">
        <f>"证券买入清算"</f>
        <v>证券买入清算</v>
      </c>
      <c r="C322" s="3" t="str">
        <f>"002237"</f>
        <v>002237</v>
      </c>
      <c r="D322" s="3" t="str">
        <f>"恒邦股份"</f>
        <v>恒邦股份</v>
      </c>
      <c r="E322" s="3">
        <v>16.61</v>
      </c>
      <c r="F322" s="3">
        <v>1000</v>
      </c>
      <c r="G322" s="3">
        <v>16610</v>
      </c>
      <c r="H322" s="3">
        <v>2000</v>
      </c>
      <c r="I322" s="3">
        <v>5</v>
      </c>
      <c r="J322" s="3">
        <v>0</v>
      </c>
      <c r="K322" s="3">
        <v>0</v>
      </c>
      <c r="L322" s="3">
        <v>0</v>
      </c>
      <c r="M322" s="3">
        <v>-16615</v>
      </c>
      <c r="N322" s="3">
        <v>0</v>
      </c>
      <c r="O322" s="3" t="str">
        <f>"SW387633"</f>
        <v>SW387633</v>
      </c>
      <c r="P322" s="3">
        <v>16.61</v>
      </c>
      <c r="Q322" s="3">
        <v>1000</v>
      </c>
      <c r="R322" s="3" t="str">
        <f>"0103988319"</f>
        <v>0103988319</v>
      </c>
      <c r="S322" s="3" t="str">
        <f t="shared" si="54"/>
        <v>301719094322</v>
      </c>
      <c r="T322" s="3" t="str">
        <f t="shared" si="58"/>
        <v>人民币</v>
      </c>
    </row>
    <row r="323" spans="1:20" s="3" customFormat="1" x14ac:dyDescent="0.15">
      <c r="A323" s="3" t="str">
        <f>"2015-05-28"</f>
        <v>2015-05-28</v>
      </c>
      <c r="B323" s="3" t="str">
        <f>"基金赎回"</f>
        <v>基金赎回</v>
      </c>
      <c r="C323" s="3" t="str">
        <f>"A40006"</f>
        <v>A40006</v>
      </c>
      <c r="D323" s="3" t="str">
        <f>"现金宝"</f>
        <v>现金宝</v>
      </c>
      <c r="E323" s="3">
        <v>1</v>
      </c>
      <c r="F323" s="3">
        <v>32026.400000000001</v>
      </c>
      <c r="G323" s="3">
        <v>32026.400000000001</v>
      </c>
      <c r="H323" s="3">
        <v>171059</v>
      </c>
      <c r="I323" s="3">
        <v>0</v>
      </c>
      <c r="J323" s="3">
        <v>0</v>
      </c>
      <c r="K323" s="3">
        <v>0</v>
      </c>
      <c r="L323" s="3">
        <v>0</v>
      </c>
      <c r="M323" s="3">
        <v>32026.400000000001</v>
      </c>
      <c r="N323" s="3">
        <v>32026.400000000001</v>
      </c>
      <c r="P323" s="3">
        <v>0</v>
      </c>
      <c r="Q323" s="3">
        <v>0</v>
      </c>
      <c r="R323" s="3" t="str">
        <f>"99F625223328"</f>
        <v>99F625223328</v>
      </c>
      <c r="S323" s="3" t="str">
        <f t="shared" si="54"/>
        <v>301719094322</v>
      </c>
      <c r="T323" s="3" t="str">
        <f t="shared" si="58"/>
        <v>人民币</v>
      </c>
    </row>
    <row r="324" spans="1:20" s="3" customFormat="1" x14ac:dyDescent="0.15">
      <c r="A324" s="3" t="str">
        <f>"2015-05-28"</f>
        <v>2015-05-28</v>
      </c>
      <c r="B324" s="3" t="str">
        <f>"证券买入清算"</f>
        <v>证券买入清算</v>
      </c>
      <c r="C324" s="3" t="str">
        <f>"002237"</f>
        <v>002237</v>
      </c>
      <c r="D324" s="3" t="str">
        <f>"恒邦股份"</f>
        <v>恒邦股份</v>
      </c>
      <c r="E324" s="3">
        <v>16.010000000000002</v>
      </c>
      <c r="F324" s="3">
        <v>2000</v>
      </c>
      <c r="G324" s="3">
        <v>32020</v>
      </c>
      <c r="H324" s="3">
        <v>4000</v>
      </c>
      <c r="I324" s="3">
        <v>6.4</v>
      </c>
      <c r="J324" s="3">
        <v>0</v>
      </c>
      <c r="K324" s="3">
        <v>0</v>
      </c>
      <c r="L324" s="3">
        <v>0</v>
      </c>
      <c r="M324" s="3">
        <v>-32026.400000000001</v>
      </c>
      <c r="N324" s="3">
        <v>0</v>
      </c>
      <c r="O324" s="3" t="str">
        <f>"SW569115"</f>
        <v>SW569115</v>
      </c>
      <c r="P324" s="3">
        <v>16.010000000000002</v>
      </c>
      <c r="Q324" s="3">
        <v>2000</v>
      </c>
      <c r="R324" s="3" t="str">
        <f>"0103988319"</f>
        <v>0103988319</v>
      </c>
      <c r="S324" s="3" t="str">
        <f t="shared" si="54"/>
        <v>301719094322</v>
      </c>
      <c r="T324" s="3" t="str">
        <f t="shared" si="58"/>
        <v>人民币</v>
      </c>
    </row>
    <row r="325" spans="1:20" s="3" customFormat="1" x14ac:dyDescent="0.15">
      <c r="A325" s="3" t="str">
        <f t="shared" ref="A325:A331" si="62">"2015-05-29"</f>
        <v>2015-05-29</v>
      </c>
      <c r="B325" s="3" t="str">
        <f>"银证转入"</f>
        <v>银证转入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10961.11</v>
      </c>
      <c r="N325" s="3">
        <v>10961.11</v>
      </c>
      <c r="P325" s="3">
        <v>0</v>
      </c>
      <c r="Q325" s="3">
        <v>0</v>
      </c>
      <c r="S325" s="3" t="str">
        <f>"301719093190"</f>
        <v>301719093190</v>
      </c>
      <c r="T325" s="3" t="str">
        <f t="shared" si="58"/>
        <v>人民币</v>
      </c>
    </row>
    <row r="326" spans="1:20" s="3" customFormat="1" x14ac:dyDescent="0.15">
      <c r="A326" s="3" t="str">
        <f t="shared" si="62"/>
        <v>2015-05-29</v>
      </c>
      <c r="B326" s="3" t="str">
        <f>"跨行转出"</f>
        <v>跨行转出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-10961.11</v>
      </c>
      <c r="N326" s="3">
        <v>0</v>
      </c>
      <c r="P326" s="3">
        <v>0</v>
      </c>
      <c r="Q326" s="3">
        <v>0</v>
      </c>
      <c r="S326" s="3" t="str">
        <f>"301719093190"</f>
        <v>301719093190</v>
      </c>
      <c r="T326" s="3" t="str">
        <f t="shared" si="58"/>
        <v>人民币</v>
      </c>
    </row>
    <row r="327" spans="1:20" s="3" customFormat="1" x14ac:dyDescent="0.15">
      <c r="A327" s="3" t="str">
        <f t="shared" si="62"/>
        <v>2015-05-29</v>
      </c>
      <c r="B327" s="3" t="str">
        <f>"跨行转入"</f>
        <v>跨行转入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10961.11</v>
      </c>
      <c r="N327" s="3">
        <v>10961.11</v>
      </c>
      <c r="P327" s="3">
        <v>0</v>
      </c>
      <c r="Q327" s="3">
        <v>0</v>
      </c>
      <c r="S327" s="3" t="str">
        <f>"301719094322"</f>
        <v>301719094322</v>
      </c>
      <c r="T327" s="3" t="str">
        <f t="shared" si="58"/>
        <v>人民币</v>
      </c>
    </row>
    <row r="328" spans="1:20" s="3" customFormat="1" x14ac:dyDescent="0.15">
      <c r="A328" s="3" t="str">
        <f t="shared" si="62"/>
        <v>2015-05-29</v>
      </c>
      <c r="B328" s="3" t="str">
        <f>"基金赎回"</f>
        <v>基金赎回</v>
      </c>
      <c r="C328" s="3" t="str">
        <f>"A40006"</f>
        <v>A40006</v>
      </c>
      <c r="D328" s="3" t="str">
        <f>"现金宝"</f>
        <v>现金宝</v>
      </c>
      <c r="E328" s="3">
        <v>1</v>
      </c>
      <c r="F328" s="3">
        <v>31033.89</v>
      </c>
      <c r="G328" s="3">
        <v>31033.89</v>
      </c>
      <c r="H328" s="3">
        <v>140025</v>
      </c>
      <c r="I328" s="3">
        <v>0</v>
      </c>
      <c r="J328" s="3">
        <v>0</v>
      </c>
      <c r="K328" s="3">
        <v>0</v>
      </c>
      <c r="L328" s="3">
        <v>0</v>
      </c>
      <c r="M328" s="3">
        <v>31033.89</v>
      </c>
      <c r="N328" s="3">
        <v>41995</v>
      </c>
      <c r="P328" s="3">
        <v>0</v>
      </c>
      <c r="Q328" s="3">
        <v>0</v>
      </c>
      <c r="R328" s="3" t="str">
        <f>"99F625223328"</f>
        <v>99F625223328</v>
      </c>
      <c r="S328" s="3" t="str">
        <f>"301719094322"</f>
        <v>301719094322</v>
      </c>
      <c r="T328" s="3" t="str">
        <f t="shared" si="58"/>
        <v>人民币</v>
      </c>
    </row>
    <row r="329" spans="1:20" s="3" customFormat="1" x14ac:dyDescent="0.15">
      <c r="A329" s="3" t="str">
        <f t="shared" si="62"/>
        <v>2015-05-29</v>
      </c>
      <c r="B329" s="3" t="str">
        <f>"证券买入清算"</f>
        <v>证券买入清算</v>
      </c>
      <c r="C329" s="3" t="str">
        <f>"002457"</f>
        <v>002457</v>
      </c>
      <c r="D329" s="3" t="str">
        <f>"青龙管业"</f>
        <v>青龙管业</v>
      </c>
      <c r="E329" s="3">
        <v>15.16</v>
      </c>
      <c r="F329" s="3">
        <v>1000</v>
      </c>
      <c r="G329" s="3">
        <v>15160</v>
      </c>
      <c r="H329" s="3">
        <v>1000</v>
      </c>
      <c r="I329" s="3">
        <v>5</v>
      </c>
      <c r="J329" s="3">
        <v>0</v>
      </c>
      <c r="K329" s="3">
        <v>0</v>
      </c>
      <c r="L329" s="3">
        <v>0</v>
      </c>
      <c r="M329" s="3">
        <v>-15165</v>
      </c>
      <c r="N329" s="3">
        <v>26830</v>
      </c>
      <c r="O329" s="3" t="str">
        <f>"SW808339"</f>
        <v>SW808339</v>
      </c>
      <c r="P329" s="3">
        <v>15.16</v>
      </c>
      <c r="Q329" s="3">
        <v>1000</v>
      </c>
      <c r="R329" s="3" t="str">
        <f>"0103988319"</f>
        <v>0103988319</v>
      </c>
      <c r="S329" s="3" t="str">
        <f>"301719094322"</f>
        <v>301719094322</v>
      </c>
      <c r="T329" s="3" t="str">
        <f t="shared" si="58"/>
        <v>人民币</v>
      </c>
    </row>
    <row r="330" spans="1:20" s="3" customFormat="1" x14ac:dyDescent="0.15">
      <c r="A330" s="3" t="str">
        <f t="shared" si="62"/>
        <v>2015-05-29</v>
      </c>
      <c r="B330" s="3" t="str">
        <f>"证券买入清算"</f>
        <v>证券买入清算</v>
      </c>
      <c r="C330" s="3" t="str">
        <f>"184721"</f>
        <v>184721</v>
      </c>
      <c r="D330" s="3" t="str">
        <f>"基金丰和"</f>
        <v>基金丰和</v>
      </c>
      <c r="E330" s="3">
        <v>1.33</v>
      </c>
      <c r="F330" s="3">
        <v>10000</v>
      </c>
      <c r="G330" s="3">
        <v>13300</v>
      </c>
      <c r="H330" s="3">
        <v>30000</v>
      </c>
      <c r="I330" s="3">
        <v>5</v>
      </c>
      <c r="J330" s="3">
        <v>0</v>
      </c>
      <c r="K330" s="3">
        <v>0</v>
      </c>
      <c r="L330" s="3">
        <v>0</v>
      </c>
      <c r="M330" s="3">
        <v>-13305</v>
      </c>
      <c r="N330" s="3">
        <v>13525</v>
      </c>
      <c r="O330" s="3" t="str">
        <f>"SW902484"</f>
        <v>SW902484</v>
      </c>
      <c r="P330" s="3">
        <v>1.33</v>
      </c>
      <c r="Q330" s="3">
        <v>10000</v>
      </c>
      <c r="R330" s="3" t="str">
        <f>"0103988319"</f>
        <v>0103988319</v>
      </c>
      <c r="S330" s="3" t="str">
        <f>"301719094322"</f>
        <v>301719094322</v>
      </c>
      <c r="T330" s="3" t="str">
        <f t="shared" si="58"/>
        <v>人民币</v>
      </c>
    </row>
    <row r="331" spans="1:20" s="3" customFormat="1" x14ac:dyDescent="0.15">
      <c r="A331" s="3" t="str">
        <f t="shared" si="62"/>
        <v>2015-05-29</v>
      </c>
      <c r="B331" s="3" t="str">
        <f>"证券买入清算"</f>
        <v>证券买入清算</v>
      </c>
      <c r="C331" s="3" t="str">
        <f>"184721"</f>
        <v>184721</v>
      </c>
      <c r="D331" s="3" t="str">
        <f>"基金丰和"</f>
        <v>基金丰和</v>
      </c>
      <c r="E331" s="3">
        <v>1.3520000000000001</v>
      </c>
      <c r="F331" s="3">
        <v>10000</v>
      </c>
      <c r="G331" s="3">
        <v>13520</v>
      </c>
      <c r="H331" s="3">
        <v>40000</v>
      </c>
      <c r="I331" s="3">
        <v>5</v>
      </c>
      <c r="J331" s="3">
        <v>0</v>
      </c>
      <c r="K331" s="3">
        <v>0</v>
      </c>
      <c r="L331" s="3">
        <v>0</v>
      </c>
      <c r="M331" s="3">
        <v>-13525</v>
      </c>
      <c r="N331" s="3">
        <v>0</v>
      </c>
      <c r="O331" s="3" t="str">
        <f>"SW923263"</f>
        <v>SW923263</v>
      </c>
      <c r="P331" s="3">
        <v>1.3520000000000001</v>
      </c>
      <c r="Q331" s="3">
        <v>10000</v>
      </c>
      <c r="R331" s="3" t="str">
        <f>"0103988319"</f>
        <v>0103988319</v>
      </c>
      <c r="S331" s="3" t="str">
        <f>"301719094322"</f>
        <v>301719094322</v>
      </c>
      <c r="T331" s="3" t="str">
        <f t="shared" si="58"/>
        <v>人民币</v>
      </c>
    </row>
    <row r="332" spans="1:20" s="3" customFormat="1" x14ac:dyDescent="0.15">
      <c r="A332" s="3" t="str">
        <f t="shared" ref="A332:A342" si="63">"2015-06-02"</f>
        <v>2015-06-02</v>
      </c>
      <c r="B332" s="3" t="str">
        <f>"银证转入"</f>
        <v>银证转入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111098.4</v>
      </c>
      <c r="N332" s="3">
        <v>111098.4</v>
      </c>
      <c r="P332" s="3">
        <v>0</v>
      </c>
      <c r="Q332" s="3">
        <v>0</v>
      </c>
      <c r="S332" s="3" t="str">
        <f>"301719093195"</f>
        <v>301719093195</v>
      </c>
      <c r="T332" s="3" t="str">
        <f t="shared" si="58"/>
        <v>人民币</v>
      </c>
    </row>
    <row r="333" spans="1:20" s="3" customFormat="1" x14ac:dyDescent="0.15">
      <c r="A333" s="3" t="str">
        <f t="shared" si="63"/>
        <v>2015-06-02</v>
      </c>
      <c r="B333" s="3" t="str">
        <f>"跨行转出"</f>
        <v>跨行转出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-111098.4</v>
      </c>
      <c r="N333" s="3">
        <v>0</v>
      </c>
      <c r="P333" s="3">
        <v>0</v>
      </c>
      <c r="Q333" s="3">
        <v>0</v>
      </c>
      <c r="S333" s="3" t="str">
        <f>"301719093195"</f>
        <v>301719093195</v>
      </c>
      <c r="T333" s="3" t="str">
        <f t="shared" si="58"/>
        <v>人民币</v>
      </c>
    </row>
    <row r="334" spans="1:20" s="3" customFormat="1" x14ac:dyDescent="0.15">
      <c r="A334" s="3" t="str">
        <f t="shared" si="63"/>
        <v>2015-06-02</v>
      </c>
      <c r="B334" s="3" t="str">
        <f>"跨行转入"</f>
        <v>跨行转入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111098.4</v>
      </c>
      <c r="N334" s="3">
        <v>111098.4</v>
      </c>
      <c r="P334" s="3">
        <v>0</v>
      </c>
      <c r="Q334" s="3">
        <v>0</v>
      </c>
      <c r="S334" s="3" t="str">
        <f t="shared" ref="S334:S367" si="64">"301719094322"</f>
        <v>301719094322</v>
      </c>
      <c r="T334" s="3" t="str">
        <f t="shared" si="58"/>
        <v>人民币</v>
      </c>
    </row>
    <row r="335" spans="1:20" s="3" customFormat="1" x14ac:dyDescent="0.15">
      <c r="A335" s="3" t="str">
        <f t="shared" si="63"/>
        <v>2015-06-02</v>
      </c>
      <c r="B335" s="3" t="str">
        <f>"基金赎回"</f>
        <v>基金赎回</v>
      </c>
      <c r="C335" s="3" t="str">
        <f>"A40006"</f>
        <v>A40006</v>
      </c>
      <c r="D335" s="3" t="str">
        <f>"现金宝"</f>
        <v>现金宝</v>
      </c>
      <c r="E335" s="3">
        <v>1</v>
      </c>
      <c r="F335" s="3">
        <v>106401.60000000001</v>
      </c>
      <c r="G335" s="3">
        <v>106401.60000000001</v>
      </c>
      <c r="H335" s="3">
        <v>33624</v>
      </c>
      <c r="I335" s="3">
        <v>0</v>
      </c>
      <c r="J335" s="3">
        <v>0</v>
      </c>
      <c r="K335" s="3">
        <v>0</v>
      </c>
      <c r="L335" s="3">
        <v>0</v>
      </c>
      <c r="M335" s="3">
        <v>106401.60000000001</v>
      </c>
      <c r="N335" s="3">
        <v>217500</v>
      </c>
      <c r="P335" s="3">
        <v>0</v>
      </c>
      <c r="Q335" s="3">
        <v>0</v>
      </c>
      <c r="R335" s="3" t="str">
        <f>"99F625223328"</f>
        <v>99F625223328</v>
      </c>
      <c r="S335" s="3" t="str">
        <f t="shared" si="64"/>
        <v>301719094322</v>
      </c>
      <c r="T335" s="3" t="str">
        <f t="shared" si="58"/>
        <v>人民币</v>
      </c>
    </row>
    <row r="336" spans="1:20" s="3" customFormat="1" x14ac:dyDescent="0.15">
      <c r="A336" s="3" t="str">
        <f t="shared" si="63"/>
        <v>2015-06-02</v>
      </c>
      <c r="B336" s="3" t="str">
        <f t="shared" ref="B336:B342" si="65">"新股申购"</f>
        <v>新股申购</v>
      </c>
      <c r="C336" s="3" t="str">
        <f>"002761"</f>
        <v>002761</v>
      </c>
      <c r="D336" s="3" t="str">
        <f>"多喜爱"</f>
        <v>多喜爱</v>
      </c>
      <c r="E336" s="3">
        <v>7.28</v>
      </c>
      <c r="F336" s="3">
        <v>3000</v>
      </c>
      <c r="G336" s="3">
        <v>21840</v>
      </c>
      <c r="H336" s="3">
        <v>3000</v>
      </c>
      <c r="I336" s="3">
        <v>0</v>
      </c>
      <c r="J336" s="3">
        <v>0</v>
      </c>
      <c r="K336" s="3">
        <v>0</v>
      </c>
      <c r="L336" s="3">
        <v>0</v>
      </c>
      <c r="M336" s="3">
        <v>-21840</v>
      </c>
      <c r="N336" s="3">
        <v>195660</v>
      </c>
      <c r="O336" s="3" t="str">
        <f>"SW829439"</f>
        <v>SW829439</v>
      </c>
      <c r="P336" s="3">
        <v>7.28</v>
      </c>
      <c r="Q336" s="3">
        <v>3000</v>
      </c>
      <c r="R336" s="3" t="str">
        <f t="shared" ref="R336:R342" si="66">"0103988319"</f>
        <v>0103988319</v>
      </c>
      <c r="S336" s="3" t="str">
        <f t="shared" si="64"/>
        <v>301719094322</v>
      </c>
      <c r="T336" s="3" t="str">
        <f t="shared" si="58"/>
        <v>人民币</v>
      </c>
    </row>
    <row r="337" spans="1:20" s="3" customFormat="1" x14ac:dyDescent="0.15">
      <c r="A337" s="3" t="str">
        <f t="shared" si="63"/>
        <v>2015-06-02</v>
      </c>
      <c r="B337" s="3" t="str">
        <f t="shared" si="65"/>
        <v>新股申购</v>
      </c>
      <c r="C337" s="3" t="str">
        <f>"002765"</f>
        <v>002765</v>
      </c>
      <c r="D337" s="3" t="str">
        <f>"蓝黛传动"</f>
        <v>蓝黛传动</v>
      </c>
      <c r="E337" s="3">
        <v>7.67</v>
      </c>
      <c r="F337" s="3">
        <v>3000</v>
      </c>
      <c r="G337" s="3">
        <v>23010</v>
      </c>
      <c r="H337" s="3">
        <v>3000</v>
      </c>
      <c r="I337" s="3">
        <v>0</v>
      </c>
      <c r="J337" s="3">
        <v>0</v>
      </c>
      <c r="K337" s="3">
        <v>0</v>
      </c>
      <c r="L337" s="3">
        <v>0</v>
      </c>
      <c r="M337" s="3">
        <v>-23010</v>
      </c>
      <c r="N337" s="3">
        <v>172650</v>
      </c>
      <c r="O337" s="3" t="str">
        <f>"SW829654"</f>
        <v>SW829654</v>
      </c>
      <c r="P337" s="3">
        <v>7.67</v>
      </c>
      <c r="Q337" s="3">
        <v>3000</v>
      </c>
      <c r="R337" s="3" t="str">
        <f t="shared" si="66"/>
        <v>0103988319</v>
      </c>
      <c r="S337" s="3" t="str">
        <f t="shared" si="64"/>
        <v>301719094322</v>
      </c>
      <c r="T337" s="3" t="str">
        <f t="shared" si="58"/>
        <v>人民币</v>
      </c>
    </row>
    <row r="338" spans="1:20" s="3" customFormat="1" x14ac:dyDescent="0.15">
      <c r="A338" s="3" t="str">
        <f t="shared" si="63"/>
        <v>2015-06-02</v>
      </c>
      <c r="B338" s="3" t="str">
        <f t="shared" si="65"/>
        <v>新股申购</v>
      </c>
      <c r="C338" s="3" t="str">
        <f>"300475"</f>
        <v>300475</v>
      </c>
      <c r="D338" s="3" t="str">
        <f>"聚隆科技"</f>
        <v>聚隆科技</v>
      </c>
      <c r="E338" s="3">
        <v>8.8000000000000007</v>
      </c>
      <c r="F338" s="3">
        <v>3000</v>
      </c>
      <c r="G338" s="3">
        <v>26400</v>
      </c>
      <c r="H338" s="3">
        <v>3000</v>
      </c>
      <c r="I338" s="3">
        <v>0</v>
      </c>
      <c r="J338" s="3">
        <v>0</v>
      </c>
      <c r="K338" s="3">
        <v>0</v>
      </c>
      <c r="L338" s="3">
        <v>0</v>
      </c>
      <c r="M338" s="3">
        <v>-26400</v>
      </c>
      <c r="N338" s="3">
        <v>146250</v>
      </c>
      <c r="O338" s="3" t="str">
        <f>"SW829879"</f>
        <v>SW829879</v>
      </c>
      <c r="P338" s="3">
        <v>8.8000000000000007</v>
      </c>
      <c r="Q338" s="3">
        <v>3000</v>
      </c>
      <c r="R338" s="3" t="str">
        <f t="shared" si="66"/>
        <v>0103988319</v>
      </c>
      <c r="S338" s="3" t="str">
        <f t="shared" si="64"/>
        <v>301719094322</v>
      </c>
      <c r="T338" s="3" t="str">
        <f t="shared" si="58"/>
        <v>人民币</v>
      </c>
    </row>
    <row r="339" spans="1:20" s="3" customFormat="1" x14ac:dyDescent="0.15">
      <c r="A339" s="3" t="str">
        <f t="shared" si="63"/>
        <v>2015-06-02</v>
      </c>
      <c r="B339" s="3" t="str">
        <f t="shared" si="65"/>
        <v>新股申购</v>
      </c>
      <c r="C339" s="3" t="str">
        <f>"300464"</f>
        <v>300464</v>
      </c>
      <c r="D339" s="3" t="str">
        <f>"星徽精密"</f>
        <v>星徽精密</v>
      </c>
      <c r="E339" s="3">
        <v>10.199999999999999</v>
      </c>
      <c r="F339" s="3">
        <v>3000</v>
      </c>
      <c r="G339" s="3">
        <v>30600</v>
      </c>
      <c r="H339" s="3">
        <v>3000</v>
      </c>
      <c r="I339" s="3">
        <v>0</v>
      </c>
      <c r="J339" s="3">
        <v>0</v>
      </c>
      <c r="K339" s="3">
        <v>0</v>
      </c>
      <c r="L339" s="3">
        <v>0</v>
      </c>
      <c r="M339" s="3">
        <v>-30600</v>
      </c>
      <c r="N339" s="3">
        <v>115650</v>
      </c>
      <c r="O339" s="3" t="str">
        <f>"SW830128"</f>
        <v>SW830128</v>
      </c>
      <c r="P339" s="3">
        <v>10.199999999999999</v>
      </c>
      <c r="Q339" s="3">
        <v>3000</v>
      </c>
      <c r="R339" s="3" t="str">
        <f t="shared" si="66"/>
        <v>0103988319</v>
      </c>
      <c r="S339" s="3" t="str">
        <f t="shared" si="64"/>
        <v>301719094322</v>
      </c>
      <c r="T339" s="3" t="str">
        <f t="shared" si="58"/>
        <v>人民币</v>
      </c>
    </row>
    <row r="340" spans="1:20" s="3" customFormat="1" x14ac:dyDescent="0.15">
      <c r="A340" s="3" t="str">
        <f t="shared" si="63"/>
        <v>2015-06-02</v>
      </c>
      <c r="B340" s="3" t="str">
        <f t="shared" si="65"/>
        <v>新股申购</v>
      </c>
      <c r="C340" s="3" t="str">
        <f>"300477"</f>
        <v>300477</v>
      </c>
      <c r="D340" s="3" t="str">
        <f>"合纵科技"</f>
        <v>合纵科技</v>
      </c>
      <c r="E340" s="3">
        <v>10.61</v>
      </c>
      <c r="F340" s="3">
        <v>3000</v>
      </c>
      <c r="G340" s="3">
        <v>31830</v>
      </c>
      <c r="H340" s="3">
        <v>3000</v>
      </c>
      <c r="I340" s="3">
        <v>0</v>
      </c>
      <c r="J340" s="3">
        <v>0</v>
      </c>
      <c r="K340" s="3">
        <v>0</v>
      </c>
      <c r="L340" s="3">
        <v>0</v>
      </c>
      <c r="M340" s="3">
        <v>-31830</v>
      </c>
      <c r="N340" s="3">
        <v>83820</v>
      </c>
      <c r="O340" s="3" t="str">
        <f>"SW844194"</f>
        <v>SW844194</v>
      </c>
      <c r="P340" s="3">
        <v>10.61</v>
      </c>
      <c r="Q340" s="3">
        <v>3000</v>
      </c>
      <c r="R340" s="3" t="str">
        <f t="shared" si="66"/>
        <v>0103988319</v>
      </c>
      <c r="S340" s="3" t="str">
        <f t="shared" si="64"/>
        <v>301719094322</v>
      </c>
      <c r="T340" s="3" t="str">
        <f t="shared" si="58"/>
        <v>人民币</v>
      </c>
    </row>
    <row r="341" spans="1:20" s="3" customFormat="1" x14ac:dyDescent="0.15">
      <c r="A341" s="3" t="str">
        <f t="shared" si="63"/>
        <v>2015-06-02</v>
      </c>
      <c r="B341" s="3" t="str">
        <f t="shared" si="65"/>
        <v>新股申购</v>
      </c>
      <c r="C341" s="3" t="str">
        <f>"002763"</f>
        <v>002763</v>
      </c>
      <c r="D341" s="3" t="str">
        <f>"汇洁股份"</f>
        <v>汇洁股份</v>
      </c>
      <c r="E341" s="3">
        <v>13.1</v>
      </c>
      <c r="F341" s="3">
        <v>3000</v>
      </c>
      <c r="G341" s="3">
        <v>39300</v>
      </c>
      <c r="H341" s="3">
        <v>3000</v>
      </c>
      <c r="I341" s="3">
        <v>0</v>
      </c>
      <c r="J341" s="3">
        <v>0</v>
      </c>
      <c r="K341" s="3">
        <v>0</v>
      </c>
      <c r="L341" s="3">
        <v>0</v>
      </c>
      <c r="M341" s="3">
        <v>-39300</v>
      </c>
      <c r="N341" s="3">
        <v>44520</v>
      </c>
      <c r="O341" s="3" t="str">
        <f>"SW844377"</f>
        <v>SW844377</v>
      </c>
      <c r="P341" s="3">
        <v>13.1</v>
      </c>
      <c r="Q341" s="3">
        <v>3000</v>
      </c>
      <c r="R341" s="3" t="str">
        <f t="shared" si="66"/>
        <v>0103988319</v>
      </c>
      <c r="S341" s="3" t="str">
        <f t="shared" si="64"/>
        <v>301719094322</v>
      </c>
      <c r="T341" s="3" t="str">
        <f t="shared" si="58"/>
        <v>人民币</v>
      </c>
    </row>
    <row r="342" spans="1:20" s="3" customFormat="1" x14ac:dyDescent="0.15">
      <c r="A342" s="3" t="str">
        <f t="shared" si="63"/>
        <v>2015-06-02</v>
      </c>
      <c r="B342" s="3" t="str">
        <f t="shared" si="65"/>
        <v>新股申购</v>
      </c>
      <c r="C342" s="3" t="str">
        <f>"300478"</f>
        <v>300478</v>
      </c>
      <c r="D342" s="3" t="str">
        <f>"杭州高新"</f>
        <v>杭州高新</v>
      </c>
      <c r="E342" s="3">
        <v>14.84</v>
      </c>
      <c r="F342" s="3">
        <v>3000</v>
      </c>
      <c r="G342" s="3">
        <v>44520</v>
      </c>
      <c r="H342" s="3">
        <v>3000</v>
      </c>
      <c r="I342" s="3">
        <v>0</v>
      </c>
      <c r="J342" s="3">
        <v>0</v>
      </c>
      <c r="K342" s="3">
        <v>0</v>
      </c>
      <c r="L342" s="3">
        <v>0</v>
      </c>
      <c r="M342" s="3">
        <v>-44520</v>
      </c>
      <c r="N342" s="3">
        <v>0</v>
      </c>
      <c r="O342" s="3" t="str">
        <f>"SW844564"</f>
        <v>SW844564</v>
      </c>
      <c r="P342" s="3">
        <v>14.84</v>
      </c>
      <c r="Q342" s="3">
        <v>3000</v>
      </c>
      <c r="R342" s="3" t="str">
        <f t="shared" si="66"/>
        <v>0103988319</v>
      </c>
      <c r="S342" s="3" t="str">
        <f t="shared" si="64"/>
        <v>301719094322</v>
      </c>
      <c r="T342" s="3" t="str">
        <f t="shared" si="58"/>
        <v>人民币</v>
      </c>
    </row>
    <row r="343" spans="1:20" s="3" customFormat="1" x14ac:dyDescent="0.15">
      <c r="A343" s="3" t="str">
        <f t="shared" ref="A343:A349" si="67">"2015-06-03"</f>
        <v>2015-06-03</v>
      </c>
      <c r="B343" s="3" t="str">
        <f>"银证转入"</f>
        <v>银证转入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137851.37</v>
      </c>
      <c r="N343" s="3">
        <v>137851.37</v>
      </c>
      <c r="P343" s="3">
        <v>0</v>
      </c>
      <c r="Q343" s="3">
        <v>0</v>
      </c>
      <c r="S343" s="3" t="str">
        <f t="shared" si="64"/>
        <v>301719094322</v>
      </c>
      <c r="T343" s="3" t="str">
        <f t="shared" si="58"/>
        <v>人民币</v>
      </c>
    </row>
    <row r="344" spans="1:20" s="3" customFormat="1" x14ac:dyDescent="0.15">
      <c r="A344" s="3" t="str">
        <f t="shared" si="67"/>
        <v>2015-06-03</v>
      </c>
      <c r="B344" s="3" t="str">
        <f>"基金赎回"</f>
        <v>基金赎回</v>
      </c>
      <c r="C344" s="3" t="str">
        <f>"A40006"</f>
        <v>A40006</v>
      </c>
      <c r="D344" s="3" t="str">
        <f>"现金宝"</f>
        <v>现金宝</v>
      </c>
      <c r="E344" s="3">
        <v>1</v>
      </c>
      <c r="F344" s="3">
        <v>31513.63</v>
      </c>
      <c r="G344" s="3">
        <v>31513.63</v>
      </c>
      <c r="H344" s="3">
        <v>2110</v>
      </c>
      <c r="I344" s="3">
        <v>0</v>
      </c>
      <c r="J344" s="3">
        <v>0</v>
      </c>
      <c r="K344" s="3">
        <v>0</v>
      </c>
      <c r="L344" s="3">
        <v>0</v>
      </c>
      <c r="M344" s="3">
        <v>31513.63</v>
      </c>
      <c r="N344" s="3">
        <v>169365</v>
      </c>
      <c r="P344" s="3">
        <v>0</v>
      </c>
      <c r="Q344" s="3">
        <v>0</v>
      </c>
      <c r="R344" s="3" t="str">
        <f>"99F625223328"</f>
        <v>99F625223328</v>
      </c>
      <c r="S344" s="3" t="str">
        <f t="shared" si="64"/>
        <v>301719094322</v>
      </c>
      <c r="T344" s="3" t="str">
        <f t="shared" si="58"/>
        <v>人民币</v>
      </c>
    </row>
    <row r="345" spans="1:20" s="3" customFormat="1" x14ac:dyDescent="0.15">
      <c r="A345" s="3" t="str">
        <f t="shared" si="67"/>
        <v>2015-06-03</v>
      </c>
      <c r="B345" s="3" t="str">
        <f>"新股申购"</f>
        <v>新股申购</v>
      </c>
      <c r="C345" s="3" t="str">
        <f>"002760"</f>
        <v>002760</v>
      </c>
      <c r="D345" s="3" t="str">
        <f>"凤形股份"</f>
        <v>凤形股份</v>
      </c>
      <c r="E345" s="3">
        <v>8.31</v>
      </c>
      <c r="F345" s="3">
        <v>3500</v>
      </c>
      <c r="G345" s="3">
        <v>29085</v>
      </c>
      <c r="H345" s="3">
        <v>3500</v>
      </c>
      <c r="I345" s="3">
        <v>0</v>
      </c>
      <c r="J345" s="3">
        <v>0</v>
      </c>
      <c r="K345" s="3">
        <v>0</v>
      </c>
      <c r="L345" s="3">
        <v>0</v>
      </c>
      <c r="M345" s="3">
        <v>-29085</v>
      </c>
      <c r="N345" s="3">
        <v>140280</v>
      </c>
      <c r="O345" s="3" t="str">
        <f>"SW137309"</f>
        <v>SW137309</v>
      </c>
      <c r="P345" s="3">
        <v>8.31</v>
      </c>
      <c r="Q345" s="3">
        <v>3500</v>
      </c>
      <c r="R345" s="3" t="str">
        <f t="shared" ref="R345:R361" si="68">"0103988319"</f>
        <v>0103988319</v>
      </c>
      <c r="S345" s="3" t="str">
        <f t="shared" si="64"/>
        <v>301719094322</v>
      </c>
      <c r="T345" s="3" t="str">
        <f t="shared" si="58"/>
        <v>人民币</v>
      </c>
    </row>
    <row r="346" spans="1:20" s="3" customFormat="1" x14ac:dyDescent="0.15">
      <c r="A346" s="3" t="str">
        <f t="shared" si="67"/>
        <v>2015-06-03</v>
      </c>
      <c r="B346" s="3" t="str">
        <f>"新股申购"</f>
        <v>新股申购</v>
      </c>
      <c r="C346" s="3" t="str">
        <f>"002766"</f>
        <v>002766</v>
      </c>
      <c r="D346" s="3" t="str">
        <f>"索菱股份"</f>
        <v>索菱股份</v>
      </c>
      <c r="E346" s="3">
        <v>7.53</v>
      </c>
      <c r="F346" s="3">
        <v>3500</v>
      </c>
      <c r="G346" s="3">
        <v>26355</v>
      </c>
      <c r="H346" s="3">
        <v>3500</v>
      </c>
      <c r="I346" s="3">
        <v>0</v>
      </c>
      <c r="J346" s="3">
        <v>0</v>
      </c>
      <c r="K346" s="3">
        <v>0</v>
      </c>
      <c r="L346" s="3">
        <v>0</v>
      </c>
      <c r="M346" s="3">
        <v>-26355</v>
      </c>
      <c r="N346" s="3">
        <v>113925</v>
      </c>
      <c r="O346" s="3" t="str">
        <f>"SW137641"</f>
        <v>SW137641</v>
      </c>
      <c r="P346" s="3">
        <v>7.53</v>
      </c>
      <c r="Q346" s="3">
        <v>3500</v>
      </c>
      <c r="R346" s="3" t="str">
        <f t="shared" si="68"/>
        <v>0103988319</v>
      </c>
      <c r="S346" s="3" t="str">
        <f t="shared" si="64"/>
        <v>301719094322</v>
      </c>
      <c r="T346" s="3" t="str">
        <f t="shared" si="58"/>
        <v>人民币</v>
      </c>
    </row>
    <row r="347" spans="1:20" s="3" customFormat="1" x14ac:dyDescent="0.15">
      <c r="A347" s="3" t="str">
        <f t="shared" si="67"/>
        <v>2015-06-03</v>
      </c>
      <c r="B347" s="3" t="str">
        <f>"新股申购"</f>
        <v>新股申购</v>
      </c>
      <c r="C347" s="3" t="str">
        <f>"300469"</f>
        <v>300469</v>
      </c>
      <c r="D347" s="3" t="str">
        <f>"信息发展"</f>
        <v>信息发展</v>
      </c>
      <c r="E347" s="3">
        <v>10.14</v>
      </c>
      <c r="F347" s="3">
        <v>3500</v>
      </c>
      <c r="G347" s="3">
        <v>35490</v>
      </c>
      <c r="H347" s="3">
        <v>3500</v>
      </c>
      <c r="I347" s="3">
        <v>0</v>
      </c>
      <c r="J347" s="3">
        <v>0</v>
      </c>
      <c r="K347" s="3">
        <v>0</v>
      </c>
      <c r="L347" s="3">
        <v>0</v>
      </c>
      <c r="M347" s="3">
        <v>-35490</v>
      </c>
      <c r="N347" s="3">
        <v>78435</v>
      </c>
      <c r="O347" s="3" t="str">
        <f>"SW139141"</f>
        <v>SW139141</v>
      </c>
      <c r="P347" s="3">
        <v>10.14</v>
      </c>
      <c r="Q347" s="3">
        <v>3500</v>
      </c>
      <c r="R347" s="3" t="str">
        <f t="shared" si="68"/>
        <v>0103988319</v>
      </c>
      <c r="S347" s="3" t="str">
        <f t="shared" si="64"/>
        <v>301719094322</v>
      </c>
      <c r="T347" s="3" t="str">
        <f t="shared" si="58"/>
        <v>人民币</v>
      </c>
    </row>
    <row r="348" spans="1:20" s="3" customFormat="1" x14ac:dyDescent="0.15">
      <c r="A348" s="3" t="str">
        <f t="shared" si="67"/>
        <v>2015-06-03</v>
      </c>
      <c r="B348" s="3" t="str">
        <f>"新股申购"</f>
        <v>新股申购</v>
      </c>
      <c r="C348" s="3" t="str">
        <f>"300472"</f>
        <v>300472</v>
      </c>
      <c r="D348" s="3" t="str">
        <f>"新元科技"</f>
        <v>新元科技</v>
      </c>
      <c r="E348" s="3">
        <v>11.39</v>
      </c>
      <c r="F348" s="3">
        <v>3500</v>
      </c>
      <c r="G348" s="3">
        <v>39865</v>
      </c>
      <c r="H348" s="3">
        <v>3500</v>
      </c>
      <c r="I348" s="3">
        <v>0</v>
      </c>
      <c r="J348" s="3">
        <v>0</v>
      </c>
      <c r="K348" s="3">
        <v>0</v>
      </c>
      <c r="L348" s="3">
        <v>0</v>
      </c>
      <c r="M348" s="3">
        <v>-39865</v>
      </c>
      <c r="N348" s="3">
        <v>38570</v>
      </c>
      <c r="O348" s="3" t="str">
        <f>"SW139700"</f>
        <v>SW139700</v>
      </c>
      <c r="P348" s="3">
        <v>11.39</v>
      </c>
      <c r="Q348" s="3">
        <v>3500</v>
      </c>
      <c r="R348" s="3" t="str">
        <f t="shared" si="68"/>
        <v>0103988319</v>
      </c>
      <c r="S348" s="3" t="str">
        <f t="shared" si="64"/>
        <v>301719094322</v>
      </c>
      <c r="T348" s="3" t="str">
        <f t="shared" si="58"/>
        <v>人民币</v>
      </c>
    </row>
    <row r="349" spans="1:20" s="3" customFormat="1" x14ac:dyDescent="0.15">
      <c r="A349" s="3" t="str">
        <f t="shared" si="67"/>
        <v>2015-06-03</v>
      </c>
      <c r="B349" s="3" t="str">
        <f>"新股申购"</f>
        <v>新股申购</v>
      </c>
      <c r="C349" s="3" t="str">
        <f>"300479"</f>
        <v>300479</v>
      </c>
      <c r="D349" s="3" t="str">
        <f>"神思电子"</f>
        <v>神思电子</v>
      </c>
      <c r="E349" s="3">
        <v>11.02</v>
      </c>
      <c r="F349" s="3">
        <v>3500</v>
      </c>
      <c r="G349" s="3">
        <v>38570</v>
      </c>
      <c r="H349" s="3">
        <v>3500</v>
      </c>
      <c r="I349" s="3">
        <v>0</v>
      </c>
      <c r="J349" s="3">
        <v>0</v>
      </c>
      <c r="K349" s="3">
        <v>0</v>
      </c>
      <c r="L349" s="3">
        <v>0</v>
      </c>
      <c r="M349" s="3">
        <v>-38570</v>
      </c>
      <c r="N349" s="3">
        <v>0</v>
      </c>
      <c r="O349" s="3" t="str">
        <f>"SW140343"</f>
        <v>SW140343</v>
      </c>
      <c r="P349" s="3">
        <v>11.02</v>
      </c>
      <c r="Q349" s="3">
        <v>3500</v>
      </c>
      <c r="R349" s="3" t="str">
        <f t="shared" si="68"/>
        <v>0103988319</v>
      </c>
      <c r="S349" s="3" t="str">
        <f t="shared" si="64"/>
        <v>301719094322</v>
      </c>
      <c r="T349" s="3" t="str">
        <f t="shared" si="58"/>
        <v>人民币</v>
      </c>
    </row>
    <row r="350" spans="1:20" s="3" customFormat="1" x14ac:dyDescent="0.15">
      <c r="A350" s="3" t="str">
        <f t="shared" ref="A350:A356" si="69">"2015-06-04"</f>
        <v>2015-06-04</v>
      </c>
      <c r="B350" s="3" t="str">
        <f t="shared" ref="B350:B361" si="70">"申购还款"</f>
        <v>申购还款</v>
      </c>
      <c r="C350" s="3" t="str">
        <f>"002761"</f>
        <v>002761</v>
      </c>
      <c r="D350" s="3" t="str">
        <f>"多喜爱"</f>
        <v>多喜爱</v>
      </c>
      <c r="E350" s="3">
        <v>7.28</v>
      </c>
      <c r="F350" s="3">
        <v>3000</v>
      </c>
      <c r="G350" s="3">
        <v>21840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21840</v>
      </c>
      <c r="N350" s="3">
        <v>21840</v>
      </c>
      <c r="O350" s="3" t="str">
        <f>"SW829439"</f>
        <v>SW829439</v>
      </c>
      <c r="P350" s="3">
        <v>7.28</v>
      </c>
      <c r="Q350" s="3">
        <v>3000</v>
      </c>
      <c r="R350" s="3" t="str">
        <f t="shared" si="68"/>
        <v>0103988319</v>
      </c>
      <c r="S350" s="3" t="str">
        <f t="shared" si="64"/>
        <v>301719094322</v>
      </c>
      <c r="T350" s="3" t="str">
        <f t="shared" si="58"/>
        <v>人民币</v>
      </c>
    </row>
    <row r="351" spans="1:20" s="3" customFormat="1" x14ac:dyDescent="0.15">
      <c r="A351" s="3" t="str">
        <f t="shared" si="69"/>
        <v>2015-06-04</v>
      </c>
      <c r="B351" s="3" t="str">
        <f t="shared" si="70"/>
        <v>申购还款</v>
      </c>
      <c r="C351" s="3" t="str">
        <f>"002765"</f>
        <v>002765</v>
      </c>
      <c r="D351" s="3" t="str">
        <f>"蓝黛传动"</f>
        <v>蓝黛传动</v>
      </c>
      <c r="E351" s="3">
        <v>7.67</v>
      </c>
      <c r="F351" s="3">
        <v>3000</v>
      </c>
      <c r="G351" s="3">
        <v>23010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23010</v>
      </c>
      <c r="N351" s="3">
        <v>44850</v>
      </c>
      <c r="O351" s="3" t="str">
        <f>"SW829654"</f>
        <v>SW829654</v>
      </c>
      <c r="P351" s="3">
        <v>7.67</v>
      </c>
      <c r="Q351" s="3">
        <v>3000</v>
      </c>
      <c r="R351" s="3" t="str">
        <f t="shared" si="68"/>
        <v>0103988319</v>
      </c>
      <c r="S351" s="3" t="str">
        <f t="shared" si="64"/>
        <v>301719094322</v>
      </c>
      <c r="T351" s="3" t="str">
        <f t="shared" si="58"/>
        <v>人民币</v>
      </c>
    </row>
    <row r="352" spans="1:20" s="3" customFormat="1" x14ac:dyDescent="0.15">
      <c r="A352" s="3" t="str">
        <f t="shared" si="69"/>
        <v>2015-06-04</v>
      </c>
      <c r="B352" s="3" t="str">
        <f t="shared" si="70"/>
        <v>申购还款</v>
      </c>
      <c r="C352" s="3" t="str">
        <f>"300475"</f>
        <v>300475</v>
      </c>
      <c r="D352" s="3" t="str">
        <f>"聚隆科技"</f>
        <v>聚隆科技</v>
      </c>
      <c r="E352" s="3">
        <v>8.8000000000000007</v>
      </c>
      <c r="F352" s="3">
        <v>3000</v>
      </c>
      <c r="G352" s="3">
        <v>26400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26400</v>
      </c>
      <c r="N352" s="3">
        <v>71250</v>
      </c>
      <c r="O352" s="3" t="str">
        <f>"SW829879"</f>
        <v>SW829879</v>
      </c>
      <c r="P352" s="3">
        <v>8.8000000000000007</v>
      </c>
      <c r="Q352" s="3">
        <v>3000</v>
      </c>
      <c r="R352" s="3" t="str">
        <f t="shared" si="68"/>
        <v>0103988319</v>
      </c>
      <c r="S352" s="3" t="str">
        <f t="shared" si="64"/>
        <v>301719094322</v>
      </c>
      <c r="T352" s="3" t="str">
        <f t="shared" si="58"/>
        <v>人民币</v>
      </c>
    </row>
    <row r="353" spans="1:20" s="3" customFormat="1" x14ac:dyDescent="0.15">
      <c r="A353" s="3" t="str">
        <f t="shared" si="69"/>
        <v>2015-06-04</v>
      </c>
      <c r="B353" s="3" t="str">
        <f t="shared" si="70"/>
        <v>申购还款</v>
      </c>
      <c r="C353" s="3" t="str">
        <f>"300464"</f>
        <v>300464</v>
      </c>
      <c r="D353" s="3" t="str">
        <f>"星徽精密"</f>
        <v>星徽精密</v>
      </c>
      <c r="E353" s="3">
        <v>10.199999999999999</v>
      </c>
      <c r="F353" s="3">
        <v>3000</v>
      </c>
      <c r="G353" s="3">
        <v>30600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30600</v>
      </c>
      <c r="N353" s="3">
        <v>101850</v>
      </c>
      <c r="O353" s="3" t="str">
        <f>"SW830128"</f>
        <v>SW830128</v>
      </c>
      <c r="P353" s="3">
        <v>10.199999999999999</v>
      </c>
      <c r="Q353" s="3">
        <v>3000</v>
      </c>
      <c r="R353" s="3" t="str">
        <f t="shared" si="68"/>
        <v>0103988319</v>
      </c>
      <c r="S353" s="3" t="str">
        <f t="shared" si="64"/>
        <v>301719094322</v>
      </c>
      <c r="T353" s="3" t="str">
        <f t="shared" si="58"/>
        <v>人民币</v>
      </c>
    </row>
    <row r="354" spans="1:20" s="3" customFormat="1" x14ac:dyDescent="0.15">
      <c r="A354" s="3" t="str">
        <f t="shared" si="69"/>
        <v>2015-06-04</v>
      </c>
      <c r="B354" s="3" t="str">
        <f t="shared" si="70"/>
        <v>申购还款</v>
      </c>
      <c r="C354" s="3" t="str">
        <f>"300477"</f>
        <v>300477</v>
      </c>
      <c r="D354" s="3" t="str">
        <f>"合纵科技"</f>
        <v>合纵科技</v>
      </c>
      <c r="E354" s="3">
        <v>10.61</v>
      </c>
      <c r="F354" s="3">
        <v>3000</v>
      </c>
      <c r="G354" s="3">
        <v>31830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31830</v>
      </c>
      <c r="N354" s="3">
        <v>133680</v>
      </c>
      <c r="O354" s="3" t="str">
        <f>"SW844194"</f>
        <v>SW844194</v>
      </c>
      <c r="P354" s="3">
        <v>10.61</v>
      </c>
      <c r="Q354" s="3">
        <v>3000</v>
      </c>
      <c r="R354" s="3" t="str">
        <f t="shared" si="68"/>
        <v>0103988319</v>
      </c>
      <c r="S354" s="3" t="str">
        <f t="shared" si="64"/>
        <v>301719094322</v>
      </c>
      <c r="T354" s="3" t="str">
        <f t="shared" si="58"/>
        <v>人民币</v>
      </c>
    </row>
    <row r="355" spans="1:20" s="3" customFormat="1" x14ac:dyDescent="0.15">
      <c r="A355" s="3" t="str">
        <f t="shared" si="69"/>
        <v>2015-06-04</v>
      </c>
      <c r="B355" s="3" t="str">
        <f t="shared" si="70"/>
        <v>申购还款</v>
      </c>
      <c r="C355" s="3" t="str">
        <f>"002763"</f>
        <v>002763</v>
      </c>
      <c r="D355" s="3" t="str">
        <f>"汇洁股份"</f>
        <v>汇洁股份</v>
      </c>
      <c r="E355" s="3">
        <v>13.1</v>
      </c>
      <c r="F355" s="3">
        <v>3000</v>
      </c>
      <c r="G355" s="3">
        <v>39300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39300</v>
      </c>
      <c r="N355" s="3">
        <v>172980</v>
      </c>
      <c r="O355" s="3" t="str">
        <f>"SW844377"</f>
        <v>SW844377</v>
      </c>
      <c r="P355" s="3">
        <v>13.1</v>
      </c>
      <c r="Q355" s="3">
        <v>3000</v>
      </c>
      <c r="R355" s="3" t="str">
        <f t="shared" si="68"/>
        <v>0103988319</v>
      </c>
      <c r="S355" s="3" t="str">
        <f t="shared" si="64"/>
        <v>301719094322</v>
      </c>
      <c r="T355" s="3" t="str">
        <f t="shared" si="58"/>
        <v>人民币</v>
      </c>
    </row>
    <row r="356" spans="1:20" s="3" customFormat="1" x14ac:dyDescent="0.15">
      <c r="A356" s="3" t="str">
        <f t="shared" si="69"/>
        <v>2015-06-04</v>
      </c>
      <c r="B356" s="3" t="str">
        <f t="shared" si="70"/>
        <v>申购还款</v>
      </c>
      <c r="C356" s="3" t="str">
        <f>"300478"</f>
        <v>300478</v>
      </c>
      <c r="D356" s="3" t="str">
        <f>"杭州高新"</f>
        <v>杭州高新</v>
      </c>
      <c r="E356" s="3">
        <v>14.84</v>
      </c>
      <c r="F356" s="3">
        <v>3000</v>
      </c>
      <c r="G356" s="3">
        <v>44520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44520</v>
      </c>
      <c r="N356" s="3">
        <v>217500</v>
      </c>
      <c r="O356" s="3" t="str">
        <f>"SW844564"</f>
        <v>SW844564</v>
      </c>
      <c r="P356" s="3">
        <v>14.84</v>
      </c>
      <c r="Q356" s="3">
        <v>3000</v>
      </c>
      <c r="R356" s="3" t="str">
        <f t="shared" si="68"/>
        <v>0103988319</v>
      </c>
      <c r="S356" s="3" t="str">
        <f t="shared" si="64"/>
        <v>301719094322</v>
      </c>
      <c r="T356" s="3" t="str">
        <f t="shared" si="58"/>
        <v>人民币</v>
      </c>
    </row>
    <row r="357" spans="1:20" s="3" customFormat="1" x14ac:dyDescent="0.15">
      <c r="A357" s="3" t="str">
        <f t="shared" ref="A357:A362" si="71">"2015-06-05"</f>
        <v>2015-06-05</v>
      </c>
      <c r="B357" s="3" t="str">
        <f t="shared" si="70"/>
        <v>申购还款</v>
      </c>
      <c r="C357" s="3" t="str">
        <f>"002760"</f>
        <v>002760</v>
      </c>
      <c r="D357" s="3" t="str">
        <f>"凤形股份"</f>
        <v>凤形股份</v>
      </c>
      <c r="E357" s="3">
        <v>8.31</v>
      </c>
      <c r="F357" s="3">
        <v>3500</v>
      </c>
      <c r="G357" s="3">
        <v>29085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29085</v>
      </c>
      <c r="N357" s="3">
        <v>246585</v>
      </c>
      <c r="O357" s="3" t="str">
        <f>"SW137309"</f>
        <v>SW137309</v>
      </c>
      <c r="P357" s="3">
        <v>8.31</v>
      </c>
      <c r="Q357" s="3">
        <v>3500</v>
      </c>
      <c r="R357" s="3" t="str">
        <f t="shared" si="68"/>
        <v>0103988319</v>
      </c>
      <c r="S357" s="3" t="str">
        <f t="shared" si="64"/>
        <v>301719094322</v>
      </c>
      <c r="T357" s="3" t="str">
        <f t="shared" si="58"/>
        <v>人民币</v>
      </c>
    </row>
    <row r="358" spans="1:20" s="3" customFormat="1" x14ac:dyDescent="0.15">
      <c r="A358" s="3" t="str">
        <f t="shared" si="71"/>
        <v>2015-06-05</v>
      </c>
      <c r="B358" s="3" t="str">
        <f t="shared" si="70"/>
        <v>申购还款</v>
      </c>
      <c r="C358" s="3" t="str">
        <f>"002766"</f>
        <v>002766</v>
      </c>
      <c r="D358" s="3" t="str">
        <f>"索菱股份"</f>
        <v>索菱股份</v>
      </c>
      <c r="E358" s="3">
        <v>7.53</v>
      </c>
      <c r="F358" s="3">
        <v>3500</v>
      </c>
      <c r="G358" s="3">
        <v>26355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26355</v>
      </c>
      <c r="N358" s="3">
        <v>272940</v>
      </c>
      <c r="O358" s="3" t="str">
        <f>"SW137641"</f>
        <v>SW137641</v>
      </c>
      <c r="P358" s="3">
        <v>7.53</v>
      </c>
      <c r="Q358" s="3">
        <v>3500</v>
      </c>
      <c r="R358" s="3" t="str">
        <f t="shared" si="68"/>
        <v>0103988319</v>
      </c>
      <c r="S358" s="3" t="str">
        <f t="shared" si="64"/>
        <v>301719094322</v>
      </c>
      <c r="T358" s="3" t="str">
        <f t="shared" si="58"/>
        <v>人民币</v>
      </c>
    </row>
    <row r="359" spans="1:20" s="3" customFormat="1" x14ac:dyDescent="0.15">
      <c r="A359" s="3" t="str">
        <f t="shared" si="71"/>
        <v>2015-06-05</v>
      </c>
      <c r="B359" s="3" t="str">
        <f t="shared" si="70"/>
        <v>申购还款</v>
      </c>
      <c r="C359" s="3" t="str">
        <f>"300469"</f>
        <v>300469</v>
      </c>
      <c r="D359" s="3" t="str">
        <f>"信息发展"</f>
        <v>信息发展</v>
      </c>
      <c r="E359" s="3">
        <v>10.14</v>
      </c>
      <c r="F359" s="3">
        <v>3500</v>
      </c>
      <c r="G359" s="3">
        <v>35490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35490</v>
      </c>
      <c r="N359" s="3">
        <v>308430</v>
      </c>
      <c r="O359" s="3" t="str">
        <f>"SW139141"</f>
        <v>SW139141</v>
      </c>
      <c r="P359" s="3">
        <v>10.14</v>
      </c>
      <c r="Q359" s="3">
        <v>3500</v>
      </c>
      <c r="R359" s="3" t="str">
        <f t="shared" si="68"/>
        <v>0103988319</v>
      </c>
      <c r="S359" s="3" t="str">
        <f t="shared" si="64"/>
        <v>301719094322</v>
      </c>
      <c r="T359" s="3" t="str">
        <f t="shared" ref="T359:T422" si="72">"人民币"</f>
        <v>人民币</v>
      </c>
    </row>
    <row r="360" spans="1:20" s="3" customFormat="1" x14ac:dyDescent="0.15">
      <c r="A360" s="3" t="str">
        <f t="shared" si="71"/>
        <v>2015-06-05</v>
      </c>
      <c r="B360" s="3" t="str">
        <f t="shared" si="70"/>
        <v>申购还款</v>
      </c>
      <c r="C360" s="3" t="str">
        <f>"300472"</f>
        <v>300472</v>
      </c>
      <c r="D360" s="3" t="str">
        <f>"新元科技"</f>
        <v>新元科技</v>
      </c>
      <c r="E360" s="3">
        <v>11.39</v>
      </c>
      <c r="F360" s="3">
        <v>3500</v>
      </c>
      <c r="G360" s="3">
        <v>39865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39865</v>
      </c>
      <c r="N360" s="3">
        <v>348295</v>
      </c>
      <c r="O360" s="3" t="str">
        <f>"SW139700"</f>
        <v>SW139700</v>
      </c>
      <c r="P360" s="3">
        <v>11.39</v>
      </c>
      <c r="Q360" s="3">
        <v>3500</v>
      </c>
      <c r="R360" s="3" t="str">
        <f t="shared" si="68"/>
        <v>0103988319</v>
      </c>
      <c r="S360" s="3" t="str">
        <f t="shared" si="64"/>
        <v>301719094322</v>
      </c>
      <c r="T360" s="3" t="str">
        <f t="shared" si="72"/>
        <v>人民币</v>
      </c>
    </row>
    <row r="361" spans="1:20" s="3" customFormat="1" x14ac:dyDescent="0.15">
      <c r="A361" s="3" t="str">
        <f t="shared" si="71"/>
        <v>2015-06-05</v>
      </c>
      <c r="B361" s="3" t="str">
        <f t="shared" si="70"/>
        <v>申购还款</v>
      </c>
      <c r="C361" s="3" t="str">
        <f>"300479"</f>
        <v>300479</v>
      </c>
      <c r="D361" s="3" t="str">
        <f>"神思电子"</f>
        <v>神思电子</v>
      </c>
      <c r="E361" s="3">
        <v>11.02</v>
      </c>
      <c r="F361" s="3">
        <v>3500</v>
      </c>
      <c r="G361" s="3">
        <v>38570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38570</v>
      </c>
      <c r="N361" s="3">
        <v>386865</v>
      </c>
      <c r="O361" s="3" t="str">
        <f>"SW140343"</f>
        <v>SW140343</v>
      </c>
      <c r="P361" s="3">
        <v>11.02</v>
      </c>
      <c r="Q361" s="3">
        <v>3500</v>
      </c>
      <c r="R361" s="3" t="str">
        <f t="shared" si="68"/>
        <v>0103988319</v>
      </c>
      <c r="S361" s="3" t="str">
        <f t="shared" si="64"/>
        <v>301719094322</v>
      </c>
      <c r="T361" s="3" t="str">
        <f t="shared" si="72"/>
        <v>人民币</v>
      </c>
    </row>
    <row r="362" spans="1:20" s="3" customFormat="1" x14ac:dyDescent="0.15">
      <c r="A362" s="3" t="str">
        <f t="shared" si="71"/>
        <v>2015-06-05</v>
      </c>
      <c r="B362" s="3" t="str">
        <f>"基金申购"</f>
        <v>基金申购</v>
      </c>
      <c r="C362" s="3" t="str">
        <f>"A40006"</f>
        <v>A40006</v>
      </c>
      <c r="D362" s="3" t="str">
        <f>"现金宝"</f>
        <v>现金宝</v>
      </c>
      <c r="E362" s="3">
        <v>1</v>
      </c>
      <c r="F362" s="3">
        <v>217500</v>
      </c>
      <c r="G362" s="3">
        <v>217500</v>
      </c>
      <c r="H362" s="3">
        <v>219610</v>
      </c>
      <c r="I362" s="3">
        <v>0</v>
      </c>
      <c r="J362" s="3">
        <v>0</v>
      </c>
      <c r="K362" s="3">
        <v>0</v>
      </c>
      <c r="L362" s="3">
        <v>0</v>
      </c>
      <c r="M362" s="3">
        <v>-217500</v>
      </c>
      <c r="N362" s="3">
        <v>169365</v>
      </c>
      <c r="P362" s="3">
        <v>0</v>
      </c>
      <c r="Q362" s="3">
        <v>0</v>
      </c>
      <c r="R362" s="3" t="str">
        <f>"99F625223328"</f>
        <v>99F625223328</v>
      </c>
      <c r="S362" s="3" t="str">
        <f t="shared" si="64"/>
        <v>301719094322</v>
      </c>
      <c r="T362" s="3" t="str">
        <f t="shared" si="72"/>
        <v>人民币</v>
      </c>
    </row>
    <row r="363" spans="1:20" s="3" customFormat="1" x14ac:dyDescent="0.15">
      <c r="A363" s="3" t="str">
        <f>"2015-06-08"</f>
        <v>2015-06-08</v>
      </c>
      <c r="B363" s="3" t="str">
        <f>"银证转出"</f>
        <v>银证转出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-150000</v>
      </c>
      <c r="N363" s="3">
        <v>19365</v>
      </c>
      <c r="P363" s="3">
        <v>0</v>
      </c>
      <c r="Q363" s="3">
        <v>0</v>
      </c>
      <c r="S363" s="3" t="str">
        <f t="shared" si="64"/>
        <v>301719094322</v>
      </c>
      <c r="T363" s="3" t="str">
        <f t="shared" si="72"/>
        <v>人民币</v>
      </c>
    </row>
    <row r="364" spans="1:20" s="3" customFormat="1" x14ac:dyDescent="0.15">
      <c r="A364" s="3" t="str">
        <f>"2015-06-08"</f>
        <v>2015-06-08</v>
      </c>
      <c r="B364" s="3" t="str">
        <f>"证券卖出清算"</f>
        <v>证券卖出清算</v>
      </c>
      <c r="C364" s="3" t="str">
        <f>"002457"</f>
        <v>002457</v>
      </c>
      <c r="D364" s="3" t="str">
        <f>"青龙管业"</f>
        <v>青龙管业</v>
      </c>
      <c r="E364" s="3">
        <v>17.43</v>
      </c>
      <c r="F364" s="3">
        <v>1000</v>
      </c>
      <c r="G364" s="3">
        <v>17430</v>
      </c>
      <c r="H364" s="3">
        <v>0</v>
      </c>
      <c r="I364" s="3">
        <v>5</v>
      </c>
      <c r="J364" s="3">
        <v>17.43</v>
      </c>
      <c r="K364" s="3">
        <v>0</v>
      </c>
      <c r="L364" s="3">
        <v>0</v>
      </c>
      <c r="M364" s="3">
        <v>17407.57</v>
      </c>
      <c r="N364" s="3">
        <v>36772.57</v>
      </c>
      <c r="O364" s="3" t="str">
        <f>"SW145842"</f>
        <v>SW145842</v>
      </c>
      <c r="P364" s="3">
        <v>17.399999999999999</v>
      </c>
      <c r="Q364" s="3">
        <v>1000</v>
      </c>
      <c r="R364" s="3" t="str">
        <f>"0103988319"</f>
        <v>0103988319</v>
      </c>
      <c r="S364" s="3" t="str">
        <f t="shared" si="64"/>
        <v>301719094322</v>
      </c>
      <c r="T364" s="3" t="str">
        <f t="shared" si="72"/>
        <v>人民币</v>
      </c>
    </row>
    <row r="365" spans="1:20" s="3" customFormat="1" x14ac:dyDescent="0.15">
      <c r="A365" s="3" t="str">
        <f>"2015-06-08"</f>
        <v>2015-06-08</v>
      </c>
      <c r="B365" s="3" t="str">
        <f>"证券卖出清算"</f>
        <v>证券卖出清算</v>
      </c>
      <c r="C365" s="3" t="str">
        <f>"184721"</f>
        <v>184721</v>
      </c>
      <c r="D365" s="3" t="str">
        <f>"基金丰和"</f>
        <v>基金丰和</v>
      </c>
      <c r="E365" s="3">
        <v>1.4239999999999999</v>
      </c>
      <c r="F365" s="3">
        <v>20000</v>
      </c>
      <c r="G365" s="3">
        <v>28480</v>
      </c>
      <c r="H365" s="3">
        <v>20000</v>
      </c>
      <c r="I365" s="3">
        <v>5.7</v>
      </c>
      <c r="J365" s="3">
        <v>0</v>
      </c>
      <c r="K365" s="3">
        <v>0</v>
      </c>
      <c r="L365" s="3">
        <v>0</v>
      </c>
      <c r="M365" s="3">
        <v>28474.3</v>
      </c>
      <c r="N365" s="3">
        <v>65246.87</v>
      </c>
      <c r="O365" s="3" t="str">
        <f>"SW148156"</f>
        <v>SW148156</v>
      </c>
      <c r="P365" s="3">
        <v>1.42</v>
      </c>
      <c r="Q365" s="3">
        <v>20000</v>
      </c>
      <c r="R365" s="3" t="str">
        <f>"0103988319"</f>
        <v>0103988319</v>
      </c>
      <c r="S365" s="3" t="str">
        <f t="shared" si="64"/>
        <v>301719094322</v>
      </c>
      <c r="T365" s="3" t="str">
        <f t="shared" si="72"/>
        <v>人民币</v>
      </c>
    </row>
    <row r="366" spans="1:20" s="3" customFormat="1" x14ac:dyDescent="0.15">
      <c r="A366" s="3" t="str">
        <f>"2015-06-08"</f>
        <v>2015-06-08</v>
      </c>
      <c r="B366" s="3" t="str">
        <f>"证券卖出清算"</f>
        <v>证券卖出清算</v>
      </c>
      <c r="C366" s="3" t="str">
        <f>"184721"</f>
        <v>184721</v>
      </c>
      <c r="D366" s="3" t="str">
        <f>"基金丰和"</f>
        <v>基金丰和</v>
      </c>
      <c r="E366" s="3">
        <v>1.4239999999999999</v>
      </c>
      <c r="F366" s="3">
        <v>20000</v>
      </c>
      <c r="G366" s="3">
        <v>28480</v>
      </c>
      <c r="H366" s="3">
        <v>0</v>
      </c>
      <c r="I366" s="3">
        <v>5.7</v>
      </c>
      <c r="J366" s="3">
        <v>0</v>
      </c>
      <c r="K366" s="3">
        <v>0</v>
      </c>
      <c r="L366" s="3">
        <v>0</v>
      </c>
      <c r="M366" s="3">
        <v>28474.3</v>
      </c>
      <c r="N366" s="3">
        <v>93721.17</v>
      </c>
      <c r="O366" s="3" t="str">
        <f>"SW148306"</f>
        <v>SW148306</v>
      </c>
      <c r="P366" s="3">
        <v>1.421</v>
      </c>
      <c r="Q366" s="3">
        <v>20000</v>
      </c>
      <c r="R366" s="3" t="str">
        <f>"0103988319"</f>
        <v>0103988319</v>
      </c>
      <c r="S366" s="3" t="str">
        <f t="shared" si="64"/>
        <v>301719094322</v>
      </c>
      <c r="T366" s="3" t="str">
        <f t="shared" si="72"/>
        <v>人民币</v>
      </c>
    </row>
    <row r="367" spans="1:20" s="3" customFormat="1" x14ac:dyDescent="0.15">
      <c r="A367" s="3" t="str">
        <f>"2015-06-08"</f>
        <v>2015-06-08</v>
      </c>
      <c r="B367" s="3" t="str">
        <f>"基金申购"</f>
        <v>基金申购</v>
      </c>
      <c r="C367" s="3" t="str">
        <f>"A40006"</f>
        <v>A40006</v>
      </c>
      <c r="D367" s="3" t="str">
        <f>"现金宝"</f>
        <v>现金宝</v>
      </c>
      <c r="E367" s="3">
        <v>1</v>
      </c>
      <c r="F367" s="3">
        <v>93721.17</v>
      </c>
      <c r="G367" s="3">
        <v>93721.17</v>
      </c>
      <c r="H367" s="3">
        <v>313331</v>
      </c>
      <c r="I367" s="3">
        <v>0</v>
      </c>
      <c r="J367" s="3">
        <v>0</v>
      </c>
      <c r="K367" s="3">
        <v>0</v>
      </c>
      <c r="L367" s="3">
        <v>0</v>
      </c>
      <c r="M367" s="3">
        <v>-93721.17</v>
      </c>
      <c r="N367" s="3">
        <v>0</v>
      </c>
      <c r="P367" s="3">
        <v>0</v>
      </c>
      <c r="Q367" s="3">
        <v>0</v>
      </c>
      <c r="R367" s="3" t="str">
        <f>"99F625223328"</f>
        <v>99F625223328</v>
      </c>
      <c r="S367" s="3" t="str">
        <f t="shared" si="64"/>
        <v>301719094322</v>
      </c>
      <c r="T367" s="3" t="str">
        <f t="shared" si="72"/>
        <v>人民币</v>
      </c>
    </row>
    <row r="368" spans="1:20" s="3" customFormat="1" x14ac:dyDescent="0.15">
      <c r="A368" s="3" t="str">
        <f>"2015-06-17"</f>
        <v>2015-06-17</v>
      </c>
      <c r="B368" s="3" t="str">
        <f>"银证转入"</f>
        <v>银证转入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3752</v>
      </c>
      <c r="N368" s="3">
        <v>3752</v>
      </c>
      <c r="P368" s="3">
        <v>0</v>
      </c>
      <c r="Q368" s="3">
        <v>0</v>
      </c>
      <c r="S368" s="3" t="str">
        <f>"301719094323"</f>
        <v>301719094323</v>
      </c>
      <c r="T368" s="3" t="str">
        <f t="shared" si="72"/>
        <v>人民币</v>
      </c>
    </row>
    <row r="369" spans="1:20" s="3" customFormat="1" x14ac:dyDescent="0.15">
      <c r="A369" s="3" t="str">
        <f>"2015-06-17"</f>
        <v>2015-06-17</v>
      </c>
      <c r="B369" s="3" t="str">
        <f>"跨行转出"</f>
        <v>跨行转出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-3752</v>
      </c>
      <c r="N369" s="3">
        <v>0</v>
      </c>
      <c r="P369" s="3">
        <v>0</v>
      </c>
      <c r="Q369" s="3">
        <v>0</v>
      </c>
      <c r="S369" s="3" t="str">
        <f>"301719094323"</f>
        <v>301719094323</v>
      </c>
      <c r="T369" s="3" t="str">
        <f t="shared" si="72"/>
        <v>人民币</v>
      </c>
    </row>
    <row r="370" spans="1:20" s="3" customFormat="1" x14ac:dyDescent="0.15">
      <c r="A370" s="3" t="str">
        <f>"2015-06-17"</f>
        <v>2015-06-17</v>
      </c>
      <c r="B370" s="3" t="str">
        <f>"跨行转入"</f>
        <v>跨行转入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3752</v>
      </c>
      <c r="N370" s="3">
        <v>3752</v>
      </c>
      <c r="P370" s="3">
        <v>0</v>
      </c>
      <c r="Q370" s="3">
        <v>0</v>
      </c>
      <c r="S370" s="3" t="str">
        <f>"301719094322"</f>
        <v>301719094322</v>
      </c>
      <c r="T370" s="3" t="str">
        <f t="shared" si="72"/>
        <v>人民币</v>
      </c>
    </row>
    <row r="371" spans="1:20" s="3" customFormat="1" x14ac:dyDescent="0.15">
      <c r="A371" s="3" t="str">
        <f>"2015-06-17"</f>
        <v>2015-06-17</v>
      </c>
      <c r="B371" s="3" t="str">
        <f>"基金赎回"</f>
        <v>基金赎回</v>
      </c>
      <c r="C371" s="3" t="str">
        <f>"A40006"</f>
        <v>A40006</v>
      </c>
      <c r="D371" s="3" t="str">
        <f>"现金宝"</f>
        <v>现金宝</v>
      </c>
      <c r="E371" s="3">
        <v>1</v>
      </c>
      <c r="F371" s="3">
        <v>22813.31</v>
      </c>
      <c r="G371" s="3">
        <v>22813.31</v>
      </c>
      <c r="H371" s="3">
        <v>290518</v>
      </c>
      <c r="I371" s="3">
        <v>0</v>
      </c>
      <c r="J371" s="3">
        <v>0</v>
      </c>
      <c r="K371" s="3">
        <v>0</v>
      </c>
      <c r="L371" s="3">
        <v>0</v>
      </c>
      <c r="M371" s="3">
        <v>22813.31</v>
      </c>
      <c r="N371" s="3">
        <v>26565.31</v>
      </c>
      <c r="P371" s="3">
        <v>0</v>
      </c>
      <c r="Q371" s="3">
        <v>0</v>
      </c>
      <c r="R371" s="3" t="str">
        <f>"99F625223328"</f>
        <v>99F625223328</v>
      </c>
      <c r="S371" s="3" t="str">
        <f>"301719094322"</f>
        <v>301719094322</v>
      </c>
      <c r="T371" s="3" t="str">
        <f t="shared" si="72"/>
        <v>人民币</v>
      </c>
    </row>
    <row r="372" spans="1:20" s="3" customFormat="1" x14ac:dyDescent="0.15">
      <c r="A372" s="3" t="str">
        <f>"2015-06-17"</f>
        <v>2015-06-17</v>
      </c>
      <c r="B372" s="3" t="str">
        <f>"证券买入清算"</f>
        <v>证券买入清算</v>
      </c>
      <c r="C372" s="3" t="str">
        <f>"184721"</f>
        <v>184721</v>
      </c>
      <c r="D372" s="3" t="str">
        <f>"基金丰和"</f>
        <v>基金丰和</v>
      </c>
      <c r="E372" s="3">
        <v>1.3280000000000001</v>
      </c>
      <c r="F372" s="3">
        <v>20000</v>
      </c>
      <c r="G372" s="3">
        <v>26560</v>
      </c>
      <c r="H372" s="3">
        <v>20000</v>
      </c>
      <c r="I372" s="3">
        <v>5.31</v>
      </c>
      <c r="J372" s="3">
        <v>0</v>
      </c>
      <c r="K372" s="3">
        <v>0</v>
      </c>
      <c r="L372" s="3">
        <v>0</v>
      </c>
      <c r="M372" s="3">
        <v>-26565.31</v>
      </c>
      <c r="N372" s="3">
        <v>0</v>
      </c>
      <c r="O372" s="3" t="str">
        <f>"SW582308"</f>
        <v>SW582308</v>
      </c>
      <c r="P372" s="3">
        <v>1.3280000000000001</v>
      </c>
      <c r="Q372" s="3">
        <v>20000</v>
      </c>
      <c r="R372" s="3" t="str">
        <f>"0103988319"</f>
        <v>0103988319</v>
      </c>
      <c r="S372" s="3" t="str">
        <f>"301719094322"</f>
        <v>301719094322</v>
      </c>
      <c r="T372" s="3" t="str">
        <f t="shared" si="72"/>
        <v>人民币</v>
      </c>
    </row>
    <row r="373" spans="1:20" s="3" customFormat="1" x14ac:dyDescent="0.15">
      <c r="A373" s="3" t="str">
        <f t="shared" ref="A373:A382" si="73">"2015-06-19"</f>
        <v>2015-06-19</v>
      </c>
      <c r="B373" s="3" t="str">
        <f>"银证转入"</f>
        <v>银证转入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100000</v>
      </c>
      <c r="N373" s="3">
        <v>100000</v>
      </c>
      <c r="P373" s="3">
        <v>0</v>
      </c>
      <c r="Q373" s="3">
        <v>0</v>
      </c>
      <c r="S373" s="3" t="str">
        <f>"301719093195"</f>
        <v>301719093195</v>
      </c>
      <c r="T373" s="3" t="str">
        <f t="shared" si="72"/>
        <v>人民币</v>
      </c>
    </row>
    <row r="374" spans="1:20" s="3" customFormat="1" x14ac:dyDescent="0.15">
      <c r="A374" s="3" t="str">
        <f t="shared" si="73"/>
        <v>2015-06-19</v>
      </c>
      <c r="B374" s="3" t="str">
        <f>"跨行转出"</f>
        <v>跨行转出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-100000</v>
      </c>
      <c r="N374" s="3">
        <v>0</v>
      </c>
      <c r="P374" s="3">
        <v>0</v>
      </c>
      <c r="Q374" s="3">
        <v>0</v>
      </c>
      <c r="S374" s="3" t="str">
        <f>"301719093195"</f>
        <v>301719093195</v>
      </c>
      <c r="T374" s="3" t="str">
        <f t="shared" si="72"/>
        <v>人民币</v>
      </c>
    </row>
    <row r="375" spans="1:20" s="3" customFormat="1" x14ac:dyDescent="0.15">
      <c r="A375" s="3" t="str">
        <f t="shared" si="73"/>
        <v>2015-06-19</v>
      </c>
      <c r="B375" s="3" t="str">
        <f>"跨行转入"</f>
        <v>跨行转入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100000</v>
      </c>
      <c r="N375" s="3">
        <v>100000</v>
      </c>
      <c r="P375" s="3">
        <v>0</v>
      </c>
      <c r="Q375" s="3">
        <v>0</v>
      </c>
      <c r="S375" s="3" t="str">
        <f t="shared" ref="S375:S428" si="74">"301719094322"</f>
        <v>301719094322</v>
      </c>
      <c r="T375" s="3" t="str">
        <f t="shared" si="72"/>
        <v>人民币</v>
      </c>
    </row>
    <row r="376" spans="1:20" s="3" customFormat="1" x14ac:dyDescent="0.15">
      <c r="A376" s="3" t="str">
        <f t="shared" si="73"/>
        <v>2015-06-19</v>
      </c>
      <c r="B376" s="3" t="str">
        <f>"基金赎回"</f>
        <v>基金赎回</v>
      </c>
      <c r="C376" s="3" t="str">
        <f>"A40006"</f>
        <v>A40006</v>
      </c>
      <c r="D376" s="3" t="str">
        <f>"现金宝"</f>
        <v>现金宝</v>
      </c>
      <c r="E376" s="3">
        <v>1</v>
      </c>
      <c r="F376" s="3">
        <v>287755</v>
      </c>
      <c r="G376" s="3">
        <v>287755</v>
      </c>
      <c r="H376" s="3">
        <v>2763</v>
      </c>
      <c r="I376" s="3">
        <v>0</v>
      </c>
      <c r="J376" s="3">
        <v>0</v>
      </c>
      <c r="K376" s="3">
        <v>0</v>
      </c>
      <c r="L376" s="3">
        <v>0</v>
      </c>
      <c r="M376" s="3">
        <v>287755</v>
      </c>
      <c r="N376" s="3">
        <v>387755</v>
      </c>
      <c r="P376" s="3">
        <v>0</v>
      </c>
      <c r="Q376" s="3">
        <v>0</v>
      </c>
      <c r="R376" s="3" t="str">
        <f>"99F625223328"</f>
        <v>99F625223328</v>
      </c>
      <c r="S376" s="3" t="str">
        <f t="shared" si="74"/>
        <v>301719094322</v>
      </c>
      <c r="T376" s="3" t="str">
        <f t="shared" si="72"/>
        <v>人民币</v>
      </c>
    </row>
    <row r="377" spans="1:20" s="3" customFormat="1" x14ac:dyDescent="0.15">
      <c r="A377" s="3" t="str">
        <f t="shared" si="73"/>
        <v>2015-06-19</v>
      </c>
      <c r="B377" s="3" t="str">
        <f t="shared" ref="B377:B382" si="75">"新股申购"</f>
        <v>新股申购</v>
      </c>
      <c r="C377" s="3" t="str">
        <f>"300489"</f>
        <v>300489</v>
      </c>
      <c r="D377" s="3" t="str">
        <f>"中飞股份"</f>
        <v>中飞股份</v>
      </c>
      <c r="E377" s="3">
        <v>17.559999999999999</v>
      </c>
      <c r="F377" s="3">
        <v>4500</v>
      </c>
      <c r="G377" s="3">
        <v>79020</v>
      </c>
      <c r="H377" s="3">
        <v>4500</v>
      </c>
      <c r="I377" s="3">
        <v>0</v>
      </c>
      <c r="J377" s="3">
        <v>0</v>
      </c>
      <c r="K377" s="3">
        <v>0</v>
      </c>
      <c r="L377" s="3">
        <v>0</v>
      </c>
      <c r="M377" s="3">
        <v>-79020</v>
      </c>
      <c r="N377" s="3">
        <v>308735</v>
      </c>
      <c r="O377" s="3" t="str">
        <f>"SW340103"</f>
        <v>SW340103</v>
      </c>
      <c r="P377" s="3">
        <v>17.559999999999999</v>
      </c>
      <c r="Q377" s="3">
        <v>4500</v>
      </c>
      <c r="R377" s="3" t="str">
        <f t="shared" ref="R377:R382" si="76">"0103988319"</f>
        <v>0103988319</v>
      </c>
      <c r="S377" s="3" t="str">
        <f t="shared" si="74"/>
        <v>301719094322</v>
      </c>
      <c r="T377" s="3" t="str">
        <f t="shared" si="72"/>
        <v>人民币</v>
      </c>
    </row>
    <row r="378" spans="1:20" s="3" customFormat="1" x14ac:dyDescent="0.15">
      <c r="A378" s="3" t="str">
        <f t="shared" si="73"/>
        <v>2015-06-19</v>
      </c>
      <c r="B378" s="3" t="str">
        <f t="shared" si="75"/>
        <v>新股申购</v>
      </c>
      <c r="C378" s="3" t="str">
        <f>"300487"</f>
        <v>300487</v>
      </c>
      <c r="D378" s="3" t="str">
        <f>"蓝晓科技"</f>
        <v>蓝晓科技</v>
      </c>
      <c r="E378" s="3">
        <v>14.83</v>
      </c>
      <c r="F378" s="3">
        <v>6500</v>
      </c>
      <c r="G378" s="3">
        <v>96395</v>
      </c>
      <c r="H378" s="3">
        <v>6500</v>
      </c>
      <c r="I378" s="3">
        <v>0</v>
      </c>
      <c r="J378" s="3">
        <v>0</v>
      </c>
      <c r="K378" s="3">
        <v>0</v>
      </c>
      <c r="L378" s="3">
        <v>0</v>
      </c>
      <c r="M378" s="3">
        <v>-96395</v>
      </c>
      <c r="N378" s="3">
        <v>212340</v>
      </c>
      <c r="O378" s="3" t="str">
        <f>"SW340139"</f>
        <v>SW340139</v>
      </c>
      <c r="P378" s="3">
        <v>14.83</v>
      </c>
      <c r="Q378" s="3">
        <v>6500</v>
      </c>
      <c r="R378" s="3" t="str">
        <f t="shared" si="76"/>
        <v>0103988319</v>
      </c>
      <c r="S378" s="3" t="str">
        <f t="shared" si="74"/>
        <v>301719094322</v>
      </c>
      <c r="T378" s="3" t="str">
        <f t="shared" si="72"/>
        <v>人民币</v>
      </c>
    </row>
    <row r="379" spans="1:20" s="3" customFormat="1" x14ac:dyDescent="0.15">
      <c r="A379" s="3" t="str">
        <f t="shared" si="73"/>
        <v>2015-06-19</v>
      </c>
      <c r="B379" s="3" t="str">
        <f t="shared" si="75"/>
        <v>新股申购</v>
      </c>
      <c r="C379" s="3" t="str">
        <f>"300482"</f>
        <v>300482</v>
      </c>
      <c r="D379" s="3" t="str">
        <f>"万孚生物"</f>
        <v>万孚生物</v>
      </c>
      <c r="E379" s="3">
        <v>16</v>
      </c>
      <c r="F379" s="3">
        <v>6500</v>
      </c>
      <c r="G379" s="3">
        <v>104000</v>
      </c>
      <c r="H379" s="3">
        <v>6500</v>
      </c>
      <c r="I379" s="3">
        <v>0</v>
      </c>
      <c r="J379" s="3">
        <v>0</v>
      </c>
      <c r="K379" s="3">
        <v>0</v>
      </c>
      <c r="L379" s="3">
        <v>0</v>
      </c>
      <c r="M379" s="3">
        <v>-104000</v>
      </c>
      <c r="N379" s="3">
        <v>108340</v>
      </c>
      <c r="O379" s="3" t="str">
        <f>"SW340148"</f>
        <v>SW340148</v>
      </c>
      <c r="P379" s="3">
        <v>16</v>
      </c>
      <c r="Q379" s="3">
        <v>6500</v>
      </c>
      <c r="R379" s="3" t="str">
        <f t="shared" si="76"/>
        <v>0103988319</v>
      </c>
      <c r="S379" s="3" t="str">
        <f t="shared" si="74"/>
        <v>301719094322</v>
      </c>
      <c r="T379" s="3" t="str">
        <f t="shared" si="72"/>
        <v>人民币</v>
      </c>
    </row>
    <row r="380" spans="1:20" s="3" customFormat="1" x14ac:dyDescent="0.15">
      <c r="A380" s="3" t="str">
        <f t="shared" si="73"/>
        <v>2015-06-19</v>
      </c>
      <c r="B380" s="3" t="str">
        <f t="shared" si="75"/>
        <v>新股申购</v>
      </c>
      <c r="C380" s="3" t="str">
        <f>"300481"</f>
        <v>300481</v>
      </c>
      <c r="D380" s="3" t="str">
        <f>"濮阳惠成"</f>
        <v>濮阳惠成</v>
      </c>
      <c r="E380" s="3">
        <v>9.1300000000000008</v>
      </c>
      <c r="F380" s="3">
        <v>6500</v>
      </c>
      <c r="G380" s="3">
        <v>59345</v>
      </c>
      <c r="H380" s="3">
        <v>6500</v>
      </c>
      <c r="I380" s="3">
        <v>0</v>
      </c>
      <c r="J380" s="3">
        <v>0</v>
      </c>
      <c r="K380" s="3">
        <v>0</v>
      </c>
      <c r="L380" s="3">
        <v>0</v>
      </c>
      <c r="M380" s="3">
        <v>-59345</v>
      </c>
      <c r="N380" s="3">
        <v>48995</v>
      </c>
      <c r="O380" s="3" t="str">
        <f>"SW343853"</f>
        <v>SW343853</v>
      </c>
      <c r="P380" s="3">
        <v>9.1300000000000008</v>
      </c>
      <c r="Q380" s="3">
        <v>6500</v>
      </c>
      <c r="R380" s="3" t="str">
        <f t="shared" si="76"/>
        <v>0103988319</v>
      </c>
      <c r="S380" s="3" t="str">
        <f t="shared" si="74"/>
        <v>301719094322</v>
      </c>
      <c r="T380" s="3" t="str">
        <f t="shared" si="72"/>
        <v>人民币</v>
      </c>
    </row>
    <row r="381" spans="1:20" s="3" customFormat="1" x14ac:dyDescent="0.15">
      <c r="A381" s="3" t="str">
        <f t="shared" si="73"/>
        <v>2015-06-19</v>
      </c>
      <c r="B381" s="3" t="str">
        <f t="shared" si="75"/>
        <v>新股申购</v>
      </c>
      <c r="C381" s="3" t="str">
        <f>"002770"</f>
        <v>002770</v>
      </c>
      <c r="D381" s="3" t="str">
        <f>"科迪乳业"</f>
        <v>科迪乳业</v>
      </c>
      <c r="E381" s="3">
        <v>6.85</v>
      </c>
      <c r="F381" s="3">
        <v>6500</v>
      </c>
      <c r="G381" s="3">
        <v>44525</v>
      </c>
      <c r="H381" s="3">
        <v>6500</v>
      </c>
      <c r="I381" s="3">
        <v>0</v>
      </c>
      <c r="J381" s="3">
        <v>0</v>
      </c>
      <c r="K381" s="3">
        <v>0</v>
      </c>
      <c r="L381" s="3">
        <v>0</v>
      </c>
      <c r="M381" s="3">
        <v>-44525</v>
      </c>
      <c r="N381" s="3">
        <v>4470</v>
      </c>
      <c r="O381" s="3" t="str">
        <f>"SW344152"</f>
        <v>SW344152</v>
      </c>
      <c r="P381" s="3">
        <v>6.85</v>
      </c>
      <c r="Q381" s="3">
        <v>6500</v>
      </c>
      <c r="R381" s="3" t="str">
        <f t="shared" si="76"/>
        <v>0103988319</v>
      </c>
      <c r="S381" s="3" t="str">
        <f t="shared" si="74"/>
        <v>301719094322</v>
      </c>
      <c r="T381" s="3" t="str">
        <f t="shared" si="72"/>
        <v>人民币</v>
      </c>
    </row>
    <row r="382" spans="1:20" s="3" customFormat="1" x14ac:dyDescent="0.15">
      <c r="A382" s="3" t="str">
        <f t="shared" si="73"/>
        <v>2015-06-19</v>
      </c>
      <c r="B382" s="3" t="str">
        <f t="shared" si="75"/>
        <v>新股申购</v>
      </c>
      <c r="C382" s="3" t="str">
        <f>"300486"</f>
        <v>300486</v>
      </c>
      <c r="D382" s="3" t="str">
        <f>"东杰智能"</f>
        <v>东杰智能</v>
      </c>
      <c r="E382" s="3">
        <v>8.94</v>
      </c>
      <c r="F382" s="3">
        <v>500</v>
      </c>
      <c r="G382" s="3">
        <v>4470</v>
      </c>
      <c r="H382" s="3">
        <v>500</v>
      </c>
      <c r="I382" s="3">
        <v>0</v>
      </c>
      <c r="J382" s="3">
        <v>0</v>
      </c>
      <c r="K382" s="3">
        <v>0</v>
      </c>
      <c r="L382" s="3">
        <v>0</v>
      </c>
      <c r="M382" s="3">
        <v>-4470</v>
      </c>
      <c r="N382" s="3">
        <v>0</v>
      </c>
      <c r="O382" s="3" t="str">
        <f>"SW344621"</f>
        <v>SW344621</v>
      </c>
      <c r="P382" s="3">
        <v>8.94</v>
      </c>
      <c r="Q382" s="3">
        <v>500</v>
      </c>
      <c r="R382" s="3" t="str">
        <f t="shared" si="76"/>
        <v>0103988319</v>
      </c>
      <c r="S382" s="3" t="str">
        <f t="shared" si="74"/>
        <v>301719094322</v>
      </c>
      <c r="T382" s="3" t="str">
        <f t="shared" si="72"/>
        <v>人民币</v>
      </c>
    </row>
    <row r="383" spans="1:20" s="3" customFormat="1" x14ac:dyDescent="0.15">
      <c r="A383" s="3" t="str">
        <f>"2015-06-23"</f>
        <v>2015-06-23</v>
      </c>
      <c r="B383" s="3" t="str">
        <f>"利息归本"</f>
        <v>利息归本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39</v>
      </c>
      <c r="N383" s="3">
        <v>39</v>
      </c>
      <c r="P383" s="3">
        <v>0</v>
      </c>
      <c r="Q383" s="3">
        <v>0</v>
      </c>
      <c r="S383" s="3" t="str">
        <f t="shared" si="74"/>
        <v>301719094322</v>
      </c>
      <c r="T383" s="3" t="str">
        <f t="shared" si="72"/>
        <v>人民币</v>
      </c>
    </row>
    <row r="384" spans="1:20" s="3" customFormat="1" x14ac:dyDescent="0.15">
      <c r="A384" s="3" t="str">
        <f t="shared" ref="A384:A391" si="77">"2015-06-24"</f>
        <v>2015-06-24</v>
      </c>
      <c r="B384" s="3" t="str">
        <f>"红利发放"</f>
        <v>红利发放</v>
      </c>
      <c r="C384" s="3" t="str">
        <f>"A40006"</f>
        <v>A40006</v>
      </c>
      <c r="D384" s="3" t="str">
        <f>"现金宝"</f>
        <v>现金宝</v>
      </c>
      <c r="E384" s="3">
        <v>1</v>
      </c>
      <c r="F384" s="3">
        <v>0</v>
      </c>
      <c r="G384" s="3">
        <v>1589.46</v>
      </c>
      <c r="H384" s="3">
        <v>2763</v>
      </c>
      <c r="I384" s="3">
        <v>0</v>
      </c>
      <c r="J384" s="3">
        <v>0</v>
      </c>
      <c r="K384" s="3">
        <v>0</v>
      </c>
      <c r="L384" s="3">
        <v>0</v>
      </c>
      <c r="M384" s="3">
        <v>1589.46</v>
      </c>
      <c r="N384" s="3">
        <v>2357.06</v>
      </c>
      <c r="P384" s="3">
        <v>8.4000000000000005E-2</v>
      </c>
      <c r="Q384" s="3">
        <v>0</v>
      </c>
      <c r="R384" s="3" t="str">
        <f>"99F625223328"</f>
        <v>99F625223328</v>
      </c>
      <c r="S384" s="3" t="str">
        <f t="shared" si="74"/>
        <v>301719094322</v>
      </c>
      <c r="T384" s="3" t="str">
        <f t="shared" si="72"/>
        <v>人民币</v>
      </c>
    </row>
    <row r="385" spans="1:20" s="3" customFormat="1" x14ac:dyDescent="0.15">
      <c r="A385" s="3" t="str">
        <f t="shared" si="77"/>
        <v>2015-06-24</v>
      </c>
      <c r="B385" s="3" t="str">
        <f>"申购还款"</f>
        <v>申购还款</v>
      </c>
      <c r="C385" s="3" t="str">
        <f>"300489"</f>
        <v>300489</v>
      </c>
      <c r="D385" s="3" t="str">
        <f>"中飞股份"</f>
        <v>中飞股份</v>
      </c>
      <c r="E385" s="3">
        <v>17.559999999999999</v>
      </c>
      <c r="F385" s="3">
        <v>4500</v>
      </c>
      <c r="G385" s="3">
        <v>79020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79020</v>
      </c>
      <c r="N385" s="3">
        <v>81377.06</v>
      </c>
      <c r="O385" s="3" t="str">
        <f>"SW340103"</f>
        <v>SW340103</v>
      </c>
      <c r="P385" s="3">
        <v>17.559999999999999</v>
      </c>
      <c r="Q385" s="3">
        <v>4500</v>
      </c>
      <c r="R385" s="3" t="str">
        <f t="shared" ref="R385:R392" si="78">"0103988319"</f>
        <v>0103988319</v>
      </c>
      <c r="S385" s="3" t="str">
        <f t="shared" si="74"/>
        <v>301719094322</v>
      </c>
      <c r="T385" s="3" t="str">
        <f t="shared" si="72"/>
        <v>人民币</v>
      </c>
    </row>
    <row r="386" spans="1:20" s="3" customFormat="1" x14ac:dyDescent="0.15">
      <c r="A386" s="3" t="str">
        <f t="shared" si="77"/>
        <v>2015-06-24</v>
      </c>
      <c r="B386" s="3" t="str">
        <f>"申购还款"</f>
        <v>申购还款</v>
      </c>
      <c r="C386" s="3" t="str">
        <f>"300487"</f>
        <v>300487</v>
      </c>
      <c r="D386" s="3" t="str">
        <f>"蓝晓科技"</f>
        <v>蓝晓科技</v>
      </c>
      <c r="E386" s="3">
        <v>14.83</v>
      </c>
      <c r="F386" s="3">
        <v>6500</v>
      </c>
      <c r="G386" s="3">
        <v>96395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96395</v>
      </c>
      <c r="N386" s="3">
        <v>177772.06</v>
      </c>
      <c r="O386" s="3" t="str">
        <f>"SW340139"</f>
        <v>SW340139</v>
      </c>
      <c r="P386" s="3">
        <v>14.83</v>
      </c>
      <c r="Q386" s="3">
        <v>6500</v>
      </c>
      <c r="R386" s="3" t="str">
        <f t="shared" si="78"/>
        <v>0103988319</v>
      </c>
      <c r="S386" s="3" t="str">
        <f t="shared" si="74"/>
        <v>301719094322</v>
      </c>
      <c r="T386" s="3" t="str">
        <f t="shared" si="72"/>
        <v>人民币</v>
      </c>
    </row>
    <row r="387" spans="1:20" s="3" customFormat="1" x14ac:dyDescent="0.15">
      <c r="A387" s="3" t="str">
        <f t="shared" si="77"/>
        <v>2015-06-24</v>
      </c>
      <c r="B387" s="3" t="str">
        <f>"申购还款"</f>
        <v>申购还款</v>
      </c>
      <c r="C387" s="3" t="str">
        <f>"300482"</f>
        <v>300482</v>
      </c>
      <c r="D387" s="3" t="str">
        <f>"万孚生物"</f>
        <v>万孚生物</v>
      </c>
      <c r="E387" s="3">
        <v>16</v>
      </c>
      <c r="F387" s="3">
        <v>6500</v>
      </c>
      <c r="G387" s="3">
        <v>104000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104000</v>
      </c>
      <c r="N387" s="3">
        <v>281772.06</v>
      </c>
      <c r="O387" s="3" t="str">
        <f>"SW340148"</f>
        <v>SW340148</v>
      </c>
      <c r="P387" s="3">
        <v>16</v>
      </c>
      <c r="Q387" s="3">
        <v>6500</v>
      </c>
      <c r="R387" s="3" t="str">
        <f t="shared" si="78"/>
        <v>0103988319</v>
      </c>
      <c r="S387" s="3" t="str">
        <f t="shared" si="74"/>
        <v>301719094322</v>
      </c>
      <c r="T387" s="3" t="str">
        <f t="shared" si="72"/>
        <v>人民币</v>
      </c>
    </row>
    <row r="388" spans="1:20" s="3" customFormat="1" x14ac:dyDescent="0.15">
      <c r="A388" s="3" t="str">
        <f t="shared" si="77"/>
        <v>2015-06-24</v>
      </c>
      <c r="B388" s="3" t="str">
        <f>"申购还款"</f>
        <v>申购还款</v>
      </c>
      <c r="C388" s="3" t="str">
        <f>"300481"</f>
        <v>300481</v>
      </c>
      <c r="D388" s="3" t="str">
        <f>"濮阳惠成"</f>
        <v>濮阳惠成</v>
      </c>
      <c r="E388" s="3">
        <v>9.1300000000000008</v>
      </c>
      <c r="F388" s="3">
        <v>6500</v>
      </c>
      <c r="G388" s="3">
        <v>59345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59345</v>
      </c>
      <c r="N388" s="3">
        <v>341117.06</v>
      </c>
      <c r="O388" s="3" t="str">
        <f>"SW343853"</f>
        <v>SW343853</v>
      </c>
      <c r="P388" s="3">
        <v>9.1300000000000008</v>
      </c>
      <c r="Q388" s="3">
        <v>6500</v>
      </c>
      <c r="R388" s="3" t="str">
        <f t="shared" si="78"/>
        <v>0103988319</v>
      </c>
      <c r="S388" s="3" t="str">
        <f t="shared" si="74"/>
        <v>301719094322</v>
      </c>
      <c r="T388" s="3" t="str">
        <f t="shared" si="72"/>
        <v>人民币</v>
      </c>
    </row>
    <row r="389" spans="1:20" s="3" customFormat="1" x14ac:dyDescent="0.15">
      <c r="A389" s="3" t="str">
        <f t="shared" si="77"/>
        <v>2015-06-24</v>
      </c>
      <c r="B389" s="3" t="str">
        <f>"申购中签"</f>
        <v>申购中签</v>
      </c>
      <c r="C389" s="3" t="str">
        <f>"002770"</f>
        <v>002770</v>
      </c>
      <c r="D389" s="3" t="str">
        <f>"科迪乳业"</f>
        <v>科迪乳业</v>
      </c>
      <c r="E389" s="3">
        <v>6.85</v>
      </c>
      <c r="F389" s="3">
        <v>500</v>
      </c>
      <c r="G389" s="3">
        <v>3425</v>
      </c>
      <c r="H389" s="3">
        <v>7000</v>
      </c>
      <c r="I389" s="3">
        <v>0</v>
      </c>
      <c r="J389" s="3">
        <v>0</v>
      </c>
      <c r="K389" s="3">
        <v>0</v>
      </c>
      <c r="L389" s="3">
        <v>0</v>
      </c>
      <c r="M389" s="3">
        <v>-3425</v>
      </c>
      <c r="N389" s="3">
        <v>337692.06</v>
      </c>
      <c r="O389" s="3" t="str">
        <f>"SW344152"</f>
        <v>SW344152</v>
      </c>
      <c r="P389" s="3">
        <v>6.85</v>
      </c>
      <c r="Q389" s="3">
        <v>6500</v>
      </c>
      <c r="R389" s="3" t="str">
        <f t="shared" si="78"/>
        <v>0103988319</v>
      </c>
      <c r="S389" s="3" t="str">
        <f t="shared" si="74"/>
        <v>301719094322</v>
      </c>
      <c r="T389" s="3" t="str">
        <f t="shared" si="72"/>
        <v>人民币</v>
      </c>
    </row>
    <row r="390" spans="1:20" s="3" customFormat="1" x14ac:dyDescent="0.15">
      <c r="A390" s="3" t="str">
        <f t="shared" si="77"/>
        <v>2015-06-24</v>
      </c>
      <c r="B390" s="3" t="str">
        <f>"申购还款"</f>
        <v>申购还款</v>
      </c>
      <c r="C390" s="3" t="str">
        <f>"002770"</f>
        <v>002770</v>
      </c>
      <c r="D390" s="3" t="str">
        <f>"科迪乳业"</f>
        <v>科迪乳业</v>
      </c>
      <c r="E390" s="3">
        <v>6.85</v>
      </c>
      <c r="F390" s="3">
        <v>6500</v>
      </c>
      <c r="G390" s="3">
        <v>44525</v>
      </c>
      <c r="H390" s="3">
        <v>500</v>
      </c>
      <c r="I390" s="3">
        <v>0</v>
      </c>
      <c r="J390" s="3">
        <v>0</v>
      </c>
      <c r="K390" s="3">
        <v>0</v>
      </c>
      <c r="L390" s="3">
        <v>0</v>
      </c>
      <c r="M390" s="3">
        <v>44525</v>
      </c>
      <c r="N390" s="3">
        <v>382217.06</v>
      </c>
      <c r="O390" s="3" t="str">
        <f>"SW344152"</f>
        <v>SW344152</v>
      </c>
      <c r="P390" s="3">
        <v>6.85</v>
      </c>
      <c r="Q390" s="3">
        <v>6500</v>
      </c>
      <c r="R390" s="3" t="str">
        <f t="shared" si="78"/>
        <v>0103988319</v>
      </c>
      <c r="S390" s="3" t="str">
        <f t="shared" si="74"/>
        <v>301719094322</v>
      </c>
      <c r="T390" s="3" t="str">
        <f t="shared" si="72"/>
        <v>人民币</v>
      </c>
    </row>
    <row r="391" spans="1:20" s="3" customFormat="1" x14ac:dyDescent="0.15">
      <c r="A391" s="3" t="str">
        <f t="shared" si="77"/>
        <v>2015-06-24</v>
      </c>
      <c r="B391" s="3" t="str">
        <f>"申购还款"</f>
        <v>申购还款</v>
      </c>
      <c r="C391" s="3" t="str">
        <f>"300486"</f>
        <v>300486</v>
      </c>
      <c r="D391" s="3" t="str">
        <f>"东杰智能"</f>
        <v>东杰智能</v>
      </c>
      <c r="E391" s="3">
        <v>8.94</v>
      </c>
      <c r="F391" s="3">
        <v>500</v>
      </c>
      <c r="G391" s="3">
        <v>4470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4470</v>
      </c>
      <c r="N391" s="3">
        <v>386687.06</v>
      </c>
      <c r="O391" s="3" t="str">
        <f>"SW344621"</f>
        <v>SW344621</v>
      </c>
      <c r="P391" s="3">
        <v>8.94</v>
      </c>
      <c r="Q391" s="3">
        <v>500</v>
      </c>
      <c r="R391" s="3" t="str">
        <f t="shared" si="78"/>
        <v>0103988319</v>
      </c>
      <c r="S391" s="3" t="str">
        <f t="shared" si="74"/>
        <v>301719094322</v>
      </c>
      <c r="T391" s="3" t="str">
        <f t="shared" si="72"/>
        <v>人民币</v>
      </c>
    </row>
    <row r="392" spans="1:20" s="3" customFormat="1" x14ac:dyDescent="0.15">
      <c r="A392" s="3" t="str">
        <f>"2015-06-25"</f>
        <v>2015-06-25</v>
      </c>
      <c r="B392" s="3" t="str">
        <f>"证券买入清算"</f>
        <v>证券买入清算</v>
      </c>
      <c r="C392" s="3" t="str">
        <f>"002014"</f>
        <v>002014</v>
      </c>
      <c r="D392" s="3" t="str">
        <f>"永新股份"</f>
        <v>永新股份</v>
      </c>
      <c r="E392" s="3">
        <v>30.2</v>
      </c>
      <c r="F392" s="3">
        <v>500</v>
      </c>
      <c r="G392" s="3">
        <v>15100</v>
      </c>
      <c r="H392" s="3">
        <v>500</v>
      </c>
      <c r="I392" s="3">
        <v>5</v>
      </c>
      <c r="J392" s="3">
        <v>0</v>
      </c>
      <c r="K392" s="3">
        <v>0</v>
      </c>
      <c r="L392" s="3">
        <v>0</v>
      </c>
      <c r="M392" s="3">
        <v>-15105</v>
      </c>
      <c r="N392" s="3">
        <v>370853.46</v>
      </c>
      <c r="O392" s="3" t="str">
        <f>"SW338397"</f>
        <v>SW338397</v>
      </c>
      <c r="P392" s="3">
        <v>30.2</v>
      </c>
      <c r="Q392" s="3">
        <v>500</v>
      </c>
      <c r="R392" s="3" t="str">
        <f t="shared" si="78"/>
        <v>0103988319</v>
      </c>
      <c r="S392" s="3" t="str">
        <f t="shared" si="74"/>
        <v>301719094322</v>
      </c>
      <c r="T392" s="3" t="str">
        <f t="shared" si="72"/>
        <v>人民币</v>
      </c>
    </row>
    <row r="393" spans="1:20" s="3" customFormat="1" x14ac:dyDescent="0.15">
      <c r="A393" s="3" t="str">
        <f>"2015-06-25"</f>
        <v>2015-06-25</v>
      </c>
      <c r="B393" s="3" t="str">
        <f>"基金申购"</f>
        <v>基金申购</v>
      </c>
      <c r="C393" s="3" t="str">
        <f>"A40006"</f>
        <v>A40006</v>
      </c>
      <c r="D393" s="3" t="str">
        <f>"现金宝"</f>
        <v>现金宝</v>
      </c>
      <c r="E393" s="3">
        <v>1</v>
      </c>
      <c r="F393" s="3">
        <v>370853.46</v>
      </c>
      <c r="G393" s="3">
        <v>370853.46</v>
      </c>
      <c r="H393" s="3">
        <v>373617</v>
      </c>
      <c r="I393" s="3">
        <v>0</v>
      </c>
      <c r="J393" s="3">
        <v>0</v>
      </c>
      <c r="K393" s="3">
        <v>0</v>
      </c>
      <c r="L393" s="3">
        <v>0</v>
      </c>
      <c r="M393" s="3">
        <v>-370853.46</v>
      </c>
      <c r="N393" s="3">
        <v>0</v>
      </c>
      <c r="P393" s="3">
        <v>0</v>
      </c>
      <c r="Q393" s="3">
        <v>0</v>
      </c>
      <c r="R393" s="3" t="str">
        <f>"99F625223328"</f>
        <v>99F625223328</v>
      </c>
      <c r="S393" s="3" t="str">
        <f t="shared" si="74"/>
        <v>301719094322</v>
      </c>
      <c r="T393" s="3" t="str">
        <f t="shared" si="72"/>
        <v>人民币</v>
      </c>
    </row>
    <row r="394" spans="1:20" s="3" customFormat="1" x14ac:dyDescent="0.15">
      <c r="A394" s="3" t="str">
        <f t="shared" ref="A394:A400" si="79">"2015-06-26"</f>
        <v>2015-06-26</v>
      </c>
      <c r="B394" s="3" t="str">
        <f>"红利发放"</f>
        <v>红利发放</v>
      </c>
      <c r="C394" s="3" t="str">
        <f>"A40006"</f>
        <v>A40006</v>
      </c>
      <c r="D394" s="3" t="str">
        <f>"现金宝"</f>
        <v>现金宝</v>
      </c>
      <c r="E394" s="3">
        <v>1</v>
      </c>
      <c r="F394" s="3">
        <v>0</v>
      </c>
      <c r="G394" s="3">
        <v>424.58</v>
      </c>
      <c r="H394" s="3">
        <v>373617</v>
      </c>
      <c r="I394" s="3">
        <v>0</v>
      </c>
      <c r="J394" s="3">
        <v>0</v>
      </c>
      <c r="K394" s="3">
        <v>0</v>
      </c>
      <c r="L394" s="3">
        <v>0</v>
      </c>
      <c r="M394" s="3">
        <v>424.58</v>
      </c>
      <c r="N394" s="3">
        <v>424.58</v>
      </c>
      <c r="P394" s="3">
        <v>1.4999999999999999E-2</v>
      </c>
      <c r="Q394" s="3">
        <v>0</v>
      </c>
      <c r="R394" s="3" t="str">
        <f>"99F625223328"</f>
        <v>99F625223328</v>
      </c>
      <c r="S394" s="3" t="str">
        <f t="shared" si="74"/>
        <v>301719094322</v>
      </c>
      <c r="T394" s="3" t="str">
        <f t="shared" si="72"/>
        <v>人民币</v>
      </c>
    </row>
    <row r="395" spans="1:20" s="3" customFormat="1" x14ac:dyDescent="0.15">
      <c r="A395" s="3" t="str">
        <f t="shared" si="79"/>
        <v>2015-06-26</v>
      </c>
      <c r="B395" s="3" t="str">
        <f>"基金赎回"</f>
        <v>基金赎回</v>
      </c>
      <c r="C395" s="3" t="str">
        <f>"A40006"</f>
        <v>A40006</v>
      </c>
      <c r="D395" s="3" t="str">
        <f>"现金宝"</f>
        <v>现金宝</v>
      </c>
      <c r="E395" s="3">
        <v>1</v>
      </c>
      <c r="F395" s="3">
        <v>63735</v>
      </c>
      <c r="G395" s="3">
        <v>63735</v>
      </c>
      <c r="H395" s="3">
        <v>309882</v>
      </c>
      <c r="I395" s="3">
        <v>0</v>
      </c>
      <c r="J395" s="3">
        <v>0</v>
      </c>
      <c r="K395" s="3">
        <v>0</v>
      </c>
      <c r="L395" s="3">
        <v>0</v>
      </c>
      <c r="M395" s="3">
        <v>63735</v>
      </c>
      <c r="N395" s="3">
        <v>64159.58</v>
      </c>
      <c r="P395" s="3">
        <v>0</v>
      </c>
      <c r="Q395" s="3">
        <v>0</v>
      </c>
      <c r="R395" s="3" t="str">
        <f>"99F625223328"</f>
        <v>99F625223328</v>
      </c>
      <c r="S395" s="3" t="str">
        <f t="shared" si="74"/>
        <v>301719094322</v>
      </c>
      <c r="T395" s="3" t="str">
        <f t="shared" si="72"/>
        <v>人民币</v>
      </c>
    </row>
    <row r="396" spans="1:20" s="3" customFormat="1" x14ac:dyDescent="0.15">
      <c r="A396" s="3" t="str">
        <f t="shared" si="79"/>
        <v>2015-06-26</v>
      </c>
      <c r="B396" s="3" t="str">
        <f>"证券买入清算"</f>
        <v>证券买入清算</v>
      </c>
      <c r="C396" s="3" t="str">
        <f>"002457"</f>
        <v>002457</v>
      </c>
      <c r="D396" s="3" t="str">
        <f>"青龙管业"</f>
        <v>青龙管业</v>
      </c>
      <c r="E396" s="3">
        <v>17.989999999999998</v>
      </c>
      <c r="F396" s="3">
        <v>1000</v>
      </c>
      <c r="G396" s="3">
        <v>17990</v>
      </c>
      <c r="H396" s="3">
        <v>1000</v>
      </c>
      <c r="I396" s="3">
        <v>5</v>
      </c>
      <c r="J396" s="3">
        <v>0</v>
      </c>
      <c r="K396" s="3">
        <v>0</v>
      </c>
      <c r="L396" s="3">
        <v>0</v>
      </c>
      <c r="M396" s="3">
        <v>-17995</v>
      </c>
      <c r="N396" s="3">
        <v>46164.58</v>
      </c>
      <c r="O396" s="3" t="str">
        <f>"SW358229"</f>
        <v>SW358229</v>
      </c>
      <c r="P396" s="3">
        <v>19.16</v>
      </c>
      <c r="Q396" s="3">
        <v>1000</v>
      </c>
      <c r="R396" s="3" t="str">
        <f t="shared" ref="R396:R401" si="80">"0103988319"</f>
        <v>0103988319</v>
      </c>
      <c r="S396" s="3" t="str">
        <f t="shared" si="74"/>
        <v>301719094322</v>
      </c>
      <c r="T396" s="3" t="str">
        <f t="shared" si="72"/>
        <v>人民币</v>
      </c>
    </row>
    <row r="397" spans="1:20" s="3" customFormat="1" x14ac:dyDescent="0.15">
      <c r="A397" s="3" t="str">
        <f t="shared" si="79"/>
        <v>2015-06-26</v>
      </c>
      <c r="B397" s="3" t="str">
        <f>"证券买入清算"</f>
        <v>证券买入清算</v>
      </c>
      <c r="C397" s="3" t="str">
        <f>"002014"</f>
        <v>002014</v>
      </c>
      <c r="D397" s="3" t="str">
        <f>"永新股份"</f>
        <v>永新股份</v>
      </c>
      <c r="E397" s="3">
        <v>28.16</v>
      </c>
      <c r="F397" s="3">
        <v>500</v>
      </c>
      <c r="G397" s="3">
        <v>14080</v>
      </c>
      <c r="H397" s="3">
        <v>1000</v>
      </c>
      <c r="I397" s="3">
        <v>5</v>
      </c>
      <c r="J397" s="3">
        <v>0</v>
      </c>
      <c r="K397" s="3">
        <v>0</v>
      </c>
      <c r="L397" s="3">
        <v>0</v>
      </c>
      <c r="M397" s="3">
        <v>-14085</v>
      </c>
      <c r="N397" s="3">
        <v>32079.58</v>
      </c>
      <c r="O397" s="3" t="str">
        <f>"SW360158"</f>
        <v>SW360158</v>
      </c>
      <c r="P397" s="3">
        <v>28.16</v>
      </c>
      <c r="Q397" s="3">
        <v>500</v>
      </c>
      <c r="R397" s="3" t="str">
        <f t="shared" si="80"/>
        <v>0103988319</v>
      </c>
      <c r="S397" s="3" t="str">
        <f t="shared" si="74"/>
        <v>301719094322</v>
      </c>
      <c r="T397" s="3" t="str">
        <f t="shared" si="72"/>
        <v>人民币</v>
      </c>
    </row>
    <row r="398" spans="1:20" s="3" customFormat="1" x14ac:dyDescent="0.15">
      <c r="A398" s="3" t="str">
        <f t="shared" si="79"/>
        <v>2015-06-26</v>
      </c>
      <c r="B398" s="3" t="str">
        <f>"证券买入清算"</f>
        <v>证券买入清算</v>
      </c>
      <c r="C398" s="3" t="str">
        <f>"184721"</f>
        <v>184721</v>
      </c>
      <c r="D398" s="3" t="str">
        <f>"基金丰和"</f>
        <v>基金丰和</v>
      </c>
      <c r="E398" s="3">
        <v>1.2010000000000001</v>
      </c>
      <c r="F398" s="3">
        <v>10000</v>
      </c>
      <c r="G398" s="3">
        <v>12010</v>
      </c>
      <c r="H398" s="3">
        <v>30000</v>
      </c>
      <c r="I398" s="3">
        <v>5</v>
      </c>
      <c r="J398" s="3">
        <v>0</v>
      </c>
      <c r="K398" s="3">
        <v>0</v>
      </c>
      <c r="L398" s="3">
        <v>0</v>
      </c>
      <c r="M398" s="3">
        <v>-12015</v>
      </c>
      <c r="N398" s="3">
        <v>20064.580000000002</v>
      </c>
      <c r="O398" s="3" t="str">
        <f>"SW393557"</f>
        <v>SW393557</v>
      </c>
      <c r="P398" s="3">
        <v>1.2010000000000001</v>
      </c>
      <c r="Q398" s="3">
        <v>10000</v>
      </c>
      <c r="R398" s="3" t="str">
        <f t="shared" si="80"/>
        <v>0103988319</v>
      </c>
      <c r="S398" s="3" t="str">
        <f t="shared" si="74"/>
        <v>301719094322</v>
      </c>
      <c r="T398" s="3" t="str">
        <f t="shared" si="72"/>
        <v>人民币</v>
      </c>
    </row>
    <row r="399" spans="1:20" s="3" customFormat="1" x14ac:dyDescent="0.15">
      <c r="A399" s="3" t="str">
        <f t="shared" si="79"/>
        <v>2015-06-26</v>
      </c>
      <c r="B399" s="3" t="str">
        <f>"证券买入清算"</f>
        <v>证券买入清算</v>
      </c>
      <c r="C399" s="3" t="str">
        <f>"002457"</f>
        <v>002457</v>
      </c>
      <c r="D399" s="3" t="str">
        <f>"青龙管业"</f>
        <v>青龙管业</v>
      </c>
      <c r="E399" s="3">
        <v>16.559999999999999</v>
      </c>
      <c r="F399" s="3">
        <v>500</v>
      </c>
      <c r="G399" s="3">
        <v>8280</v>
      </c>
      <c r="H399" s="3">
        <v>1500</v>
      </c>
      <c r="I399" s="3">
        <v>5</v>
      </c>
      <c r="J399" s="3">
        <v>0</v>
      </c>
      <c r="K399" s="3">
        <v>0</v>
      </c>
      <c r="L399" s="3">
        <v>0</v>
      </c>
      <c r="M399" s="3">
        <v>-8285</v>
      </c>
      <c r="N399" s="3">
        <v>11779.58</v>
      </c>
      <c r="O399" s="3" t="str">
        <f>"SW532439"</f>
        <v>SW532439</v>
      </c>
      <c r="P399" s="3">
        <v>16.559999999999999</v>
      </c>
      <c r="Q399" s="3">
        <v>500</v>
      </c>
      <c r="R399" s="3" t="str">
        <f t="shared" si="80"/>
        <v>0103988319</v>
      </c>
      <c r="S399" s="3" t="str">
        <f t="shared" si="74"/>
        <v>301719094322</v>
      </c>
      <c r="T399" s="3" t="str">
        <f t="shared" si="72"/>
        <v>人民币</v>
      </c>
    </row>
    <row r="400" spans="1:20" s="3" customFormat="1" x14ac:dyDescent="0.15">
      <c r="A400" s="3" t="str">
        <f t="shared" si="79"/>
        <v>2015-06-26</v>
      </c>
      <c r="B400" s="3" t="str">
        <f>"证券买入清算"</f>
        <v>证券买入清算</v>
      </c>
      <c r="C400" s="3" t="str">
        <f>"184721"</f>
        <v>184721</v>
      </c>
      <c r="D400" s="3" t="str">
        <f>"基金丰和"</f>
        <v>基金丰和</v>
      </c>
      <c r="E400" s="3">
        <v>1.135</v>
      </c>
      <c r="F400" s="3">
        <v>10000</v>
      </c>
      <c r="G400" s="3">
        <v>11350</v>
      </c>
      <c r="H400" s="3">
        <v>40000</v>
      </c>
      <c r="I400" s="3">
        <v>5</v>
      </c>
      <c r="J400" s="3">
        <v>0</v>
      </c>
      <c r="K400" s="3">
        <v>0</v>
      </c>
      <c r="L400" s="3">
        <v>0</v>
      </c>
      <c r="M400" s="3">
        <v>-11355</v>
      </c>
      <c r="N400" s="3">
        <v>424.58</v>
      </c>
      <c r="O400" s="3" t="str">
        <f>"SW549786"</f>
        <v>SW549786</v>
      </c>
      <c r="P400" s="3">
        <v>1.135</v>
      </c>
      <c r="Q400" s="3">
        <v>10000</v>
      </c>
      <c r="R400" s="3" t="str">
        <f t="shared" si="80"/>
        <v>0103988319</v>
      </c>
      <c r="S400" s="3" t="str">
        <f t="shared" si="74"/>
        <v>301719094322</v>
      </c>
      <c r="T400" s="3" t="str">
        <f t="shared" si="72"/>
        <v>人民币</v>
      </c>
    </row>
    <row r="401" spans="1:20" s="3" customFormat="1" x14ac:dyDescent="0.15">
      <c r="A401" s="3" t="str">
        <f>"2015-06-30"</f>
        <v>2015-06-30</v>
      </c>
      <c r="B401" s="3" t="str">
        <f>"证券卖出清算"</f>
        <v>证券卖出清算</v>
      </c>
      <c r="C401" s="3" t="str">
        <f>"002014"</f>
        <v>002014</v>
      </c>
      <c r="D401" s="3" t="str">
        <f>"永新股份"</f>
        <v>永新股份</v>
      </c>
      <c r="E401" s="3">
        <v>23.899000000000001</v>
      </c>
      <c r="F401" s="3">
        <v>1000</v>
      </c>
      <c r="G401" s="3">
        <v>23899</v>
      </c>
      <c r="H401" s="3">
        <v>0</v>
      </c>
      <c r="I401" s="3">
        <v>5</v>
      </c>
      <c r="J401" s="3">
        <v>23.9</v>
      </c>
      <c r="K401" s="3">
        <v>0</v>
      </c>
      <c r="L401" s="3">
        <v>0</v>
      </c>
      <c r="M401" s="3">
        <v>23870.1</v>
      </c>
      <c r="N401" s="3">
        <v>24294.68</v>
      </c>
      <c r="O401" s="3" t="str">
        <f>"SW203958"</f>
        <v>SW203958</v>
      </c>
      <c r="P401" s="3">
        <v>23</v>
      </c>
      <c r="Q401" s="3">
        <v>1000</v>
      </c>
      <c r="R401" s="3" t="str">
        <f t="shared" si="80"/>
        <v>0103988319</v>
      </c>
      <c r="S401" s="3" t="str">
        <f t="shared" si="74"/>
        <v>301719094322</v>
      </c>
      <c r="T401" s="3" t="str">
        <f t="shared" si="72"/>
        <v>人民币</v>
      </c>
    </row>
    <row r="402" spans="1:20" s="3" customFormat="1" x14ac:dyDescent="0.15">
      <c r="A402" s="3" t="str">
        <f>"2015-06-30"</f>
        <v>2015-06-30</v>
      </c>
      <c r="B402" s="3" t="str">
        <f>"基金申购"</f>
        <v>基金申购</v>
      </c>
      <c r="C402" s="3" t="str">
        <f>"A40006"</f>
        <v>A40006</v>
      </c>
      <c r="D402" s="3" t="str">
        <f>"现金宝"</f>
        <v>现金宝</v>
      </c>
      <c r="E402" s="3">
        <v>1</v>
      </c>
      <c r="F402" s="3">
        <v>24294.68</v>
      </c>
      <c r="G402" s="3">
        <v>24294.68</v>
      </c>
      <c r="H402" s="3">
        <v>334176</v>
      </c>
      <c r="I402" s="3">
        <v>0</v>
      </c>
      <c r="J402" s="3">
        <v>0</v>
      </c>
      <c r="K402" s="3">
        <v>0</v>
      </c>
      <c r="L402" s="3">
        <v>0</v>
      </c>
      <c r="M402" s="3">
        <v>-24294.68</v>
      </c>
      <c r="N402" s="3">
        <v>0</v>
      </c>
      <c r="P402" s="3">
        <v>0</v>
      </c>
      <c r="Q402" s="3">
        <v>0</v>
      </c>
      <c r="R402" s="3" t="str">
        <f>"99F625223328"</f>
        <v>99F625223328</v>
      </c>
      <c r="S402" s="3" t="str">
        <f t="shared" si="74"/>
        <v>301719094322</v>
      </c>
      <c r="T402" s="3" t="str">
        <f t="shared" si="72"/>
        <v>人民币</v>
      </c>
    </row>
    <row r="403" spans="1:20" s="3" customFormat="1" x14ac:dyDescent="0.15">
      <c r="A403" s="3" t="str">
        <f>"2015-07-02"</f>
        <v>2015-07-02</v>
      </c>
      <c r="B403" s="3" t="str">
        <f>"基金赎回"</f>
        <v>基金赎回</v>
      </c>
      <c r="C403" s="3" t="str">
        <f>"A40006"</f>
        <v>A40006</v>
      </c>
      <c r="D403" s="3" t="str">
        <f>"现金宝"</f>
        <v>现金宝</v>
      </c>
      <c r="E403" s="3">
        <v>1</v>
      </c>
      <c r="F403" s="3">
        <v>10000</v>
      </c>
      <c r="G403" s="3">
        <v>10000</v>
      </c>
      <c r="H403" s="3">
        <v>324176</v>
      </c>
      <c r="I403" s="3">
        <v>0</v>
      </c>
      <c r="J403" s="3">
        <v>0</v>
      </c>
      <c r="K403" s="3">
        <v>0</v>
      </c>
      <c r="L403" s="3">
        <v>0</v>
      </c>
      <c r="M403" s="3">
        <v>10000</v>
      </c>
      <c r="N403" s="3">
        <v>10000</v>
      </c>
      <c r="P403" s="3">
        <v>0</v>
      </c>
      <c r="Q403" s="3">
        <v>0</v>
      </c>
      <c r="R403" s="3" t="str">
        <f>"99F625223328"</f>
        <v>99F625223328</v>
      </c>
      <c r="S403" s="3" t="str">
        <f t="shared" si="74"/>
        <v>301719094322</v>
      </c>
      <c r="T403" s="3" t="str">
        <f t="shared" si="72"/>
        <v>人民币</v>
      </c>
    </row>
    <row r="404" spans="1:20" s="3" customFormat="1" x14ac:dyDescent="0.15">
      <c r="A404" s="3" t="str">
        <f t="shared" ref="A404:A409" si="81">"2015-07-03"</f>
        <v>2015-07-03</v>
      </c>
      <c r="B404" s="3" t="str">
        <f>"银证转出"</f>
        <v>银证转出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-10000</v>
      </c>
      <c r="N404" s="3">
        <v>0</v>
      </c>
      <c r="P404" s="3">
        <v>0</v>
      </c>
      <c r="Q404" s="3">
        <v>0</v>
      </c>
      <c r="S404" s="3" t="str">
        <f t="shared" si="74"/>
        <v>301719094322</v>
      </c>
      <c r="T404" s="3" t="str">
        <f t="shared" si="72"/>
        <v>人民币</v>
      </c>
    </row>
    <row r="405" spans="1:20" s="3" customFormat="1" x14ac:dyDescent="0.15">
      <c r="A405" s="3" t="str">
        <f t="shared" si="81"/>
        <v>2015-07-03</v>
      </c>
      <c r="B405" s="3" t="str">
        <f>"基金赎回"</f>
        <v>基金赎回</v>
      </c>
      <c r="C405" s="3" t="str">
        <f>"A40006"</f>
        <v>A40006</v>
      </c>
      <c r="D405" s="3" t="str">
        <f>"现金宝"</f>
        <v>现金宝</v>
      </c>
      <c r="E405" s="3">
        <v>1</v>
      </c>
      <c r="F405" s="3">
        <v>322075</v>
      </c>
      <c r="G405" s="3">
        <v>322075</v>
      </c>
      <c r="H405" s="3">
        <v>2101</v>
      </c>
      <c r="I405" s="3">
        <v>0</v>
      </c>
      <c r="J405" s="3">
        <v>0</v>
      </c>
      <c r="K405" s="3">
        <v>0</v>
      </c>
      <c r="L405" s="3">
        <v>0</v>
      </c>
      <c r="M405" s="3">
        <v>322075</v>
      </c>
      <c r="N405" s="3">
        <v>322075</v>
      </c>
      <c r="P405" s="3">
        <v>0</v>
      </c>
      <c r="Q405" s="3">
        <v>0</v>
      </c>
      <c r="R405" s="3" t="str">
        <f>"99F625223328"</f>
        <v>99F625223328</v>
      </c>
      <c r="S405" s="3" t="str">
        <f t="shared" si="74"/>
        <v>301719094322</v>
      </c>
      <c r="T405" s="3" t="str">
        <f t="shared" si="72"/>
        <v>人民币</v>
      </c>
    </row>
    <row r="406" spans="1:20" s="3" customFormat="1" x14ac:dyDescent="0.15">
      <c r="A406" s="3" t="str">
        <f t="shared" si="81"/>
        <v>2015-07-03</v>
      </c>
      <c r="B406" s="3" t="str">
        <f>"新股申购"</f>
        <v>新股申购</v>
      </c>
      <c r="C406" s="3" t="str">
        <f>"002779"</f>
        <v>002779</v>
      </c>
      <c r="D406" s="3" t="str">
        <f>"中坚科技"</f>
        <v>中坚科技</v>
      </c>
      <c r="E406" s="3">
        <v>12.11</v>
      </c>
      <c r="F406" s="3">
        <v>7000</v>
      </c>
      <c r="G406" s="3">
        <v>84770</v>
      </c>
      <c r="H406" s="3">
        <v>7000</v>
      </c>
      <c r="I406" s="3">
        <v>0</v>
      </c>
      <c r="J406" s="3">
        <v>0</v>
      </c>
      <c r="K406" s="3">
        <v>0</v>
      </c>
      <c r="L406" s="3">
        <v>0</v>
      </c>
      <c r="M406" s="3">
        <v>-84770</v>
      </c>
      <c r="N406" s="3">
        <v>237305</v>
      </c>
      <c r="O406" s="3" t="str">
        <f>"SW857341"</f>
        <v>SW857341</v>
      </c>
      <c r="P406" s="3">
        <v>12.11</v>
      </c>
      <c r="Q406" s="3">
        <v>7000</v>
      </c>
      <c r="R406" s="3" t="str">
        <f>"0103988319"</f>
        <v>0103988319</v>
      </c>
      <c r="S406" s="3" t="str">
        <f t="shared" si="74"/>
        <v>301719094322</v>
      </c>
      <c r="T406" s="3" t="str">
        <f t="shared" si="72"/>
        <v>人民币</v>
      </c>
    </row>
    <row r="407" spans="1:20" s="3" customFormat="1" x14ac:dyDescent="0.15">
      <c r="A407" s="3" t="str">
        <f t="shared" si="81"/>
        <v>2015-07-03</v>
      </c>
      <c r="B407" s="3" t="str">
        <f>"新股申购"</f>
        <v>新股申购</v>
      </c>
      <c r="C407" s="3" t="str">
        <f>"002780"</f>
        <v>002780</v>
      </c>
      <c r="D407" s="3" t="str">
        <f>"三夫户外"</f>
        <v>三夫户外</v>
      </c>
      <c r="E407" s="3">
        <v>9.42</v>
      </c>
      <c r="F407" s="3">
        <v>6500</v>
      </c>
      <c r="G407" s="3">
        <v>61230</v>
      </c>
      <c r="H407" s="3">
        <v>6500</v>
      </c>
      <c r="I407" s="3">
        <v>0</v>
      </c>
      <c r="J407" s="3">
        <v>0</v>
      </c>
      <c r="K407" s="3">
        <v>0</v>
      </c>
      <c r="L407" s="3">
        <v>0</v>
      </c>
      <c r="M407" s="3">
        <v>-61230</v>
      </c>
      <c r="N407" s="3">
        <v>176075</v>
      </c>
      <c r="O407" s="3" t="str">
        <f>"SW857503"</f>
        <v>SW857503</v>
      </c>
      <c r="P407" s="3">
        <v>9.42</v>
      </c>
      <c r="Q407" s="3">
        <v>6500</v>
      </c>
      <c r="R407" s="3" t="str">
        <f>"0103988319"</f>
        <v>0103988319</v>
      </c>
      <c r="S407" s="3" t="str">
        <f t="shared" si="74"/>
        <v>301719094322</v>
      </c>
      <c r="T407" s="3" t="str">
        <f t="shared" si="72"/>
        <v>人民币</v>
      </c>
    </row>
    <row r="408" spans="1:20" s="3" customFormat="1" x14ac:dyDescent="0.15">
      <c r="A408" s="3" t="str">
        <f t="shared" si="81"/>
        <v>2015-07-03</v>
      </c>
      <c r="B408" s="3" t="str">
        <f>"新股申购"</f>
        <v>新股申购</v>
      </c>
      <c r="C408" s="3" t="str">
        <f>"300493"</f>
        <v>300493</v>
      </c>
      <c r="D408" s="3" t="str">
        <f>"润欣科技"</f>
        <v>润欣科技</v>
      </c>
      <c r="E408" s="3">
        <v>6.87</v>
      </c>
      <c r="F408" s="3">
        <v>7000</v>
      </c>
      <c r="G408" s="3">
        <v>48090</v>
      </c>
      <c r="H408" s="3">
        <v>7000</v>
      </c>
      <c r="I408" s="3">
        <v>0</v>
      </c>
      <c r="J408" s="3">
        <v>0</v>
      </c>
      <c r="K408" s="3">
        <v>0</v>
      </c>
      <c r="L408" s="3">
        <v>0</v>
      </c>
      <c r="M408" s="3">
        <v>-48090</v>
      </c>
      <c r="N408" s="3">
        <v>127985</v>
      </c>
      <c r="O408" s="3" t="str">
        <f>"SW857718"</f>
        <v>SW857718</v>
      </c>
      <c r="P408" s="3">
        <v>6.87</v>
      </c>
      <c r="Q408" s="3">
        <v>7000</v>
      </c>
      <c r="R408" s="3" t="str">
        <f>"0103988319"</f>
        <v>0103988319</v>
      </c>
      <c r="S408" s="3" t="str">
        <f t="shared" si="74"/>
        <v>301719094322</v>
      </c>
      <c r="T408" s="3" t="str">
        <f t="shared" si="72"/>
        <v>人民币</v>
      </c>
    </row>
    <row r="409" spans="1:20" s="3" customFormat="1" x14ac:dyDescent="0.15">
      <c r="A409" s="3" t="str">
        <f t="shared" si="81"/>
        <v>2015-07-03</v>
      </c>
      <c r="B409" s="3" t="str">
        <f>"新股申购"</f>
        <v>新股申购</v>
      </c>
      <c r="C409" s="3" t="str">
        <f>"300496"</f>
        <v>300496</v>
      </c>
      <c r="D409" s="3" t="str">
        <f>"中科创达"</f>
        <v>中科创达</v>
      </c>
      <c r="E409" s="3">
        <v>23.27</v>
      </c>
      <c r="F409" s="3">
        <v>5500</v>
      </c>
      <c r="G409" s="3">
        <v>127985</v>
      </c>
      <c r="H409" s="3">
        <v>5500</v>
      </c>
      <c r="I409" s="3">
        <v>0</v>
      </c>
      <c r="J409" s="3">
        <v>0</v>
      </c>
      <c r="K409" s="3">
        <v>0</v>
      </c>
      <c r="L409" s="3">
        <v>0</v>
      </c>
      <c r="M409" s="3">
        <v>-127985</v>
      </c>
      <c r="N409" s="3">
        <v>0</v>
      </c>
      <c r="O409" s="3" t="str">
        <f>"SW860854"</f>
        <v>SW860854</v>
      </c>
      <c r="P409" s="3">
        <v>23.27</v>
      </c>
      <c r="Q409" s="3">
        <v>5500</v>
      </c>
      <c r="R409" s="3" t="str">
        <f>"0103988319"</f>
        <v>0103988319</v>
      </c>
      <c r="S409" s="3" t="str">
        <f t="shared" si="74"/>
        <v>301719094322</v>
      </c>
      <c r="T409" s="3" t="str">
        <f t="shared" si="72"/>
        <v>人民币</v>
      </c>
    </row>
    <row r="410" spans="1:20" s="3" customFormat="1" x14ac:dyDescent="0.15">
      <c r="A410" s="3" t="str">
        <f>"2015-07-05"</f>
        <v>2015-07-05</v>
      </c>
      <c r="B410" s="3" t="str">
        <f>"10900-资金调加+"</f>
        <v>10900-资金调加+</v>
      </c>
      <c r="D410" s="5" t="str">
        <f>"中坚科技"</f>
        <v>中坚科技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84770</v>
      </c>
      <c r="N410" s="3">
        <v>84770</v>
      </c>
      <c r="P410" s="3">
        <v>0</v>
      </c>
      <c r="Q410" s="3">
        <v>0</v>
      </c>
      <c r="S410" s="3" t="str">
        <f t="shared" si="74"/>
        <v>301719094322</v>
      </c>
      <c r="T410" s="3" t="str">
        <f t="shared" si="72"/>
        <v>人民币</v>
      </c>
    </row>
    <row r="411" spans="1:20" s="3" customFormat="1" x14ac:dyDescent="0.15">
      <c r="A411" s="3" t="str">
        <f>"2015-07-05"</f>
        <v>2015-07-05</v>
      </c>
      <c r="B411" s="3" t="str">
        <f>"10900-资金调加+"</f>
        <v>10900-资金调加+</v>
      </c>
      <c r="D411" s="5" t="str">
        <f>"三夫户外"</f>
        <v>三夫户外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61230</v>
      </c>
      <c r="N411" s="3">
        <v>146000</v>
      </c>
      <c r="P411" s="3">
        <v>0</v>
      </c>
      <c r="Q411" s="3">
        <v>0</v>
      </c>
      <c r="S411" s="3" t="str">
        <f t="shared" si="74"/>
        <v>301719094322</v>
      </c>
      <c r="T411" s="3" t="str">
        <f t="shared" si="72"/>
        <v>人民币</v>
      </c>
    </row>
    <row r="412" spans="1:20" s="3" customFormat="1" x14ac:dyDescent="0.15">
      <c r="A412" s="3" t="str">
        <f>"2015-07-05"</f>
        <v>2015-07-05</v>
      </c>
      <c r="B412" s="3" t="str">
        <f>"10900-资金调加+"</f>
        <v>10900-资金调加+</v>
      </c>
      <c r="D412" s="5" t="str">
        <f>"润欣科技"</f>
        <v>润欣科技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48090</v>
      </c>
      <c r="N412" s="3">
        <v>194090</v>
      </c>
      <c r="P412" s="3">
        <v>0</v>
      </c>
      <c r="Q412" s="3">
        <v>0</v>
      </c>
      <c r="S412" s="3" t="str">
        <f t="shared" si="74"/>
        <v>301719094322</v>
      </c>
      <c r="T412" s="3" t="str">
        <f t="shared" si="72"/>
        <v>人民币</v>
      </c>
    </row>
    <row r="413" spans="1:20" s="3" customFormat="1" x14ac:dyDescent="0.15">
      <c r="A413" s="3" t="str">
        <f>"2015-07-05"</f>
        <v>2015-07-05</v>
      </c>
      <c r="B413" s="3" t="str">
        <f>"10900-资金调加+"</f>
        <v>10900-资金调加+</v>
      </c>
      <c r="D413" s="5" t="str">
        <f>"中科创达"</f>
        <v>中科创达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127985</v>
      </c>
      <c r="N413" s="3">
        <v>322075</v>
      </c>
      <c r="P413" s="3">
        <v>0</v>
      </c>
      <c r="Q413" s="3">
        <v>0</v>
      </c>
      <c r="S413" s="3" t="str">
        <f t="shared" si="74"/>
        <v>301719094322</v>
      </c>
      <c r="T413" s="3" t="str">
        <f t="shared" si="72"/>
        <v>人民币</v>
      </c>
    </row>
    <row r="414" spans="1:20" s="3" customFormat="1" x14ac:dyDescent="0.15">
      <c r="A414" s="3" t="str">
        <f t="shared" ref="A414:A419" si="82">"2015-07-06"</f>
        <v>2015-07-06</v>
      </c>
      <c r="B414" s="3" t="str">
        <f>"银证转出"</f>
        <v>银证转出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-200000</v>
      </c>
      <c r="N414" s="3">
        <v>122075</v>
      </c>
      <c r="P414" s="3">
        <v>0</v>
      </c>
      <c r="Q414" s="3">
        <v>0</v>
      </c>
      <c r="S414" s="3" t="str">
        <f t="shared" si="74"/>
        <v>301719094322</v>
      </c>
      <c r="T414" s="3" t="str">
        <f t="shared" si="72"/>
        <v>人民币</v>
      </c>
    </row>
    <row r="415" spans="1:20" s="3" customFormat="1" x14ac:dyDescent="0.15">
      <c r="A415" s="3" t="str">
        <f t="shared" si="82"/>
        <v>2015-07-06</v>
      </c>
      <c r="B415" s="3" t="str">
        <f>"银证转出"</f>
        <v>银证转出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-122000</v>
      </c>
      <c r="N415" s="3">
        <v>75</v>
      </c>
      <c r="P415" s="3">
        <v>0</v>
      </c>
      <c r="Q415" s="3">
        <v>0</v>
      </c>
      <c r="S415" s="3" t="str">
        <f t="shared" si="74"/>
        <v>301719094322</v>
      </c>
      <c r="T415" s="3" t="str">
        <f t="shared" si="72"/>
        <v>人民币</v>
      </c>
    </row>
    <row r="416" spans="1:20" s="3" customFormat="1" x14ac:dyDescent="0.15">
      <c r="A416" s="3" t="str">
        <f t="shared" si="82"/>
        <v>2015-07-06</v>
      </c>
      <c r="B416" s="3" t="str">
        <f>"证券卖出清算"</f>
        <v>证券卖出清算</v>
      </c>
      <c r="C416" s="3" t="str">
        <f>"002237"</f>
        <v>002237</v>
      </c>
      <c r="D416" s="3" t="str">
        <f>"恒邦股份"</f>
        <v>恒邦股份</v>
      </c>
      <c r="E416" s="3">
        <v>9.5892999999999997</v>
      </c>
      <c r="F416" s="3">
        <v>4000</v>
      </c>
      <c r="G416" s="3">
        <v>38357.360000000001</v>
      </c>
      <c r="H416" s="3">
        <v>0</v>
      </c>
      <c r="I416" s="3">
        <v>7.67</v>
      </c>
      <c r="J416" s="3">
        <v>38.35</v>
      </c>
      <c r="K416" s="3">
        <v>0</v>
      </c>
      <c r="L416" s="3">
        <v>0</v>
      </c>
      <c r="M416" s="3">
        <v>38311.339999999997</v>
      </c>
      <c r="N416" s="3">
        <v>38386.339999999997</v>
      </c>
      <c r="O416" s="3" t="str">
        <f>"SW209282"</f>
        <v>SW209282</v>
      </c>
      <c r="P416" s="3">
        <v>9.58</v>
      </c>
      <c r="Q416" s="3">
        <v>4000</v>
      </c>
      <c r="R416" s="3" t="str">
        <f>"0103988319"</f>
        <v>0103988319</v>
      </c>
      <c r="S416" s="3" t="str">
        <f t="shared" si="74"/>
        <v>301719094322</v>
      </c>
      <c r="T416" s="3" t="str">
        <f t="shared" si="72"/>
        <v>人民币</v>
      </c>
    </row>
    <row r="417" spans="1:20" s="3" customFormat="1" x14ac:dyDescent="0.15">
      <c r="A417" s="3" t="str">
        <f t="shared" si="82"/>
        <v>2015-07-06</v>
      </c>
      <c r="B417" s="3" t="str">
        <f>"证券卖出清算"</f>
        <v>证券卖出清算</v>
      </c>
      <c r="C417" s="3" t="str">
        <f>"002457"</f>
        <v>002457</v>
      </c>
      <c r="D417" s="3" t="str">
        <f>"青龙管业"</f>
        <v>青龙管业</v>
      </c>
      <c r="E417" s="3">
        <v>10.87</v>
      </c>
      <c r="F417" s="3">
        <v>1500</v>
      </c>
      <c r="G417" s="3">
        <v>16305</v>
      </c>
      <c r="H417" s="3">
        <v>0</v>
      </c>
      <c r="I417" s="3">
        <v>5</v>
      </c>
      <c r="J417" s="3">
        <v>16.309999999999999</v>
      </c>
      <c r="K417" s="3">
        <v>0</v>
      </c>
      <c r="L417" s="3">
        <v>0</v>
      </c>
      <c r="M417" s="3">
        <v>16283.69</v>
      </c>
      <c r="N417" s="3">
        <v>54670.03</v>
      </c>
      <c r="O417" s="3" t="str">
        <f>"SW209447"</f>
        <v>SW209447</v>
      </c>
      <c r="P417" s="3">
        <v>10.75</v>
      </c>
      <c r="Q417" s="3">
        <v>1500</v>
      </c>
      <c r="R417" s="3" t="str">
        <f>"0103988319"</f>
        <v>0103988319</v>
      </c>
      <c r="S417" s="3" t="str">
        <f t="shared" si="74"/>
        <v>301719094322</v>
      </c>
      <c r="T417" s="3" t="str">
        <f t="shared" si="72"/>
        <v>人民币</v>
      </c>
    </row>
    <row r="418" spans="1:20" s="3" customFormat="1" x14ac:dyDescent="0.15">
      <c r="A418" s="3" t="str">
        <f t="shared" si="82"/>
        <v>2015-07-06</v>
      </c>
      <c r="B418" s="3" t="str">
        <f>"证券卖出清算"</f>
        <v>证券卖出清算</v>
      </c>
      <c r="C418" s="3" t="str">
        <f>"184721"</f>
        <v>184721</v>
      </c>
      <c r="D418" s="3" t="str">
        <f>"基金丰和"</f>
        <v>基金丰和</v>
      </c>
      <c r="E418" s="3">
        <v>1.0509999999999999</v>
      </c>
      <c r="F418" s="3">
        <v>40000</v>
      </c>
      <c r="G418" s="3">
        <v>42040</v>
      </c>
      <c r="H418" s="3">
        <v>0</v>
      </c>
      <c r="I418" s="3">
        <v>8.41</v>
      </c>
      <c r="J418" s="3">
        <v>0</v>
      </c>
      <c r="K418" s="3">
        <v>0</v>
      </c>
      <c r="L418" s="3">
        <v>0</v>
      </c>
      <c r="M418" s="3">
        <v>42031.59</v>
      </c>
      <c r="N418" s="3">
        <v>96701.62</v>
      </c>
      <c r="O418" s="3" t="str">
        <f>"SW209910"</f>
        <v>SW209910</v>
      </c>
      <c r="P418" s="3">
        <v>1.0509999999999999</v>
      </c>
      <c r="Q418" s="3">
        <v>40000</v>
      </c>
      <c r="R418" s="3" t="str">
        <f>"0103988319"</f>
        <v>0103988319</v>
      </c>
      <c r="S418" s="3" t="str">
        <f t="shared" si="74"/>
        <v>301719094322</v>
      </c>
      <c r="T418" s="3" t="str">
        <f t="shared" si="72"/>
        <v>人民币</v>
      </c>
    </row>
    <row r="419" spans="1:20" s="3" customFormat="1" x14ac:dyDescent="0.15">
      <c r="A419" s="3" t="str">
        <f t="shared" si="82"/>
        <v>2015-07-06</v>
      </c>
      <c r="B419" s="3" t="str">
        <f>"基金申购"</f>
        <v>基金申购</v>
      </c>
      <c r="C419" s="3" t="str">
        <f>"A40006"</f>
        <v>A40006</v>
      </c>
      <c r="D419" s="3" t="str">
        <f>"现金宝"</f>
        <v>现金宝</v>
      </c>
      <c r="E419" s="3">
        <v>1</v>
      </c>
      <c r="F419" s="3">
        <v>96701.61</v>
      </c>
      <c r="G419" s="3">
        <v>96701.61</v>
      </c>
      <c r="H419" s="3">
        <v>98803</v>
      </c>
      <c r="I419" s="3">
        <v>0</v>
      </c>
      <c r="J419" s="3">
        <v>0</v>
      </c>
      <c r="K419" s="3">
        <v>0</v>
      </c>
      <c r="L419" s="3">
        <v>0</v>
      </c>
      <c r="M419" s="3">
        <v>-96701.61</v>
      </c>
      <c r="N419" s="3">
        <v>0.01</v>
      </c>
      <c r="P419" s="3">
        <v>0</v>
      </c>
      <c r="Q419" s="3">
        <v>0</v>
      </c>
      <c r="R419" s="3" t="str">
        <f>"99F625223328"</f>
        <v>99F625223328</v>
      </c>
      <c r="S419" s="3" t="str">
        <f t="shared" si="74"/>
        <v>301719094322</v>
      </c>
      <c r="T419" s="3" t="str">
        <f t="shared" si="72"/>
        <v>人民币</v>
      </c>
    </row>
    <row r="420" spans="1:20" s="3" customFormat="1" x14ac:dyDescent="0.15">
      <c r="A420" s="3" t="str">
        <f>"2015-07-08"</f>
        <v>2015-07-08</v>
      </c>
      <c r="B420" s="3" t="str">
        <f>"基金赎回"</f>
        <v>基金赎回</v>
      </c>
      <c r="C420" s="3" t="str">
        <f>"A40006"</f>
        <v>A40006</v>
      </c>
      <c r="D420" s="3" t="str">
        <f>"现金宝"</f>
        <v>现金宝</v>
      </c>
      <c r="E420" s="3">
        <v>1</v>
      </c>
      <c r="F420" s="3">
        <v>18879.990000000002</v>
      </c>
      <c r="G420" s="3">
        <v>18879.990000000002</v>
      </c>
      <c r="H420" s="3">
        <v>79923</v>
      </c>
      <c r="I420" s="3">
        <v>0</v>
      </c>
      <c r="J420" s="3">
        <v>0</v>
      </c>
      <c r="K420" s="3">
        <v>0</v>
      </c>
      <c r="L420" s="3">
        <v>0</v>
      </c>
      <c r="M420" s="3">
        <v>18879.990000000002</v>
      </c>
      <c r="N420" s="3">
        <v>18880</v>
      </c>
      <c r="P420" s="3">
        <v>0</v>
      </c>
      <c r="Q420" s="3">
        <v>0</v>
      </c>
      <c r="R420" s="3" t="str">
        <f>"99F625223328"</f>
        <v>99F625223328</v>
      </c>
      <c r="S420" s="3" t="str">
        <f t="shared" si="74"/>
        <v>301719094322</v>
      </c>
      <c r="T420" s="3" t="str">
        <f t="shared" si="72"/>
        <v>人民币</v>
      </c>
    </row>
    <row r="421" spans="1:20" s="3" customFormat="1" x14ac:dyDescent="0.15">
      <c r="A421" s="3" t="str">
        <f>"2015-07-08"</f>
        <v>2015-07-08</v>
      </c>
      <c r="B421" s="3" t="str">
        <f>"证券买入清算"</f>
        <v>证券买入清算</v>
      </c>
      <c r="C421" s="3" t="str">
        <f>"002770"</f>
        <v>002770</v>
      </c>
      <c r="D421" s="3" t="str">
        <f>"科迪乳业"</f>
        <v>科迪乳业</v>
      </c>
      <c r="E421" s="3">
        <v>12.63</v>
      </c>
      <c r="F421" s="3">
        <v>500</v>
      </c>
      <c r="G421" s="3">
        <v>6315</v>
      </c>
      <c r="H421" s="3">
        <v>1000</v>
      </c>
      <c r="I421" s="3">
        <v>5</v>
      </c>
      <c r="J421" s="3">
        <v>0</v>
      </c>
      <c r="K421" s="3">
        <v>0</v>
      </c>
      <c r="L421" s="3">
        <v>0</v>
      </c>
      <c r="M421" s="3">
        <v>-6320</v>
      </c>
      <c r="N421" s="3">
        <v>12560</v>
      </c>
      <c r="O421" s="3" t="str">
        <f>"SW455188"</f>
        <v>SW455188</v>
      </c>
      <c r="P421" s="3">
        <v>12.63</v>
      </c>
      <c r="Q421" s="3">
        <v>500</v>
      </c>
      <c r="R421" s="3" t="str">
        <f>"0103988319"</f>
        <v>0103988319</v>
      </c>
      <c r="S421" s="3" t="str">
        <f t="shared" si="74"/>
        <v>301719094322</v>
      </c>
      <c r="T421" s="3" t="str">
        <f t="shared" si="72"/>
        <v>人民币</v>
      </c>
    </row>
    <row r="422" spans="1:20" s="3" customFormat="1" x14ac:dyDescent="0.15">
      <c r="A422" s="3" t="str">
        <f>"2015-07-08"</f>
        <v>2015-07-08</v>
      </c>
      <c r="B422" s="3" t="str">
        <f>"证券买入清算"</f>
        <v>证券买入清算</v>
      </c>
      <c r="C422" s="3" t="str">
        <f>"510050"</f>
        <v>510050</v>
      </c>
      <c r="D422" s="3" t="str">
        <f>"50ETF"</f>
        <v>50ETF</v>
      </c>
      <c r="E422" s="3">
        <v>2.5110000000000001</v>
      </c>
      <c r="F422" s="3">
        <v>5000</v>
      </c>
      <c r="G422" s="3">
        <v>12555</v>
      </c>
      <c r="H422" s="3">
        <v>5000</v>
      </c>
      <c r="I422" s="3">
        <v>5</v>
      </c>
      <c r="J422" s="3">
        <v>0</v>
      </c>
      <c r="K422" s="3">
        <v>0</v>
      </c>
      <c r="L422" s="3">
        <v>0</v>
      </c>
      <c r="M422" s="3">
        <v>-12560</v>
      </c>
      <c r="N422" s="3">
        <v>0</v>
      </c>
      <c r="O422" s="3" t="str">
        <f>"17258856"</f>
        <v>17258856</v>
      </c>
      <c r="P422" s="3">
        <v>2.5110000000000001</v>
      </c>
      <c r="Q422" s="3">
        <v>5000</v>
      </c>
      <c r="R422" s="3" t="str">
        <f>"A761486897"</f>
        <v>A761486897</v>
      </c>
      <c r="S422" s="3" t="str">
        <f t="shared" si="74"/>
        <v>301719094322</v>
      </c>
      <c r="T422" s="3" t="str">
        <f t="shared" si="72"/>
        <v>人民币</v>
      </c>
    </row>
    <row r="423" spans="1:20" s="3" customFormat="1" x14ac:dyDescent="0.15">
      <c r="A423" s="3" t="str">
        <f>"2015-07-09"</f>
        <v>2015-07-09</v>
      </c>
      <c r="B423" s="3" t="str">
        <f>"证券卖出清算"</f>
        <v>证券卖出清算</v>
      </c>
      <c r="C423" s="3" t="str">
        <f>"002770"</f>
        <v>002770</v>
      </c>
      <c r="D423" s="3" t="str">
        <f>"科迪乳业"</f>
        <v>科迪乳业</v>
      </c>
      <c r="E423" s="3">
        <v>13.89</v>
      </c>
      <c r="F423" s="3">
        <v>500</v>
      </c>
      <c r="G423" s="3">
        <v>6945</v>
      </c>
      <c r="H423" s="3">
        <v>500</v>
      </c>
      <c r="I423" s="3">
        <v>5</v>
      </c>
      <c r="J423" s="3">
        <v>6.95</v>
      </c>
      <c r="K423" s="3">
        <v>0</v>
      </c>
      <c r="L423" s="3">
        <v>0</v>
      </c>
      <c r="M423" s="3">
        <v>6933.05</v>
      </c>
      <c r="N423" s="3">
        <v>6933.05</v>
      </c>
      <c r="O423" s="3" t="str">
        <f>"SW565954"</f>
        <v>SW565954</v>
      </c>
      <c r="P423" s="3">
        <v>13.89</v>
      </c>
      <c r="Q423" s="3">
        <v>500</v>
      </c>
      <c r="R423" s="3" t="str">
        <f>"0103988319"</f>
        <v>0103988319</v>
      </c>
      <c r="S423" s="3" t="str">
        <f t="shared" si="74"/>
        <v>301719094322</v>
      </c>
      <c r="T423" s="3" t="str">
        <f t="shared" ref="T423:T432" si="83">"人民币"</f>
        <v>人民币</v>
      </c>
    </row>
    <row r="424" spans="1:20" s="3" customFormat="1" x14ac:dyDescent="0.15">
      <c r="A424" s="3" t="str">
        <f>"2015-07-09"</f>
        <v>2015-07-09</v>
      </c>
      <c r="B424" s="3" t="str">
        <f>"证券买入清算"</f>
        <v>证券买入清算</v>
      </c>
      <c r="C424" s="3" t="str">
        <f>"159915"</f>
        <v>159915</v>
      </c>
      <c r="D424" s="3" t="str">
        <f>"创业板"</f>
        <v>创业板</v>
      </c>
      <c r="E424" s="3">
        <v>1.9870000000000001</v>
      </c>
      <c r="F424" s="3">
        <v>10000</v>
      </c>
      <c r="G424" s="3">
        <v>19870</v>
      </c>
      <c r="H424" s="3">
        <v>10000</v>
      </c>
      <c r="I424" s="3">
        <v>5</v>
      </c>
      <c r="J424" s="3">
        <v>0</v>
      </c>
      <c r="K424" s="3">
        <v>0</v>
      </c>
      <c r="L424" s="3">
        <v>0</v>
      </c>
      <c r="M424" s="3">
        <v>-19875</v>
      </c>
      <c r="N424" s="3">
        <v>-12941.95</v>
      </c>
      <c r="O424" s="3" t="str">
        <f>"SW581802"</f>
        <v>SW581802</v>
      </c>
      <c r="P424" s="3">
        <v>1.9870000000000001</v>
      </c>
      <c r="Q424" s="3">
        <v>10000</v>
      </c>
      <c r="R424" s="3" t="str">
        <f>"0103988319"</f>
        <v>0103988319</v>
      </c>
      <c r="S424" s="3" t="str">
        <f t="shared" si="74"/>
        <v>301719094322</v>
      </c>
      <c r="T424" s="3" t="str">
        <f t="shared" si="83"/>
        <v>人民币</v>
      </c>
    </row>
    <row r="425" spans="1:20" s="3" customFormat="1" x14ac:dyDescent="0.15">
      <c r="A425" s="3" t="str">
        <f>"2015-07-09"</f>
        <v>2015-07-09</v>
      </c>
      <c r="B425" s="3" t="str">
        <f>"证券卖出清算"</f>
        <v>证券卖出清算</v>
      </c>
      <c r="C425" s="3" t="str">
        <f>"510050"</f>
        <v>510050</v>
      </c>
      <c r="D425" s="3" t="str">
        <f>"50ETF"</f>
        <v>50ETF</v>
      </c>
      <c r="E425" s="3">
        <v>2.7650000000000001</v>
      </c>
      <c r="F425" s="3">
        <v>5000</v>
      </c>
      <c r="G425" s="3">
        <v>13825</v>
      </c>
      <c r="H425" s="3">
        <v>0</v>
      </c>
      <c r="I425" s="3">
        <v>5</v>
      </c>
      <c r="J425" s="3">
        <v>0</v>
      </c>
      <c r="K425" s="3">
        <v>0</v>
      </c>
      <c r="L425" s="3">
        <v>0</v>
      </c>
      <c r="M425" s="3">
        <v>13820</v>
      </c>
      <c r="N425" s="3">
        <v>878.05</v>
      </c>
      <c r="O425" s="3" t="str">
        <f>"17750206"</f>
        <v>17750206</v>
      </c>
      <c r="P425" s="3">
        <v>2.7650000000000001</v>
      </c>
      <c r="Q425" s="3">
        <v>5000</v>
      </c>
      <c r="R425" s="3" t="str">
        <f>"A761486897"</f>
        <v>A761486897</v>
      </c>
      <c r="S425" s="3" t="str">
        <f t="shared" si="74"/>
        <v>301719094322</v>
      </c>
      <c r="T425" s="3" t="str">
        <f t="shared" si="83"/>
        <v>人民币</v>
      </c>
    </row>
    <row r="426" spans="1:20" s="3" customFormat="1" x14ac:dyDescent="0.15">
      <c r="A426" s="3" t="str">
        <f>"2015-07-10"</f>
        <v>2015-07-10</v>
      </c>
      <c r="B426" s="3" t="str">
        <f>"证券卖出清算"</f>
        <v>证券卖出清算</v>
      </c>
      <c r="C426" s="3" t="str">
        <f>"159915"</f>
        <v>159915</v>
      </c>
      <c r="D426" s="3" t="str">
        <f>"创业板"</f>
        <v>创业板</v>
      </c>
      <c r="E426" s="3">
        <v>2.29</v>
      </c>
      <c r="F426" s="3">
        <v>10000</v>
      </c>
      <c r="G426" s="3">
        <v>22900</v>
      </c>
      <c r="H426" s="3">
        <v>0</v>
      </c>
      <c r="I426" s="3">
        <v>5</v>
      </c>
      <c r="J426" s="3">
        <v>0</v>
      </c>
      <c r="K426" s="3">
        <v>0</v>
      </c>
      <c r="L426" s="3">
        <v>0</v>
      </c>
      <c r="M426" s="3">
        <v>22895</v>
      </c>
      <c r="N426" s="3">
        <v>23773.05</v>
      </c>
      <c r="O426" s="3" t="str">
        <f>"SW709762"</f>
        <v>SW709762</v>
      </c>
      <c r="P426" s="3">
        <v>1.88</v>
      </c>
      <c r="Q426" s="3">
        <v>10000</v>
      </c>
      <c r="R426" s="3" t="str">
        <f>"0103988319"</f>
        <v>0103988319</v>
      </c>
      <c r="S426" s="3" t="str">
        <f t="shared" si="74"/>
        <v>301719094322</v>
      </c>
      <c r="T426" s="3" t="str">
        <f t="shared" si="83"/>
        <v>人民币</v>
      </c>
    </row>
    <row r="427" spans="1:20" s="3" customFormat="1" x14ac:dyDescent="0.15">
      <c r="A427" s="3" t="str">
        <f>"2015-07-10"</f>
        <v>2015-07-10</v>
      </c>
      <c r="B427" s="3" t="str">
        <f>"证券卖出清算"</f>
        <v>证券卖出清算</v>
      </c>
      <c r="C427" s="3" t="str">
        <f>"002770"</f>
        <v>002770</v>
      </c>
      <c r="D427" s="3" t="str">
        <f>"科迪乳业"</f>
        <v>科迪乳业</v>
      </c>
      <c r="E427" s="3">
        <v>15.28</v>
      </c>
      <c r="F427" s="3">
        <v>500</v>
      </c>
      <c r="G427" s="3">
        <v>7640</v>
      </c>
      <c r="H427" s="3">
        <v>0</v>
      </c>
      <c r="I427" s="3">
        <v>5</v>
      </c>
      <c r="J427" s="3">
        <v>7.64</v>
      </c>
      <c r="K427" s="3">
        <v>0</v>
      </c>
      <c r="L427" s="3">
        <v>0</v>
      </c>
      <c r="M427" s="3">
        <v>7627.36</v>
      </c>
      <c r="N427" s="3">
        <v>31400.41</v>
      </c>
      <c r="O427" s="3" t="str">
        <f>"SW709790"</f>
        <v>SW709790</v>
      </c>
      <c r="P427" s="3">
        <v>12.5</v>
      </c>
      <c r="Q427" s="3">
        <v>500</v>
      </c>
      <c r="R427" s="3" t="str">
        <f>"0103988319"</f>
        <v>0103988319</v>
      </c>
      <c r="S427" s="3" t="str">
        <f t="shared" si="74"/>
        <v>301719094322</v>
      </c>
      <c r="T427" s="3" t="str">
        <f t="shared" si="83"/>
        <v>人民币</v>
      </c>
    </row>
    <row r="428" spans="1:20" s="3" customFormat="1" x14ac:dyDescent="0.15">
      <c r="A428" s="3" t="str">
        <f>"2015-07-10"</f>
        <v>2015-07-10</v>
      </c>
      <c r="B428" s="3" t="str">
        <f>"基金申购"</f>
        <v>基金申购</v>
      </c>
      <c r="C428" s="3" t="str">
        <f>"A40006"</f>
        <v>A40006</v>
      </c>
      <c r="D428" s="3" t="str">
        <f>"现金宝"</f>
        <v>现金宝</v>
      </c>
      <c r="E428" s="3">
        <v>1</v>
      </c>
      <c r="F428" s="3">
        <v>31400.41</v>
      </c>
      <c r="G428" s="3">
        <v>31400.41</v>
      </c>
      <c r="H428" s="3">
        <v>111323</v>
      </c>
      <c r="I428" s="3">
        <v>0</v>
      </c>
      <c r="J428" s="3">
        <v>0</v>
      </c>
      <c r="K428" s="3">
        <v>0</v>
      </c>
      <c r="L428" s="3">
        <v>0</v>
      </c>
      <c r="M428" s="3">
        <v>-31400.41</v>
      </c>
      <c r="N428" s="3">
        <v>0</v>
      </c>
      <c r="P428" s="3">
        <v>0</v>
      </c>
      <c r="Q428" s="3">
        <v>0</v>
      </c>
      <c r="R428" s="3" t="str">
        <f>"99F625223328"</f>
        <v>99F625223328</v>
      </c>
      <c r="S428" s="3" t="str">
        <f t="shared" si="74"/>
        <v>301719094322</v>
      </c>
      <c r="T428" s="3" t="str">
        <f t="shared" si="83"/>
        <v>人民币</v>
      </c>
    </row>
    <row r="429" spans="1:20" s="3" customFormat="1" x14ac:dyDescent="0.15">
      <c r="A429" s="3" t="str">
        <f>"2015-07-20"</f>
        <v>2015-07-20</v>
      </c>
      <c r="B429" s="3" t="str">
        <f>"银证转入"</f>
        <v>银证转入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6196.03</v>
      </c>
      <c r="N429" s="3">
        <v>6196.03</v>
      </c>
      <c r="P429" s="3">
        <v>0</v>
      </c>
      <c r="Q429" s="3">
        <v>0</v>
      </c>
      <c r="S429" s="3" t="str">
        <f>"301719094323"</f>
        <v>301719094323</v>
      </c>
      <c r="T429" s="3" t="str">
        <f t="shared" si="83"/>
        <v>人民币</v>
      </c>
    </row>
    <row r="430" spans="1:20" s="3" customFormat="1" x14ac:dyDescent="0.15">
      <c r="A430" s="3" t="str">
        <f>"2015-07-20"</f>
        <v>2015-07-20</v>
      </c>
      <c r="B430" s="3" t="str">
        <f>"跨行转出"</f>
        <v>跨行转出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-6196.03</v>
      </c>
      <c r="N430" s="3">
        <v>0</v>
      </c>
      <c r="P430" s="3">
        <v>0</v>
      </c>
      <c r="Q430" s="3">
        <v>0</v>
      </c>
      <c r="S430" s="3" t="str">
        <f>"301719094323"</f>
        <v>301719094323</v>
      </c>
      <c r="T430" s="3" t="str">
        <f t="shared" si="83"/>
        <v>人民币</v>
      </c>
    </row>
    <row r="431" spans="1:20" s="3" customFormat="1" x14ac:dyDescent="0.15">
      <c r="A431" s="3" t="str">
        <f>"2015-07-20"</f>
        <v>2015-07-20</v>
      </c>
      <c r="B431" s="3" t="str">
        <f>"跨行转入"</f>
        <v>跨行转入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6196.03</v>
      </c>
      <c r="N431" s="3">
        <v>6196.03</v>
      </c>
      <c r="P431" s="3">
        <v>0</v>
      </c>
      <c r="Q431" s="3">
        <v>0</v>
      </c>
      <c r="S431" s="3" t="str">
        <f t="shared" ref="S431:S442" si="84">"301719094322"</f>
        <v>301719094322</v>
      </c>
      <c r="T431" s="3" t="str">
        <f t="shared" si="83"/>
        <v>人民币</v>
      </c>
    </row>
    <row r="432" spans="1:20" s="3" customFormat="1" x14ac:dyDescent="0.15">
      <c r="A432" s="3" t="str">
        <f>"2015-07-20"</f>
        <v>2015-07-20</v>
      </c>
      <c r="B432" s="3" t="str">
        <f>"基金申购"</f>
        <v>基金申购</v>
      </c>
      <c r="C432" s="3" t="str">
        <f>"A40006"</f>
        <v>A40006</v>
      </c>
      <c r="D432" s="3" t="str">
        <f>"现金宝"</f>
        <v>现金宝</v>
      </c>
      <c r="E432" s="3">
        <v>1</v>
      </c>
      <c r="F432" s="3">
        <v>6196.03</v>
      </c>
      <c r="G432" s="3">
        <v>6196.03</v>
      </c>
      <c r="H432" s="3">
        <v>117519</v>
      </c>
      <c r="I432" s="3">
        <v>0</v>
      </c>
      <c r="J432" s="3">
        <v>0</v>
      </c>
      <c r="K432" s="3">
        <v>0</v>
      </c>
      <c r="L432" s="3">
        <v>0</v>
      </c>
      <c r="M432" s="3">
        <v>-6196.03</v>
      </c>
      <c r="N432" s="3">
        <v>0</v>
      </c>
      <c r="P432" s="3">
        <v>0</v>
      </c>
      <c r="Q432" s="3">
        <v>0</v>
      </c>
      <c r="R432" s="3" t="str">
        <f>"99F625223328"</f>
        <v>99F625223328</v>
      </c>
      <c r="S432" s="3" t="str">
        <f t="shared" si="84"/>
        <v>301719094322</v>
      </c>
      <c r="T432" s="3" t="str">
        <f t="shared" si="83"/>
        <v>人民币</v>
      </c>
    </row>
    <row r="433" spans="1:20" s="3" customFormat="1" x14ac:dyDescent="0.15">
      <c r="A433" s="3" t="str">
        <f>"2015-09-21"</f>
        <v>2015-09-21</v>
      </c>
      <c r="B433" s="3" t="str">
        <f>"利息归本"</f>
        <v>利息归本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11.69</v>
      </c>
      <c r="N433" s="3">
        <v>11.69</v>
      </c>
      <c r="P433" s="3">
        <v>0</v>
      </c>
      <c r="Q433" s="3">
        <v>0</v>
      </c>
      <c r="S433" s="3" t="str">
        <f t="shared" si="84"/>
        <v>301719094322</v>
      </c>
      <c r="T433" s="3" t="str">
        <f t="shared" ref="T433:T438" si="85">"人民币"</f>
        <v>人民币</v>
      </c>
    </row>
    <row r="434" spans="1:20" s="3" customFormat="1" x14ac:dyDescent="0.15">
      <c r="A434" s="3" t="str">
        <f>"2015-09-24"</f>
        <v>2015-09-24</v>
      </c>
      <c r="B434" s="3" t="str">
        <f>"红利发放"</f>
        <v>红利发放</v>
      </c>
      <c r="C434" s="3" t="str">
        <f>"A40006"</f>
        <v>A40006</v>
      </c>
      <c r="D434" s="3" t="str">
        <f>"现金宝"</f>
        <v>现金宝</v>
      </c>
      <c r="E434" s="3">
        <v>1</v>
      </c>
      <c r="F434" s="3">
        <v>0</v>
      </c>
      <c r="G434" s="3">
        <v>772.25</v>
      </c>
      <c r="H434" s="3">
        <v>117519</v>
      </c>
      <c r="I434" s="3">
        <v>0</v>
      </c>
      <c r="J434" s="3">
        <v>0</v>
      </c>
      <c r="K434" s="3">
        <v>0</v>
      </c>
      <c r="L434" s="3">
        <v>0</v>
      </c>
      <c r="M434" s="3">
        <v>772.25</v>
      </c>
      <c r="N434" s="3">
        <v>783.94</v>
      </c>
      <c r="P434" s="3">
        <v>1E-3</v>
      </c>
      <c r="Q434" s="3">
        <v>0</v>
      </c>
      <c r="R434" s="3" t="str">
        <f>"99F625223328"</f>
        <v>99F625223328</v>
      </c>
      <c r="S434" s="3" t="str">
        <f t="shared" si="84"/>
        <v>301719094322</v>
      </c>
      <c r="T434" s="3" t="str">
        <f t="shared" si="85"/>
        <v>人民币</v>
      </c>
    </row>
    <row r="435" spans="1:20" s="3" customFormat="1" x14ac:dyDescent="0.15">
      <c r="A435" s="3" t="str">
        <f>"2015-11-06"</f>
        <v>2015-11-06</v>
      </c>
      <c r="B435" s="3" t="str">
        <f>"基金赎回"</f>
        <v>基金赎回</v>
      </c>
      <c r="C435" s="3" t="str">
        <f>"A40006"</f>
        <v>A40006</v>
      </c>
      <c r="D435" s="3" t="str">
        <f>"现金宝"</f>
        <v>现金宝</v>
      </c>
      <c r="E435" s="3">
        <v>1</v>
      </c>
      <c r="F435" s="3">
        <v>46349.48</v>
      </c>
      <c r="G435" s="3">
        <v>46349.48</v>
      </c>
      <c r="H435" s="3">
        <v>71170</v>
      </c>
      <c r="I435" s="3">
        <v>0</v>
      </c>
      <c r="J435" s="3">
        <v>0</v>
      </c>
      <c r="K435" s="3">
        <v>0</v>
      </c>
      <c r="L435" s="3">
        <v>0</v>
      </c>
      <c r="M435" s="3">
        <v>46349.48</v>
      </c>
      <c r="N435" s="3">
        <v>47133.42</v>
      </c>
      <c r="P435" s="3">
        <v>0</v>
      </c>
      <c r="Q435" s="3">
        <v>0</v>
      </c>
      <c r="R435" s="3" t="str">
        <f>"99F625223328"</f>
        <v>99F625223328</v>
      </c>
      <c r="S435" s="3" t="str">
        <f t="shared" si="84"/>
        <v>301719094322</v>
      </c>
      <c r="T435" s="3" t="str">
        <f t="shared" si="85"/>
        <v>人民币</v>
      </c>
    </row>
    <row r="436" spans="1:20" s="3" customFormat="1" x14ac:dyDescent="0.15">
      <c r="A436" s="3" t="str">
        <f>"2015-11-09"</f>
        <v>2015-11-09</v>
      </c>
      <c r="B436" s="3" t="str">
        <f>"基金申购"</f>
        <v>基金申购</v>
      </c>
      <c r="C436" s="3" t="str">
        <f>"A40006"</f>
        <v>A40006</v>
      </c>
      <c r="D436" s="3" t="str">
        <f>"现金宝"</f>
        <v>现金宝</v>
      </c>
      <c r="E436" s="3">
        <v>1</v>
      </c>
      <c r="F436" s="3">
        <v>47133.42</v>
      </c>
      <c r="G436" s="3">
        <v>47133.42</v>
      </c>
      <c r="H436" s="3">
        <v>118303</v>
      </c>
      <c r="I436" s="3">
        <v>0</v>
      </c>
      <c r="J436" s="3">
        <v>0</v>
      </c>
      <c r="K436" s="3">
        <v>0</v>
      </c>
      <c r="L436" s="3">
        <v>0</v>
      </c>
      <c r="M436" s="3">
        <v>-47133.42</v>
      </c>
      <c r="N436" s="3">
        <v>0</v>
      </c>
      <c r="P436" s="3">
        <v>0</v>
      </c>
      <c r="Q436" s="3">
        <v>0</v>
      </c>
      <c r="R436" s="3" t="str">
        <f>"99F625223328"</f>
        <v>99F625223328</v>
      </c>
      <c r="S436" s="3" t="str">
        <f t="shared" si="84"/>
        <v>301719094322</v>
      </c>
      <c r="T436" s="3" t="str">
        <f t="shared" si="85"/>
        <v>人民币</v>
      </c>
    </row>
    <row r="437" spans="1:20" s="3" customFormat="1" x14ac:dyDescent="0.15">
      <c r="A437" s="3" t="str">
        <f>"2015-11-27"</f>
        <v>2015-11-27</v>
      </c>
      <c r="B437" s="3" t="str">
        <f>"基金赎回"</f>
        <v>基金赎回</v>
      </c>
      <c r="C437" s="3" t="str">
        <f>"A40006"</f>
        <v>A40006</v>
      </c>
      <c r="D437" s="3" t="str">
        <f>"现金宝"</f>
        <v>现金宝</v>
      </c>
      <c r="E437" s="3">
        <v>1</v>
      </c>
      <c r="F437" s="3">
        <v>25715.14</v>
      </c>
      <c r="G437" s="3">
        <v>25715.14</v>
      </c>
      <c r="H437" s="3">
        <v>92588</v>
      </c>
      <c r="I437" s="3">
        <v>0</v>
      </c>
      <c r="J437" s="3">
        <v>0</v>
      </c>
      <c r="K437" s="3">
        <v>0</v>
      </c>
      <c r="L437" s="3">
        <v>0</v>
      </c>
      <c r="M437" s="3">
        <v>25715.14</v>
      </c>
      <c r="N437" s="3">
        <v>25715.14</v>
      </c>
      <c r="P437" s="3">
        <v>0</v>
      </c>
      <c r="Q437" s="3">
        <v>0</v>
      </c>
      <c r="R437" s="3" t="str">
        <f>"99F625223328"</f>
        <v>99F625223328</v>
      </c>
      <c r="S437" s="3" t="str">
        <f t="shared" si="84"/>
        <v>301719094322</v>
      </c>
      <c r="T437" s="3" t="str">
        <f t="shared" si="85"/>
        <v>人民币</v>
      </c>
    </row>
    <row r="438" spans="1:20" s="3" customFormat="1" x14ac:dyDescent="0.15">
      <c r="A438" s="3" t="str">
        <f>"2015-11-27"</f>
        <v>2015-11-27</v>
      </c>
      <c r="B438" s="3" t="str">
        <f>"证券买入清算"</f>
        <v>证券买入清算</v>
      </c>
      <c r="C438" s="3" t="str">
        <f>"159915"</f>
        <v>159915</v>
      </c>
      <c r="D438" s="3" t="str">
        <f>"创业板"</f>
        <v>创业板</v>
      </c>
      <c r="E438" s="3">
        <v>2.5710000000000002</v>
      </c>
      <c r="F438" s="3">
        <v>10000</v>
      </c>
      <c r="G438" s="3">
        <v>25710</v>
      </c>
      <c r="H438" s="3">
        <v>10000</v>
      </c>
      <c r="I438" s="3">
        <v>5.14</v>
      </c>
      <c r="J438" s="3">
        <v>0</v>
      </c>
      <c r="K438" s="3">
        <v>0</v>
      </c>
      <c r="L438" s="3">
        <v>0</v>
      </c>
      <c r="M438" s="3">
        <v>-25715.14</v>
      </c>
      <c r="N438" s="3">
        <v>0</v>
      </c>
      <c r="O438" s="3" t="str">
        <f>"SW271532"</f>
        <v>SW271532</v>
      </c>
      <c r="P438" s="3">
        <v>2.5710000000000002</v>
      </c>
      <c r="Q438" s="3">
        <v>10000</v>
      </c>
      <c r="R438" s="3" t="str">
        <f>"0103988319"</f>
        <v>0103988319</v>
      </c>
      <c r="S438" s="3" t="str">
        <f t="shared" si="84"/>
        <v>301719094322</v>
      </c>
      <c r="T438" s="3" t="str">
        <f t="shared" si="85"/>
        <v>人民币</v>
      </c>
    </row>
    <row r="439" spans="1:20" s="3" customFormat="1" x14ac:dyDescent="0.15">
      <c r="A439" s="3" t="str">
        <f>"2015-12-04"</f>
        <v>2015-12-04</v>
      </c>
      <c r="B439" s="3" t="str">
        <f>"证券卖出清算"</f>
        <v>证券卖出清算</v>
      </c>
      <c r="C439" s="3" t="str">
        <f>"159915"</f>
        <v>159915</v>
      </c>
      <c r="D439" s="3" t="str">
        <f>"创业板"</f>
        <v>创业板</v>
      </c>
      <c r="E439" s="3">
        <v>2.58</v>
      </c>
      <c r="F439" s="3">
        <v>10000</v>
      </c>
      <c r="G439" s="3">
        <v>25800</v>
      </c>
      <c r="H439" s="3">
        <v>0</v>
      </c>
      <c r="I439" s="3">
        <v>5.16</v>
      </c>
      <c r="J439" s="3">
        <v>0</v>
      </c>
      <c r="K439" s="3">
        <v>0</v>
      </c>
      <c r="L439" s="3">
        <v>0</v>
      </c>
      <c r="M439" s="3">
        <v>25794.84</v>
      </c>
      <c r="N439" s="3">
        <v>25794.84</v>
      </c>
      <c r="O439" s="3" t="str">
        <f>"SW332143"</f>
        <v>SW332143</v>
      </c>
      <c r="P439" s="3">
        <v>2.58</v>
      </c>
      <c r="Q439" s="3">
        <v>10000</v>
      </c>
      <c r="R439" s="3" t="str">
        <f>"0103988319"</f>
        <v>0103988319</v>
      </c>
      <c r="S439" s="3" t="str">
        <f t="shared" si="84"/>
        <v>301719094322</v>
      </c>
      <c r="T439" s="3" t="str">
        <f t="shared" ref="T439:T463" si="86">"人民币"</f>
        <v>人民币</v>
      </c>
    </row>
    <row r="440" spans="1:20" s="3" customFormat="1" x14ac:dyDescent="0.15">
      <c r="A440" s="3" t="str">
        <f>"2015-12-04"</f>
        <v>2015-12-04</v>
      </c>
      <c r="B440" s="3" t="str">
        <f>"基金申购"</f>
        <v>基金申购</v>
      </c>
      <c r="C440" s="3" t="str">
        <f>"A40006"</f>
        <v>A40006</v>
      </c>
      <c r="D440" s="3" t="str">
        <f>"现金宝"</f>
        <v>现金宝</v>
      </c>
      <c r="E440" s="3">
        <v>1</v>
      </c>
      <c r="F440" s="3">
        <v>25794.84</v>
      </c>
      <c r="G440" s="3">
        <v>25794.84</v>
      </c>
      <c r="H440" s="3">
        <v>118383</v>
      </c>
      <c r="I440" s="3">
        <v>0</v>
      </c>
      <c r="J440" s="3">
        <v>0</v>
      </c>
      <c r="K440" s="3">
        <v>0</v>
      </c>
      <c r="L440" s="3">
        <v>0</v>
      </c>
      <c r="M440" s="3">
        <v>-25794.84</v>
      </c>
      <c r="N440" s="3">
        <v>0</v>
      </c>
      <c r="P440" s="3">
        <v>0</v>
      </c>
      <c r="Q440" s="3">
        <v>0</v>
      </c>
      <c r="R440" s="3" t="str">
        <f>"99F625223328"</f>
        <v>99F625223328</v>
      </c>
      <c r="S440" s="3" t="str">
        <f t="shared" si="84"/>
        <v>301719094322</v>
      </c>
      <c r="T440" s="3" t="str">
        <f t="shared" si="86"/>
        <v>人民币</v>
      </c>
    </row>
    <row r="441" spans="1:20" s="3" customFormat="1" x14ac:dyDescent="0.15">
      <c r="A441" s="3" t="str">
        <f>"2015-12-14"</f>
        <v>2015-12-14</v>
      </c>
      <c r="B441" s="3" t="str">
        <f>"基金赎回"</f>
        <v>基金赎回</v>
      </c>
      <c r="C441" s="3" t="str">
        <f>"A40006"</f>
        <v>A40006</v>
      </c>
      <c r="D441" s="3" t="str">
        <f>"现金宝"</f>
        <v>现金宝</v>
      </c>
      <c r="E441" s="3">
        <v>1</v>
      </c>
      <c r="F441" s="3">
        <v>26213.24</v>
      </c>
      <c r="G441" s="3">
        <v>26213.24</v>
      </c>
      <c r="H441" s="3">
        <v>92170</v>
      </c>
      <c r="I441" s="3">
        <v>0</v>
      </c>
      <c r="J441" s="3">
        <v>0</v>
      </c>
      <c r="K441" s="3">
        <v>0</v>
      </c>
      <c r="L441" s="3">
        <v>0</v>
      </c>
      <c r="M441" s="3">
        <v>26213.24</v>
      </c>
      <c r="N441" s="3">
        <v>26213.24</v>
      </c>
      <c r="P441" s="3">
        <v>0</v>
      </c>
      <c r="Q441" s="3">
        <v>0</v>
      </c>
      <c r="R441" s="3" t="str">
        <f>"99F625223328"</f>
        <v>99F625223328</v>
      </c>
      <c r="S441" s="3" t="str">
        <f t="shared" si="84"/>
        <v>301719094322</v>
      </c>
      <c r="T441" s="3" t="str">
        <f t="shared" si="86"/>
        <v>人民币</v>
      </c>
    </row>
    <row r="442" spans="1:20" s="3" customFormat="1" x14ac:dyDescent="0.15">
      <c r="A442" s="3" t="str">
        <f>"2015-12-14"</f>
        <v>2015-12-14</v>
      </c>
      <c r="B442" s="3" t="str">
        <f>"证券买入清算"</f>
        <v>证券买入清算</v>
      </c>
      <c r="C442" s="3" t="str">
        <f>"510300"</f>
        <v>510300</v>
      </c>
      <c r="D442" s="3" t="str">
        <f>"300ETF"</f>
        <v>300ETF</v>
      </c>
      <c r="E442" s="3">
        <v>3.7440000000000002</v>
      </c>
      <c r="F442" s="3">
        <v>7000</v>
      </c>
      <c r="G442" s="3">
        <v>26208</v>
      </c>
      <c r="H442" s="3">
        <v>7000</v>
      </c>
      <c r="I442" s="3">
        <v>5.24</v>
      </c>
      <c r="J442" s="3">
        <v>0</v>
      </c>
      <c r="K442" s="3">
        <v>0</v>
      </c>
      <c r="L442" s="3">
        <v>0</v>
      </c>
      <c r="M442" s="3">
        <v>-26213.24</v>
      </c>
      <c r="N442" s="3">
        <v>0</v>
      </c>
      <c r="O442" s="3" t="str">
        <f>"17679803"</f>
        <v>17679803</v>
      </c>
      <c r="P442" s="3">
        <v>3.7440000000000002</v>
      </c>
      <c r="Q442" s="3">
        <v>7000</v>
      </c>
      <c r="R442" s="3" t="str">
        <f>"A761486897"</f>
        <v>A761486897</v>
      </c>
      <c r="S442" s="3" t="str">
        <f t="shared" si="84"/>
        <v>301719094322</v>
      </c>
      <c r="T442" s="3" t="str">
        <f t="shared" si="86"/>
        <v>人民币</v>
      </c>
    </row>
    <row r="443" spans="1:20" s="3" customFormat="1" x14ac:dyDescent="0.15">
      <c r="A443" s="3" t="str">
        <f t="shared" ref="A443:A450" si="87">"2015-12-15"</f>
        <v>2015-12-15</v>
      </c>
      <c r="B443" s="3" t="str">
        <f>"银证转入"</f>
        <v>银证转入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2000</v>
      </c>
      <c r="N443" s="3">
        <v>2000</v>
      </c>
      <c r="P443" s="3">
        <v>0</v>
      </c>
      <c r="Q443" s="3">
        <v>0</v>
      </c>
      <c r="S443" s="3" t="str">
        <f>"301719094323"</f>
        <v>301719094323</v>
      </c>
      <c r="T443" s="3" t="str">
        <f t="shared" si="86"/>
        <v>人民币</v>
      </c>
    </row>
    <row r="444" spans="1:20" s="3" customFormat="1" x14ac:dyDescent="0.15">
      <c r="A444" s="3" t="str">
        <f t="shared" si="87"/>
        <v>2015-12-15</v>
      </c>
      <c r="B444" s="3" t="str">
        <f>"银证转入"</f>
        <v>银证转入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505</v>
      </c>
      <c r="N444" s="3">
        <v>505</v>
      </c>
      <c r="P444" s="3">
        <v>0</v>
      </c>
      <c r="Q444" s="3">
        <v>0</v>
      </c>
      <c r="S444" s="3" t="str">
        <f>"301719093190"</f>
        <v>301719093190</v>
      </c>
      <c r="T444" s="3" t="str">
        <f t="shared" si="86"/>
        <v>人民币</v>
      </c>
    </row>
    <row r="445" spans="1:20" s="3" customFormat="1" x14ac:dyDescent="0.15">
      <c r="A445" s="3" t="str">
        <f t="shared" si="87"/>
        <v>2015-12-15</v>
      </c>
      <c r="B445" s="3" t="str">
        <f>"跨行转出"</f>
        <v>跨行转出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-505</v>
      </c>
      <c r="N445" s="3">
        <v>0</v>
      </c>
      <c r="P445" s="3">
        <v>0</v>
      </c>
      <c r="Q445" s="3">
        <v>0</v>
      </c>
      <c r="S445" s="3" t="str">
        <f>"301719093190"</f>
        <v>301719093190</v>
      </c>
      <c r="T445" s="3" t="str">
        <f t="shared" si="86"/>
        <v>人民币</v>
      </c>
    </row>
    <row r="446" spans="1:20" s="3" customFormat="1" x14ac:dyDescent="0.15">
      <c r="A446" s="3" t="str">
        <f t="shared" si="87"/>
        <v>2015-12-15</v>
      </c>
      <c r="B446" s="3" t="str">
        <f>"跨行转入"</f>
        <v>跨行转入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505</v>
      </c>
      <c r="N446" s="3">
        <v>505</v>
      </c>
      <c r="P446" s="3">
        <v>0</v>
      </c>
      <c r="Q446" s="3">
        <v>0</v>
      </c>
      <c r="S446" s="3" t="str">
        <f>"301719094322"</f>
        <v>301719094322</v>
      </c>
      <c r="T446" s="3" t="str">
        <f t="shared" si="86"/>
        <v>人民币</v>
      </c>
    </row>
    <row r="447" spans="1:20" s="3" customFormat="1" x14ac:dyDescent="0.15">
      <c r="A447" s="3" t="str">
        <f t="shared" si="87"/>
        <v>2015-12-15</v>
      </c>
      <c r="B447" s="3" t="str">
        <f>"跨行转出"</f>
        <v>跨行转出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-2000</v>
      </c>
      <c r="N447" s="3">
        <v>0</v>
      </c>
      <c r="P447" s="3">
        <v>0</v>
      </c>
      <c r="Q447" s="3">
        <v>0</v>
      </c>
      <c r="S447" s="3" t="str">
        <f>"301719094323"</f>
        <v>301719094323</v>
      </c>
      <c r="T447" s="3" t="str">
        <f t="shared" si="86"/>
        <v>人民币</v>
      </c>
    </row>
    <row r="448" spans="1:20" s="3" customFormat="1" x14ac:dyDescent="0.15">
      <c r="A448" s="3" t="str">
        <f t="shared" si="87"/>
        <v>2015-12-15</v>
      </c>
      <c r="B448" s="3" t="str">
        <f>"跨行转入"</f>
        <v>跨行转入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2000</v>
      </c>
      <c r="N448" s="3">
        <v>2505</v>
      </c>
      <c r="P448" s="3">
        <v>0</v>
      </c>
      <c r="Q448" s="3">
        <v>0</v>
      </c>
      <c r="S448" s="3" t="str">
        <f t="shared" ref="S448:S463" si="88">"301719094322"</f>
        <v>301719094322</v>
      </c>
      <c r="T448" s="3" t="str">
        <f t="shared" si="86"/>
        <v>人民币</v>
      </c>
    </row>
    <row r="449" spans="1:20" s="3" customFormat="1" x14ac:dyDescent="0.15">
      <c r="A449" s="3" t="str">
        <f t="shared" si="87"/>
        <v>2015-12-15</v>
      </c>
      <c r="B449" s="3" t="str">
        <f>"证券卖出清算"</f>
        <v>证券卖出清算</v>
      </c>
      <c r="C449" s="3" t="str">
        <f>"510300"</f>
        <v>510300</v>
      </c>
      <c r="D449" s="3" t="str">
        <f>"300ETF"</f>
        <v>300ETF</v>
      </c>
      <c r="E449" s="3">
        <v>3.7679999999999998</v>
      </c>
      <c r="F449" s="3">
        <v>7000</v>
      </c>
      <c r="G449" s="3">
        <v>26376</v>
      </c>
      <c r="H449" s="3">
        <v>0</v>
      </c>
      <c r="I449" s="3">
        <v>5.28</v>
      </c>
      <c r="J449" s="3">
        <v>0</v>
      </c>
      <c r="K449" s="3">
        <v>0</v>
      </c>
      <c r="L449" s="3">
        <v>0</v>
      </c>
      <c r="M449" s="3">
        <v>26370.720000000001</v>
      </c>
      <c r="N449" s="3">
        <v>28875.72</v>
      </c>
      <c r="O449" s="3" t="str">
        <f>"17707467"</f>
        <v>17707467</v>
      </c>
      <c r="P449" s="3">
        <v>3.3959999999999999</v>
      </c>
      <c r="Q449" s="3">
        <v>7000</v>
      </c>
      <c r="R449" s="3" t="str">
        <f>"A761486897"</f>
        <v>A761486897</v>
      </c>
      <c r="S449" s="3" t="str">
        <f t="shared" si="88"/>
        <v>301719094322</v>
      </c>
      <c r="T449" s="3" t="str">
        <f t="shared" si="86"/>
        <v>人民币</v>
      </c>
    </row>
    <row r="450" spans="1:20" s="3" customFormat="1" x14ac:dyDescent="0.15">
      <c r="A450" s="3" t="str">
        <f t="shared" si="87"/>
        <v>2015-12-15</v>
      </c>
      <c r="B450" s="3" t="str">
        <f>"基金申购"</f>
        <v>基金申购</v>
      </c>
      <c r="C450" s="3" t="str">
        <f>"A40006"</f>
        <v>A40006</v>
      </c>
      <c r="D450" s="3" t="str">
        <f>"现金宝"</f>
        <v>现金宝</v>
      </c>
      <c r="E450" s="3">
        <v>1</v>
      </c>
      <c r="F450" s="3">
        <v>3665.08</v>
      </c>
      <c r="G450" s="3">
        <v>3665.08</v>
      </c>
      <c r="H450" s="3">
        <v>95835</v>
      </c>
      <c r="I450" s="3">
        <v>0</v>
      </c>
      <c r="J450" s="3">
        <v>0</v>
      </c>
      <c r="K450" s="3">
        <v>0</v>
      </c>
      <c r="L450" s="3">
        <v>0</v>
      </c>
      <c r="M450" s="3">
        <v>-3665.08</v>
      </c>
      <c r="N450" s="3">
        <v>25210.639999999999</v>
      </c>
      <c r="P450" s="3">
        <v>0</v>
      </c>
      <c r="Q450" s="3">
        <v>0</v>
      </c>
      <c r="R450" s="3" t="str">
        <f>"99F625223328"</f>
        <v>99F625223328</v>
      </c>
      <c r="S450" s="3" t="str">
        <f t="shared" si="88"/>
        <v>301719094322</v>
      </c>
      <c r="T450" s="3" t="str">
        <f t="shared" si="86"/>
        <v>人民币</v>
      </c>
    </row>
    <row r="451" spans="1:20" s="3" customFormat="1" x14ac:dyDescent="0.15">
      <c r="A451" s="3" t="str">
        <f>"2015-12-16"</f>
        <v>2015-12-16</v>
      </c>
      <c r="B451" s="3" t="str">
        <f>"基金申购"</f>
        <v>基金申购</v>
      </c>
      <c r="C451" s="3" t="str">
        <f>"A40006"</f>
        <v>A40006</v>
      </c>
      <c r="D451" s="3" t="str">
        <f>"现金宝"</f>
        <v>现金宝</v>
      </c>
      <c r="E451" s="3">
        <v>1</v>
      </c>
      <c r="F451" s="3">
        <v>25210.639999999999</v>
      </c>
      <c r="G451" s="3">
        <v>25210.639999999999</v>
      </c>
      <c r="H451" s="3">
        <v>121045</v>
      </c>
      <c r="I451" s="3">
        <v>0</v>
      </c>
      <c r="J451" s="3">
        <v>0</v>
      </c>
      <c r="K451" s="3">
        <v>0</v>
      </c>
      <c r="L451" s="3">
        <v>0</v>
      </c>
      <c r="M451" s="3">
        <v>-25210.639999999999</v>
      </c>
      <c r="N451" s="3">
        <v>0</v>
      </c>
      <c r="P451" s="3">
        <v>0</v>
      </c>
      <c r="Q451" s="3">
        <v>0</v>
      </c>
      <c r="R451" s="3" t="str">
        <f>"99F625223328"</f>
        <v>99F625223328</v>
      </c>
      <c r="S451" s="3" t="str">
        <f t="shared" si="88"/>
        <v>301719094322</v>
      </c>
      <c r="T451" s="3" t="str">
        <f t="shared" si="86"/>
        <v>人民币</v>
      </c>
    </row>
    <row r="452" spans="1:20" s="3" customFormat="1" x14ac:dyDescent="0.15">
      <c r="A452" s="3" t="str">
        <f>"2015-12-18"</f>
        <v>2015-12-18</v>
      </c>
      <c r="B452" s="3" t="str">
        <f>"红利发放"</f>
        <v>红利发放</v>
      </c>
      <c r="C452" s="3" t="str">
        <f>"A40006"</f>
        <v>A40006</v>
      </c>
      <c r="D452" s="3" t="str">
        <f>"现金宝"</f>
        <v>现金宝</v>
      </c>
      <c r="E452" s="3">
        <v>1</v>
      </c>
      <c r="F452" s="3">
        <v>0</v>
      </c>
      <c r="G452" s="3">
        <v>599.02</v>
      </c>
      <c r="H452" s="3">
        <v>121045</v>
      </c>
      <c r="I452" s="3">
        <v>0</v>
      </c>
      <c r="J452" s="3">
        <v>0</v>
      </c>
      <c r="K452" s="3">
        <v>0</v>
      </c>
      <c r="L452" s="3">
        <v>0</v>
      </c>
      <c r="M452" s="3">
        <v>599.02</v>
      </c>
      <c r="N452" s="3">
        <v>599.02</v>
      </c>
      <c r="P452" s="3">
        <v>4.8999999999999998E-3</v>
      </c>
      <c r="Q452" s="3">
        <v>0</v>
      </c>
      <c r="R452" s="3" t="str">
        <f>"99F625223328"</f>
        <v>99F625223328</v>
      </c>
      <c r="S452" s="3" t="str">
        <f t="shared" si="88"/>
        <v>301719094322</v>
      </c>
      <c r="T452" s="3" t="str">
        <f t="shared" si="86"/>
        <v>人民币</v>
      </c>
    </row>
    <row r="453" spans="1:20" s="3" customFormat="1" x14ac:dyDescent="0.15">
      <c r="A453" s="3" t="str">
        <f>"2015-12-21"</f>
        <v>2015-12-21</v>
      </c>
      <c r="B453" s="3" t="str">
        <f>"利息归本"</f>
        <v>利息归本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2.69</v>
      </c>
      <c r="N453" s="3">
        <v>601.71</v>
      </c>
      <c r="P453" s="3">
        <v>0</v>
      </c>
      <c r="Q453" s="3">
        <v>0</v>
      </c>
      <c r="S453" s="3" t="str">
        <f t="shared" si="88"/>
        <v>301719094322</v>
      </c>
      <c r="T453" s="3" t="str">
        <f t="shared" si="86"/>
        <v>人民币</v>
      </c>
    </row>
    <row r="454" spans="1:20" s="3" customFormat="1" x14ac:dyDescent="0.15">
      <c r="A454" s="3" t="str">
        <f>"2015-12-21"</f>
        <v>2015-12-21</v>
      </c>
      <c r="B454" s="3" t="str">
        <f>"基金赎回"</f>
        <v>基金赎回</v>
      </c>
      <c r="C454" s="3" t="str">
        <f>"A40006"</f>
        <v>A40006</v>
      </c>
      <c r="D454" s="3" t="str">
        <f>"现金宝"</f>
        <v>现金宝</v>
      </c>
      <c r="E454" s="3">
        <v>1</v>
      </c>
      <c r="F454" s="3">
        <v>25926.28</v>
      </c>
      <c r="G454" s="3">
        <v>25926.28</v>
      </c>
      <c r="H454" s="3">
        <v>95119</v>
      </c>
      <c r="I454" s="3">
        <v>0</v>
      </c>
      <c r="J454" s="3">
        <v>0</v>
      </c>
      <c r="K454" s="3">
        <v>0</v>
      </c>
      <c r="L454" s="3">
        <v>0</v>
      </c>
      <c r="M454" s="3">
        <v>25926.28</v>
      </c>
      <c r="N454" s="3">
        <v>26527.99</v>
      </c>
      <c r="P454" s="3">
        <v>0</v>
      </c>
      <c r="Q454" s="3">
        <v>0</v>
      </c>
      <c r="R454" s="3" t="str">
        <f>"99F625223328"</f>
        <v>99F625223328</v>
      </c>
      <c r="S454" s="3" t="str">
        <f t="shared" si="88"/>
        <v>301719094322</v>
      </c>
      <c r="T454" s="3" t="str">
        <f t="shared" si="86"/>
        <v>人民币</v>
      </c>
    </row>
    <row r="455" spans="1:20" s="3" customFormat="1" x14ac:dyDescent="0.15">
      <c r="A455" s="3" t="str">
        <f>"2015-12-21"</f>
        <v>2015-12-21</v>
      </c>
      <c r="B455" s="3" t="str">
        <f>"证券买入清算"</f>
        <v>证券买入清算</v>
      </c>
      <c r="C455" s="3" t="str">
        <f>"159915"</f>
        <v>159915</v>
      </c>
      <c r="D455" s="3" t="str">
        <f>"创业板"</f>
        <v>创业板</v>
      </c>
      <c r="E455" s="3">
        <v>2.6520000000000001</v>
      </c>
      <c r="F455" s="3">
        <v>10000</v>
      </c>
      <c r="G455" s="3">
        <v>26520</v>
      </c>
      <c r="H455" s="3">
        <v>10000</v>
      </c>
      <c r="I455" s="3">
        <v>5.3</v>
      </c>
      <c r="J455" s="3">
        <v>0</v>
      </c>
      <c r="K455" s="3">
        <v>0</v>
      </c>
      <c r="L455" s="3">
        <v>0</v>
      </c>
      <c r="M455" s="3">
        <v>-26525.3</v>
      </c>
      <c r="N455" s="3">
        <v>2.69</v>
      </c>
      <c r="O455" s="3" t="str">
        <f>"SW870510"</f>
        <v>SW870510</v>
      </c>
      <c r="P455" s="3">
        <v>2.6520000000000001</v>
      </c>
      <c r="Q455" s="3">
        <v>10000</v>
      </c>
      <c r="R455" s="3" t="str">
        <f>"0103988319"</f>
        <v>0103988319</v>
      </c>
      <c r="S455" s="3" t="str">
        <f t="shared" si="88"/>
        <v>301719094322</v>
      </c>
      <c r="T455" s="3" t="str">
        <f t="shared" si="86"/>
        <v>人民币</v>
      </c>
    </row>
    <row r="456" spans="1:20" s="3" customFormat="1" x14ac:dyDescent="0.15">
      <c r="A456" s="3" t="str">
        <f>"2015-12-23"</f>
        <v>2015-12-23</v>
      </c>
      <c r="B456" s="3" t="str">
        <f>"基金赎回"</f>
        <v>基金赎回</v>
      </c>
      <c r="C456" s="3" t="str">
        <f>"A40006"</f>
        <v>A40006</v>
      </c>
      <c r="D456" s="3" t="str">
        <f>"现金宝"</f>
        <v>现金宝</v>
      </c>
      <c r="E456" s="3">
        <v>1</v>
      </c>
      <c r="F456" s="3">
        <v>25743.119999999999</v>
      </c>
      <c r="G456" s="3">
        <v>25743.119999999999</v>
      </c>
      <c r="H456" s="3">
        <v>69376</v>
      </c>
      <c r="I456" s="3">
        <v>0</v>
      </c>
      <c r="J456" s="3">
        <v>0</v>
      </c>
      <c r="K456" s="3">
        <v>0</v>
      </c>
      <c r="L456" s="3">
        <v>0</v>
      </c>
      <c r="M456" s="3">
        <v>25743.119999999999</v>
      </c>
      <c r="N456" s="3">
        <v>25745.81</v>
      </c>
      <c r="P456" s="3">
        <v>0</v>
      </c>
      <c r="Q456" s="3">
        <v>0</v>
      </c>
      <c r="R456" s="3" t="str">
        <f>"99F625223328"</f>
        <v>99F625223328</v>
      </c>
      <c r="S456" s="3" t="str">
        <f t="shared" si="88"/>
        <v>301719094322</v>
      </c>
      <c r="T456" s="3" t="str">
        <f t="shared" si="86"/>
        <v>人民币</v>
      </c>
    </row>
    <row r="457" spans="1:20" s="3" customFormat="1" x14ac:dyDescent="0.15">
      <c r="A457" s="3" t="str">
        <f>"2015-12-23"</f>
        <v>2015-12-23</v>
      </c>
      <c r="B457" s="3" t="str">
        <f>"证券卖出清算"</f>
        <v>证券卖出清算</v>
      </c>
      <c r="C457" s="3" t="str">
        <f>"159915"</f>
        <v>159915</v>
      </c>
      <c r="D457" s="3" t="str">
        <f>"创业板"</f>
        <v>创业板</v>
      </c>
      <c r="E457" s="3">
        <v>2.665</v>
      </c>
      <c r="F457" s="3">
        <v>10000</v>
      </c>
      <c r="G457" s="3">
        <v>26650</v>
      </c>
      <c r="H457" s="3">
        <v>0</v>
      </c>
      <c r="I457" s="3">
        <v>5.33</v>
      </c>
      <c r="J457" s="3">
        <v>0</v>
      </c>
      <c r="K457" s="3">
        <v>0</v>
      </c>
      <c r="L457" s="3">
        <v>0</v>
      </c>
      <c r="M457" s="3">
        <v>26644.67</v>
      </c>
      <c r="N457" s="3">
        <v>52390.48</v>
      </c>
      <c r="O457" s="3" t="str">
        <f>"SW263440"</f>
        <v>SW263440</v>
      </c>
      <c r="P457" s="3">
        <v>2.665</v>
      </c>
      <c r="Q457" s="3">
        <v>10000</v>
      </c>
      <c r="R457" s="3" t="str">
        <f>"0103988319"</f>
        <v>0103988319</v>
      </c>
      <c r="S457" s="3" t="str">
        <f t="shared" si="88"/>
        <v>301719094322</v>
      </c>
      <c r="T457" s="3" t="str">
        <f t="shared" si="86"/>
        <v>人民币</v>
      </c>
    </row>
    <row r="458" spans="1:20" s="3" customFormat="1" x14ac:dyDescent="0.15">
      <c r="A458" s="3" t="str">
        <f>"2015-12-23"</f>
        <v>2015-12-23</v>
      </c>
      <c r="B458" s="3" t="str">
        <f>"证券买入清算"</f>
        <v>证券买入清算</v>
      </c>
      <c r="C458" s="3" t="str">
        <f>"159915"</f>
        <v>159915</v>
      </c>
      <c r="D458" s="3" t="str">
        <f>"创业板"</f>
        <v>创业板</v>
      </c>
      <c r="E458" s="3">
        <v>2.6150000000000002</v>
      </c>
      <c r="F458" s="3">
        <v>10000</v>
      </c>
      <c r="G458" s="3">
        <v>26150</v>
      </c>
      <c r="H458" s="3">
        <v>10000</v>
      </c>
      <c r="I458" s="3">
        <v>5.23</v>
      </c>
      <c r="J458" s="3">
        <v>0</v>
      </c>
      <c r="K458" s="3">
        <v>0</v>
      </c>
      <c r="L458" s="3">
        <v>0</v>
      </c>
      <c r="M458" s="3">
        <v>-26155.23</v>
      </c>
      <c r="N458" s="3">
        <v>26235.25</v>
      </c>
      <c r="O458" s="3" t="str">
        <f>"SW344394"</f>
        <v>SW344394</v>
      </c>
      <c r="P458" s="3">
        <v>2.6150000000000002</v>
      </c>
      <c r="Q458" s="3">
        <v>10000</v>
      </c>
      <c r="R458" s="3" t="str">
        <f>"0103988319"</f>
        <v>0103988319</v>
      </c>
      <c r="S458" s="3" t="str">
        <f t="shared" si="88"/>
        <v>301719094322</v>
      </c>
      <c r="T458" s="3" t="str">
        <f t="shared" si="86"/>
        <v>人民币</v>
      </c>
    </row>
    <row r="459" spans="1:20" s="3" customFormat="1" x14ac:dyDescent="0.15">
      <c r="A459" s="3" t="str">
        <f>"2015-12-23"</f>
        <v>2015-12-23</v>
      </c>
      <c r="B459" s="3" t="str">
        <f>"证券买入清算"</f>
        <v>证券买入清算</v>
      </c>
      <c r="C459" s="3" t="str">
        <f>"159915"</f>
        <v>159915</v>
      </c>
      <c r="D459" s="3" t="str">
        <f>"创业板"</f>
        <v>创业板</v>
      </c>
      <c r="E459" s="3">
        <v>2.6230000000000002</v>
      </c>
      <c r="F459" s="3">
        <v>10000</v>
      </c>
      <c r="G459" s="3">
        <v>26230</v>
      </c>
      <c r="H459" s="3">
        <v>20000</v>
      </c>
      <c r="I459" s="3">
        <v>5.25</v>
      </c>
      <c r="J459" s="3">
        <v>0</v>
      </c>
      <c r="K459" s="3">
        <v>0</v>
      </c>
      <c r="L459" s="3">
        <v>0</v>
      </c>
      <c r="M459" s="3">
        <v>-26235.25</v>
      </c>
      <c r="N459" s="3">
        <v>0</v>
      </c>
      <c r="O459" s="3" t="str">
        <f>"SW490176"</f>
        <v>SW490176</v>
      </c>
      <c r="P459" s="3">
        <v>2.6230000000000002</v>
      </c>
      <c r="Q459" s="3">
        <v>10000</v>
      </c>
      <c r="R459" s="3" t="str">
        <f>"0103988319"</f>
        <v>0103988319</v>
      </c>
      <c r="S459" s="3" t="str">
        <f t="shared" si="88"/>
        <v>301719094322</v>
      </c>
      <c r="T459" s="3" t="str">
        <f t="shared" si="86"/>
        <v>人民币</v>
      </c>
    </row>
    <row r="460" spans="1:20" s="3" customFormat="1" x14ac:dyDescent="0.15">
      <c r="A460" s="3" t="str">
        <f>"2015-12-25"</f>
        <v>2015-12-25</v>
      </c>
      <c r="B460" s="3" t="str">
        <f>"证券卖出清算"</f>
        <v>证券卖出清算</v>
      </c>
      <c r="C460" s="3" t="str">
        <f>"159915"</f>
        <v>159915</v>
      </c>
      <c r="D460" s="3" t="str">
        <f>"创业板"</f>
        <v>创业板</v>
      </c>
      <c r="E460" s="3">
        <v>2.6309999999999998</v>
      </c>
      <c r="F460" s="3">
        <v>10000</v>
      </c>
      <c r="G460" s="3">
        <v>26310</v>
      </c>
      <c r="H460" s="3">
        <v>10000</v>
      </c>
      <c r="I460" s="3">
        <v>5.26</v>
      </c>
      <c r="J460" s="3">
        <v>0</v>
      </c>
      <c r="K460" s="3">
        <v>0</v>
      </c>
      <c r="L460" s="3">
        <v>0</v>
      </c>
      <c r="M460" s="3">
        <v>26304.74</v>
      </c>
      <c r="N460" s="3">
        <v>26304.74</v>
      </c>
      <c r="O460" s="3" t="str">
        <f>"SW713013"</f>
        <v>SW713013</v>
      </c>
      <c r="P460" s="3">
        <v>2.6309999999999998</v>
      </c>
      <c r="Q460" s="3">
        <v>10000</v>
      </c>
      <c r="R460" s="3" t="str">
        <f>"0103988319"</f>
        <v>0103988319</v>
      </c>
      <c r="S460" s="3" t="str">
        <f t="shared" si="88"/>
        <v>301719094322</v>
      </c>
      <c r="T460" s="3" t="str">
        <f t="shared" si="86"/>
        <v>人民币</v>
      </c>
    </row>
    <row r="461" spans="1:20" s="3" customFormat="1" x14ac:dyDescent="0.15">
      <c r="A461" s="3" t="str">
        <f>"2015-12-25"</f>
        <v>2015-12-25</v>
      </c>
      <c r="B461" s="3" t="str">
        <f>"基金申购"</f>
        <v>基金申购</v>
      </c>
      <c r="C461" s="3" t="str">
        <f>"A40006"</f>
        <v>A40006</v>
      </c>
      <c r="D461" s="3" t="str">
        <f>"现金宝"</f>
        <v>现金宝</v>
      </c>
      <c r="E461" s="3">
        <v>1</v>
      </c>
      <c r="F461" s="3">
        <v>26304.74</v>
      </c>
      <c r="G461" s="3">
        <v>26304.74</v>
      </c>
      <c r="H461" s="3">
        <v>95681</v>
      </c>
      <c r="I461" s="3">
        <v>0</v>
      </c>
      <c r="J461" s="3">
        <v>0</v>
      </c>
      <c r="K461" s="3">
        <v>0</v>
      </c>
      <c r="L461" s="3">
        <v>0</v>
      </c>
      <c r="M461" s="3">
        <v>-26304.74</v>
      </c>
      <c r="N461" s="3">
        <v>0</v>
      </c>
      <c r="P461" s="3">
        <v>0</v>
      </c>
      <c r="Q461" s="3">
        <v>0</v>
      </c>
      <c r="R461" s="3" t="str">
        <f>"99F625223328"</f>
        <v>99F625223328</v>
      </c>
      <c r="S461" s="3" t="str">
        <f t="shared" si="88"/>
        <v>301719094322</v>
      </c>
      <c r="T461" s="3" t="str">
        <f t="shared" si="86"/>
        <v>人民币</v>
      </c>
    </row>
    <row r="462" spans="1:20" s="3" customFormat="1" x14ac:dyDescent="0.15">
      <c r="A462" s="3" t="str">
        <f>"2015-12-28"</f>
        <v>2015-12-28</v>
      </c>
      <c r="B462" s="3" t="str">
        <f>"证券卖出清算"</f>
        <v>证券卖出清算</v>
      </c>
      <c r="C462" s="3" t="str">
        <f>"159915"</f>
        <v>159915</v>
      </c>
      <c r="D462" s="3" t="str">
        <f>"创业板"</f>
        <v>创业板</v>
      </c>
      <c r="E462" s="3">
        <v>2.6389999999999998</v>
      </c>
      <c r="F462" s="3">
        <v>10000</v>
      </c>
      <c r="G462" s="3">
        <v>26390</v>
      </c>
      <c r="H462" s="3">
        <v>0</v>
      </c>
      <c r="I462" s="3">
        <v>5.28</v>
      </c>
      <c r="J462" s="3">
        <v>0</v>
      </c>
      <c r="K462" s="3">
        <v>0</v>
      </c>
      <c r="L462" s="3">
        <v>0</v>
      </c>
      <c r="M462" s="3">
        <v>26384.720000000001</v>
      </c>
      <c r="N462" s="3">
        <v>26384.720000000001</v>
      </c>
      <c r="O462" s="3" t="str">
        <f>"SW939574"</f>
        <v>SW939574</v>
      </c>
      <c r="P462" s="3">
        <v>2.6389999999999998</v>
      </c>
      <c r="Q462" s="3">
        <v>10000</v>
      </c>
      <c r="R462" s="3" t="str">
        <f>"0103988319"</f>
        <v>0103988319</v>
      </c>
      <c r="S462" s="3" t="str">
        <f t="shared" si="88"/>
        <v>301719094322</v>
      </c>
      <c r="T462" s="3" t="str">
        <f t="shared" si="86"/>
        <v>人民币</v>
      </c>
    </row>
    <row r="463" spans="1:20" s="3" customFormat="1" x14ac:dyDescent="0.15">
      <c r="A463" s="3" t="str">
        <f>"2015-12-28"</f>
        <v>2015-12-28</v>
      </c>
      <c r="B463" s="3" t="str">
        <f>"基金申购"</f>
        <v>基金申购</v>
      </c>
      <c r="C463" s="3" t="str">
        <f>"A40006"</f>
        <v>A40006</v>
      </c>
      <c r="D463" s="3" t="str">
        <f>"现金宝"</f>
        <v>现金宝</v>
      </c>
      <c r="E463" s="3">
        <v>1</v>
      </c>
      <c r="F463" s="3">
        <v>26384.720000000001</v>
      </c>
      <c r="G463" s="3">
        <v>26384.720000000001</v>
      </c>
      <c r="H463" s="3">
        <v>122065</v>
      </c>
      <c r="I463" s="3">
        <v>0</v>
      </c>
      <c r="J463" s="3">
        <v>0</v>
      </c>
      <c r="K463" s="3">
        <v>0</v>
      </c>
      <c r="L463" s="3">
        <v>0</v>
      </c>
      <c r="M463" s="3">
        <v>-26384.720000000001</v>
      </c>
      <c r="N463" s="3">
        <v>0</v>
      </c>
      <c r="P463" s="3">
        <v>0</v>
      </c>
      <c r="Q463" s="3">
        <v>0</v>
      </c>
      <c r="R463" s="3" t="str">
        <f>"99F625223328"</f>
        <v>99F625223328</v>
      </c>
      <c r="S463" s="3" t="str">
        <f t="shared" si="88"/>
        <v>301719094322</v>
      </c>
      <c r="T463" s="3" t="str">
        <f t="shared" si="86"/>
        <v>人民币</v>
      </c>
    </row>
    <row r="464" spans="1:20" s="3" customFormat="1" x14ac:dyDescent="0.15">
      <c r="A464" s="3" t="str">
        <f>"2016-01-14"</f>
        <v>2016-01-14</v>
      </c>
      <c r="B464" s="3" t="str">
        <f>"基金赎回"</f>
        <v>基金赎回</v>
      </c>
      <c r="C464" s="3" t="str">
        <f>"A40006"</f>
        <v>A40006</v>
      </c>
      <c r="D464" s="3" t="str">
        <f>"现金宝"</f>
        <v>现金宝</v>
      </c>
      <c r="E464" s="3">
        <v>1</v>
      </c>
      <c r="F464" s="3">
        <v>60957.39</v>
      </c>
      <c r="G464" s="3">
        <v>60957.39</v>
      </c>
      <c r="H464" s="3">
        <v>61108</v>
      </c>
      <c r="I464" s="3">
        <v>0</v>
      </c>
      <c r="J464" s="3">
        <v>0</v>
      </c>
      <c r="K464" s="3">
        <v>0</v>
      </c>
      <c r="L464" s="3">
        <v>0</v>
      </c>
      <c r="M464" s="3">
        <v>60957.39</v>
      </c>
      <c r="N464" s="3">
        <v>60957.39</v>
      </c>
      <c r="P464" s="3">
        <v>0</v>
      </c>
      <c r="Q464" s="3">
        <v>0</v>
      </c>
      <c r="R464" s="3" t="str">
        <f>"99F625223328"</f>
        <v>99F625223328</v>
      </c>
      <c r="S464" s="3" t="str">
        <f>"301719094322"</f>
        <v>301719094322</v>
      </c>
      <c r="T464" s="3" t="str">
        <f>"人民币"</f>
        <v>人民币</v>
      </c>
    </row>
    <row r="465" spans="1:20" s="3" customFormat="1" x14ac:dyDescent="0.15">
      <c r="A465" s="3" t="str">
        <f>"2016-01-14"</f>
        <v>2016-01-14</v>
      </c>
      <c r="B465" s="3" t="str">
        <f>"证券买入清算"</f>
        <v>证券买入清算</v>
      </c>
      <c r="C465" s="3" t="str">
        <f>"159915"</f>
        <v>159915</v>
      </c>
      <c r="D465" s="3" t="str">
        <f>"创业板"</f>
        <v>创业板</v>
      </c>
      <c r="E465" s="3">
        <v>1.9045000000000001</v>
      </c>
      <c r="F465" s="3">
        <v>32000</v>
      </c>
      <c r="G465" s="3">
        <v>60945.2</v>
      </c>
      <c r="H465" s="3">
        <v>32000</v>
      </c>
      <c r="I465" s="3">
        <v>12.19</v>
      </c>
      <c r="J465" s="3">
        <v>0</v>
      </c>
      <c r="K465" s="3">
        <v>0</v>
      </c>
      <c r="L465" s="3">
        <v>0</v>
      </c>
      <c r="M465" s="3">
        <v>-60957.39</v>
      </c>
      <c r="N465" s="3">
        <v>0</v>
      </c>
      <c r="O465" s="3" t="str">
        <f>"SW146742"</f>
        <v>SW146742</v>
      </c>
      <c r="P465" s="3">
        <v>1.905</v>
      </c>
      <c r="Q465" s="3">
        <v>32000</v>
      </c>
      <c r="R465" s="3" t="str">
        <f>"0103988319"</f>
        <v>0103988319</v>
      </c>
      <c r="S465" s="3" t="str">
        <f>"301719094322"</f>
        <v>301719094322</v>
      </c>
      <c r="T465" s="3" t="str">
        <f>"人民币"</f>
        <v>人民币</v>
      </c>
    </row>
    <row r="466" spans="1:20" s="3" customFormat="1" x14ac:dyDescent="0.15">
      <c r="A466" s="3" t="str">
        <f>"2016-01-15"</f>
        <v>2016-01-15</v>
      </c>
      <c r="B466" s="3" t="str">
        <f>"证券卖出清算"</f>
        <v>证券卖出清算</v>
      </c>
      <c r="C466" s="3" t="str">
        <f>"159915"</f>
        <v>159915</v>
      </c>
      <c r="D466" s="3" t="str">
        <f>"创业板"</f>
        <v>创业板</v>
      </c>
      <c r="E466" s="3">
        <v>2.0409999999999999</v>
      </c>
      <c r="F466" s="3">
        <v>32000</v>
      </c>
      <c r="G466" s="3">
        <v>65312</v>
      </c>
      <c r="H466" s="3">
        <v>0</v>
      </c>
      <c r="I466" s="3">
        <v>13.06</v>
      </c>
      <c r="J466" s="3">
        <v>0</v>
      </c>
      <c r="K466" s="3">
        <v>0</v>
      </c>
      <c r="L466" s="3">
        <v>0</v>
      </c>
      <c r="M466" s="3">
        <v>65298.94</v>
      </c>
      <c r="N466" s="3">
        <v>65298.94</v>
      </c>
      <c r="O466" s="3" t="str">
        <f>"SWZO3E68"</f>
        <v>SWZO3E68</v>
      </c>
      <c r="P466" s="3">
        <v>1.865</v>
      </c>
      <c r="Q466" s="3">
        <v>32000</v>
      </c>
      <c r="R466" s="3" t="str">
        <f>"0103988319"</f>
        <v>0103988319</v>
      </c>
      <c r="S466" s="3" t="str">
        <f>"301719094322"</f>
        <v>301719094322</v>
      </c>
      <c r="T466" s="3" t="str">
        <f>"人民币"</f>
        <v>人民币</v>
      </c>
    </row>
    <row r="467" spans="1:20" s="3" customFormat="1" x14ac:dyDescent="0.15">
      <c r="A467" s="3" t="str">
        <f>"2016-01-15"</f>
        <v>2016-01-15</v>
      </c>
      <c r="B467" s="3" t="str">
        <f>"基金申购"</f>
        <v>基金申购</v>
      </c>
      <c r="C467" s="3" t="str">
        <f>"A40006"</f>
        <v>A40006</v>
      </c>
      <c r="D467" s="3" t="str">
        <f>"现金宝"</f>
        <v>现金宝</v>
      </c>
      <c r="E467" s="3">
        <v>1</v>
      </c>
      <c r="F467" s="3">
        <v>65298.94</v>
      </c>
      <c r="G467" s="3">
        <v>65298.94</v>
      </c>
      <c r="H467" s="3">
        <v>126407</v>
      </c>
      <c r="I467" s="3">
        <v>0</v>
      </c>
      <c r="J467" s="3">
        <v>0</v>
      </c>
      <c r="K467" s="3">
        <v>0</v>
      </c>
      <c r="L467" s="3">
        <v>0</v>
      </c>
      <c r="M467" s="3">
        <v>-65298.94</v>
      </c>
      <c r="N467" s="3">
        <v>0</v>
      </c>
      <c r="P467" s="3">
        <v>0</v>
      </c>
      <c r="Q467" s="3">
        <v>0</v>
      </c>
      <c r="R467" s="3" t="str">
        <f>"99F625223328"</f>
        <v>99F625223328</v>
      </c>
      <c r="S467" s="3" t="str">
        <f>"301719094322"</f>
        <v>301719094322</v>
      </c>
      <c r="T467" s="3" t="str">
        <f>"人民币"</f>
        <v>人民币</v>
      </c>
    </row>
    <row r="468" spans="1:20" s="3" customFormat="1" x14ac:dyDescent="0.15">
      <c r="A468" s="3" t="str">
        <f>"2016-02-16"</f>
        <v>2016-02-16</v>
      </c>
      <c r="B468" s="3" t="str">
        <f>"基金赎回"</f>
        <v>基金赎回</v>
      </c>
      <c r="C468" s="3" t="str">
        <f>"A40006"</f>
        <v>A40006</v>
      </c>
      <c r="D468" s="3" t="str">
        <f>"现金宝"</f>
        <v>现金宝</v>
      </c>
      <c r="E468" s="3">
        <v>1</v>
      </c>
      <c r="F468" s="3">
        <v>42068.41</v>
      </c>
      <c r="G468" s="3">
        <v>42068.41</v>
      </c>
      <c r="H468" s="3">
        <v>84339</v>
      </c>
      <c r="I468" s="3">
        <v>0</v>
      </c>
      <c r="J468" s="3">
        <v>0</v>
      </c>
      <c r="K468" s="3">
        <v>0</v>
      </c>
      <c r="L468" s="3">
        <v>0</v>
      </c>
      <c r="M468" s="3">
        <v>42068.41</v>
      </c>
      <c r="N468" s="3">
        <v>42068.41</v>
      </c>
      <c r="P468" s="3">
        <v>0</v>
      </c>
      <c r="Q468" s="3">
        <v>0</v>
      </c>
      <c r="R468" s="3" t="str">
        <f>"99F625223328"</f>
        <v>99F625223328</v>
      </c>
      <c r="S468" s="3" t="str">
        <f t="shared" ref="S468:S492" si="89">"301719094322"</f>
        <v>301719094322</v>
      </c>
      <c r="T468" s="3" t="str">
        <f t="shared" ref="T468:T492" si="90">"人民币"</f>
        <v>人民币</v>
      </c>
    </row>
    <row r="469" spans="1:20" s="3" customFormat="1" x14ac:dyDescent="0.15">
      <c r="A469" s="3" t="str">
        <f>"2016-02-16"</f>
        <v>2016-02-16</v>
      </c>
      <c r="B469" s="3" t="str">
        <f>"证券买入清算"</f>
        <v>证券买入清算</v>
      </c>
      <c r="C469" s="3" t="str">
        <f>"159915"</f>
        <v>159915</v>
      </c>
      <c r="D469" s="3" t="str">
        <f>"创业板"</f>
        <v>创业板</v>
      </c>
      <c r="E469" s="3">
        <v>2.1030000000000002</v>
      </c>
      <c r="F469" s="3">
        <v>20000</v>
      </c>
      <c r="G469" s="3">
        <v>42060</v>
      </c>
      <c r="H469" s="3">
        <v>20000</v>
      </c>
      <c r="I469" s="3">
        <v>8.41</v>
      </c>
      <c r="J469" s="3">
        <v>0</v>
      </c>
      <c r="K469" s="3">
        <v>0</v>
      </c>
      <c r="L469" s="3">
        <v>0</v>
      </c>
      <c r="M469" s="3">
        <v>-42068.41</v>
      </c>
      <c r="N469" s="3">
        <v>0</v>
      </c>
      <c r="O469" s="3" t="str">
        <f>"SWZPJVQI"</f>
        <v>SWZPJVQI</v>
      </c>
      <c r="P469" s="3">
        <v>2.1030000000000002</v>
      </c>
      <c r="Q469" s="3">
        <v>20000</v>
      </c>
      <c r="R469" s="3" t="str">
        <f>"0103988319"</f>
        <v>0103988319</v>
      </c>
      <c r="S469" s="3" t="str">
        <f t="shared" si="89"/>
        <v>301719094322</v>
      </c>
      <c r="T469" s="3" t="str">
        <f t="shared" si="90"/>
        <v>人民币</v>
      </c>
    </row>
    <row r="470" spans="1:20" s="3" customFormat="1" x14ac:dyDescent="0.15">
      <c r="A470" s="3" t="str">
        <f>"2016-02-17"</f>
        <v>2016-02-17</v>
      </c>
      <c r="B470" s="3" t="str">
        <f>"证券卖出清算"</f>
        <v>证券卖出清算</v>
      </c>
      <c r="C470" s="3" t="str">
        <f>"159915"</f>
        <v>159915</v>
      </c>
      <c r="D470" s="3" t="str">
        <f>"创业板"</f>
        <v>创业板</v>
      </c>
      <c r="E470" s="3">
        <v>2.1059999999999999</v>
      </c>
      <c r="F470" s="3">
        <v>20000</v>
      </c>
      <c r="G470" s="3">
        <v>42120</v>
      </c>
      <c r="H470" s="3">
        <v>0</v>
      </c>
      <c r="I470" s="3">
        <v>8.42</v>
      </c>
      <c r="J470" s="3">
        <v>0</v>
      </c>
      <c r="K470" s="3">
        <v>0</v>
      </c>
      <c r="L470" s="3">
        <v>0</v>
      </c>
      <c r="M470" s="3">
        <v>42111.58</v>
      </c>
      <c r="N470" s="3">
        <v>42111.58</v>
      </c>
      <c r="O470" s="3" t="str">
        <f>"SWZPMJKJ"</f>
        <v>SWZPMJKJ</v>
      </c>
      <c r="P470" s="3">
        <v>2.1059999999999999</v>
      </c>
      <c r="Q470" s="3">
        <v>20000</v>
      </c>
      <c r="R470" s="3" t="str">
        <f>"0103988319"</f>
        <v>0103988319</v>
      </c>
      <c r="S470" s="3" t="str">
        <f t="shared" si="89"/>
        <v>301719094322</v>
      </c>
      <c r="T470" s="3" t="str">
        <f t="shared" si="90"/>
        <v>人民币</v>
      </c>
    </row>
    <row r="471" spans="1:20" s="3" customFormat="1" x14ac:dyDescent="0.15">
      <c r="A471" s="3" t="str">
        <f>"2016-02-17"</f>
        <v>2016-02-17</v>
      </c>
      <c r="B471" s="3" t="str">
        <f>"基金申购"</f>
        <v>基金申购</v>
      </c>
      <c r="C471" s="3" t="str">
        <f>"A40006"</f>
        <v>A40006</v>
      </c>
      <c r="D471" s="3" t="str">
        <f>"现金宝"</f>
        <v>现金宝</v>
      </c>
      <c r="E471" s="3">
        <v>1</v>
      </c>
      <c r="F471" s="3">
        <v>42111.58</v>
      </c>
      <c r="G471" s="3">
        <v>42111.58</v>
      </c>
      <c r="H471" s="3">
        <v>126450</v>
      </c>
      <c r="I471" s="3">
        <v>0</v>
      </c>
      <c r="J471" s="3">
        <v>0</v>
      </c>
      <c r="K471" s="3">
        <v>0</v>
      </c>
      <c r="L471" s="3">
        <v>0</v>
      </c>
      <c r="M471" s="3">
        <v>-42111.58</v>
      </c>
      <c r="N471" s="3">
        <v>0</v>
      </c>
      <c r="P471" s="3">
        <v>0</v>
      </c>
      <c r="Q471" s="3">
        <v>0</v>
      </c>
      <c r="R471" s="3" t="str">
        <f>"99F625223328"</f>
        <v>99F625223328</v>
      </c>
      <c r="S471" s="3" t="str">
        <f t="shared" si="89"/>
        <v>301719094322</v>
      </c>
      <c r="T471" s="3" t="str">
        <f t="shared" si="90"/>
        <v>人民币</v>
      </c>
    </row>
    <row r="472" spans="1:20" s="3" customFormat="1" x14ac:dyDescent="0.15">
      <c r="A472" s="3" t="str">
        <f>"2016-02-18"</f>
        <v>2016-02-18</v>
      </c>
      <c r="B472" s="3" t="str">
        <f>"基金赎回"</f>
        <v>基金赎回</v>
      </c>
      <c r="C472" s="3" t="str">
        <f>"A40006"</f>
        <v>A40006</v>
      </c>
      <c r="D472" s="3" t="str">
        <f>"现金宝"</f>
        <v>现金宝</v>
      </c>
      <c r="E472" s="3">
        <v>1</v>
      </c>
      <c r="F472" s="3">
        <v>41808.36</v>
      </c>
      <c r="G472" s="3">
        <v>41808.36</v>
      </c>
      <c r="H472" s="3">
        <v>84642</v>
      </c>
      <c r="I472" s="3">
        <v>0</v>
      </c>
      <c r="J472" s="3">
        <v>0</v>
      </c>
      <c r="K472" s="3">
        <v>0</v>
      </c>
      <c r="L472" s="3">
        <v>0</v>
      </c>
      <c r="M472" s="3">
        <v>41808.36</v>
      </c>
      <c r="N472" s="3">
        <v>41808.36</v>
      </c>
      <c r="P472" s="3">
        <v>0</v>
      </c>
      <c r="Q472" s="3">
        <v>0</v>
      </c>
      <c r="R472" s="3" t="str">
        <f>"99F625223328"</f>
        <v>99F625223328</v>
      </c>
      <c r="S472" s="3" t="str">
        <f t="shared" si="89"/>
        <v>301719094322</v>
      </c>
      <c r="T472" s="3" t="str">
        <f t="shared" si="90"/>
        <v>人民币</v>
      </c>
    </row>
    <row r="473" spans="1:20" s="3" customFormat="1" x14ac:dyDescent="0.15">
      <c r="A473" s="3" t="str">
        <f>"2016-02-18"</f>
        <v>2016-02-18</v>
      </c>
      <c r="B473" s="3" t="str">
        <f>"证券买入清算"</f>
        <v>证券买入清算</v>
      </c>
      <c r="C473" s="3" t="str">
        <f>"159915"</f>
        <v>159915</v>
      </c>
      <c r="D473" s="3" t="str">
        <f>"创业板"</f>
        <v>创业板</v>
      </c>
      <c r="E473" s="3">
        <v>2.09</v>
      </c>
      <c r="F473" s="3">
        <v>20000</v>
      </c>
      <c r="G473" s="3">
        <v>41800</v>
      </c>
      <c r="H473" s="3">
        <v>20000</v>
      </c>
      <c r="I473" s="3">
        <v>8.36</v>
      </c>
      <c r="J473" s="3">
        <v>0</v>
      </c>
      <c r="K473" s="3">
        <v>0</v>
      </c>
      <c r="L473" s="3">
        <v>0</v>
      </c>
      <c r="M473" s="3">
        <v>-41808.36</v>
      </c>
      <c r="N473" s="3">
        <v>0</v>
      </c>
      <c r="O473" s="3" t="str">
        <f>"SWZPQ419"</f>
        <v>SWZPQ419</v>
      </c>
      <c r="P473" s="3">
        <v>2.1070000000000002</v>
      </c>
      <c r="Q473" s="3">
        <v>20000</v>
      </c>
      <c r="R473" s="3" t="str">
        <f>"0103988319"</f>
        <v>0103988319</v>
      </c>
      <c r="S473" s="3" t="str">
        <f t="shared" si="89"/>
        <v>301719094322</v>
      </c>
      <c r="T473" s="3" t="str">
        <f t="shared" si="90"/>
        <v>人民币</v>
      </c>
    </row>
    <row r="474" spans="1:20" s="3" customFormat="1" x14ac:dyDescent="0.15">
      <c r="A474" s="3" t="str">
        <f>"2016-02-22"</f>
        <v>2016-02-22</v>
      </c>
      <c r="B474" s="3" t="str">
        <f>"证券卖出清算"</f>
        <v>证券卖出清算</v>
      </c>
      <c r="C474" s="3" t="str">
        <f>"159915"</f>
        <v>159915</v>
      </c>
      <c r="D474" s="3" t="str">
        <f>"创业板"</f>
        <v>创业板</v>
      </c>
      <c r="E474" s="3">
        <v>2.1389999999999998</v>
      </c>
      <c r="F474" s="3">
        <v>20000</v>
      </c>
      <c r="G474" s="3">
        <v>42780</v>
      </c>
      <c r="H474" s="3">
        <v>0</v>
      </c>
      <c r="I474" s="3">
        <v>8.56</v>
      </c>
      <c r="J474" s="3">
        <v>0</v>
      </c>
      <c r="K474" s="3">
        <v>0</v>
      </c>
      <c r="L474" s="3">
        <v>0</v>
      </c>
      <c r="M474" s="3">
        <v>42771.44</v>
      </c>
      <c r="N474" s="3">
        <v>42771.44</v>
      </c>
      <c r="O474" s="3" t="str">
        <f>"SWZPUQSD"</f>
        <v>SWZPUQSD</v>
      </c>
      <c r="P474" s="3">
        <v>2.1389999999999998</v>
      </c>
      <c r="Q474" s="3">
        <v>20000</v>
      </c>
      <c r="R474" s="3" t="str">
        <f>"0103988319"</f>
        <v>0103988319</v>
      </c>
      <c r="S474" s="3" t="str">
        <f t="shared" si="89"/>
        <v>301719094322</v>
      </c>
      <c r="T474" s="3" t="str">
        <f t="shared" si="90"/>
        <v>人民币</v>
      </c>
    </row>
    <row r="475" spans="1:20" s="3" customFormat="1" x14ac:dyDescent="0.15">
      <c r="A475" s="3" t="str">
        <f>"2016-02-22"</f>
        <v>2016-02-22</v>
      </c>
      <c r="B475" s="3" t="str">
        <f>"基金申购"</f>
        <v>基金申购</v>
      </c>
      <c r="C475" s="3" t="str">
        <f>"A40006"</f>
        <v>A40006</v>
      </c>
      <c r="D475" s="3" t="str">
        <f>"现金宝"</f>
        <v>现金宝</v>
      </c>
      <c r="E475" s="3">
        <v>1</v>
      </c>
      <c r="F475" s="3">
        <v>42771.44</v>
      </c>
      <c r="G475" s="3">
        <v>42771.44</v>
      </c>
      <c r="H475" s="3">
        <v>127413</v>
      </c>
      <c r="I475" s="3">
        <v>0</v>
      </c>
      <c r="J475" s="3">
        <v>0</v>
      </c>
      <c r="K475" s="3">
        <v>0</v>
      </c>
      <c r="L475" s="3">
        <v>0</v>
      </c>
      <c r="M475" s="3">
        <v>-42771.44</v>
      </c>
      <c r="N475" s="3">
        <v>0</v>
      </c>
      <c r="P475" s="3">
        <v>0</v>
      </c>
      <c r="Q475" s="3">
        <v>0</v>
      </c>
      <c r="R475" s="3" t="str">
        <f>"99F625223328"</f>
        <v>99F625223328</v>
      </c>
      <c r="S475" s="3" t="str">
        <f t="shared" si="89"/>
        <v>301719094322</v>
      </c>
      <c r="T475" s="3" t="str">
        <f t="shared" si="90"/>
        <v>人民币</v>
      </c>
    </row>
    <row r="476" spans="1:20" s="3" customFormat="1" x14ac:dyDescent="0.15">
      <c r="A476" s="3" t="str">
        <f>"2016-02-23"</f>
        <v>2016-02-23</v>
      </c>
      <c r="B476" s="3" t="str">
        <f>"基金赎回"</f>
        <v>基金赎回</v>
      </c>
      <c r="C476" s="3" t="str">
        <f>"A40006"</f>
        <v>A40006</v>
      </c>
      <c r="D476" s="3" t="str">
        <f>"现金宝"</f>
        <v>现金宝</v>
      </c>
      <c r="E476" s="3">
        <v>1</v>
      </c>
      <c r="F476" s="3">
        <v>127413.75</v>
      </c>
      <c r="G476" s="3">
        <v>127413.75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127413.75</v>
      </c>
      <c r="N476" s="3">
        <v>127413.75</v>
      </c>
      <c r="P476" s="3">
        <v>0</v>
      </c>
      <c r="Q476" s="3">
        <v>0</v>
      </c>
      <c r="R476" s="3" t="str">
        <f>"99F625223328"</f>
        <v>99F625223328</v>
      </c>
      <c r="S476" s="3" t="str">
        <f t="shared" si="89"/>
        <v>301719094322</v>
      </c>
      <c r="T476" s="3" t="str">
        <f t="shared" si="90"/>
        <v>人民币</v>
      </c>
    </row>
    <row r="477" spans="1:20" s="3" customFormat="1" x14ac:dyDescent="0.15">
      <c r="A477" s="3" t="str">
        <f>"2016-02-23"</f>
        <v>2016-02-23</v>
      </c>
      <c r="B477" s="3" t="str">
        <f>"证券买入清算"</f>
        <v>证券买入清算</v>
      </c>
      <c r="C477" s="3" t="str">
        <f>"159915"</f>
        <v>159915</v>
      </c>
      <c r="D477" s="3" t="str">
        <f>"创业板"</f>
        <v>创业板</v>
      </c>
      <c r="E477" s="3">
        <v>2.1</v>
      </c>
      <c r="F477" s="3">
        <v>30300</v>
      </c>
      <c r="G477" s="3">
        <v>63630</v>
      </c>
      <c r="H477" s="3">
        <v>30300</v>
      </c>
      <c r="I477" s="3">
        <v>12.73</v>
      </c>
      <c r="J477" s="3">
        <v>0</v>
      </c>
      <c r="K477" s="3">
        <v>0</v>
      </c>
      <c r="L477" s="3">
        <v>0</v>
      </c>
      <c r="M477" s="3">
        <v>-63642.73</v>
      </c>
      <c r="N477" s="3">
        <v>63771.02</v>
      </c>
      <c r="O477" s="3" t="str">
        <f>"SWZPYQA0"</f>
        <v>SWZPYQA0</v>
      </c>
      <c r="P477" s="3">
        <v>2.1</v>
      </c>
      <c r="Q477" s="3">
        <v>30300</v>
      </c>
      <c r="R477" s="3" t="str">
        <f>"0103988319"</f>
        <v>0103988319</v>
      </c>
      <c r="S477" s="3" t="str">
        <f t="shared" si="89"/>
        <v>301719094322</v>
      </c>
      <c r="T477" s="3" t="str">
        <f t="shared" si="90"/>
        <v>人民币</v>
      </c>
    </row>
    <row r="478" spans="1:20" s="3" customFormat="1" x14ac:dyDescent="0.15">
      <c r="A478" s="3" t="str">
        <f>"2016-02-23"</f>
        <v>2016-02-23</v>
      </c>
      <c r="B478" s="3" t="str">
        <f>"证券买入清算"</f>
        <v>证券买入清算</v>
      </c>
      <c r="C478" s="3" t="str">
        <f>"159915"</f>
        <v>159915</v>
      </c>
      <c r="D478" s="3" t="str">
        <f>"创业板"</f>
        <v>创业板</v>
      </c>
      <c r="E478" s="3">
        <v>2.0990000000000002</v>
      </c>
      <c r="F478" s="3">
        <v>30300</v>
      </c>
      <c r="G478" s="3">
        <v>63599.7</v>
      </c>
      <c r="H478" s="3">
        <v>60600</v>
      </c>
      <c r="I478" s="3">
        <v>12.72</v>
      </c>
      <c r="J478" s="3">
        <v>0</v>
      </c>
      <c r="K478" s="3">
        <v>0</v>
      </c>
      <c r="L478" s="3">
        <v>0</v>
      </c>
      <c r="M478" s="3">
        <v>-63612.42</v>
      </c>
      <c r="N478" s="3">
        <v>158.6</v>
      </c>
      <c r="O478" s="3" t="str">
        <f>"SWZPYYT5"</f>
        <v>SWZPYYT5</v>
      </c>
      <c r="P478" s="3">
        <v>2.0990000000000002</v>
      </c>
      <c r="Q478" s="3">
        <v>30300</v>
      </c>
      <c r="R478" s="3" t="str">
        <f>"0103988319"</f>
        <v>0103988319</v>
      </c>
      <c r="S478" s="3" t="str">
        <f t="shared" si="89"/>
        <v>301719094322</v>
      </c>
      <c r="T478" s="3" t="str">
        <f t="shared" si="90"/>
        <v>人民币</v>
      </c>
    </row>
    <row r="479" spans="1:20" s="3" customFormat="1" x14ac:dyDescent="0.15">
      <c r="A479" s="3" t="str">
        <f>"2016-02-26"</f>
        <v>2016-02-26</v>
      </c>
      <c r="B479" s="3" t="str">
        <f>"证券卖出清算"</f>
        <v>证券卖出清算</v>
      </c>
      <c r="C479" s="3" t="str">
        <f>"159915"</f>
        <v>159915</v>
      </c>
      <c r="D479" s="3" t="str">
        <f>"创业板"</f>
        <v>创业板</v>
      </c>
      <c r="E479" s="3">
        <v>1.9239999999999999</v>
      </c>
      <c r="F479" s="3">
        <v>20200</v>
      </c>
      <c r="G479" s="3">
        <v>38864.800000000003</v>
      </c>
      <c r="H479" s="3">
        <v>40400</v>
      </c>
      <c r="I479" s="3">
        <v>7.77</v>
      </c>
      <c r="J479" s="3">
        <v>0</v>
      </c>
      <c r="K479" s="3">
        <v>0</v>
      </c>
      <c r="L479" s="3">
        <v>0</v>
      </c>
      <c r="M479" s="3">
        <v>38857.03</v>
      </c>
      <c r="N479" s="3">
        <v>39015.629999999997</v>
      </c>
      <c r="O479" s="3" t="str">
        <f>"SWZQ8T8K"</f>
        <v>SWZQ8T8K</v>
      </c>
      <c r="P479" s="3">
        <v>1.9239999999999999</v>
      </c>
      <c r="Q479" s="3">
        <v>20200</v>
      </c>
      <c r="R479" s="3" t="str">
        <f>"0103988319"</f>
        <v>0103988319</v>
      </c>
      <c r="S479" s="3" t="str">
        <f t="shared" si="89"/>
        <v>301719094322</v>
      </c>
      <c r="T479" s="3" t="str">
        <f t="shared" si="90"/>
        <v>人民币</v>
      </c>
    </row>
    <row r="480" spans="1:20" s="3" customFormat="1" x14ac:dyDescent="0.15">
      <c r="A480" s="3" t="str">
        <f>"2016-02-26"</f>
        <v>2016-02-26</v>
      </c>
      <c r="B480" s="3" t="str">
        <f>"证券卖出清算"</f>
        <v>证券卖出清算</v>
      </c>
      <c r="C480" s="3" t="str">
        <f>"159915"</f>
        <v>159915</v>
      </c>
      <c r="D480" s="3" t="str">
        <f>"创业板"</f>
        <v>创业板</v>
      </c>
      <c r="E480" s="3">
        <v>1.92</v>
      </c>
      <c r="F480" s="3">
        <v>20200</v>
      </c>
      <c r="G480" s="3">
        <v>38784</v>
      </c>
      <c r="H480" s="3">
        <v>20200</v>
      </c>
      <c r="I480" s="3">
        <v>7.76</v>
      </c>
      <c r="J480" s="3">
        <v>0</v>
      </c>
      <c r="K480" s="3">
        <v>0</v>
      </c>
      <c r="L480" s="3">
        <v>0</v>
      </c>
      <c r="M480" s="3">
        <v>38776.239999999998</v>
      </c>
      <c r="N480" s="3">
        <v>77791.87</v>
      </c>
      <c r="O480" s="3" t="str">
        <f>"SWZQ8TBH"</f>
        <v>SWZQ8TBH</v>
      </c>
      <c r="P480" s="3">
        <v>1.919</v>
      </c>
      <c r="Q480" s="3">
        <v>20200</v>
      </c>
      <c r="R480" s="3" t="str">
        <f>"0103988319"</f>
        <v>0103988319</v>
      </c>
      <c r="S480" s="3" t="str">
        <f t="shared" si="89"/>
        <v>301719094322</v>
      </c>
      <c r="T480" s="3" t="str">
        <f t="shared" si="90"/>
        <v>人民币</v>
      </c>
    </row>
    <row r="481" spans="1:20" s="3" customFormat="1" x14ac:dyDescent="0.15">
      <c r="A481" s="3" t="str">
        <f>"2016-02-26"</f>
        <v>2016-02-26</v>
      </c>
      <c r="B481" s="3" t="str">
        <f>"基金申购"</f>
        <v>基金申购</v>
      </c>
      <c r="C481" s="3" t="str">
        <f>"A40006"</f>
        <v>A40006</v>
      </c>
      <c r="D481" s="3" t="str">
        <f>"现金宝"</f>
        <v>现金宝</v>
      </c>
      <c r="E481" s="3">
        <v>1</v>
      </c>
      <c r="F481" s="3">
        <v>77791.87</v>
      </c>
      <c r="G481" s="3">
        <v>77791.87</v>
      </c>
      <c r="H481" s="3">
        <v>77791</v>
      </c>
      <c r="I481" s="3">
        <v>0</v>
      </c>
      <c r="J481" s="3">
        <v>0</v>
      </c>
      <c r="K481" s="3">
        <v>0</v>
      </c>
      <c r="L481" s="3">
        <v>0</v>
      </c>
      <c r="M481" s="3">
        <v>-77791.87</v>
      </c>
      <c r="N481" s="3">
        <v>0</v>
      </c>
      <c r="P481" s="3">
        <v>0</v>
      </c>
      <c r="Q481" s="3">
        <v>0</v>
      </c>
      <c r="R481" s="3" t="str">
        <f>"99F625223328"</f>
        <v>99F625223328</v>
      </c>
      <c r="S481" s="3" t="str">
        <f t="shared" si="89"/>
        <v>301719094322</v>
      </c>
      <c r="T481" s="3" t="str">
        <f t="shared" si="90"/>
        <v>人民币</v>
      </c>
    </row>
    <row r="482" spans="1:20" s="3" customFormat="1" x14ac:dyDescent="0.15">
      <c r="A482" s="3" t="str">
        <f>"2016-03-01"</f>
        <v>2016-03-01</v>
      </c>
      <c r="B482" s="3" t="str">
        <f>"证券卖出清算"</f>
        <v>证券卖出清算</v>
      </c>
      <c r="C482" s="3" t="str">
        <f>"159915"</f>
        <v>159915</v>
      </c>
      <c r="D482" s="3" t="str">
        <f>"创业板"</f>
        <v>创业板</v>
      </c>
      <c r="E482" s="3">
        <v>1.8360000000000001</v>
      </c>
      <c r="F482" s="3">
        <v>20100</v>
      </c>
      <c r="G482" s="3">
        <v>36903.599999999999</v>
      </c>
      <c r="H482" s="3">
        <v>100</v>
      </c>
      <c r="I482" s="3">
        <v>7.38</v>
      </c>
      <c r="J482" s="3">
        <v>0</v>
      </c>
      <c r="K482" s="3">
        <v>0</v>
      </c>
      <c r="L482" s="3">
        <v>0</v>
      </c>
      <c r="M482" s="3">
        <v>36896.22</v>
      </c>
      <c r="N482" s="3">
        <v>36896.22</v>
      </c>
      <c r="O482" s="3" t="str">
        <f>"SWZQDE5D"</f>
        <v>SWZQDE5D</v>
      </c>
      <c r="P482" s="3">
        <v>1.8360000000000001</v>
      </c>
      <c r="Q482" s="3">
        <v>20100</v>
      </c>
      <c r="R482" s="3" t="str">
        <f>"0103988319"</f>
        <v>0103988319</v>
      </c>
      <c r="S482" s="3" t="str">
        <f t="shared" si="89"/>
        <v>301719094322</v>
      </c>
      <c r="T482" s="3" t="str">
        <f t="shared" si="90"/>
        <v>人民币</v>
      </c>
    </row>
    <row r="483" spans="1:20" s="3" customFormat="1" x14ac:dyDescent="0.15">
      <c r="A483" s="3" t="str">
        <f>"2016-03-01"</f>
        <v>2016-03-01</v>
      </c>
      <c r="B483" s="3" t="str">
        <f>"基金申购"</f>
        <v>基金申购</v>
      </c>
      <c r="C483" s="3" t="str">
        <f>"A40006"</f>
        <v>A40006</v>
      </c>
      <c r="D483" s="3" t="str">
        <f>"现金宝"</f>
        <v>现金宝</v>
      </c>
      <c r="E483" s="3">
        <v>1</v>
      </c>
      <c r="F483" s="3">
        <v>36896.22</v>
      </c>
      <c r="G483" s="3">
        <v>36896.22</v>
      </c>
      <c r="H483" s="3">
        <v>114688</v>
      </c>
      <c r="I483" s="3">
        <v>0</v>
      </c>
      <c r="J483" s="3">
        <v>0</v>
      </c>
      <c r="K483" s="3">
        <v>0</v>
      </c>
      <c r="L483" s="3">
        <v>0</v>
      </c>
      <c r="M483" s="3">
        <v>-36896.22</v>
      </c>
      <c r="N483" s="3">
        <v>0</v>
      </c>
      <c r="P483" s="3">
        <v>0</v>
      </c>
      <c r="Q483" s="3">
        <v>0</v>
      </c>
      <c r="R483" s="3" t="str">
        <f>"99F625223328"</f>
        <v>99F625223328</v>
      </c>
      <c r="S483" s="3" t="str">
        <f t="shared" si="89"/>
        <v>301719094322</v>
      </c>
      <c r="T483" s="3" t="str">
        <f t="shared" si="90"/>
        <v>人民币</v>
      </c>
    </row>
    <row r="484" spans="1:20" s="3" customFormat="1" x14ac:dyDescent="0.15">
      <c r="A484" s="3" t="str">
        <f>"2016-03-02"</f>
        <v>2016-03-02</v>
      </c>
      <c r="B484" s="3" t="str">
        <f>"基金赎回"</f>
        <v>基金赎回</v>
      </c>
      <c r="C484" s="3" t="str">
        <f>"A40006"</f>
        <v>A40006</v>
      </c>
      <c r="D484" s="3" t="str">
        <f>"现金宝"</f>
        <v>现金宝</v>
      </c>
      <c r="E484" s="3">
        <v>1</v>
      </c>
      <c r="F484" s="3">
        <v>36131.22</v>
      </c>
      <c r="G484" s="3">
        <v>36131.22</v>
      </c>
      <c r="H484" s="3">
        <v>78556</v>
      </c>
      <c r="I484" s="3">
        <v>0</v>
      </c>
      <c r="J484" s="3">
        <v>0</v>
      </c>
      <c r="K484" s="3">
        <v>0</v>
      </c>
      <c r="L484" s="3">
        <v>0</v>
      </c>
      <c r="M484" s="3">
        <v>36131.22</v>
      </c>
      <c r="N484" s="3">
        <v>36131.22</v>
      </c>
      <c r="P484" s="3">
        <v>0</v>
      </c>
      <c r="Q484" s="3">
        <v>0</v>
      </c>
      <c r="R484" s="3" t="str">
        <f>"99F625223328"</f>
        <v>99F625223328</v>
      </c>
      <c r="S484" s="3" t="str">
        <f t="shared" si="89"/>
        <v>301719094322</v>
      </c>
      <c r="T484" s="3" t="str">
        <f t="shared" si="90"/>
        <v>人民币</v>
      </c>
    </row>
    <row r="485" spans="1:20" s="3" customFormat="1" x14ac:dyDescent="0.15">
      <c r="A485" s="3" t="str">
        <f>"2016-03-03"</f>
        <v>2016-03-03</v>
      </c>
      <c r="B485" s="3" t="str">
        <f>"基金申购"</f>
        <v>基金申购</v>
      </c>
      <c r="C485" s="3" t="str">
        <f>"A40006"</f>
        <v>A40006</v>
      </c>
      <c r="D485" s="3" t="str">
        <f>"现金宝"</f>
        <v>现金宝</v>
      </c>
      <c r="E485" s="3">
        <v>1</v>
      </c>
      <c r="F485" s="3">
        <v>36131.22</v>
      </c>
      <c r="G485" s="3">
        <v>36131.22</v>
      </c>
      <c r="H485" s="3">
        <v>114688</v>
      </c>
      <c r="I485" s="3">
        <v>0</v>
      </c>
      <c r="J485" s="3">
        <v>0</v>
      </c>
      <c r="K485" s="3">
        <v>0</v>
      </c>
      <c r="L485" s="3">
        <v>0</v>
      </c>
      <c r="M485" s="3">
        <v>-36131.22</v>
      </c>
      <c r="N485" s="3">
        <v>0</v>
      </c>
      <c r="P485" s="3">
        <v>0</v>
      </c>
      <c r="Q485" s="3">
        <v>0</v>
      </c>
      <c r="R485" s="3" t="str">
        <f>"99F625223328"</f>
        <v>99F625223328</v>
      </c>
      <c r="S485" s="3" t="str">
        <f t="shared" si="89"/>
        <v>301719094322</v>
      </c>
      <c r="T485" s="3" t="str">
        <f t="shared" si="90"/>
        <v>人民币</v>
      </c>
    </row>
    <row r="486" spans="1:20" s="3" customFormat="1" x14ac:dyDescent="0.15">
      <c r="A486" s="3" t="str">
        <f>"2016-03-18"</f>
        <v>2016-03-18</v>
      </c>
      <c r="B486" s="3" t="str">
        <f>"基金赎回"</f>
        <v>基金赎回</v>
      </c>
      <c r="C486" s="3" t="str">
        <f>"A40006"</f>
        <v>A40006</v>
      </c>
      <c r="D486" s="3" t="str">
        <f>"现金宝"</f>
        <v>现金宝</v>
      </c>
      <c r="E486" s="3">
        <v>1</v>
      </c>
      <c r="F486" s="3">
        <v>114688.09</v>
      </c>
      <c r="G486" s="3">
        <v>114688.09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114688.09</v>
      </c>
      <c r="N486" s="3">
        <v>114688.09</v>
      </c>
      <c r="P486" s="3">
        <v>0</v>
      </c>
      <c r="Q486" s="3">
        <v>0</v>
      </c>
      <c r="R486" s="3" t="str">
        <f>"99F625223328"</f>
        <v>99F625223328</v>
      </c>
      <c r="S486" s="3" t="str">
        <f t="shared" si="89"/>
        <v>301719094322</v>
      </c>
      <c r="T486" s="3" t="str">
        <f t="shared" si="90"/>
        <v>人民币</v>
      </c>
    </row>
    <row r="487" spans="1:20" s="3" customFormat="1" x14ac:dyDescent="0.15">
      <c r="A487" s="3" t="str">
        <f>"2016-03-21"</f>
        <v>2016-03-21</v>
      </c>
      <c r="B487" s="3" t="str">
        <f>"银证转出"</f>
        <v>银证转出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-114688.09</v>
      </c>
      <c r="N487" s="3">
        <v>0</v>
      </c>
      <c r="P487" s="3">
        <v>0</v>
      </c>
      <c r="Q487" s="3">
        <v>0</v>
      </c>
      <c r="S487" s="3" t="str">
        <f t="shared" si="89"/>
        <v>301719094322</v>
      </c>
      <c r="T487" s="3" t="str">
        <f t="shared" si="90"/>
        <v>人民币</v>
      </c>
    </row>
    <row r="488" spans="1:20" s="3" customFormat="1" x14ac:dyDescent="0.15">
      <c r="A488" s="3" t="str">
        <f>"2016-03-21"</f>
        <v>2016-03-21</v>
      </c>
      <c r="B488" s="3" t="str">
        <f>"利息归本"</f>
        <v>利息归本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6.85</v>
      </c>
      <c r="N488" s="3">
        <v>6.85</v>
      </c>
      <c r="P488" s="3">
        <v>0</v>
      </c>
      <c r="Q488" s="3">
        <v>0</v>
      </c>
      <c r="S488" s="3" t="str">
        <f t="shared" si="89"/>
        <v>301719094322</v>
      </c>
      <c r="T488" s="3" t="str">
        <f t="shared" si="90"/>
        <v>人民币</v>
      </c>
    </row>
    <row r="489" spans="1:20" s="3" customFormat="1" x14ac:dyDescent="0.15">
      <c r="A489" s="3" t="str">
        <f>"2016-03-21"</f>
        <v>2016-03-21</v>
      </c>
      <c r="B489" s="3" t="str">
        <f>"证券卖出清算"</f>
        <v>证券卖出清算</v>
      </c>
      <c r="C489" s="3" t="str">
        <f>"159915"</f>
        <v>159915</v>
      </c>
      <c r="D489" s="3" t="str">
        <f>"创业板"</f>
        <v>创业板</v>
      </c>
      <c r="E489" s="3">
        <v>2.1110000000000002</v>
      </c>
      <c r="F489" s="3">
        <v>100</v>
      </c>
      <c r="G489" s="3">
        <v>211.1</v>
      </c>
      <c r="H489" s="3">
        <v>0</v>
      </c>
      <c r="I489" s="3">
        <v>5</v>
      </c>
      <c r="J489" s="3">
        <v>0</v>
      </c>
      <c r="K489" s="3">
        <v>0</v>
      </c>
      <c r="L489" s="3">
        <v>0</v>
      </c>
      <c r="M489" s="3">
        <v>206.1</v>
      </c>
      <c r="N489" s="3">
        <v>212.95</v>
      </c>
      <c r="O489" s="3" t="str">
        <f>"SWZS74TX"</f>
        <v>SWZS74TX</v>
      </c>
      <c r="P489" s="3">
        <v>2.11</v>
      </c>
      <c r="Q489" s="3">
        <v>100</v>
      </c>
      <c r="R489" s="3" t="str">
        <f>"0103988319"</f>
        <v>0103988319</v>
      </c>
      <c r="S489" s="3" t="str">
        <f t="shared" si="89"/>
        <v>301719094322</v>
      </c>
      <c r="T489" s="3" t="str">
        <f t="shared" si="90"/>
        <v>人民币</v>
      </c>
    </row>
    <row r="490" spans="1:20" s="3" customFormat="1" x14ac:dyDescent="0.15">
      <c r="A490" s="3" t="str">
        <f>"2016-03-22"</f>
        <v>2016-03-22</v>
      </c>
      <c r="B490" s="3" t="str">
        <f>"银证转出"</f>
        <v>银证转出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-212.95</v>
      </c>
      <c r="N490" s="3">
        <v>0</v>
      </c>
      <c r="P490" s="3">
        <v>0</v>
      </c>
      <c r="Q490" s="3">
        <v>0</v>
      </c>
      <c r="S490" s="3" t="str">
        <f t="shared" si="89"/>
        <v>301719094322</v>
      </c>
      <c r="T490" s="3" t="str">
        <f t="shared" si="90"/>
        <v>人民币</v>
      </c>
    </row>
    <row r="491" spans="1:20" s="3" customFormat="1" x14ac:dyDescent="0.15">
      <c r="A491" s="3" t="str">
        <f>"2016-03-29"</f>
        <v>2016-03-29</v>
      </c>
      <c r="B491" s="3" t="str">
        <f>"红利发放"</f>
        <v>红利发放</v>
      </c>
      <c r="C491" s="3" t="str">
        <f>"A40006"</f>
        <v>A40006</v>
      </c>
      <c r="D491" s="3" t="str">
        <f>"现金宝"</f>
        <v>现金宝</v>
      </c>
      <c r="E491" s="3">
        <v>1</v>
      </c>
      <c r="F491" s="3">
        <v>0</v>
      </c>
      <c r="G491" s="3">
        <v>608.35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608.35</v>
      </c>
      <c r="N491" s="3">
        <v>608.35</v>
      </c>
      <c r="P491" s="3">
        <v>0</v>
      </c>
      <c r="Q491" s="3">
        <v>0</v>
      </c>
      <c r="R491" s="3" t="str">
        <f>"99F625223328"</f>
        <v>99F625223328</v>
      </c>
      <c r="S491" s="3" t="str">
        <f t="shared" si="89"/>
        <v>301719094322</v>
      </c>
      <c r="T491" s="3" t="str">
        <f t="shared" si="90"/>
        <v>人民币</v>
      </c>
    </row>
    <row r="492" spans="1:20" s="3" customFormat="1" x14ac:dyDescent="0.15">
      <c r="A492" s="3" t="str">
        <f>"2016-03-30"</f>
        <v>2016-03-30</v>
      </c>
      <c r="B492" s="3" t="str">
        <f>"银证转出"</f>
        <v>银证转出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-608.35</v>
      </c>
      <c r="N492" s="3">
        <v>0</v>
      </c>
      <c r="P492" s="3">
        <v>0</v>
      </c>
      <c r="Q492" s="3">
        <v>0</v>
      </c>
      <c r="S492" s="3" t="str">
        <f t="shared" si="89"/>
        <v>301719094322</v>
      </c>
      <c r="T492" s="3" t="str">
        <f t="shared" si="90"/>
        <v>人民币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G20" sqref="G20"/>
    </sheetView>
  </sheetViews>
  <sheetFormatPr defaultRowHeight="13.5" x14ac:dyDescent="0.15"/>
  <cols>
    <col min="1" max="1" width="9.75" customWidth="1"/>
    <col min="2" max="2" width="17.625" bestFit="1" customWidth="1"/>
  </cols>
  <sheetData>
    <row r="1" spans="1:2" x14ac:dyDescent="0.15">
      <c r="A1" s="4" t="s">
        <v>57</v>
      </c>
      <c r="B1" t="s">
        <v>72</v>
      </c>
    </row>
    <row r="2" spans="1:2" x14ac:dyDescent="0.15">
      <c r="A2" s="1" t="s">
        <v>68</v>
      </c>
      <c r="B2" s="6">
        <v>18504.79</v>
      </c>
    </row>
    <row r="3" spans="1:2" x14ac:dyDescent="0.15">
      <c r="A3" s="1" t="s">
        <v>64</v>
      </c>
      <c r="B3" s="6">
        <v>8217.1999999999971</v>
      </c>
    </row>
    <row r="4" spans="1:2" x14ac:dyDescent="0.15">
      <c r="A4" s="1" t="s">
        <v>46</v>
      </c>
      <c r="B4" s="6">
        <v>6294.4400000000551</v>
      </c>
    </row>
    <row r="5" spans="1:2" x14ac:dyDescent="0.15">
      <c r="A5" s="1" t="s">
        <v>62</v>
      </c>
      <c r="B5" s="6">
        <v>5906.0600000000013</v>
      </c>
    </row>
    <row r="6" spans="1:2" x14ac:dyDescent="0.15">
      <c r="A6" s="1" t="s">
        <v>65</v>
      </c>
      <c r="B6" s="6">
        <v>4815.41</v>
      </c>
    </row>
    <row r="7" spans="1:2" x14ac:dyDescent="0.15">
      <c r="A7" s="1" t="s">
        <v>58</v>
      </c>
      <c r="B7" s="6">
        <v>1260</v>
      </c>
    </row>
    <row r="8" spans="1:2" x14ac:dyDescent="0.15">
      <c r="A8" s="1" t="s">
        <v>67</v>
      </c>
      <c r="B8" s="6">
        <v>586.32999999999811</v>
      </c>
    </row>
    <row r="9" spans="1:2" x14ac:dyDescent="0.15">
      <c r="A9" s="1" t="s">
        <v>60</v>
      </c>
      <c r="B9" s="6">
        <v>88.899999999999636</v>
      </c>
    </row>
    <row r="10" spans="1:2" x14ac:dyDescent="0.15">
      <c r="A10" s="1" t="s">
        <v>41</v>
      </c>
      <c r="B10" s="6">
        <v>-138.39000000000669</v>
      </c>
    </row>
    <row r="11" spans="1:2" x14ac:dyDescent="0.15">
      <c r="A11" s="1" t="s">
        <v>70</v>
      </c>
      <c r="B11" s="6">
        <v>-2421.4499999999421</v>
      </c>
    </row>
    <row r="12" spans="1:2" x14ac:dyDescent="0.15">
      <c r="A12" s="1" t="s">
        <v>66</v>
      </c>
      <c r="B12" s="6">
        <v>-3473.5599999999995</v>
      </c>
    </row>
    <row r="13" spans="1:2" x14ac:dyDescent="0.15">
      <c r="A13" s="1" t="s">
        <v>59</v>
      </c>
      <c r="B13" s="6">
        <v>-3653.7099999999905</v>
      </c>
    </row>
    <row r="14" spans="1:2" x14ac:dyDescent="0.15">
      <c r="A14" s="1" t="s">
        <v>63</v>
      </c>
      <c r="B14" s="6">
        <v>-3841.0600000000122</v>
      </c>
    </row>
    <row r="15" spans="1:2" x14ac:dyDescent="0.15">
      <c r="A15" s="1" t="s">
        <v>69</v>
      </c>
      <c r="B15" s="6">
        <v>-5319.9000000000015</v>
      </c>
    </row>
    <row r="16" spans="1:2" x14ac:dyDescent="0.15">
      <c r="A16" s="1" t="s">
        <v>61</v>
      </c>
      <c r="B16" s="6">
        <v>-26825.060000000005</v>
      </c>
    </row>
    <row r="17" spans="1:2" x14ac:dyDescent="0.15">
      <c r="A17" s="1" t="s">
        <v>71</v>
      </c>
      <c r="B17" s="6">
        <v>9.6861185738816857E-11</v>
      </c>
    </row>
    <row r="18" spans="1:2" x14ac:dyDescent="0.15">
      <c r="B18" s="5" t="s">
        <v>73</v>
      </c>
    </row>
  </sheetData>
  <phoneticPr fontId="18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0" sqref="G40"/>
    </sheetView>
  </sheetViews>
  <sheetFormatPr defaultRowHeight="13.5" x14ac:dyDescent="0.15"/>
  <sheetData>
    <row r="1" spans="1:1" x14ac:dyDescent="0.15">
      <c r="A1"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1.华西证券</vt:lpstr>
      <vt:lpstr>2.国信证券</vt:lpstr>
      <vt:lpstr>3.银河证券</vt:lpstr>
      <vt:lpstr>记录4-国金证券</vt:lpstr>
      <vt:lpstr>记录5-平安证券</vt:lpstr>
      <vt:lpstr>分析5-平安证券</vt:lpstr>
      <vt:lpstr>6.国泰君安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liming</cp:lastModifiedBy>
  <dcterms:created xsi:type="dcterms:W3CDTF">2017-01-13T16:03:57Z</dcterms:created>
  <dcterms:modified xsi:type="dcterms:W3CDTF">2017-01-15T11:54:58Z</dcterms:modified>
</cp:coreProperties>
</file>